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holddelhaize.sharepoint.com/sites/DLL-ecommerceoperations/Shared Documents/General/5. Operations Puurs/"/>
    </mc:Choice>
  </mc:AlternateContent>
  <xr:revisionPtr revIDLastSave="20114" documentId="6_{E7CBE3E1-A758-41AB-84FB-7676D6667481}" xr6:coauthVersionLast="47" xr6:coauthVersionMax="47" xr10:uidLastSave="{CDCA2707-A2AF-4CCB-BA16-85EFA74C6451}"/>
  <bookViews>
    <workbookView xWindow="-108" yWindow="-108" windowWidth="23256" windowHeight="12576" tabRatio="491" firstSheet="5" activeTab="5" xr2:uid="{8FC2EFAC-09BF-48C8-9853-61A0E743C17F}"/>
  </bookViews>
  <sheets>
    <sheet name="Liste des vans détails" sheetId="2" state="hidden" r:id="rId1"/>
    <sheet name="STATUS" sheetId="1" state="hidden" r:id="rId2"/>
    <sheet name="Actiepunten" sheetId="10" state="hidden" r:id="rId3"/>
    <sheet name="Operations Forecast" sheetId="3" state="hidden" r:id="rId4"/>
    <sheet name="Operations Forecast_Alt" sheetId="8" state="hidden" r:id="rId5"/>
    <sheet name="Operations Forecast_new" sheetId="21" r:id="rId6"/>
    <sheet name="LT HD Forecast" sheetId="5" r:id="rId7"/>
    <sheet name="LT Collect Forecast" sheetId="9" r:id="rId8"/>
    <sheet name="ST Forecast" sheetId="4" r:id="rId9"/>
    <sheet name="DB" sheetId="15" r:id="rId10"/>
    <sheet name="LT Forecast 2" sheetId="32" r:id="rId11"/>
    <sheet name="van" sheetId="33" r:id="rId12"/>
  </sheets>
  <externalReferences>
    <externalReference r:id="rId13"/>
  </externalReferences>
  <definedNames>
    <definedName name="_xlnm._FilterDatabase" localSheetId="2" hidden="1">Actiepunten!$A$1:$D$14</definedName>
  </definedNames>
  <calcPr calcId="191028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V43" i="21" l="1"/>
  <c r="ON43" i="21"/>
  <c r="OF43" i="21"/>
  <c r="NY23" i="21"/>
  <c r="OW9" i="21"/>
  <c r="OS15" i="21" l="1"/>
  <c r="OS21" i="21"/>
  <c r="PL7" i="4" a="1"/>
  <c r="PL7" i="4" s="1"/>
  <c r="PK18" i="4"/>
  <c r="PJ18" i="4"/>
  <c r="PI18" i="4"/>
  <c r="PL5" i="4" a="1"/>
  <c r="PL5" i="4" s="1"/>
  <c r="PE34" i="4"/>
  <c r="PF35" i="4"/>
  <c r="PG35" i="4"/>
  <c r="PH35" i="4"/>
  <c r="PI35" i="4"/>
  <c r="PJ35" i="4"/>
  <c r="PK35" i="4"/>
  <c r="PF36" i="4"/>
  <c r="PG36" i="4"/>
  <c r="PH36" i="4"/>
  <c r="PI36" i="4"/>
  <c r="PJ36" i="4"/>
  <c r="PK36" i="4"/>
  <c r="PL36" i="4"/>
  <c r="PE25" i="4"/>
  <c r="PE26" i="4"/>
  <c r="PE27" i="4"/>
  <c r="PE28" i="4"/>
  <c r="PE29" i="4"/>
  <c r="PE30" i="4"/>
  <c r="PE31" i="4"/>
  <c r="PE32" i="4"/>
  <c r="PF13" i="4"/>
  <c r="PG13" i="4"/>
  <c r="PH13" i="4"/>
  <c r="PI13" i="4"/>
  <c r="PJ13" i="4"/>
  <c r="PK13" i="4"/>
  <c r="PE16" i="4"/>
  <c r="PF5" i="4"/>
  <c r="PH4" i="4"/>
  <c r="PL6" i="4"/>
  <c r="PF18" i="4"/>
  <c r="PG18" i="4"/>
  <c r="PH18" i="4"/>
  <c r="PF19" i="4"/>
  <c r="PG19" i="4"/>
  <c r="PH19" i="4"/>
  <c r="PI19" i="4"/>
  <c r="PJ19" i="4"/>
  <c r="PK19" i="4"/>
  <c r="PL8" i="4"/>
  <c r="PL20" i="4" s="1"/>
  <c r="PE1" i="4"/>
  <c r="PF1" i="4" s="1"/>
  <c r="PG1" i="4" s="1"/>
  <c r="PH1" i="4" s="1"/>
  <c r="PI1" i="4" s="1"/>
  <c r="PJ1" i="4" s="1"/>
  <c r="PK1" i="4" s="1"/>
  <c r="PL1" i="4" s="1"/>
  <c r="OK21" i="21"/>
  <c r="E684" i="32"/>
  <c r="E679" i="32"/>
  <c r="E680" i="32"/>
  <c r="E681" i="32"/>
  <c r="E682" i="32"/>
  <c r="E683" i="32"/>
  <c r="E678" i="32"/>
  <c r="E670" i="32"/>
  <c r="PE36" i="4" l="1"/>
  <c r="PF11" i="4"/>
  <c r="PG4" i="4"/>
  <c r="PJ4" i="4"/>
  <c r="PK4" i="4"/>
  <c r="PL4" i="4"/>
  <c r="PG11" i="4"/>
  <c r="PI10" i="4"/>
  <c r="PI23" i="4" s="1"/>
  <c r="PI4" i="4"/>
  <c r="PL11" i="4"/>
  <c r="PK11" i="4"/>
  <c r="PF10" i="4"/>
  <c r="PF23" i="4" s="1"/>
  <c r="PE6" i="4"/>
  <c r="PF20" i="4"/>
  <c r="PF17" i="4" s="1"/>
  <c r="PF4" i="4"/>
  <c r="PJ10" i="4"/>
  <c r="PK10" i="4"/>
  <c r="PL14" i="4"/>
  <c r="PL10" i="4"/>
  <c r="PH11" i="4"/>
  <c r="PH10" i="4"/>
  <c r="PH9" i="4" s="1"/>
  <c r="PE5" i="4"/>
  <c r="PE14" i="4" s="1"/>
  <c r="PG10" i="4"/>
  <c r="PJ11" i="4"/>
  <c r="PI11" i="4"/>
  <c r="PK20" i="4"/>
  <c r="PK17" i="4" s="1"/>
  <c r="PL15" i="4"/>
  <c r="PJ20" i="4"/>
  <c r="PJ17" i="4" s="1"/>
  <c r="PI20" i="4"/>
  <c r="PI17" i="4" s="1"/>
  <c r="PH20" i="4"/>
  <c r="PH17" i="4" s="1"/>
  <c r="PG20" i="4"/>
  <c r="OW30" i="4"/>
  <c r="OW31" i="4"/>
  <c r="OW32" i="4"/>
  <c r="OO30" i="4"/>
  <c r="OO31" i="4"/>
  <c r="OO32" i="4"/>
  <c r="PK9" i="4" l="1"/>
  <c r="PG22" i="4"/>
  <c r="PF9" i="4"/>
  <c r="PJ9" i="4"/>
  <c r="PJ21" i="4" s="1"/>
  <c r="PE11" i="4"/>
  <c r="PL9" i="4"/>
  <c r="PE4" i="4"/>
  <c r="PI9" i="4"/>
  <c r="PI21" i="4" s="1"/>
  <c r="PF22" i="4"/>
  <c r="PH22" i="4"/>
  <c r="PK21" i="4"/>
  <c r="PG17" i="4"/>
  <c r="PE20" i="4"/>
  <c r="PL13" i="4"/>
  <c r="PE13" i="4" s="1"/>
  <c r="PL18" i="4"/>
  <c r="PL35" i="4"/>
  <c r="PE35" i="4" s="1"/>
  <c r="PE15" i="4"/>
  <c r="PL19" i="4"/>
  <c r="PH23" i="4"/>
  <c r="PH21" i="4"/>
  <c r="PI22" i="4"/>
  <c r="PJ23" i="4"/>
  <c r="PE10" i="4"/>
  <c r="PJ22" i="4"/>
  <c r="PK23" i="4"/>
  <c r="PK22" i="4"/>
  <c r="PG23" i="4"/>
  <c r="PG9" i="4"/>
  <c r="PF21" i="4"/>
  <c r="PG21" i="4" l="1"/>
  <c r="PE9" i="4"/>
  <c r="PL22" i="4"/>
  <c r="PE19" i="4"/>
  <c r="PE22" i="4" s="1"/>
  <c r="PL17" i="4"/>
  <c r="PL23" i="4"/>
  <c r="PE18" i="4"/>
  <c r="PE23" i="4" s="1"/>
  <c r="OV40" i="21"/>
  <c r="OV38" i="21"/>
  <c r="OV36" i="21"/>
  <c r="OV34" i="21"/>
  <c r="OF40" i="21"/>
  <c r="ON40" i="21"/>
  <c r="OF38" i="21"/>
  <c r="ON38" i="21"/>
  <c r="OF36" i="21"/>
  <c r="ON36" i="21"/>
  <c r="OF34" i="21"/>
  <c r="ON34" i="21"/>
  <c r="E662" i="32"/>
  <c r="E663" i="32"/>
  <c r="E664" i="32"/>
  <c r="E665" i="32"/>
  <c r="E666" i="32"/>
  <c r="E667" i="32"/>
  <c r="E668" i="32"/>
  <c r="E669" i="32"/>
  <c r="E671" i="32"/>
  <c r="E661" i="32"/>
  <c r="K597" i="32"/>
  <c r="K593" i="32"/>
  <c r="K589" i="32"/>
  <c r="K584" i="32"/>
  <c r="K580" i="32"/>
  <c r="K576" i="32"/>
  <c r="K571" i="32"/>
  <c r="K567" i="32"/>
  <c r="K563" i="32"/>
  <c r="K558" i="32"/>
  <c r="K554" i="32"/>
  <c r="K550" i="32"/>
  <c r="NQ22" i="21"/>
  <c r="PL21" i="4" l="1"/>
  <c r="PE17" i="4"/>
  <c r="PE21" i="4" s="1"/>
  <c r="NX42" i="21"/>
  <c r="NX40" i="21"/>
  <c r="NX38" i="21"/>
  <c r="NX36" i="21"/>
  <c r="NX34" i="21"/>
  <c r="OG30" i="4" l="1"/>
  <c r="OG31" i="4"/>
  <c r="OG32" i="4"/>
  <c r="NY30" i="4"/>
  <c r="NY31" i="4"/>
  <c r="NY32" i="4"/>
  <c r="NS43" i="21" l="1"/>
  <c r="NT43" i="21"/>
  <c r="NU43" i="21"/>
  <c r="NV43" i="21"/>
  <c r="NW43" i="21"/>
  <c r="NX43" i="21"/>
  <c r="NY43" i="21"/>
  <c r="NZ43" i="21"/>
  <c r="OA43" i="21"/>
  <c r="OB43" i="21"/>
  <c r="OC43" i="21"/>
  <c r="OD43" i="21"/>
  <c r="OE43" i="21"/>
  <c r="OG43" i="21"/>
  <c r="OH43" i="21"/>
  <c r="OI43" i="21"/>
  <c r="OJ43" i="21"/>
  <c r="OK43" i="21"/>
  <c r="OL43" i="21"/>
  <c r="OM43" i="21"/>
  <c r="OO43" i="21"/>
  <c r="OP43" i="21"/>
  <c r="OQ43" i="21"/>
  <c r="OR43" i="21"/>
  <c r="OS43" i="21"/>
  <c r="OT43" i="21"/>
  <c r="OU43" i="21"/>
  <c r="OW43" i="21"/>
  <c r="OX43" i="21"/>
  <c r="OY43" i="21"/>
  <c r="OZ43" i="21"/>
  <c r="PA43" i="21"/>
  <c r="PB43" i="21"/>
  <c r="PC43" i="21"/>
  <c r="NR43" i="21"/>
  <c r="NM43" i="21" l="1"/>
  <c r="O604" i="32"/>
  <c r="O605" i="32"/>
  <c r="O606" i="32"/>
  <c r="O607" i="32"/>
  <c r="O608" i="32"/>
  <c r="O609" i="32"/>
  <c r="O610" i="32"/>
  <c r="O611" i="32"/>
  <c r="O603" i="32"/>
  <c r="MV35" i="21"/>
  <c r="MV43" i="21" s="1"/>
  <c r="MR35" i="21"/>
  <c r="MR37" i="21"/>
  <c r="MR39" i="21"/>
  <c r="MR41" i="21"/>
  <c r="MJ35" i="21"/>
  <c r="MJ37" i="21"/>
  <c r="MJ39" i="21"/>
  <c r="MJ41" i="21"/>
  <c r="MZ35" i="21"/>
  <c r="MZ37" i="21"/>
  <c r="MZ39" i="21"/>
  <c r="ML43" i="21"/>
  <c r="MM43" i="21"/>
  <c r="MN43" i="21"/>
  <c r="MO43" i="21"/>
  <c r="MP43" i="21"/>
  <c r="MQ43" i="21"/>
  <c r="MS43" i="21"/>
  <c r="MT43" i="21"/>
  <c r="MU43" i="21"/>
  <c r="MW43" i="21"/>
  <c r="MX43" i="21"/>
  <c r="MY43" i="21"/>
  <c r="NA43" i="21"/>
  <c r="NB43" i="21"/>
  <c r="NC43" i="21"/>
  <c r="ND43" i="21"/>
  <c r="NE43" i="21"/>
  <c r="NF43" i="21"/>
  <c r="F615" i="32"/>
  <c r="G618" i="32"/>
  <c r="E611" i="32"/>
  <c r="E612" i="32"/>
  <c r="E613" i="32"/>
  <c r="E614" i="32"/>
  <c r="E615" i="32"/>
  <c r="E616" i="32"/>
  <c r="E617" i="32"/>
  <c r="E610" i="32"/>
  <c r="MK43" i="21"/>
  <c r="J604" i="32"/>
  <c r="I604" i="32"/>
  <c r="D605" i="32"/>
  <c r="I605" i="32"/>
  <c r="C605" i="32"/>
  <c r="G605" i="32"/>
  <c r="I607" i="32" s="1"/>
  <c r="F605" i="32"/>
  <c r="E605" i="32"/>
  <c r="H605" i="32"/>
  <c r="MS30" i="4"/>
  <c r="MS31" i="4"/>
  <c r="MK31" i="4"/>
  <c r="MK30" i="4"/>
  <c r="U470" i="32"/>
  <c r="U471" i="32"/>
  <c r="V471" i="32" s="1"/>
  <c r="U472" i="32"/>
  <c r="U473" i="32"/>
  <c r="U474" i="32"/>
  <c r="U475" i="32"/>
  <c r="T467" i="32"/>
  <c r="T468" i="32"/>
  <c r="T469" i="32"/>
  <c r="V469" i="32" s="1"/>
  <c r="T470" i="32"/>
  <c r="T471" i="32"/>
  <c r="T472" i="32"/>
  <c r="T473" i="32"/>
  <c r="V473" i="32" s="1"/>
  <c r="Z473" i="32" s="1"/>
  <c r="T474" i="32"/>
  <c r="V474" i="32" s="1"/>
  <c r="Z474" i="32" s="1"/>
  <c r="T475" i="32"/>
  <c r="V475" i="32" s="1"/>
  <c r="T476" i="32"/>
  <c r="V476" i="32" s="1"/>
  <c r="T466" i="32"/>
  <c r="V466" i="32" s="1"/>
  <c r="MD43" i="21"/>
  <c r="ME43" i="21"/>
  <c r="MF43" i="21"/>
  <c r="MG43" i="21"/>
  <c r="MH43" i="21"/>
  <c r="MC43" i="21"/>
  <c r="MC9" i="21"/>
  <c r="NI30" i="4"/>
  <c r="NI31" i="4"/>
  <c r="NA30" i="4"/>
  <c r="NA31" i="4"/>
  <c r="V470" i="32"/>
  <c r="Z470" i="32" s="1"/>
  <c r="V472" i="32"/>
  <c r="NJ13" i="4"/>
  <c r="MB34" i="21"/>
  <c r="MB36" i="21"/>
  <c r="MB38" i="21"/>
  <c r="MB40" i="21"/>
  <c r="MB42" i="21"/>
  <c r="MB43" i="21"/>
  <c r="LT34" i="21"/>
  <c r="LT36" i="21"/>
  <c r="LT38" i="21"/>
  <c r="LT40" i="21"/>
  <c r="LT42" i="21"/>
  <c r="LT43" i="21"/>
  <c r="LL42" i="21"/>
  <c r="LL43" i="21"/>
  <c r="LL40" i="21"/>
  <c r="LL38" i="21"/>
  <c r="LL36" i="21"/>
  <c r="LL34" i="21"/>
  <c r="LD42" i="21"/>
  <c r="LD43" i="21"/>
  <c r="LD40" i="21"/>
  <c r="LD38" i="21"/>
  <c r="LD36" i="21"/>
  <c r="LD34" i="21"/>
  <c r="LV43" i="21"/>
  <c r="LW43" i="21"/>
  <c r="LX43" i="21"/>
  <c r="LY43" i="21"/>
  <c r="LZ43" i="21"/>
  <c r="LU43" i="21"/>
  <c r="LR43" i="21"/>
  <c r="LS43" i="21"/>
  <c r="OW29" i="4"/>
  <c r="OO29" i="4"/>
  <c r="OG29" i="4"/>
  <c r="NY29" i="4"/>
  <c r="NQ29" i="4"/>
  <c r="NI29" i="4"/>
  <c r="NA29" i="4"/>
  <c r="MS29" i="4"/>
  <c r="MK29" i="4"/>
  <c r="MC29" i="4"/>
  <c r="M466" i="32"/>
  <c r="O466" i="32" s="1"/>
  <c r="M470" i="32"/>
  <c r="N470" i="32"/>
  <c r="M471" i="32"/>
  <c r="O471" i="32" s="1"/>
  <c r="M472" i="32"/>
  <c r="N472" i="32" s="1"/>
  <c r="M473" i="32"/>
  <c r="M488" i="32" s="1"/>
  <c r="M474" i="32"/>
  <c r="M489" i="32"/>
  <c r="M476" i="32"/>
  <c r="M491" i="32" s="1"/>
  <c r="M465" i="32"/>
  <c r="N465" i="32" s="1"/>
  <c r="O476" i="32"/>
  <c r="N476" i="32"/>
  <c r="L476" i="32"/>
  <c r="U476" i="32" s="1"/>
  <c r="N469" i="32"/>
  <c r="L469" i="32"/>
  <c r="U469" i="32" s="1"/>
  <c r="L468" i="32"/>
  <c r="U468" i="32" s="1"/>
  <c r="O468" i="32"/>
  <c r="L467" i="32"/>
  <c r="M467" i="32" s="1"/>
  <c r="N466" i="32"/>
  <c r="L466" i="32"/>
  <c r="U466" i="32" s="1"/>
  <c r="L465" i="32"/>
  <c r="L478" i="32"/>
  <c r="L477" i="32"/>
  <c r="M477" i="32" s="1"/>
  <c r="L488" i="32"/>
  <c r="O478" i="32"/>
  <c r="N478" i="32"/>
  <c r="E491" i="32"/>
  <c r="F491" i="32"/>
  <c r="G491" i="32"/>
  <c r="H491" i="32"/>
  <c r="I491" i="32"/>
  <c r="J491" i="32"/>
  <c r="K491" i="32"/>
  <c r="M481" i="32"/>
  <c r="M484" i="32"/>
  <c r="F480" i="32"/>
  <c r="G480" i="32"/>
  <c r="H480" i="32"/>
  <c r="I480" i="32"/>
  <c r="J480" i="32"/>
  <c r="K480" i="32"/>
  <c r="F481" i="32"/>
  <c r="G481" i="32"/>
  <c r="H481" i="32"/>
  <c r="I481" i="32"/>
  <c r="J481" i="32"/>
  <c r="K481" i="32"/>
  <c r="F482" i="32"/>
  <c r="G482" i="32"/>
  <c r="H482" i="32"/>
  <c r="I482" i="32"/>
  <c r="J482" i="32"/>
  <c r="K482" i="32"/>
  <c r="F483" i="32"/>
  <c r="G483" i="32"/>
  <c r="H483" i="32"/>
  <c r="I483" i="32"/>
  <c r="J483" i="32"/>
  <c r="K483" i="32"/>
  <c r="F484" i="32"/>
  <c r="G484" i="32"/>
  <c r="H484" i="32"/>
  <c r="I484" i="32"/>
  <c r="J484" i="32"/>
  <c r="K484" i="32"/>
  <c r="F485" i="32"/>
  <c r="G485" i="32"/>
  <c r="H485" i="32"/>
  <c r="I485" i="32"/>
  <c r="J485" i="32"/>
  <c r="K485" i="32"/>
  <c r="F486" i="32"/>
  <c r="G486" i="32"/>
  <c r="H486" i="32"/>
  <c r="I486" i="32"/>
  <c r="J486" i="32"/>
  <c r="K486" i="32"/>
  <c r="F487" i="32"/>
  <c r="G487" i="32"/>
  <c r="H487" i="32"/>
  <c r="I487" i="32"/>
  <c r="J487" i="32"/>
  <c r="K487" i="32"/>
  <c r="F488" i="32"/>
  <c r="G488" i="32"/>
  <c r="H488" i="32"/>
  <c r="I488" i="32"/>
  <c r="J488" i="32"/>
  <c r="K488" i="32"/>
  <c r="F489" i="32"/>
  <c r="G489" i="32"/>
  <c r="H489" i="32"/>
  <c r="I489" i="32"/>
  <c r="J489" i="32"/>
  <c r="K489" i="32"/>
  <c r="F490" i="32"/>
  <c r="G490" i="32"/>
  <c r="H490" i="32"/>
  <c r="I490" i="32"/>
  <c r="J490" i="32"/>
  <c r="K490" i="32"/>
  <c r="E481" i="32"/>
  <c r="E482" i="32"/>
  <c r="E483" i="32"/>
  <c r="E484" i="32"/>
  <c r="E485" i="32"/>
  <c r="E486" i="32"/>
  <c r="E487" i="32"/>
  <c r="E488" i="32"/>
  <c r="E489" i="32"/>
  <c r="E490" i="32"/>
  <c r="E480" i="32"/>
  <c r="N474" i="32"/>
  <c r="O474" i="32"/>
  <c r="N471" i="32"/>
  <c r="O470" i="32"/>
  <c r="M475" i="32"/>
  <c r="N475" i="32" s="1"/>
  <c r="M486" i="32"/>
  <c r="M485" i="32"/>
  <c r="N468" i="32"/>
  <c r="M483" i="32"/>
  <c r="O475" i="32"/>
  <c r="LQ27" i="4"/>
  <c r="LQ26" i="4"/>
  <c r="LP27" i="4"/>
  <c r="LP26" i="4"/>
  <c r="LF9" i="21"/>
  <c r="L449" i="32"/>
  <c r="N449" i="32"/>
  <c r="O449" i="32"/>
  <c r="L450" i="32"/>
  <c r="N450" i="32"/>
  <c r="O450" i="32"/>
  <c r="L451" i="32"/>
  <c r="L480" i="32" s="1"/>
  <c r="N451" i="32"/>
  <c r="O451" i="32"/>
  <c r="L452" i="32"/>
  <c r="N452" i="32"/>
  <c r="O452" i="32"/>
  <c r="L453" i="32"/>
  <c r="L482" i="32" s="1"/>
  <c r="N453" i="32"/>
  <c r="O453" i="32"/>
  <c r="L454" i="32"/>
  <c r="O454" i="32" s="1"/>
  <c r="N454" i="32"/>
  <c r="L455" i="32"/>
  <c r="N455" i="32"/>
  <c r="L456" i="32"/>
  <c r="L485" i="32" s="1"/>
  <c r="N456" i="32"/>
  <c r="O456" i="32"/>
  <c r="L457" i="32"/>
  <c r="L486" i="32" s="1"/>
  <c r="N457" i="32"/>
  <c r="O457" i="32"/>
  <c r="L458" i="32"/>
  <c r="L487" i="32" s="1"/>
  <c r="N458" i="32"/>
  <c r="O458" i="32"/>
  <c r="L459" i="32"/>
  <c r="N459" i="32"/>
  <c r="O459" i="32"/>
  <c r="L460" i="32"/>
  <c r="L489" i="32" s="1"/>
  <c r="N460" i="32"/>
  <c r="O460" i="32"/>
  <c r="L461" i="32"/>
  <c r="L490" i="32" s="1"/>
  <c r="N461" i="32"/>
  <c r="O461" i="32"/>
  <c r="L462" i="32"/>
  <c r="L491" i="32" s="1"/>
  <c r="N462" i="32"/>
  <c r="O462" i="32"/>
  <c r="L483" i="32"/>
  <c r="O455" i="32"/>
  <c r="LM29" i="4"/>
  <c r="LU29" i="4"/>
  <c r="LE29" i="4"/>
  <c r="KW29" i="4"/>
  <c r="JE9" i="21"/>
  <c r="JF9" i="21"/>
  <c r="JE15" i="21"/>
  <c r="JF15" i="21"/>
  <c r="JF23" i="21" s="1"/>
  <c r="JE21" i="21"/>
  <c r="JF21" i="21"/>
  <c r="N406" i="32"/>
  <c r="N407" i="32"/>
  <c r="N408" i="32"/>
  <c r="N411" i="32"/>
  <c r="O417" i="32"/>
  <c r="O416" i="32"/>
  <c r="O415" i="32"/>
  <c r="O414" i="32"/>
  <c r="O413" i="32"/>
  <c r="O412" i="32"/>
  <c r="O411" i="32"/>
  <c r="O410" i="32"/>
  <c r="O409" i="32"/>
  <c r="O408" i="32"/>
  <c r="O407" i="32"/>
  <c r="O406" i="32"/>
  <c r="N409" i="32"/>
  <c r="N410" i="32"/>
  <c r="N412" i="32"/>
  <c r="N413" i="32"/>
  <c r="N414" i="32"/>
  <c r="N415" i="32"/>
  <c r="N416" i="32"/>
  <c r="N417" i="32"/>
  <c r="O405" i="32"/>
  <c r="N405" i="32"/>
  <c r="L406" i="32"/>
  <c r="L407" i="32"/>
  <c r="L408" i="32"/>
  <c r="L409" i="32"/>
  <c r="L410" i="32"/>
  <c r="L411" i="32"/>
  <c r="L412" i="32"/>
  <c r="L413" i="32"/>
  <c r="L414" i="32"/>
  <c r="L415" i="32"/>
  <c r="L416" i="32"/>
  <c r="L417" i="32"/>
  <c r="L405" i="32"/>
  <c r="KO29" i="4"/>
  <c r="KG29" i="4"/>
  <c r="JY29" i="4"/>
  <c r="JQ29" i="4"/>
  <c r="JI29" i="4"/>
  <c r="IO21" i="21"/>
  <c r="IP21" i="21"/>
  <c r="IO15" i="21"/>
  <c r="IP15" i="21"/>
  <c r="IO9" i="21"/>
  <c r="IP9" i="21"/>
  <c r="IN21" i="21"/>
  <c r="IN15" i="21"/>
  <c r="IN9" i="21"/>
  <c r="IC9" i="21"/>
  <c r="IJ34" i="21"/>
  <c r="IR34" i="21"/>
  <c r="IZ34" i="21"/>
  <c r="JH34" i="21"/>
  <c r="JP34" i="21"/>
  <c r="JX34" i="21"/>
  <c r="KF34" i="21"/>
  <c r="KN34" i="21"/>
  <c r="KV34" i="21"/>
  <c r="IB34" i="21"/>
  <c r="IB36" i="21"/>
  <c r="IJ36" i="21"/>
  <c r="IR36" i="21"/>
  <c r="IZ36" i="21"/>
  <c r="JH36" i="21"/>
  <c r="JP36" i="21"/>
  <c r="JX36" i="21"/>
  <c r="KF36" i="21"/>
  <c r="KN36" i="21"/>
  <c r="KV36" i="21"/>
  <c r="IB38" i="21"/>
  <c r="IJ38" i="21"/>
  <c r="IR38" i="21"/>
  <c r="IZ38" i="21"/>
  <c r="JH38" i="21"/>
  <c r="JP38" i="21"/>
  <c r="JX38" i="21"/>
  <c r="KF38" i="21"/>
  <c r="KN38" i="21"/>
  <c r="KV38" i="21"/>
  <c r="IB40" i="21"/>
  <c r="IJ40" i="21"/>
  <c r="IR40" i="21"/>
  <c r="IZ40" i="21"/>
  <c r="JH40" i="21"/>
  <c r="JP40" i="21"/>
  <c r="JX40" i="21"/>
  <c r="KF40" i="21"/>
  <c r="KN40" i="21"/>
  <c r="KV40" i="21"/>
  <c r="IB42" i="21"/>
  <c r="IJ42" i="21"/>
  <c r="IR42" i="21"/>
  <c r="IZ42" i="21"/>
  <c r="JH42" i="21"/>
  <c r="JP42" i="21"/>
  <c r="JX42" i="21"/>
  <c r="KF42" i="21"/>
  <c r="KN42" i="21"/>
  <c r="KV42" i="21"/>
  <c r="IA43" i="21"/>
  <c r="IC43" i="21"/>
  <c r="ID43" i="21"/>
  <c r="IE43" i="21"/>
  <c r="IF43" i="21"/>
  <c r="IG43" i="21"/>
  <c r="IH43" i="21"/>
  <c r="II43" i="21"/>
  <c r="IK43" i="21"/>
  <c r="IL43" i="21"/>
  <c r="IM43" i="21"/>
  <c r="IN43" i="21"/>
  <c r="IO43" i="21"/>
  <c r="IP43" i="21"/>
  <c r="IQ43" i="21"/>
  <c r="IS43" i="21"/>
  <c r="IT43" i="21"/>
  <c r="IU43" i="21"/>
  <c r="IV43" i="21"/>
  <c r="IW43" i="21"/>
  <c r="IX43" i="21"/>
  <c r="IY43" i="21"/>
  <c r="IZ43" i="21"/>
  <c r="JA43" i="21"/>
  <c r="JB43" i="21"/>
  <c r="JC43" i="21"/>
  <c r="JD43" i="21"/>
  <c r="JE43" i="21"/>
  <c r="JF43" i="21"/>
  <c r="JG43" i="21"/>
  <c r="JH43" i="21"/>
  <c r="JI43" i="21"/>
  <c r="JJ43" i="21"/>
  <c r="JK43" i="21"/>
  <c r="JL43" i="21"/>
  <c r="JM43" i="21"/>
  <c r="JN43" i="21"/>
  <c r="JO43" i="21"/>
  <c r="JP43" i="21"/>
  <c r="JQ43" i="21"/>
  <c r="JR43" i="21"/>
  <c r="JS43" i="21"/>
  <c r="JT43" i="21"/>
  <c r="JU43" i="21"/>
  <c r="JV43" i="21"/>
  <c r="JW43" i="21"/>
  <c r="JX43" i="21"/>
  <c r="JY43" i="21"/>
  <c r="JZ43" i="21"/>
  <c r="KA43" i="21"/>
  <c r="KB43" i="21"/>
  <c r="KC43" i="21"/>
  <c r="KD43" i="21"/>
  <c r="KE43" i="21"/>
  <c r="KF43" i="21"/>
  <c r="KG43" i="21"/>
  <c r="KH43" i="21"/>
  <c r="KI43" i="21"/>
  <c r="KJ43" i="21"/>
  <c r="KK43" i="21"/>
  <c r="KL43" i="21"/>
  <c r="KM43" i="21"/>
  <c r="KN43" i="21"/>
  <c r="KO43" i="21"/>
  <c r="KP43" i="21"/>
  <c r="KQ43" i="21"/>
  <c r="KR43" i="21"/>
  <c r="KS43" i="21"/>
  <c r="KT43" i="21"/>
  <c r="KU43" i="21"/>
  <c r="KV43" i="21"/>
  <c r="KW43" i="21"/>
  <c r="KX43" i="21"/>
  <c r="KY43" i="21"/>
  <c r="KZ43" i="21"/>
  <c r="LA43" i="21"/>
  <c r="LB43" i="21"/>
  <c r="LC43" i="21"/>
  <c r="LE43" i="21"/>
  <c r="LF43" i="21"/>
  <c r="LG43" i="21"/>
  <c r="LH43" i="21"/>
  <c r="LI43" i="21"/>
  <c r="LJ43" i="21"/>
  <c r="LK43" i="21"/>
  <c r="LM43" i="21"/>
  <c r="LN43" i="21"/>
  <c r="LO43" i="21"/>
  <c r="LP43" i="21"/>
  <c r="LQ43" i="21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42" i="32"/>
  <c r="O326" i="32"/>
  <c r="O331" i="32"/>
  <c r="O332" i="32"/>
  <c r="N330" i="32"/>
  <c r="N331" i="32"/>
  <c r="N321" i="32"/>
  <c r="O364" i="32"/>
  <c r="O365" i="32"/>
  <c r="O366" i="32"/>
  <c r="O367" i="32"/>
  <c r="O368" i="32"/>
  <c r="O369" i="32"/>
  <c r="O370" i="32"/>
  <c r="O371" i="32"/>
  <c r="O372" i="32"/>
  <c r="O373" i="32"/>
  <c r="O374" i="32"/>
  <c r="O375" i="32"/>
  <c r="O363" i="32"/>
  <c r="N364" i="32"/>
  <c r="N365" i="32"/>
  <c r="N366" i="32"/>
  <c r="N367" i="32"/>
  <c r="N368" i="32"/>
  <c r="N369" i="32"/>
  <c r="N370" i="32"/>
  <c r="N371" i="32"/>
  <c r="N372" i="32"/>
  <c r="N373" i="32"/>
  <c r="N374" i="32"/>
  <c r="N375" i="32"/>
  <c r="N363" i="32"/>
  <c r="O383" i="32"/>
  <c r="O384" i="32"/>
  <c r="O385" i="32"/>
  <c r="O386" i="32"/>
  <c r="O387" i="32"/>
  <c r="O388" i="32"/>
  <c r="O389" i="32"/>
  <c r="O390" i="32"/>
  <c r="O391" i="32"/>
  <c r="O392" i="32"/>
  <c r="O393" i="32"/>
  <c r="O394" i="32"/>
  <c r="O382" i="32"/>
  <c r="L327" i="32"/>
  <c r="L332" i="32"/>
  <c r="L333" i="32"/>
  <c r="L321" i="32"/>
  <c r="M322" i="32"/>
  <c r="N322" i="32" s="1"/>
  <c r="M323" i="32"/>
  <c r="L323" i="32" s="1"/>
  <c r="M324" i="32"/>
  <c r="L324" i="32" s="1"/>
  <c r="N324" i="32"/>
  <c r="M325" i="32"/>
  <c r="L325" i="32"/>
  <c r="M326" i="32"/>
  <c r="L326" i="32" s="1"/>
  <c r="M327" i="32"/>
  <c r="O327" i="32"/>
  <c r="M328" i="32"/>
  <c r="O328" i="32"/>
  <c r="M329" i="32"/>
  <c r="N329" i="32" s="1"/>
  <c r="M330" i="32"/>
  <c r="O330" i="32" s="1"/>
  <c r="M331" i="32"/>
  <c r="L331" i="32" s="1"/>
  <c r="M332" i="32"/>
  <c r="N332" i="32" s="1"/>
  <c r="M333" i="32"/>
  <c r="N333" i="32"/>
  <c r="M321" i="32"/>
  <c r="O321" i="32" s="1"/>
  <c r="L369" i="32"/>
  <c r="L365" i="32"/>
  <c r="HM25" i="4"/>
  <c r="GW9" i="21"/>
  <c r="IR43" i="21"/>
  <c r="IJ35" i="21"/>
  <c r="IJ43" i="21"/>
  <c r="IB35" i="21"/>
  <c r="IB43" i="21" s="1"/>
  <c r="HT35" i="21"/>
  <c r="HT37" i="21"/>
  <c r="HT39" i="21"/>
  <c r="HT41" i="21"/>
  <c r="HL35" i="21"/>
  <c r="HL37" i="21"/>
  <c r="HL39" i="21"/>
  <c r="HL41" i="21"/>
  <c r="HD35" i="21"/>
  <c r="HD37" i="21"/>
  <c r="HD39" i="21"/>
  <c r="HD41" i="21"/>
  <c r="GN35" i="21"/>
  <c r="GN37" i="21"/>
  <c r="GN39" i="21"/>
  <c r="GN41" i="21"/>
  <c r="GV41" i="21"/>
  <c r="GV39" i="21"/>
  <c r="GV37" i="21"/>
  <c r="GV35" i="21"/>
  <c r="GR30" i="21"/>
  <c r="HU43" i="21"/>
  <c r="HV43" i="21"/>
  <c r="HW43" i="21"/>
  <c r="HX43" i="21"/>
  <c r="HY43" i="21"/>
  <c r="HZ43" i="21"/>
  <c r="HM43" i="21"/>
  <c r="HN43" i="21"/>
  <c r="HO43" i="21"/>
  <c r="HP43" i="21"/>
  <c r="HQ43" i="21"/>
  <c r="HR43" i="21"/>
  <c r="HE43" i="21"/>
  <c r="HD43" i="21" s="1"/>
  <c r="HF43" i="21"/>
  <c r="HG43" i="21"/>
  <c r="HH43" i="21"/>
  <c r="HI43" i="21"/>
  <c r="HJ43" i="21"/>
  <c r="GW43" i="21"/>
  <c r="GV43" i="21" s="1"/>
  <c r="GX43" i="21"/>
  <c r="GY43" i="21"/>
  <c r="GZ43" i="21"/>
  <c r="HA43" i="21"/>
  <c r="HB43" i="21"/>
  <c r="HL43" i="21"/>
  <c r="GO43" i="21"/>
  <c r="GP43" i="21"/>
  <c r="GQ43" i="21"/>
  <c r="GR43" i="21"/>
  <c r="GS43" i="21"/>
  <c r="GT43" i="21"/>
  <c r="GG43" i="21"/>
  <c r="GH43" i="21"/>
  <c r="GI43" i="21"/>
  <c r="GJ43" i="21"/>
  <c r="GK43" i="21"/>
  <c r="GL43" i="21"/>
  <c r="JA29" i="4"/>
  <c r="IS29" i="4"/>
  <c r="IK29" i="4"/>
  <c r="IC29" i="4"/>
  <c r="HU29" i="4"/>
  <c r="HM29" i="4"/>
  <c r="HE29" i="4"/>
  <c r="GW29" i="4"/>
  <c r="FZ43" i="21"/>
  <c r="GA43" i="21"/>
  <c r="GB43" i="21"/>
  <c r="GC43" i="21"/>
  <c r="GD43" i="21"/>
  <c r="GB25" i="4"/>
  <c r="FY25" i="4" s="1"/>
  <c r="FY26" i="4"/>
  <c r="GG25" i="4"/>
  <c r="GW26" i="4"/>
  <c r="GG26" i="4"/>
  <c r="GG29" i="4"/>
  <c r="FR43" i="21"/>
  <c r="FS43" i="21"/>
  <c r="FT43" i="21"/>
  <c r="FU43" i="21"/>
  <c r="FV43" i="21"/>
  <c r="FQ43" i="21"/>
  <c r="EZ34" i="21"/>
  <c r="FI43" i="21"/>
  <c r="FJ43" i="21"/>
  <c r="FK43" i="21"/>
  <c r="FL43" i="21"/>
  <c r="FM43" i="21"/>
  <c r="FN43" i="21"/>
  <c r="EY14" i="21"/>
  <c r="FA43" i="21"/>
  <c r="FB43" i="21"/>
  <c r="FC43" i="21"/>
  <c r="FD43" i="21"/>
  <c r="FE43" i="21"/>
  <c r="FF43" i="21"/>
  <c r="F3" i="32"/>
  <c r="H3" i="32"/>
  <c r="ET43" i="21"/>
  <c r="EU43" i="21"/>
  <c r="EV43" i="21"/>
  <c r="EW43" i="21"/>
  <c r="EX43" i="21"/>
  <c r="ES43" i="21"/>
  <c r="EK43" i="21"/>
  <c r="EL43" i="21"/>
  <c r="EM43" i="21"/>
  <c r="EN43" i="21"/>
  <c r="EO43" i="21"/>
  <c r="EP43" i="21"/>
  <c r="EI25" i="4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P254" i="32"/>
  <c r="P255" i="32"/>
  <c r="P256" i="32"/>
  <c r="P257" i="32"/>
  <c r="P258" i="32"/>
  <c r="P259" i="32"/>
  <c r="P260" i="32"/>
  <c r="P261" i="32"/>
  <c r="P262" i="32"/>
  <c r="P263" i="32"/>
  <c r="P264" i="32"/>
  <c r="P265" i="32"/>
  <c r="P266" i="32"/>
  <c r="P267" i="32"/>
  <c r="P268" i="32"/>
  <c r="P269" i="32"/>
  <c r="P270" i="32"/>
  <c r="P271" i="32"/>
  <c r="P272" i="32"/>
  <c r="Q253" i="32"/>
  <c r="P253" i="32"/>
  <c r="O256" i="32"/>
  <c r="O264" i="32"/>
  <c r="N262" i="32"/>
  <c r="N263" i="32"/>
  <c r="N267" i="32"/>
  <c r="L254" i="32"/>
  <c r="O254" i="32" s="1"/>
  <c r="L255" i="32"/>
  <c r="N255" i="32" s="1"/>
  <c r="L256" i="32"/>
  <c r="N256" i="32"/>
  <c r="L257" i="32"/>
  <c r="O258" i="32" s="1"/>
  <c r="L258" i="32"/>
  <c r="N258" i="32" s="1"/>
  <c r="L259" i="32"/>
  <c r="O259" i="32"/>
  <c r="L260" i="32"/>
  <c r="O260" i="32" s="1"/>
  <c r="N260" i="32"/>
  <c r="L261" i="32"/>
  <c r="N261" i="32" s="1"/>
  <c r="L262" i="32"/>
  <c r="O262" i="32" s="1"/>
  <c r="L263" i="32"/>
  <c r="L264" i="32"/>
  <c r="N264" i="32" s="1"/>
  <c r="L265" i="32"/>
  <c r="O265" i="32" s="1"/>
  <c r="L266" i="32"/>
  <c r="N266" i="32" s="1"/>
  <c r="L267" i="32"/>
  <c r="L268" i="32"/>
  <c r="N268" i="32" s="1"/>
  <c r="L269" i="32"/>
  <c r="N269" i="32"/>
  <c r="L270" i="32"/>
  <c r="N270" i="32" s="1"/>
  <c r="L271" i="32"/>
  <c r="N271" i="32" s="1"/>
  <c r="L272" i="32"/>
  <c r="N272" i="32" s="1"/>
  <c r="L253" i="32"/>
  <c r="N253" i="32"/>
  <c r="K90" i="32"/>
  <c r="U90" i="32" s="1"/>
  <c r="O263" i="32"/>
  <c r="EC21" i="21"/>
  <c r="ED21" i="21"/>
  <c r="EE21" i="21"/>
  <c r="EF21" i="21"/>
  <c r="EG21" i="21"/>
  <c r="EH21" i="21"/>
  <c r="EA9" i="21"/>
  <c r="EC9" i="21"/>
  <c r="ED9" i="21"/>
  <c r="EE9" i="21"/>
  <c r="EF9" i="21"/>
  <c r="EG9" i="21"/>
  <c r="EH9" i="21"/>
  <c r="EA15" i="21"/>
  <c r="EC15" i="21"/>
  <c r="ED15" i="21"/>
  <c r="EE15" i="21"/>
  <c r="EF15" i="21"/>
  <c r="EG15" i="21"/>
  <c r="EH15" i="21"/>
  <c r="EI15" i="21"/>
  <c r="EC43" i="21"/>
  <c r="ED43" i="21"/>
  <c r="EE43" i="21"/>
  <c r="EF43" i="21"/>
  <c r="EG43" i="21"/>
  <c r="EH43" i="21"/>
  <c r="DO41" i="21"/>
  <c r="DO43" i="21" s="1"/>
  <c r="DM25" i="4"/>
  <c r="DM26" i="4"/>
  <c r="DM27" i="4"/>
  <c r="DM28" i="4"/>
  <c r="DM29" i="4"/>
  <c r="DM32" i="4"/>
  <c r="DE25" i="4"/>
  <c r="DE26" i="4"/>
  <c r="DE27" i="4"/>
  <c r="DE28" i="4"/>
  <c r="DE29" i="4"/>
  <c r="DE32" i="4"/>
  <c r="DU43" i="21"/>
  <c r="DV43" i="21"/>
  <c r="DW43" i="21"/>
  <c r="DX43" i="21"/>
  <c r="DY43" i="21"/>
  <c r="DZ43" i="21"/>
  <c r="DM43" i="21"/>
  <c r="DN43" i="21"/>
  <c r="DP43" i="21"/>
  <c r="DQ43" i="21"/>
  <c r="DR43" i="21"/>
  <c r="DE43" i="21"/>
  <c r="DF43" i="21"/>
  <c r="DG43" i="21"/>
  <c r="DH43" i="21"/>
  <c r="DI43" i="21"/>
  <c r="DJ43" i="21"/>
  <c r="H130" i="32"/>
  <c r="I130" i="32"/>
  <c r="H131" i="32"/>
  <c r="I131" i="32"/>
  <c r="H132" i="32"/>
  <c r="I132" i="32"/>
  <c r="H133" i="32"/>
  <c r="I133" i="32"/>
  <c r="H134" i="32"/>
  <c r="I134" i="32"/>
  <c r="H135" i="32"/>
  <c r="I135" i="32"/>
  <c r="H136" i="32"/>
  <c r="I136" i="32"/>
  <c r="H137" i="32"/>
  <c r="I137" i="32"/>
  <c r="H138" i="32"/>
  <c r="I138" i="32"/>
  <c r="H139" i="32"/>
  <c r="I139" i="32"/>
  <c r="H140" i="32"/>
  <c r="I140" i="32"/>
  <c r="H141" i="32"/>
  <c r="I141" i="32"/>
  <c r="H142" i="32"/>
  <c r="I142" i="32"/>
  <c r="H143" i="32"/>
  <c r="I143" i="32"/>
  <c r="H144" i="32"/>
  <c r="I144" i="32"/>
  <c r="H145" i="32"/>
  <c r="I145" i="32"/>
  <c r="H146" i="32"/>
  <c r="I146" i="32"/>
  <c r="H147" i="32"/>
  <c r="I147" i="32"/>
  <c r="H148" i="32"/>
  <c r="I148" i="32"/>
  <c r="H149" i="32"/>
  <c r="I149" i="32"/>
  <c r="H150" i="32"/>
  <c r="I150" i="32"/>
  <c r="H151" i="32"/>
  <c r="I151" i="32"/>
  <c r="H152" i="32"/>
  <c r="I152" i="32"/>
  <c r="H153" i="32"/>
  <c r="I153" i="32"/>
  <c r="H154" i="32"/>
  <c r="I154" i="32"/>
  <c r="H155" i="32"/>
  <c r="I155" i="32"/>
  <c r="H156" i="32"/>
  <c r="I156" i="32"/>
  <c r="H157" i="32"/>
  <c r="I157" i="32"/>
  <c r="H158" i="32"/>
  <c r="I158" i="32"/>
  <c r="H159" i="32"/>
  <c r="I159" i="32"/>
  <c r="H160" i="32"/>
  <c r="I160" i="32"/>
  <c r="H161" i="32"/>
  <c r="I161" i="32"/>
  <c r="H162" i="32"/>
  <c r="I162" i="32"/>
  <c r="H163" i="32"/>
  <c r="I163" i="32"/>
  <c r="H164" i="32"/>
  <c r="I164" i="32"/>
  <c r="H165" i="32"/>
  <c r="I165" i="32"/>
  <c r="H166" i="32"/>
  <c r="I166" i="32"/>
  <c r="H167" i="32"/>
  <c r="I167" i="32"/>
  <c r="H168" i="32"/>
  <c r="I168" i="32"/>
  <c r="H169" i="32"/>
  <c r="I169" i="32"/>
  <c r="H170" i="32"/>
  <c r="I170" i="32"/>
  <c r="H171" i="32"/>
  <c r="I171" i="32"/>
  <c r="H172" i="32"/>
  <c r="I172" i="32"/>
  <c r="H173" i="32"/>
  <c r="I173" i="32"/>
  <c r="H174" i="32"/>
  <c r="I174" i="32"/>
  <c r="H175" i="32"/>
  <c r="I175" i="32"/>
  <c r="H176" i="32"/>
  <c r="I176" i="32"/>
  <c r="H177" i="32"/>
  <c r="I177" i="32"/>
  <c r="H178" i="32"/>
  <c r="I178" i="32"/>
  <c r="H179" i="32"/>
  <c r="I179" i="32"/>
  <c r="H180" i="32"/>
  <c r="I180" i="32"/>
  <c r="H181" i="32"/>
  <c r="I181" i="32"/>
  <c r="K87" i="32"/>
  <c r="U87" i="32" s="1"/>
  <c r="V87" i="32"/>
  <c r="O87" i="32"/>
  <c r="P87" i="32"/>
  <c r="K88" i="32"/>
  <c r="S88" i="32"/>
  <c r="O88" i="32"/>
  <c r="P88" i="32"/>
  <c r="W88" i="32"/>
  <c r="K89" i="32"/>
  <c r="M89" i="32" s="1"/>
  <c r="O89" i="32"/>
  <c r="P89" i="32"/>
  <c r="O90" i="32"/>
  <c r="P90" i="32"/>
  <c r="K91" i="32"/>
  <c r="U91" i="32" s="1"/>
  <c r="O91" i="32"/>
  <c r="P91" i="32"/>
  <c r="K92" i="32"/>
  <c r="T92" i="32"/>
  <c r="O92" i="32"/>
  <c r="P92" i="32"/>
  <c r="U92" i="32"/>
  <c r="V92" i="32"/>
  <c r="W92" i="32"/>
  <c r="K93" i="32"/>
  <c r="M93" i="32" s="1"/>
  <c r="O93" i="32"/>
  <c r="P93" i="32"/>
  <c r="K94" i="32"/>
  <c r="W94" i="32" s="1"/>
  <c r="T94" i="32"/>
  <c r="O94" i="32"/>
  <c r="P94" i="32"/>
  <c r="K95" i="32"/>
  <c r="M95" i="32"/>
  <c r="O95" i="32"/>
  <c r="P95" i="32"/>
  <c r="K96" i="32"/>
  <c r="W96" i="32" s="1"/>
  <c r="O96" i="32"/>
  <c r="P96" i="32"/>
  <c r="K97" i="32"/>
  <c r="M97" i="32"/>
  <c r="O97" i="32"/>
  <c r="P97" i="32"/>
  <c r="K98" i="32"/>
  <c r="S98" i="32" s="1"/>
  <c r="O98" i="32"/>
  <c r="P98" i="32"/>
  <c r="U98" i="32"/>
  <c r="V98" i="32"/>
  <c r="W98" i="32"/>
  <c r="X98" i="32"/>
  <c r="Y98" i="32"/>
  <c r="J99" i="32"/>
  <c r="M99" i="32"/>
  <c r="N99" i="32"/>
  <c r="O99" i="32"/>
  <c r="S100" i="32"/>
  <c r="S101" i="32"/>
  <c r="S102" i="32"/>
  <c r="I3" i="32"/>
  <c r="F4" i="32"/>
  <c r="H4" i="32"/>
  <c r="I4" i="32"/>
  <c r="F5" i="32"/>
  <c r="H5" i="32"/>
  <c r="I5" i="32"/>
  <c r="F6" i="32"/>
  <c r="H6" i="32"/>
  <c r="I6" i="32"/>
  <c r="F7" i="32"/>
  <c r="H7" i="32"/>
  <c r="I7" i="32"/>
  <c r="F8" i="32"/>
  <c r="H8" i="32"/>
  <c r="I8" i="32"/>
  <c r="F9" i="32"/>
  <c r="H9" i="32"/>
  <c r="I9" i="32"/>
  <c r="F10" i="32"/>
  <c r="H10" i="32"/>
  <c r="I10" i="32"/>
  <c r="F11" i="32"/>
  <c r="H11" i="32"/>
  <c r="I11" i="32"/>
  <c r="F12" i="32"/>
  <c r="H12" i="32"/>
  <c r="I12" i="32"/>
  <c r="F13" i="32"/>
  <c r="H13" i="32"/>
  <c r="I13" i="32"/>
  <c r="F14" i="32"/>
  <c r="H14" i="32"/>
  <c r="I14" i="32"/>
  <c r="F15" i="32"/>
  <c r="H15" i="32"/>
  <c r="I15" i="32"/>
  <c r="F16" i="32"/>
  <c r="H16" i="32"/>
  <c r="I16" i="32"/>
  <c r="F17" i="32"/>
  <c r="H17" i="32"/>
  <c r="I17" i="32"/>
  <c r="V97" i="32"/>
  <c r="V91" i="32"/>
  <c r="V99" i="32"/>
  <c r="U97" i="32"/>
  <c r="U95" i="32"/>
  <c r="U93" i="32"/>
  <c r="U99" i="32"/>
  <c r="N98" i="32"/>
  <c r="T97" i="32"/>
  <c r="T95" i="32"/>
  <c r="N94" i="32"/>
  <c r="T93" i="32"/>
  <c r="N88" i="32"/>
  <c r="T87" i="32"/>
  <c r="S97" i="32"/>
  <c r="V93" i="32"/>
  <c r="T99" i="32"/>
  <c r="S95" i="32"/>
  <c r="S93" i="32"/>
  <c r="S89" i="32"/>
  <c r="S87" i="32"/>
  <c r="S99" i="32"/>
  <c r="Y97" i="32"/>
  <c r="Y95" i="32"/>
  <c r="Y93" i="32"/>
  <c r="Y89" i="32"/>
  <c r="Y87" i="32"/>
  <c r="Y99" i="32"/>
  <c r="X97" i="32"/>
  <c r="X95" i="32"/>
  <c r="X93" i="32"/>
  <c r="N93" i="32"/>
  <c r="X87" i="32"/>
  <c r="W99" i="32"/>
  <c r="V95" i="32"/>
  <c r="X99" i="32"/>
  <c r="W97" i="32"/>
  <c r="W95" i="32"/>
  <c r="W93" i="32"/>
  <c r="W89" i="32"/>
  <c r="CW21" i="21"/>
  <c r="CX21" i="21"/>
  <c r="CY21" i="21"/>
  <c r="CZ21" i="21"/>
  <c r="DA21" i="21"/>
  <c r="DB21" i="21"/>
  <c r="DB15" i="21"/>
  <c r="DB31" i="21" s="1"/>
  <c r="CW15" i="21"/>
  <c r="CX15" i="21"/>
  <c r="CY15" i="21"/>
  <c r="CZ15" i="21"/>
  <c r="DA15" i="21"/>
  <c r="DC15" i="21"/>
  <c r="CW9" i="21"/>
  <c r="CX9" i="21"/>
  <c r="CY9" i="21"/>
  <c r="CZ9" i="21"/>
  <c r="CZ31" i="21" s="1"/>
  <c r="DA9" i="21"/>
  <c r="DB9" i="21"/>
  <c r="DC9" i="21"/>
  <c r="AN5" i="15"/>
  <c r="AM5" i="15"/>
  <c r="AG5" i="15"/>
  <c r="AF5" i="15"/>
  <c r="AD5" i="15"/>
  <c r="L1" i="21"/>
  <c r="T1" i="21" s="1"/>
  <c r="AB1" i="21" s="1"/>
  <c r="AJ1" i="21" s="1"/>
  <c r="AR1" i="21" s="1"/>
  <c r="AZ1" i="21" s="1"/>
  <c r="BH1" i="21" s="1"/>
  <c r="BP1" i="21"/>
  <c r="BX1" i="21" s="1"/>
  <c r="B5" i="15"/>
  <c r="B3" i="15"/>
  <c r="B4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CU30" i="21"/>
  <c r="DB43" i="21"/>
  <c r="DA43" i="21"/>
  <c r="CZ43" i="21"/>
  <c r="CY43" i="21"/>
  <c r="CX43" i="21"/>
  <c r="CW43" i="21"/>
  <c r="CT43" i="21"/>
  <c r="CS43" i="21"/>
  <c r="CR43" i="21"/>
  <c r="CQ43" i="21"/>
  <c r="CP43" i="21"/>
  <c r="CO43" i="21"/>
  <c r="CO15" i="21"/>
  <c r="CL43" i="21"/>
  <c r="CK43" i="21"/>
  <c r="CJ43" i="21"/>
  <c r="CI43" i="21"/>
  <c r="CH43" i="21"/>
  <c r="CG43" i="21"/>
  <c r="CD43" i="21"/>
  <c r="CH8" i="4"/>
  <c r="CH20" i="4" s="1"/>
  <c r="CI8" i="4"/>
  <c r="CJ8" i="4"/>
  <c r="CI6" i="4"/>
  <c r="BZ43" i="21"/>
  <c r="CA43" i="21"/>
  <c r="CB43" i="21"/>
  <c r="CC43" i="21"/>
  <c r="BY43" i="21"/>
  <c r="BV43" i="21"/>
  <c r="BT21" i="21"/>
  <c r="BR43" i="21"/>
  <c r="GO29" i="4"/>
  <c r="FY29" i="4"/>
  <c r="FQ29" i="4"/>
  <c r="FI29" i="4"/>
  <c r="FA29" i="4"/>
  <c r="ES29" i="4"/>
  <c r="EK29" i="4"/>
  <c r="EC29" i="4"/>
  <c r="DU29" i="4"/>
  <c r="CW29" i="4"/>
  <c r="CO29" i="4"/>
  <c r="CG29" i="4"/>
  <c r="BQ43" i="21"/>
  <c r="BS43" i="21"/>
  <c r="BT43" i="21"/>
  <c r="BU43" i="21"/>
  <c r="BJ43" i="21"/>
  <c r="BK43" i="21"/>
  <c r="BL43" i="21"/>
  <c r="BM43" i="21"/>
  <c r="BN43" i="21"/>
  <c r="BI43" i="21"/>
  <c r="BI25" i="4"/>
  <c r="BB21" i="21"/>
  <c r="BA43" i="21"/>
  <c r="BB43" i="21"/>
  <c r="BC43" i="21"/>
  <c r="BD43" i="21"/>
  <c r="BE43" i="21"/>
  <c r="BF43" i="21"/>
  <c r="AU43" i="21"/>
  <c r="AV43" i="21"/>
  <c r="AW43" i="21"/>
  <c r="AX43" i="21"/>
  <c r="BP34" i="21"/>
  <c r="BX34" i="21"/>
  <c r="CF34" i="21"/>
  <c r="CN34" i="21"/>
  <c r="CV34" i="21"/>
  <c r="DD34" i="21"/>
  <c r="DL34" i="21"/>
  <c r="DT34" i="21"/>
  <c r="EB34" i="21"/>
  <c r="EJ34" i="21"/>
  <c r="ER34" i="21"/>
  <c r="FH34" i="21"/>
  <c r="BP36" i="21"/>
  <c r="BX36" i="21"/>
  <c r="CF36" i="21"/>
  <c r="CN36" i="21"/>
  <c r="CV36" i="21"/>
  <c r="DD36" i="21"/>
  <c r="DL36" i="21"/>
  <c r="DT36" i="21"/>
  <c r="EB36" i="21"/>
  <c r="EJ36" i="21"/>
  <c r="ER36" i="21"/>
  <c r="EZ36" i="21"/>
  <c r="FH36" i="21"/>
  <c r="BP38" i="21"/>
  <c r="BX38" i="21"/>
  <c r="CF38" i="21"/>
  <c r="CN38" i="21"/>
  <c r="CV38" i="21"/>
  <c r="DD38" i="21"/>
  <c r="DL38" i="21"/>
  <c r="DT38" i="21"/>
  <c r="EB38" i="21"/>
  <c r="EJ38" i="21"/>
  <c r="ER38" i="21"/>
  <c r="EZ38" i="21"/>
  <c r="FH38" i="21"/>
  <c r="BP40" i="21"/>
  <c r="BX40" i="21"/>
  <c r="CF40" i="21"/>
  <c r="CN40" i="21"/>
  <c r="CV40" i="21"/>
  <c r="DD40" i="21"/>
  <c r="DL40" i="21"/>
  <c r="DT40" i="21"/>
  <c r="EB40" i="21"/>
  <c r="EJ40" i="21"/>
  <c r="ER40" i="21"/>
  <c r="EZ40" i="21"/>
  <c r="FH40" i="21"/>
  <c r="BP42" i="21"/>
  <c r="BX42" i="21"/>
  <c r="CF42" i="21"/>
  <c r="CN42" i="21"/>
  <c r="CV42" i="21"/>
  <c r="DD42" i="21"/>
  <c r="DL42" i="21"/>
  <c r="DT42" i="21"/>
  <c r="EB42" i="21"/>
  <c r="EJ42" i="21"/>
  <c r="ER42" i="21"/>
  <c r="EZ42" i="21"/>
  <c r="FH42" i="21"/>
  <c r="AT43" i="21"/>
  <c r="AT9" i="21"/>
  <c r="AS43" i="21"/>
  <c r="AN43" i="21"/>
  <c r="AO21" i="21"/>
  <c r="BA28" i="4"/>
  <c r="BY29" i="4"/>
  <c r="BQ29" i="4"/>
  <c r="BI29" i="4"/>
  <c r="BA29" i="4"/>
  <c r="AS29" i="4"/>
  <c r="AS28" i="4"/>
  <c r="BA25" i="4"/>
  <c r="AL43" i="21"/>
  <c r="AM43" i="21"/>
  <c r="AO43" i="21"/>
  <c r="AP43" i="21"/>
  <c r="AQ43" i="21"/>
  <c r="AK37" i="21"/>
  <c r="AJ37" i="21" s="1"/>
  <c r="AK35" i="21"/>
  <c r="AJ35" i="21" s="1"/>
  <c r="AF37" i="21"/>
  <c r="AF35" i="21"/>
  <c r="AE9" i="21"/>
  <c r="AE43" i="21"/>
  <c r="AD37" i="21"/>
  <c r="AD43" i="21" s="1"/>
  <c r="AC21" i="21"/>
  <c r="AC9" i="21"/>
  <c r="AC37" i="21"/>
  <c r="AC43" i="21" s="1"/>
  <c r="AC35" i="21"/>
  <c r="Y35" i="21"/>
  <c r="Y37" i="21"/>
  <c r="Y43" i="21" s="1"/>
  <c r="Y9" i="21"/>
  <c r="Y12" i="21"/>
  <c r="Y15" i="21"/>
  <c r="Y21" i="21"/>
  <c r="Y30" i="21"/>
  <c r="AJ39" i="21"/>
  <c r="AJ41" i="21"/>
  <c r="X35" i="21"/>
  <c r="X43" i="21" s="1"/>
  <c r="W43" i="21"/>
  <c r="V43" i="21"/>
  <c r="R35" i="21"/>
  <c r="Q35" i="21"/>
  <c r="P35" i="21"/>
  <c r="X5" i="4"/>
  <c r="X14" i="4" s="1"/>
  <c r="V6" i="4"/>
  <c r="O37" i="21"/>
  <c r="O35" i="21"/>
  <c r="N37" i="21"/>
  <c r="N43" i="21"/>
  <c r="I43" i="21"/>
  <c r="H43" i="21"/>
  <c r="G43" i="21"/>
  <c r="F43" i="21"/>
  <c r="AK29" i="4"/>
  <c r="AC29" i="4"/>
  <c r="U29" i="4"/>
  <c r="M29" i="4"/>
  <c r="E29" i="4"/>
  <c r="E25" i="4"/>
  <c r="PC30" i="21"/>
  <c r="PB30" i="21"/>
  <c r="PA30" i="21"/>
  <c r="OZ30" i="21"/>
  <c r="OY30" i="21"/>
  <c r="OX30" i="21"/>
  <c r="OW30" i="21"/>
  <c r="OU30" i="21"/>
  <c r="OT30" i="21"/>
  <c r="OS30" i="21"/>
  <c r="OR30" i="21"/>
  <c r="OQ30" i="21"/>
  <c r="OP30" i="21"/>
  <c r="OO30" i="21"/>
  <c r="OM30" i="21"/>
  <c r="OL30" i="21"/>
  <c r="OK30" i="21"/>
  <c r="OJ30" i="21"/>
  <c r="OI30" i="21"/>
  <c r="OH30" i="21"/>
  <c r="OG30" i="21"/>
  <c r="OE30" i="21"/>
  <c r="OD30" i="21"/>
  <c r="OC30" i="21"/>
  <c r="OB30" i="21"/>
  <c r="OA30" i="21"/>
  <c r="NZ30" i="21"/>
  <c r="NY30" i="21"/>
  <c r="NW30" i="21"/>
  <c r="NV30" i="21"/>
  <c r="NU30" i="21"/>
  <c r="NT30" i="21"/>
  <c r="NS30" i="21"/>
  <c r="NR30" i="21"/>
  <c r="NQ30" i="21"/>
  <c r="NP30" i="21" s="1"/>
  <c r="NO30" i="21"/>
  <c r="NN30" i="21"/>
  <c r="NM30" i="21"/>
  <c r="NL30" i="21"/>
  <c r="NK30" i="21"/>
  <c r="NJ30" i="21"/>
  <c r="NI30" i="21"/>
  <c r="NG30" i="21"/>
  <c r="MZ30" i="21" s="1"/>
  <c r="NF30" i="21"/>
  <c r="NE30" i="21"/>
  <c r="ND30" i="21"/>
  <c r="NC30" i="21"/>
  <c r="NB30" i="21"/>
  <c r="NA30" i="21"/>
  <c r="MY30" i="21"/>
  <c r="MX30" i="21"/>
  <c r="MR30" i="21" s="1"/>
  <c r="MW30" i="21"/>
  <c r="MV30" i="21"/>
  <c r="MU30" i="21"/>
  <c r="MT30" i="21"/>
  <c r="MS30" i="21"/>
  <c r="MQ30" i="21"/>
  <c r="MP30" i="21"/>
  <c r="MO30" i="21"/>
  <c r="MN30" i="21"/>
  <c r="MM30" i="21"/>
  <c r="ML30" i="21"/>
  <c r="MK30" i="21"/>
  <c r="MI30" i="21"/>
  <c r="MH30" i="21"/>
  <c r="MG30" i="21"/>
  <c r="MF30" i="21"/>
  <c r="ME30" i="21"/>
  <c r="MD30" i="21"/>
  <c r="MC30" i="21"/>
  <c r="MA30" i="21"/>
  <c r="LZ30" i="21"/>
  <c r="LY30" i="21"/>
  <c r="LX30" i="21"/>
  <c r="LW30" i="21"/>
  <c r="LV30" i="21"/>
  <c r="LU30" i="21"/>
  <c r="LS30" i="21"/>
  <c r="LR30" i="21"/>
  <c r="LQ30" i="21"/>
  <c r="LP30" i="21"/>
  <c r="LO30" i="21"/>
  <c r="LN30" i="21"/>
  <c r="LM30" i="21"/>
  <c r="LK30" i="21"/>
  <c r="LJ30" i="21"/>
  <c r="LI30" i="21"/>
  <c r="LH30" i="21"/>
  <c r="LG30" i="21"/>
  <c r="LF30" i="21"/>
  <c r="LE30" i="21"/>
  <c r="LC30" i="21"/>
  <c r="LB30" i="21"/>
  <c r="LA30" i="21"/>
  <c r="KZ30" i="21"/>
  <c r="KY30" i="21"/>
  <c r="KX30" i="21"/>
  <c r="KW30" i="21"/>
  <c r="KU30" i="21"/>
  <c r="KN30" i="21" s="1"/>
  <c r="KT30" i="21"/>
  <c r="KS30" i="21"/>
  <c r="KR30" i="21"/>
  <c r="KQ30" i="21"/>
  <c r="KP30" i="21"/>
  <c r="KO30" i="21"/>
  <c r="KM30" i="21"/>
  <c r="KL30" i="21"/>
  <c r="KK30" i="21"/>
  <c r="KJ30" i="21"/>
  <c r="KI30" i="21"/>
  <c r="KH30" i="21"/>
  <c r="KG30" i="21"/>
  <c r="KE30" i="21"/>
  <c r="KD30" i="21"/>
  <c r="JX30" i="21" s="1"/>
  <c r="KC30" i="21"/>
  <c r="KB30" i="21"/>
  <c r="KA30" i="21"/>
  <c r="JZ30" i="21"/>
  <c r="JY30" i="21"/>
  <c r="JW30" i="21"/>
  <c r="JV30" i="21"/>
  <c r="JU30" i="21"/>
  <c r="JP30" i="21" s="1"/>
  <c r="JT30" i="21"/>
  <c r="JS30" i="21"/>
  <c r="JR30" i="21"/>
  <c r="JQ30" i="21"/>
  <c r="JO30" i="21"/>
  <c r="JN30" i="21"/>
  <c r="JM30" i="21"/>
  <c r="JL30" i="21"/>
  <c r="JH30" i="21" s="1"/>
  <c r="JK30" i="21"/>
  <c r="JJ30" i="21"/>
  <c r="JI30" i="21"/>
  <c r="JG30" i="21"/>
  <c r="JF30" i="21"/>
  <c r="JE30" i="21"/>
  <c r="JD30" i="21"/>
  <c r="JC30" i="21"/>
  <c r="JB30" i="21"/>
  <c r="JA30" i="21"/>
  <c r="IZ30" i="21" s="1"/>
  <c r="IY30" i="21"/>
  <c r="IX30" i="21"/>
  <c r="IW30" i="21"/>
  <c r="IV30" i="21"/>
  <c r="IU30" i="21"/>
  <c r="IT30" i="21"/>
  <c r="IR30" i="21" s="1"/>
  <c r="IS30" i="21"/>
  <c r="IQ30" i="21"/>
  <c r="IP30" i="21"/>
  <c r="IO30" i="21"/>
  <c r="IN30" i="21"/>
  <c r="IM30" i="21"/>
  <c r="IL30" i="21"/>
  <c r="IK30" i="21"/>
  <c r="IJ30" i="21" s="1"/>
  <c r="II30" i="21"/>
  <c r="IH30" i="21"/>
  <c r="IG30" i="21"/>
  <c r="IF30" i="21"/>
  <c r="IE30" i="21"/>
  <c r="ID30" i="21"/>
  <c r="IB30" i="21" s="1"/>
  <c r="IC30" i="21"/>
  <c r="IA30" i="21"/>
  <c r="HZ30" i="21"/>
  <c r="HY30" i="21"/>
  <c r="HX30" i="21"/>
  <c r="HW30" i="21"/>
  <c r="HV30" i="21"/>
  <c r="HU30" i="21"/>
  <c r="HS30" i="21"/>
  <c r="HR30" i="21"/>
  <c r="HQ30" i="21"/>
  <c r="HP30" i="21"/>
  <c r="HO30" i="21"/>
  <c r="HN30" i="21"/>
  <c r="HL30" i="21" s="1"/>
  <c r="HM30" i="21"/>
  <c r="HK30" i="21"/>
  <c r="HJ30" i="21"/>
  <c r="HI30" i="21"/>
  <c r="HH30" i="21"/>
  <c r="HD30" i="21"/>
  <c r="HG30" i="21"/>
  <c r="HF30" i="21"/>
  <c r="HE30" i="21"/>
  <c r="HC30" i="21"/>
  <c r="HB30" i="21"/>
  <c r="HA30" i="21"/>
  <c r="GZ30" i="21"/>
  <c r="GY30" i="21"/>
  <c r="GV30" i="21" s="1"/>
  <c r="GX30" i="21"/>
  <c r="GW30" i="21"/>
  <c r="GU30" i="21"/>
  <c r="GT30" i="21"/>
  <c r="GS30" i="21"/>
  <c r="GQ30" i="21"/>
  <c r="GP30" i="21"/>
  <c r="GO30" i="21"/>
  <c r="GN30" i="21" s="1"/>
  <c r="GM30" i="21"/>
  <c r="GL30" i="21"/>
  <c r="GK30" i="21"/>
  <c r="GJ30" i="21"/>
  <c r="GI30" i="21"/>
  <c r="GH30" i="21"/>
  <c r="GF30" i="21" s="1"/>
  <c r="GG30" i="21"/>
  <c r="GE30" i="21"/>
  <c r="GD30" i="21"/>
  <c r="GC30" i="21"/>
  <c r="GB30" i="21"/>
  <c r="GA30" i="21"/>
  <c r="FZ30" i="21"/>
  <c r="FY30" i="21"/>
  <c r="FX30" i="21" s="1"/>
  <c r="FW30" i="21"/>
  <c r="FV30" i="21"/>
  <c r="FU30" i="21"/>
  <c r="FT30" i="21"/>
  <c r="FS30" i="21"/>
  <c r="FR30" i="21"/>
  <c r="FQ30" i="21"/>
  <c r="FO30" i="21"/>
  <c r="FN30" i="21"/>
  <c r="FM30" i="21"/>
  <c r="FL30" i="21"/>
  <c r="FK30" i="21"/>
  <c r="FJ30" i="21"/>
  <c r="FI30" i="21"/>
  <c r="FH30" i="21" s="1"/>
  <c r="FG30" i="21"/>
  <c r="FF30" i="21"/>
  <c r="FE30" i="21"/>
  <c r="FD30" i="21"/>
  <c r="FC30" i="21"/>
  <c r="EZ30" i="21" s="1"/>
  <c r="FB30" i="21"/>
  <c r="FA30" i="21"/>
  <c r="EY30" i="21"/>
  <c r="EX30" i="21"/>
  <c r="EW30" i="21"/>
  <c r="EV30" i="21"/>
  <c r="EU30" i="21"/>
  <c r="ER30" i="21"/>
  <c r="ET30" i="21"/>
  <c r="ES30" i="21"/>
  <c r="EQ30" i="21"/>
  <c r="EP30" i="21"/>
  <c r="EO30" i="21"/>
  <c r="EN30" i="21"/>
  <c r="EM30" i="21"/>
  <c r="EL30" i="21"/>
  <c r="EJ30" i="21" s="1"/>
  <c r="EK30" i="21"/>
  <c r="EI30" i="21"/>
  <c r="EH30" i="21"/>
  <c r="EG30" i="21"/>
  <c r="EF30" i="21"/>
  <c r="EE30" i="21"/>
  <c r="ED30" i="21"/>
  <c r="EC30" i="21"/>
  <c r="EA30" i="21"/>
  <c r="DZ30" i="21"/>
  <c r="DY30" i="21"/>
  <c r="DX30" i="21"/>
  <c r="DW30" i="21"/>
  <c r="DV30" i="21"/>
  <c r="DT30" i="21" s="1"/>
  <c r="DU30" i="21"/>
  <c r="DS30" i="21"/>
  <c r="DR30" i="21"/>
  <c r="DQ30" i="21"/>
  <c r="DP30" i="21"/>
  <c r="DO30" i="21"/>
  <c r="DN30" i="21"/>
  <c r="DM30" i="21"/>
  <c r="DL30" i="21" s="1"/>
  <c r="DK30" i="21"/>
  <c r="DJ30" i="21"/>
  <c r="DI30" i="21"/>
  <c r="DH30" i="21"/>
  <c r="DG30" i="21"/>
  <c r="DF30" i="21"/>
  <c r="DD30" i="21" s="1"/>
  <c r="DE30" i="21"/>
  <c r="DC30" i="21"/>
  <c r="DB30" i="21"/>
  <c r="DA30" i="21"/>
  <c r="CZ30" i="21"/>
  <c r="CY30" i="21"/>
  <c r="CV30" i="21" s="1"/>
  <c r="CX30" i="21"/>
  <c r="CW30" i="21"/>
  <c r="CT30" i="21"/>
  <c r="CS30" i="21"/>
  <c r="CR30" i="21"/>
  <c r="CQ30" i="21"/>
  <c r="CP30" i="21"/>
  <c r="CN30" i="21" s="1"/>
  <c r="CO30" i="21"/>
  <c r="CM30" i="21"/>
  <c r="CL30" i="21"/>
  <c r="CK30" i="21"/>
  <c r="CJ30" i="21"/>
  <c r="CI30" i="21"/>
  <c r="CH30" i="21"/>
  <c r="CF30" i="21"/>
  <c r="CG30" i="21"/>
  <c r="CE30" i="21"/>
  <c r="CD30" i="21"/>
  <c r="CC30" i="21"/>
  <c r="CB30" i="21"/>
  <c r="CA30" i="21"/>
  <c r="BZ30" i="21"/>
  <c r="BY30" i="21"/>
  <c r="BX30" i="21" s="1"/>
  <c r="BW30" i="21"/>
  <c r="BV30" i="21"/>
  <c r="BU30" i="21"/>
  <c r="BT30" i="21"/>
  <c r="BS30" i="21"/>
  <c r="BR30" i="21"/>
  <c r="BP30" i="21"/>
  <c r="BQ30" i="21"/>
  <c r="BO30" i="21"/>
  <c r="BN30" i="21"/>
  <c r="BM30" i="21"/>
  <c r="BL30" i="21"/>
  <c r="BK30" i="21"/>
  <c r="BJ30" i="21"/>
  <c r="BI30" i="21"/>
  <c r="BH30" i="21" s="1"/>
  <c r="BG30" i="21"/>
  <c r="BF30" i="21"/>
  <c r="BE30" i="21"/>
  <c r="BD30" i="21"/>
  <c r="BC30" i="21"/>
  <c r="BB30" i="21"/>
  <c r="AZ30" i="21"/>
  <c r="BA30" i="21"/>
  <c r="AY30" i="21"/>
  <c r="AX30" i="21"/>
  <c r="AW30" i="21"/>
  <c r="AV30" i="21"/>
  <c r="AU30" i="21"/>
  <c r="AT30" i="21"/>
  <c r="AS30" i="21"/>
  <c r="AR30" i="21" s="1"/>
  <c r="AQ30" i="21"/>
  <c r="AP30" i="21"/>
  <c r="AO30" i="21"/>
  <c r="AN30" i="21"/>
  <c r="AM30" i="21"/>
  <c r="AL30" i="21"/>
  <c r="AJ30" i="21" s="1"/>
  <c r="AK30" i="21"/>
  <c r="AI30" i="21"/>
  <c r="AH30" i="21"/>
  <c r="AG30" i="21"/>
  <c r="AF30" i="21"/>
  <c r="AE30" i="21"/>
  <c r="AD30" i="21"/>
  <c r="AC30" i="21"/>
  <c r="AB30" i="21" s="1"/>
  <c r="AA30" i="21"/>
  <c r="Z30" i="21"/>
  <c r="X30" i="21"/>
  <c r="W30" i="21"/>
  <c r="V30" i="21"/>
  <c r="U30" i="21"/>
  <c r="T30" i="21" s="1"/>
  <c r="S30" i="21"/>
  <c r="L30" i="21" s="1"/>
  <c r="R30" i="21"/>
  <c r="Q30" i="21"/>
  <c r="P30" i="21"/>
  <c r="O30" i="21"/>
  <c r="N30" i="21"/>
  <c r="M30" i="21"/>
  <c r="K30" i="21"/>
  <c r="J30" i="21"/>
  <c r="I30" i="21"/>
  <c r="H30" i="21"/>
  <c r="G30" i="21"/>
  <c r="F30" i="21"/>
  <c r="E30" i="21"/>
  <c r="D30" i="21" s="1"/>
  <c r="OW28" i="4"/>
  <c r="OO28" i="4"/>
  <c r="OG28" i="4"/>
  <c r="NY28" i="4"/>
  <c r="OW27" i="4"/>
  <c r="OO27" i="4"/>
  <c r="OG27" i="4"/>
  <c r="NY27" i="4"/>
  <c r="OW26" i="4"/>
  <c r="OO26" i="4"/>
  <c r="OG26" i="4"/>
  <c r="NY26" i="4"/>
  <c r="OW25" i="4"/>
  <c r="OO25" i="4"/>
  <c r="OG25" i="4"/>
  <c r="NY25" i="4"/>
  <c r="PD8" i="4"/>
  <c r="PD20" i="4" s="1"/>
  <c r="PC8" i="4"/>
  <c r="PC20" i="4" s="1"/>
  <c r="PB8" i="4"/>
  <c r="PA8" i="4"/>
  <c r="OZ8" i="4"/>
  <c r="OY8" i="4"/>
  <c r="OX8" i="4"/>
  <c r="OV8" i="4"/>
  <c r="OV20" i="4" s="1"/>
  <c r="OU8" i="4"/>
  <c r="OT8" i="4"/>
  <c r="OT20" i="4" s="1"/>
  <c r="OS8" i="4"/>
  <c r="OR8" i="4"/>
  <c r="OQ8" i="4"/>
  <c r="OP8" i="4"/>
  <c r="ON8" i="4"/>
  <c r="OM8" i="4"/>
  <c r="OL8" i="4"/>
  <c r="OL19" i="4" s="1"/>
  <c r="OK8" i="4"/>
  <c r="OK19" i="4" s="1"/>
  <c r="OJ8" i="4"/>
  <c r="OI8" i="4"/>
  <c r="OI19" i="4" s="1"/>
  <c r="OH8" i="4"/>
  <c r="OF8" i="4"/>
  <c r="OF20" i="4" s="1"/>
  <c r="OE8" i="4"/>
  <c r="OD8" i="4"/>
  <c r="OD19" i="4" s="1"/>
  <c r="OC8" i="4"/>
  <c r="OC20" i="4" s="1"/>
  <c r="OB8" i="4"/>
  <c r="OA8" i="4"/>
  <c r="NZ8" i="4"/>
  <c r="NZ19" i="4" s="1"/>
  <c r="PD7" i="4" a="1"/>
  <c r="PD7" i="4" s="1"/>
  <c r="PC7" i="4" a="1"/>
  <c r="PC7" i="4" s="1"/>
  <c r="PB7" i="4" a="1"/>
  <c r="PB7" i="4" s="1"/>
  <c r="PB18" i="4" s="1"/>
  <c r="PA7" i="4" a="1"/>
  <c r="PA7" i="4" s="1"/>
  <c r="OZ7" i="4"/>
  <c r="OZ18" i="4" s="1"/>
  <c r="OY7" i="4"/>
  <c r="OX7" i="4"/>
  <c r="OV7" i="4" a="1"/>
  <c r="OV7" i="4" s="1"/>
  <c r="OU7" i="4" a="1"/>
  <c r="OU7" i="4" s="1"/>
  <c r="OT7" i="4" a="1"/>
  <c r="OT7" i="4" s="1"/>
  <c r="OS7" i="4" a="1"/>
  <c r="OS7" i="4" s="1"/>
  <c r="OR7" i="4"/>
  <c r="OQ7" i="4"/>
  <c r="OP7" i="4"/>
  <c r="OP18" i="4" s="1"/>
  <c r="ON7" i="4" a="1"/>
  <c r="ON7" i="4" s="1"/>
  <c r="OM7" i="4" a="1"/>
  <c r="OM7" i="4" s="1"/>
  <c r="OM18" i="4" s="1"/>
  <c r="OL7" i="4" a="1"/>
  <c r="OL7" i="4" s="1"/>
  <c r="OK7" i="4" a="1"/>
  <c r="OK7" i="4" s="1"/>
  <c r="OJ7" i="4"/>
  <c r="OI7" i="4"/>
  <c r="OI18" i="4" s="1"/>
  <c r="OH7" i="4"/>
  <c r="OH18" i="4" s="1"/>
  <c r="OF7" i="4" a="1"/>
  <c r="OF7" i="4" s="1"/>
  <c r="OE7" i="4" a="1"/>
  <c r="OE7" i="4" s="1"/>
  <c r="OD7" i="4" a="1"/>
  <c r="OD7" i="4" s="1"/>
  <c r="OC7" i="4" a="1"/>
  <c r="OC7" i="4" s="1"/>
  <c r="OB7" i="4"/>
  <c r="OA7" i="4"/>
  <c r="OA18" i="4" s="1"/>
  <c r="NZ7" i="4"/>
  <c r="PD6" i="4"/>
  <c r="PD15" i="4" s="1"/>
  <c r="OW15" i="4" s="1"/>
  <c r="PC6" i="4"/>
  <c r="PB6" i="4"/>
  <c r="PA6" i="4"/>
  <c r="PA11" i="4" s="1"/>
  <c r="OZ6" i="4"/>
  <c r="OY6" i="4"/>
  <c r="OY11" i="4" s="1"/>
  <c r="OX6" i="4"/>
  <c r="OV6" i="4"/>
  <c r="OV15" i="4" s="1"/>
  <c r="OV35" i="4" s="1"/>
  <c r="OU6" i="4"/>
  <c r="OT6" i="4"/>
  <c r="OS6" i="4"/>
  <c r="OS36" i="4"/>
  <c r="OR6" i="4"/>
  <c r="OQ6" i="4"/>
  <c r="OQ11" i="4" s="1"/>
  <c r="OP6" i="4"/>
  <c r="ON6" i="4"/>
  <c r="OM6" i="4"/>
  <c r="OL6" i="4"/>
  <c r="OK6" i="4"/>
  <c r="OK35" i="4"/>
  <c r="OJ6" i="4"/>
  <c r="OI6" i="4"/>
  <c r="OI11" i="4" s="1"/>
  <c r="OH6" i="4"/>
  <c r="OF6" i="4"/>
  <c r="OE6" i="4"/>
  <c r="OD6" i="4"/>
  <c r="OC6" i="4"/>
  <c r="OB6" i="4"/>
  <c r="OA6" i="4"/>
  <c r="NZ6" i="4"/>
  <c r="NZ11" i="4" s="1"/>
  <c r="PD5" i="4" a="1"/>
  <c r="PD5" i="4" s="1"/>
  <c r="PC5" i="4" a="1"/>
  <c r="PC5" i="4" s="1"/>
  <c r="PB5" i="4" a="1"/>
  <c r="PB5" i="4" s="1"/>
  <c r="PA5" i="4" a="1"/>
  <c r="PA5" i="4" s="1"/>
  <c r="PA10" i="4" s="1"/>
  <c r="OZ5" i="4"/>
  <c r="OY5" i="4"/>
  <c r="OX5" i="4"/>
  <c r="OV5" i="4" a="1"/>
  <c r="OV5" i="4" s="1"/>
  <c r="OU5" i="4" a="1"/>
  <c r="OU5" i="4" s="1"/>
  <c r="OT5" i="4" a="1"/>
  <c r="OT5" i="4" s="1"/>
  <c r="OS5" i="4" a="1"/>
  <c r="OS5" i="4" s="1"/>
  <c r="OR5" i="4"/>
  <c r="OQ5" i="4"/>
  <c r="OP5" i="4"/>
  <c r="ON5" i="4" a="1"/>
  <c r="ON5" i="4" s="1"/>
  <c r="OM5" i="4" a="1"/>
  <c r="OM5" i="4" s="1"/>
  <c r="OL5" i="4" a="1"/>
  <c r="OL5" i="4" s="1"/>
  <c r="OK5" i="4" a="1"/>
  <c r="OK5" i="4" s="1"/>
  <c r="OJ5" i="4"/>
  <c r="OJ4" i="4" s="1"/>
  <c r="OI5" i="4"/>
  <c r="OH5" i="4"/>
  <c r="OF5" i="4" a="1"/>
  <c r="OF5" i="4" s="1"/>
  <c r="OE5" i="4" a="1"/>
  <c r="OE5" i="4" s="1"/>
  <c r="OD5" i="4" a="1"/>
  <c r="OD5" i="4" s="1"/>
  <c r="OC5" i="4" a="1"/>
  <c r="OC5" i="4" s="1"/>
  <c r="OB5" i="4"/>
  <c r="OA5" i="4"/>
  <c r="NZ5" i="4"/>
  <c r="NQ32" i="4"/>
  <c r="NI32" i="4"/>
  <c r="NA32" i="4"/>
  <c r="MS32" i="4"/>
  <c r="MK32" i="4"/>
  <c r="MC32" i="4"/>
  <c r="NQ28" i="4"/>
  <c r="NI28" i="4"/>
  <c r="NA28" i="4"/>
  <c r="MS28" i="4"/>
  <c r="MK28" i="4"/>
  <c r="MC28" i="4"/>
  <c r="NQ27" i="4"/>
  <c r="NI27" i="4"/>
  <c r="NA27" i="4"/>
  <c r="MS27" i="4"/>
  <c r="MK27" i="4"/>
  <c r="MC27" i="4"/>
  <c r="NQ26" i="4"/>
  <c r="NI26" i="4"/>
  <c r="NA26" i="4"/>
  <c r="MS26" i="4"/>
  <c r="MK26" i="4"/>
  <c r="MC26" i="4"/>
  <c r="NQ25" i="4"/>
  <c r="NI25" i="4"/>
  <c r="NA25" i="4"/>
  <c r="MS25" i="4"/>
  <c r="MK25" i="4"/>
  <c r="MC25" i="4"/>
  <c r="NX8" i="4"/>
  <c r="NX20" i="4" s="1"/>
  <c r="NW8" i="4"/>
  <c r="NW19" i="4" s="1"/>
  <c r="NV8" i="4"/>
  <c r="NV19" i="4" s="1"/>
  <c r="NU8" i="4"/>
  <c r="NT8" i="4"/>
  <c r="NT19" i="4" s="1"/>
  <c r="NS8" i="4"/>
  <c r="NR8" i="4"/>
  <c r="NP8" i="4"/>
  <c r="NO8" i="4"/>
  <c r="NN8" i="4"/>
  <c r="NN19" i="4" s="1"/>
  <c r="NM8" i="4"/>
  <c r="NM20" i="4" s="1"/>
  <c r="NL8" i="4"/>
  <c r="NK8" i="4"/>
  <c r="NJ8" i="4"/>
  <c r="NJ20" i="4" s="1"/>
  <c r="NH8" i="4"/>
  <c r="NH20" i="4" s="1"/>
  <c r="NG8" i="4"/>
  <c r="NF8" i="4"/>
  <c r="NE8" i="4"/>
  <c r="NE20" i="4" s="1"/>
  <c r="ND8" i="4"/>
  <c r="NC8" i="4"/>
  <c r="NB8" i="4"/>
  <c r="NB20" i="4" s="1"/>
  <c r="MZ8" i="4"/>
  <c r="MZ20" i="4" s="1"/>
  <c r="MY8" i="4"/>
  <c r="MX8" i="4"/>
  <c r="MW8" i="4"/>
  <c r="MV8" i="4"/>
  <c r="MU8" i="4"/>
  <c r="MT8" i="4"/>
  <c r="MR8" i="4"/>
  <c r="MR20" i="4" s="1"/>
  <c r="MQ8" i="4"/>
  <c r="MQ20" i="4" s="1"/>
  <c r="MP8" i="4"/>
  <c r="MO8" i="4"/>
  <c r="MN8" i="4"/>
  <c r="MM8" i="4"/>
  <c r="ML8" i="4"/>
  <c r="ML20" i="4" s="1"/>
  <c r="MJ8" i="4"/>
  <c r="MJ20" i="4" s="1"/>
  <c r="MI8" i="4"/>
  <c r="MI19" i="4" s="1"/>
  <c r="MH8" i="4"/>
  <c r="MH20" i="4" s="1"/>
  <c r="MG8" i="4"/>
  <c r="MF8" i="4"/>
  <c r="ME8" i="4"/>
  <c r="MD8" i="4"/>
  <c r="NX7" i="4" a="1"/>
  <c r="NX7" i="4" s="1"/>
  <c r="NW7" i="4" a="1"/>
  <c r="NW7" i="4" s="1"/>
  <c r="NV7" i="4" a="1"/>
  <c r="NV7" i="4" s="1"/>
  <c r="NU7" i="4" a="1"/>
  <c r="NU7" i="4" s="1"/>
  <c r="NT7" i="4"/>
  <c r="NT18" i="4" s="1"/>
  <c r="NS7" i="4"/>
  <c r="NR7" i="4"/>
  <c r="NP7" i="4" a="1"/>
  <c r="NP7" i="4" s="1"/>
  <c r="NO7" i="4" a="1"/>
  <c r="NO7" i="4" s="1"/>
  <c r="NN7" i="4" a="1"/>
  <c r="NN7" i="4" s="1"/>
  <c r="NM7" i="4" a="1"/>
  <c r="NM7" i="4" s="1"/>
  <c r="NL7" i="4"/>
  <c r="NK7" i="4"/>
  <c r="NJ7" i="4"/>
  <c r="NH7" i="4" a="1"/>
  <c r="NH7" i="4" s="1"/>
  <c r="NG7" i="4" a="1"/>
  <c r="NG7" i="4" s="1"/>
  <c r="NG18" i="4" s="1"/>
  <c r="NF7" i="4" a="1"/>
  <c r="NF7" i="4" s="1"/>
  <c r="NE7" i="4" a="1"/>
  <c r="NE7" i="4" s="1"/>
  <c r="ND7" i="4"/>
  <c r="NC7" i="4"/>
  <c r="NB7" i="4"/>
  <c r="NB18" i="4" s="1"/>
  <c r="MZ7" i="4" a="1"/>
  <c r="MZ7" i="4" s="1"/>
  <c r="MY7" i="4" a="1"/>
  <c r="MY7" i="4" s="1"/>
  <c r="MY18" i="4" s="1"/>
  <c r="MX7" i="4" a="1"/>
  <c r="MX7" i="4" s="1"/>
  <c r="MW7" i="4" a="1"/>
  <c r="MW7" i="4" s="1"/>
  <c r="MV7" i="4"/>
  <c r="MU7" i="4"/>
  <c r="MT7" i="4"/>
  <c r="MR7" i="4" a="1"/>
  <c r="MR7" i="4" s="1"/>
  <c r="MQ7" i="4" a="1"/>
  <c r="MQ7" i="4" s="1"/>
  <c r="MP7" i="4" a="1"/>
  <c r="MP7" i="4" s="1"/>
  <c r="MO7" i="4" a="1"/>
  <c r="MO7" i="4" s="1"/>
  <c r="MN7" i="4"/>
  <c r="MM7" i="4"/>
  <c r="ML7" i="4"/>
  <c r="MJ7" i="4" a="1"/>
  <c r="MJ7" i="4" s="1"/>
  <c r="MI7" i="4" a="1"/>
  <c r="MI7" i="4" s="1"/>
  <c r="MH7" i="4" a="1"/>
  <c r="MH7" i="4" s="1"/>
  <c r="MG7" i="4" a="1"/>
  <c r="MG7" i="4" s="1"/>
  <c r="MF7" i="4"/>
  <c r="ME7" i="4"/>
  <c r="MD7" i="4"/>
  <c r="NX6" i="4"/>
  <c r="NX15" i="4" s="1"/>
  <c r="NW6" i="4"/>
  <c r="NV6" i="4"/>
  <c r="NU6" i="4"/>
  <c r="NT6" i="4"/>
  <c r="NS6" i="4"/>
  <c r="NR6" i="4"/>
  <c r="NP6" i="4"/>
  <c r="NP15" i="4" s="1"/>
  <c r="NO6" i="4"/>
  <c r="NN6" i="4"/>
  <c r="NM6" i="4"/>
  <c r="NL6" i="4"/>
  <c r="NK6" i="4"/>
  <c r="NJ6" i="4"/>
  <c r="NH6" i="4"/>
  <c r="NH15" i="4" s="1"/>
  <c r="NG6" i="4"/>
  <c r="NF6" i="4"/>
  <c r="NF36" i="4"/>
  <c r="NE6" i="4"/>
  <c r="ND6" i="4"/>
  <c r="NC6" i="4"/>
  <c r="NB6" i="4"/>
  <c r="MZ6" i="4"/>
  <c r="MZ15" i="4" s="1"/>
  <c r="MY6" i="4"/>
  <c r="MX6" i="4"/>
  <c r="MX16" i="4" s="1"/>
  <c r="MX20" i="4" s="1"/>
  <c r="MW6" i="4"/>
  <c r="MV6" i="4"/>
  <c r="MU6" i="4"/>
  <c r="MT6" i="4"/>
  <c r="MR6" i="4"/>
  <c r="MR15" i="4" s="1"/>
  <c r="MR35" i="4" s="1"/>
  <c r="MQ6" i="4"/>
  <c r="MP6" i="4"/>
  <c r="MO6" i="4"/>
  <c r="MN6" i="4"/>
  <c r="MN36" i="4"/>
  <c r="MM6" i="4"/>
  <c r="MM15" i="4" s="1"/>
  <c r="ML6" i="4"/>
  <c r="MJ6" i="4"/>
  <c r="MI6" i="4"/>
  <c r="MH6" i="4"/>
  <c r="MG6" i="4"/>
  <c r="MG16" i="4" s="1"/>
  <c r="MF6" i="4"/>
  <c r="ME6" i="4"/>
  <c r="MD6" i="4"/>
  <c r="NX5" i="4" a="1"/>
  <c r="NX5" i="4" s="1"/>
  <c r="NX4" i="4" s="1"/>
  <c r="NW5" i="4" a="1"/>
  <c r="NW5" i="4" s="1"/>
  <c r="NV5" i="4" a="1"/>
  <c r="NV5" i="4" s="1"/>
  <c r="NU5" i="4" a="1"/>
  <c r="NU5" i="4" s="1"/>
  <c r="NT5" i="4"/>
  <c r="NS5" i="4"/>
  <c r="NR5" i="4"/>
  <c r="NP5" i="4" a="1"/>
  <c r="NP5" i="4" s="1"/>
  <c r="NP14" i="4" s="1"/>
  <c r="NO5" i="4" a="1"/>
  <c r="NO5" i="4" s="1"/>
  <c r="NO10" i="4" s="1"/>
  <c r="NN5" i="4" a="1"/>
  <c r="NN5" i="4" s="1"/>
  <c r="NM5" i="4" a="1"/>
  <c r="NM5" i="4" s="1"/>
  <c r="NL5" i="4"/>
  <c r="NK5" i="4"/>
  <c r="NJ5" i="4"/>
  <c r="NH5" i="4" a="1"/>
  <c r="NH5" i="4" s="1"/>
  <c r="NG5" i="4" a="1"/>
  <c r="NG5" i="4" s="1"/>
  <c r="NG4" i="4" s="1"/>
  <c r="NF5" i="4" a="1"/>
  <c r="NF5" i="4" s="1"/>
  <c r="NF10" i="4" s="1"/>
  <c r="NE5" i="4" a="1"/>
  <c r="NE5" i="4" s="1"/>
  <c r="ND5" i="4"/>
  <c r="NC5" i="4"/>
  <c r="NB5" i="4"/>
  <c r="MZ5" i="4" a="1"/>
  <c r="MZ5" i="4" s="1"/>
  <c r="MY5" i="4" a="1"/>
  <c r="MY5" i="4" s="1"/>
  <c r="MX5" i="4" a="1"/>
  <c r="MX5" i="4" s="1"/>
  <c r="MX14" i="4" s="1"/>
  <c r="MW5" i="4" a="1"/>
  <c r="MW5" i="4" s="1"/>
  <c r="MW4" i="4" s="1"/>
  <c r="MV5" i="4"/>
  <c r="MU5" i="4"/>
  <c r="MT5" i="4"/>
  <c r="MR5" i="4" a="1"/>
  <c r="MR5" i="4" s="1"/>
  <c r="MQ5" i="4" a="1"/>
  <c r="MQ5" i="4" s="1"/>
  <c r="MQ14" i="4" s="1"/>
  <c r="MP5" i="4" a="1"/>
  <c r="MP5" i="4" s="1"/>
  <c r="MP14" i="4" s="1"/>
  <c r="MO5" i="4" a="1"/>
  <c r="MO5" i="4" s="1"/>
  <c r="MO14" i="4" s="1"/>
  <c r="MO13" i="4" s="1"/>
  <c r="MN5" i="4"/>
  <c r="MM5" i="4"/>
  <c r="ML5" i="4"/>
  <c r="ML14" i="4" s="1"/>
  <c r="MJ5" i="4" a="1"/>
  <c r="MJ5" i="4" s="1"/>
  <c r="MJ14" i="4" s="1"/>
  <c r="MI5" i="4" a="1"/>
  <c r="MI5" i="4" s="1"/>
  <c r="MH5" i="4" a="1"/>
  <c r="MH5" i="4" s="1"/>
  <c r="MG5" i="4" a="1"/>
  <c r="MG5" i="4" s="1"/>
  <c r="MG14" i="4" s="1"/>
  <c r="MF5" i="4"/>
  <c r="ME5" i="4"/>
  <c r="ME4" i="4" s="1"/>
  <c r="MD5" i="4"/>
  <c r="MD14" i="4" s="1"/>
  <c r="LU32" i="4"/>
  <c r="LM32" i="4"/>
  <c r="LE32" i="4"/>
  <c r="KW32" i="4"/>
  <c r="KO32" i="4"/>
  <c r="KG32" i="4"/>
  <c r="LU28" i="4"/>
  <c r="LM28" i="4"/>
  <c r="LE28" i="4"/>
  <c r="KW28" i="4"/>
  <c r="KO28" i="4"/>
  <c r="KG28" i="4"/>
  <c r="LU27" i="4"/>
  <c r="LM27" i="4"/>
  <c r="LE27" i="4"/>
  <c r="KW27" i="4"/>
  <c r="KO27" i="4"/>
  <c r="KG27" i="4"/>
  <c r="LU26" i="4"/>
  <c r="LM26" i="4"/>
  <c r="LE26" i="4"/>
  <c r="KW26" i="4"/>
  <c r="KO26" i="4"/>
  <c r="KG26" i="4"/>
  <c r="LU25" i="4"/>
  <c r="LM25" i="4"/>
  <c r="LE25" i="4"/>
  <c r="KW25" i="4"/>
  <c r="KO25" i="4"/>
  <c r="KG25" i="4"/>
  <c r="MB8" i="4"/>
  <c r="MB20" i="4" s="1"/>
  <c r="MA8" i="4"/>
  <c r="LZ8" i="4"/>
  <c r="LY8" i="4"/>
  <c r="LY19" i="4" s="1"/>
  <c r="LX8" i="4"/>
  <c r="LX20" i="4" s="1"/>
  <c r="LW8" i="4"/>
  <c r="LV8" i="4"/>
  <c r="LT8" i="4"/>
  <c r="LT20" i="4" s="1"/>
  <c r="LS8" i="4"/>
  <c r="LR8" i="4"/>
  <c r="LQ8" i="4"/>
  <c r="LP8" i="4"/>
  <c r="LP20" i="4" s="1"/>
  <c r="LO8" i="4"/>
  <c r="LO20" i="4" s="1"/>
  <c r="LN8" i="4"/>
  <c r="LL8" i="4"/>
  <c r="LL20" i="4" s="1"/>
  <c r="LK8" i="4"/>
  <c r="LJ8" i="4"/>
  <c r="LI8" i="4"/>
  <c r="LH8" i="4"/>
  <c r="LG8" i="4"/>
  <c r="LG20" i="4" s="1"/>
  <c r="LF8" i="4"/>
  <c r="LF20" i="4" s="1"/>
  <c r="LD8" i="4"/>
  <c r="LD20" i="4" s="1"/>
  <c r="LC8" i="4"/>
  <c r="LB8" i="4"/>
  <c r="LB19" i="4" s="1"/>
  <c r="LA8" i="4"/>
  <c r="KZ8" i="4"/>
  <c r="KY8" i="4"/>
  <c r="KY19" i="4" s="1"/>
  <c r="KX8" i="4"/>
  <c r="KX19" i="4" s="1"/>
  <c r="KV8" i="4"/>
  <c r="KV20" i="4" s="1"/>
  <c r="KU8" i="4"/>
  <c r="KU20" i="4" s="1"/>
  <c r="KT8" i="4"/>
  <c r="KT20" i="4" s="1"/>
  <c r="KS8" i="4"/>
  <c r="KS19" i="4" s="1"/>
  <c r="KR8" i="4"/>
  <c r="KR19" i="4" s="1"/>
  <c r="KQ8" i="4"/>
  <c r="KP8" i="4"/>
  <c r="KP20" i="4" s="1"/>
  <c r="KN8" i="4"/>
  <c r="KN20" i="4" s="1"/>
  <c r="KM8" i="4"/>
  <c r="KL8" i="4"/>
  <c r="KK8" i="4"/>
  <c r="KJ8" i="4"/>
  <c r="KJ19" i="4" s="1"/>
  <c r="KI8" i="4"/>
  <c r="KI19" i="4" s="1"/>
  <c r="KH8" i="4"/>
  <c r="MB7" i="4" a="1"/>
  <c r="MB7" i="4" s="1"/>
  <c r="MA7" i="4" a="1"/>
  <c r="MA7" i="4" s="1"/>
  <c r="LZ7" i="4" a="1"/>
  <c r="LZ7" i="4" s="1"/>
  <c r="LY7" i="4" a="1"/>
  <c r="LY7" i="4" s="1"/>
  <c r="LX7" i="4"/>
  <c r="LW7" i="4"/>
  <c r="LV7" i="4"/>
  <c r="LT7" i="4" a="1"/>
  <c r="LT7" i="4" s="1"/>
  <c r="LS7" i="4" a="1"/>
  <c r="LS7" i="4" s="1"/>
  <c r="LR7" i="4" a="1"/>
  <c r="LR7" i="4" s="1"/>
  <c r="LQ7" i="4" a="1"/>
  <c r="LQ7" i="4" s="1"/>
  <c r="LP7" i="4"/>
  <c r="LO7" i="4"/>
  <c r="LN7" i="4"/>
  <c r="LL7" i="4" a="1"/>
  <c r="LL7" i="4" s="1"/>
  <c r="LK7" i="4" a="1"/>
  <c r="LK7" i="4" s="1"/>
  <c r="LJ7" i="4" a="1"/>
  <c r="LJ7" i="4" s="1"/>
  <c r="LI7" i="4" a="1"/>
  <c r="LI7" i="4" s="1"/>
  <c r="LH7" i="4"/>
  <c r="LG7" i="4"/>
  <c r="LF7" i="4"/>
  <c r="LD7" i="4" a="1"/>
  <c r="LD7" i="4" s="1"/>
  <c r="LC7" i="4" a="1"/>
  <c r="LC7" i="4" s="1"/>
  <c r="LB7" i="4" a="1"/>
  <c r="LB7" i="4" s="1"/>
  <c r="LA7" i="4" a="1"/>
  <c r="LA7" i="4" s="1"/>
  <c r="KZ7" i="4"/>
  <c r="KY7" i="4"/>
  <c r="KX7" i="4"/>
  <c r="KV7" i="4" a="1"/>
  <c r="KV7" i="4" s="1"/>
  <c r="KU7" i="4" a="1"/>
  <c r="KU7" i="4" s="1"/>
  <c r="KT7" i="4" a="1"/>
  <c r="KT7" i="4" s="1"/>
  <c r="KS7" i="4" a="1"/>
  <c r="KS7" i="4" s="1"/>
  <c r="KR7" i="4"/>
  <c r="KQ7" i="4"/>
  <c r="KP7" i="4"/>
  <c r="KN7" i="4" a="1"/>
  <c r="KN7" i="4" s="1"/>
  <c r="KM7" i="4" a="1"/>
  <c r="KM7" i="4" s="1"/>
  <c r="KL7" i="4" a="1"/>
  <c r="KL7" i="4" s="1"/>
  <c r="KJ7" i="4"/>
  <c r="KH7" i="4"/>
  <c r="MB6" i="4"/>
  <c r="MB15" i="4" s="1"/>
  <c r="MB35" i="4" s="1"/>
  <c r="MA6" i="4"/>
  <c r="LZ6" i="4"/>
  <c r="LY6" i="4"/>
  <c r="LX6" i="4"/>
  <c r="LW6" i="4"/>
  <c r="LV6" i="4"/>
  <c r="LT6" i="4"/>
  <c r="LS6" i="4"/>
  <c r="LR6" i="4"/>
  <c r="LQ6" i="4"/>
  <c r="LP6" i="4"/>
  <c r="LO6" i="4"/>
  <c r="LN6" i="4"/>
  <c r="LL6" i="4"/>
  <c r="LK6" i="4"/>
  <c r="LJ6" i="4"/>
  <c r="LI6" i="4"/>
  <c r="LH6" i="4"/>
  <c r="LG6" i="4"/>
  <c r="LF6" i="4"/>
  <c r="LD6" i="4"/>
  <c r="LD15" i="4" s="1"/>
  <c r="KW15" i="4" s="1"/>
  <c r="LC6" i="4"/>
  <c r="LB6" i="4"/>
  <c r="LB36" i="4"/>
  <c r="LA6" i="4"/>
  <c r="KZ6" i="4"/>
  <c r="KY6" i="4"/>
  <c r="KX6" i="4"/>
  <c r="KV6" i="4"/>
  <c r="KU6" i="4"/>
  <c r="KT6" i="4"/>
  <c r="KS6" i="4"/>
  <c r="KR6" i="4"/>
  <c r="KQ6" i="4"/>
  <c r="KP6" i="4"/>
  <c r="KN6" i="4"/>
  <c r="KM6" i="4"/>
  <c r="KL6" i="4"/>
  <c r="KL4" i="4" s="1"/>
  <c r="KK6" i="4"/>
  <c r="KJ6" i="4"/>
  <c r="KI6" i="4"/>
  <c r="KH6" i="4"/>
  <c r="MB5" i="4" a="1"/>
  <c r="MB5" i="4" s="1"/>
  <c r="MA5" i="4" a="1"/>
  <c r="MA5" i="4" s="1"/>
  <c r="LZ5" i="4" a="1"/>
  <c r="LZ5" i="4" s="1"/>
  <c r="LY5" i="4" a="1"/>
  <c r="LY5" i="4" s="1"/>
  <c r="LX5" i="4"/>
  <c r="LX14" i="4" s="1"/>
  <c r="LW5" i="4"/>
  <c r="LW14" i="4" s="1"/>
  <c r="LW13" i="4" s="1"/>
  <c r="LV5" i="4"/>
  <c r="LV14" i="4" s="1"/>
  <c r="LT5" i="4" a="1"/>
  <c r="LT5" i="4" s="1"/>
  <c r="LS5" i="4" a="1"/>
  <c r="LS5" i="4" s="1"/>
  <c r="LR5" i="4" a="1"/>
  <c r="LR5" i="4" s="1"/>
  <c r="LR14" i="4" s="1"/>
  <c r="LQ5" i="4" a="1"/>
  <c r="LQ5" i="4" s="1"/>
  <c r="LP5" i="4"/>
  <c r="LP14" i="4" s="1"/>
  <c r="LP13" i="4" s="1"/>
  <c r="LO5" i="4"/>
  <c r="LO14" i="4" s="1"/>
  <c r="LN5" i="4"/>
  <c r="LL5" i="4" a="1"/>
  <c r="LL5" i="4" s="1"/>
  <c r="LL14" i="4" s="1"/>
  <c r="LK5" i="4" a="1"/>
  <c r="LK5" i="4" s="1"/>
  <c r="LK14" i="4" s="1"/>
  <c r="LJ5" i="4" a="1"/>
  <c r="LJ5" i="4" s="1"/>
  <c r="LI5" i="4" a="1"/>
  <c r="LI5" i="4" s="1"/>
  <c r="LH5" i="4"/>
  <c r="LH14" i="4" s="1"/>
  <c r="LH18" i="4" s="1"/>
  <c r="LG5" i="4"/>
  <c r="LG14" i="4" s="1"/>
  <c r="LF5" i="4"/>
  <c r="LF4" i="4" s="1"/>
  <c r="LD5" i="4" a="1"/>
  <c r="LD5" i="4" s="1"/>
  <c r="LC5" i="4" a="1"/>
  <c r="LC5" i="4" s="1"/>
  <c r="LC14" i="4" s="1"/>
  <c r="LC13" i="4" s="1"/>
  <c r="LB5" i="4" a="1"/>
  <c r="LB5" i="4" s="1"/>
  <c r="LA5" i="4" a="1"/>
  <c r="LA5" i="4" s="1"/>
  <c r="KZ5" i="4"/>
  <c r="KZ14" i="4" s="1"/>
  <c r="KZ13" i="4" s="1"/>
  <c r="KY5" i="4"/>
  <c r="KX5" i="4"/>
  <c r="KX14" i="4" s="1"/>
  <c r="KX13" i="4" s="1"/>
  <c r="KV5" i="4" a="1"/>
  <c r="KV5" i="4" s="1"/>
  <c r="KV14" i="4" s="1"/>
  <c r="KU5" i="4" a="1"/>
  <c r="KU5" i="4" s="1"/>
  <c r="KT5" i="4" a="1"/>
  <c r="KT5" i="4" s="1"/>
  <c r="KS5" i="4" a="1"/>
  <c r="KS5" i="4" s="1"/>
  <c r="KS14" i="4" s="1"/>
  <c r="KS13" i="4" s="1"/>
  <c r="KR5" i="4"/>
  <c r="KR14" i="4" s="1"/>
  <c r="KR13" i="4" s="1"/>
  <c r="KQ5" i="4"/>
  <c r="KQ14" i="4" s="1"/>
  <c r="KQ13" i="4" s="1"/>
  <c r="KP5" i="4"/>
  <c r="KN5" i="4" a="1"/>
  <c r="KN5" i="4" s="1"/>
  <c r="KM5" i="4" a="1"/>
  <c r="KM5" i="4" s="1"/>
  <c r="KL14" i="4"/>
  <c r="KK5" i="4" a="1"/>
  <c r="KK5" i="4" s="1"/>
  <c r="KK14" i="4" s="1"/>
  <c r="KJ5" i="4"/>
  <c r="KJ14" i="4" s="1"/>
  <c r="KJ13" i="4" s="1"/>
  <c r="KI5" i="4"/>
  <c r="KH5" i="4"/>
  <c r="JY32" i="4"/>
  <c r="JQ32" i="4"/>
  <c r="JI32" i="4"/>
  <c r="JA32" i="4"/>
  <c r="IS32" i="4"/>
  <c r="IK32" i="4"/>
  <c r="JY28" i="4"/>
  <c r="JQ28" i="4"/>
  <c r="JI28" i="4"/>
  <c r="JA28" i="4"/>
  <c r="IS28" i="4"/>
  <c r="IK28" i="4"/>
  <c r="JY27" i="4"/>
  <c r="JQ27" i="4"/>
  <c r="JI27" i="4"/>
  <c r="JA27" i="4"/>
  <c r="IS27" i="4"/>
  <c r="IK27" i="4"/>
  <c r="JY26" i="4"/>
  <c r="JQ26" i="4"/>
  <c r="JI26" i="4"/>
  <c r="JA26" i="4"/>
  <c r="IS26" i="4"/>
  <c r="IK26" i="4"/>
  <c r="JY25" i="4"/>
  <c r="JQ25" i="4"/>
  <c r="JI25" i="4"/>
  <c r="JA25" i="4"/>
  <c r="IS25" i="4"/>
  <c r="IK25" i="4"/>
  <c r="KF8" i="4"/>
  <c r="KF20" i="4" s="1"/>
  <c r="KE8" i="4"/>
  <c r="KE20" i="4" s="1"/>
  <c r="KD8" i="4"/>
  <c r="KC8" i="4"/>
  <c r="KC19" i="4" s="1"/>
  <c r="KB8" i="4"/>
  <c r="KA8" i="4"/>
  <c r="JZ8" i="4"/>
  <c r="JZ19" i="4" s="1"/>
  <c r="JX8" i="4"/>
  <c r="JX20" i="4" s="1"/>
  <c r="JW8" i="4"/>
  <c r="JV8" i="4"/>
  <c r="JV20" i="4" s="1"/>
  <c r="JU8" i="4"/>
  <c r="JT8" i="4"/>
  <c r="JT19" i="4" s="1"/>
  <c r="JS8" i="4"/>
  <c r="JR8" i="4"/>
  <c r="JP8" i="4"/>
  <c r="JP20" i="4" s="1"/>
  <c r="JO8" i="4"/>
  <c r="JN8" i="4"/>
  <c r="JN19" i="4" s="1"/>
  <c r="JM8" i="4"/>
  <c r="JL8" i="4"/>
  <c r="JL19" i="4" s="1"/>
  <c r="JK8" i="4"/>
  <c r="JK19" i="4" s="1"/>
  <c r="JJ8" i="4"/>
  <c r="JJ20" i="4" s="1"/>
  <c r="JH8" i="4"/>
  <c r="JH20" i="4" s="1"/>
  <c r="JG8" i="4"/>
  <c r="JG19" i="4" s="1"/>
  <c r="JF8" i="4"/>
  <c r="JE8" i="4"/>
  <c r="JD8" i="4"/>
  <c r="JC8" i="4"/>
  <c r="JB8" i="4"/>
  <c r="IZ8" i="4"/>
  <c r="IY8" i="4"/>
  <c r="IY20" i="4" s="1"/>
  <c r="IX8" i="4"/>
  <c r="IX19" i="4" s="1"/>
  <c r="IW8" i="4"/>
  <c r="IV8" i="4"/>
  <c r="IV19" i="4" s="1"/>
  <c r="IU8" i="4"/>
  <c r="IU19" i="4" s="1"/>
  <c r="IT8" i="4"/>
  <c r="IR8" i="4"/>
  <c r="IR20" i="4" s="1"/>
  <c r="IQ8" i="4"/>
  <c r="IP8" i="4"/>
  <c r="IP20" i="4" s="1"/>
  <c r="IO8" i="4"/>
  <c r="IO19" i="4" s="1"/>
  <c r="IN8" i="4"/>
  <c r="IM8" i="4"/>
  <c r="IL8" i="4"/>
  <c r="IL20" i="4" s="1"/>
  <c r="KF7" i="4" a="1"/>
  <c r="KF7" i="4" s="1"/>
  <c r="KE7" i="4" a="1"/>
  <c r="KE7" i="4" s="1"/>
  <c r="KD7" i="4" a="1"/>
  <c r="KD7" i="4" s="1"/>
  <c r="KC7" i="4" a="1"/>
  <c r="KC7" i="4" s="1"/>
  <c r="KB7" i="4"/>
  <c r="KA7" i="4"/>
  <c r="JZ7" i="4"/>
  <c r="JX7" i="4" a="1"/>
  <c r="JX7" i="4" s="1"/>
  <c r="JW7" i="4" a="1"/>
  <c r="JW7" i="4" s="1"/>
  <c r="JV7" i="4" a="1"/>
  <c r="JV7" i="4" s="1"/>
  <c r="JV18" i="4" s="1"/>
  <c r="JU7" i="4" a="1"/>
  <c r="JU7" i="4" s="1"/>
  <c r="JT7" i="4"/>
  <c r="JS7" i="4"/>
  <c r="JR7" i="4"/>
  <c r="JP7" i="4" a="1"/>
  <c r="JP7" i="4" s="1"/>
  <c r="JO7" i="4" a="1"/>
  <c r="JO7" i="4" s="1"/>
  <c r="JN7" i="4" a="1"/>
  <c r="JN7" i="4" s="1"/>
  <c r="JM7" i="4" a="1"/>
  <c r="JM7" i="4" s="1"/>
  <c r="JL7" i="4"/>
  <c r="JL18" i="4" s="1"/>
  <c r="JK7" i="4"/>
  <c r="JJ7" i="4"/>
  <c r="JH7" i="4" a="1"/>
  <c r="JH7" i="4" s="1"/>
  <c r="JG7" i="4" a="1"/>
  <c r="JG7" i="4" s="1"/>
  <c r="JF7" i="4" a="1"/>
  <c r="JF7" i="4" s="1"/>
  <c r="JE7" i="4" a="1"/>
  <c r="JE7" i="4" s="1"/>
  <c r="JD7" i="4"/>
  <c r="JC7" i="4"/>
  <c r="JB7" i="4"/>
  <c r="IZ7" i="4" a="1"/>
  <c r="IZ7" i="4" s="1"/>
  <c r="IY7" i="4" a="1"/>
  <c r="IY7" i="4" s="1"/>
  <c r="IX7" i="4" a="1"/>
  <c r="IX7" i="4" s="1"/>
  <c r="IW7" i="4" a="1"/>
  <c r="IW7" i="4" s="1"/>
  <c r="IW18" i="4" s="1"/>
  <c r="IV7" i="4"/>
  <c r="IU7" i="4"/>
  <c r="IT7" i="4"/>
  <c r="IR7" i="4" a="1"/>
  <c r="IR7" i="4" s="1"/>
  <c r="IQ7" i="4" a="1"/>
  <c r="IQ7" i="4" s="1"/>
  <c r="IP7" i="4" a="1"/>
  <c r="IP7" i="4" s="1"/>
  <c r="IO7" i="4" a="1"/>
  <c r="IO7" i="4" s="1"/>
  <c r="IN7" i="4"/>
  <c r="IM7" i="4"/>
  <c r="IL7" i="4"/>
  <c r="KF6" i="4"/>
  <c r="KF15" i="4" s="1"/>
  <c r="JY15" i="4" s="1"/>
  <c r="KE6" i="4"/>
  <c r="KD6" i="4"/>
  <c r="KC6" i="4"/>
  <c r="KB6" i="4"/>
  <c r="KA6" i="4"/>
  <c r="JZ6" i="4"/>
  <c r="JX6" i="4"/>
  <c r="JW6" i="4"/>
  <c r="JV6" i="4"/>
  <c r="JU6" i="4"/>
  <c r="JT6" i="4"/>
  <c r="JS6" i="4"/>
  <c r="JR6" i="4"/>
  <c r="JP6" i="4"/>
  <c r="JO6" i="4"/>
  <c r="JN6" i="4"/>
  <c r="JM6" i="4"/>
  <c r="JL6" i="4"/>
  <c r="JL16" i="4" s="1"/>
  <c r="JL36" i="4" s="1"/>
  <c r="JK6" i="4"/>
  <c r="JK16" i="4" s="1"/>
  <c r="JK36" i="4" s="1"/>
  <c r="JJ6" i="4"/>
  <c r="JH6" i="4"/>
  <c r="JH15" i="4" s="1"/>
  <c r="JH35" i="4" s="1"/>
  <c r="JG6" i="4"/>
  <c r="JF6" i="4"/>
  <c r="JE6" i="4"/>
  <c r="JD6" i="4"/>
  <c r="JC6" i="4"/>
  <c r="JB6" i="4"/>
  <c r="IZ6" i="4"/>
  <c r="IZ15" i="4" s="1"/>
  <c r="IY6" i="4"/>
  <c r="IX6" i="4"/>
  <c r="IW6" i="4"/>
  <c r="IV6" i="4"/>
  <c r="IU6" i="4"/>
  <c r="IT6" i="4"/>
  <c r="IR6" i="4"/>
  <c r="IR15" i="4" s="1"/>
  <c r="IQ6" i="4"/>
  <c r="IP6" i="4"/>
  <c r="IO6" i="4"/>
  <c r="IN6" i="4"/>
  <c r="IM6" i="4"/>
  <c r="IL6" i="4"/>
  <c r="KF5" i="4" a="1"/>
  <c r="KF5" i="4" s="1"/>
  <c r="KE5" i="4" a="1"/>
  <c r="KE5" i="4" s="1"/>
  <c r="KE14" i="4" s="1"/>
  <c r="KE13" i="4" s="1"/>
  <c r="KD5" i="4" a="1"/>
  <c r="KD5" i="4" s="1"/>
  <c r="KD14" i="4" s="1"/>
  <c r="KC5" i="4" a="1"/>
  <c r="KC5" i="4" s="1"/>
  <c r="KC14" i="4" s="1"/>
  <c r="KB5" i="4"/>
  <c r="KB14" i="4" s="1"/>
  <c r="KB13" i="4" s="1"/>
  <c r="KA5" i="4"/>
  <c r="JZ5" i="4"/>
  <c r="JX5" i="4" a="1"/>
  <c r="JX5" i="4" s="1"/>
  <c r="JW5" i="4" a="1"/>
  <c r="JW5" i="4" s="1"/>
  <c r="JV5" i="4" a="1"/>
  <c r="JV5" i="4" s="1"/>
  <c r="JU5" i="4" a="1"/>
  <c r="JU5" i="4" s="1"/>
  <c r="JU14" i="4" s="1"/>
  <c r="JU13" i="4" s="1"/>
  <c r="JT5" i="4"/>
  <c r="JT14" i="4" s="1"/>
  <c r="JS5" i="4"/>
  <c r="JS14" i="4" s="1"/>
  <c r="JR5" i="4"/>
  <c r="JP5" i="4" a="1"/>
  <c r="JP5" i="4" s="1"/>
  <c r="JO5" i="4" a="1"/>
  <c r="JO5" i="4" s="1"/>
  <c r="JN5" i="4" a="1"/>
  <c r="JN5" i="4" s="1"/>
  <c r="JM5" i="4" a="1"/>
  <c r="JM5" i="4" s="1"/>
  <c r="JL5" i="4"/>
  <c r="JK5" i="4"/>
  <c r="JJ5" i="4"/>
  <c r="JJ14" i="4" s="1"/>
  <c r="JJ13" i="4" s="1"/>
  <c r="JH5" i="4" a="1"/>
  <c r="JH5" i="4" s="1"/>
  <c r="JG5" i="4" a="1"/>
  <c r="JG5" i="4" s="1"/>
  <c r="JG14" i="4" s="1"/>
  <c r="JG13" i="4" s="1"/>
  <c r="JF5" i="4" a="1"/>
  <c r="JF5" i="4" s="1"/>
  <c r="JF14" i="4" s="1"/>
  <c r="JE5" i="4" a="1"/>
  <c r="JE5" i="4" s="1"/>
  <c r="JD5" i="4"/>
  <c r="JC5" i="4"/>
  <c r="JC14" i="4" s="1"/>
  <c r="JC13" i="4" s="1"/>
  <c r="JB5" i="4"/>
  <c r="JB14" i="4" s="1"/>
  <c r="IZ5" i="4" a="1"/>
  <c r="IZ5" i="4" s="1"/>
  <c r="IZ14" i="4" s="1"/>
  <c r="IY5" i="4" a="1"/>
  <c r="IY5" i="4" s="1"/>
  <c r="IY4" i="4" s="1"/>
  <c r="IX5" i="4" a="1"/>
  <c r="IX5" i="4" s="1"/>
  <c r="IW5" i="4" a="1"/>
  <c r="IW5" i="4" s="1"/>
  <c r="IV5" i="4"/>
  <c r="IV14" i="4" s="1"/>
  <c r="IV13" i="4" s="1"/>
  <c r="IU5" i="4"/>
  <c r="IU14" i="4" s="1"/>
  <c r="IT5" i="4"/>
  <c r="IT14" i="4" s="1"/>
  <c r="IT13" i="4" s="1"/>
  <c r="IR5" i="4" a="1"/>
  <c r="IR5" i="4" s="1"/>
  <c r="IQ5" i="4" a="1"/>
  <c r="IQ5" i="4" s="1"/>
  <c r="IQ14" i="4" s="1"/>
  <c r="IQ13" i="4" s="1"/>
  <c r="IP5" i="4" a="1"/>
  <c r="IP5" i="4" s="1"/>
  <c r="IO5" i="4" a="1"/>
  <c r="IO5" i="4" s="1"/>
  <c r="IO14" i="4" s="1"/>
  <c r="IO13" i="4" s="1"/>
  <c r="IN5" i="4"/>
  <c r="IN14" i="4" s="1"/>
  <c r="IN13" i="4" s="1"/>
  <c r="IM5" i="4"/>
  <c r="IL5" i="4"/>
  <c r="IL14" i="4" s="1"/>
  <c r="IC32" i="4"/>
  <c r="HU32" i="4"/>
  <c r="HM32" i="4"/>
  <c r="HE32" i="4"/>
  <c r="GW32" i="4"/>
  <c r="GO32" i="4"/>
  <c r="IC28" i="4"/>
  <c r="HU28" i="4"/>
  <c r="HM28" i="4"/>
  <c r="HE28" i="4"/>
  <c r="GW28" i="4"/>
  <c r="GO28" i="4"/>
  <c r="IC27" i="4"/>
  <c r="HU27" i="4"/>
  <c r="HM27" i="4"/>
  <c r="HE27" i="4"/>
  <c r="GW27" i="4"/>
  <c r="GO27" i="4"/>
  <c r="IC26" i="4"/>
  <c r="HU26" i="4"/>
  <c r="HM26" i="4"/>
  <c r="HE26" i="4"/>
  <c r="GO26" i="4"/>
  <c r="IC25" i="4"/>
  <c r="HU25" i="4"/>
  <c r="HE25" i="4"/>
  <c r="GW25" i="4"/>
  <c r="GO25" i="4"/>
  <c r="IJ8" i="4"/>
  <c r="IJ20" i="4" s="1"/>
  <c r="II8" i="4"/>
  <c r="II19" i="4" s="1"/>
  <c r="IH8" i="4"/>
  <c r="IH19" i="4" s="1"/>
  <c r="IG8" i="4"/>
  <c r="IG20" i="4" s="1"/>
  <c r="IF8" i="4"/>
  <c r="IE8" i="4"/>
  <c r="ID8" i="4"/>
  <c r="IB8" i="4"/>
  <c r="IB20" i="4" s="1"/>
  <c r="IA8" i="4"/>
  <c r="IA19" i="4" s="1"/>
  <c r="HZ8" i="4"/>
  <c r="HY8" i="4"/>
  <c r="HX8" i="4"/>
  <c r="HW8" i="4"/>
  <c r="HW19" i="4" s="1"/>
  <c r="HV8" i="4"/>
  <c r="HV20" i="4" s="1"/>
  <c r="HT8" i="4"/>
  <c r="HS8" i="4"/>
  <c r="HS19" i="4" s="1"/>
  <c r="HR8" i="4"/>
  <c r="HR20" i="4" s="1"/>
  <c r="HQ8" i="4"/>
  <c r="HP8" i="4"/>
  <c r="HO8" i="4"/>
  <c r="HN8" i="4"/>
  <c r="HN20" i="4" s="1"/>
  <c r="HL8" i="4"/>
  <c r="HL20" i="4" s="1"/>
  <c r="HK8" i="4"/>
  <c r="HJ8" i="4"/>
  <c r="HJ20" i="4" s="1"/>
  <c r="HI8" i="4"/>
  <c r="HH8" i="4"/>
  <c r="HG8" i="4"/>
  <c r="HF8" i="4"/>
  <c r="HF19" i="4" s="1"/>
  <c r="HD8" i="4"/>
  <c r="HD20" i="4" s="1"/>
  <c r="HC8" i="4"/>
  <c r="HB8" i="4"/>
  <c r="HA8" i="4"/>
  <c r="HA11" i="4" s="1"/>
  <c r="GZ8" i="4"/>
  <c r="GY8" i="4"/>
  <c r="GX8" i="4"/>
  <c r="GX19" i="4" s="1"/>
  <c r="GV8" i="4"/>
  <c r="GV20" i="4" s="1"/>
  <c r="GU8" i="4"/>
  <c r="GU20" i="4" s="1"/>
  <c r="GT8" i="4"/>
  <c r="GT20" i="4" s="1"/>
  <c r="GS8" i="4"/>
  <c r="GR8" i="4"/>
  <c r="GR19" i="4" s="1"/>
  <c r="GQ8" i="4"/>
  <c r="GQ19" i="4" s="1"/>
  <c r="GP8" i="4"/>
  <c r="GP20" i="4" s="1"/>
  <c r="IJ7" i="4" a="1"/>
  <c r="IJ7" i="4" s="1"/>
  <c r="II7" i="4" a="1"/>
  <c r="II7" i="4" s="1"/>
  <c r="IH7" i="4" a="1"/>
  <c r="IH7" i="4" s="1"/>
  <c r="IG7" i="4" a="1"/>
  <c r="IG7" i="4" s="1"/>
  <c r="IF7" i="4"/>
  <c r="IE7" i="4"/>
  <c r="ID7" i="4"/>
  <c r="IB7" i="4" a="1"/>
  <c r="IB7" i="4" s="1"/>
  <c r="IA7" i="4" a="1"/>
  <c r="IA7" i="4" s="1"/>
  <c r="HZ7" i="4" a="1"/>
  <c r="HZ7" i="4" s="1"/>
  <c r="HY7" i="4" a="1"/>
  <c r="HY7" i="4" s="1"/>
  <c r="HX7" i="4"/>
  <c r="HW7" i="4"/>
  <c r="HV7" i="4"/>
  <c r="HT7" i="4" a="1"/>
  <c r="HT7" i="4" s="1"/>
  <c r="HS7" i="4" a="1"/>
  <c r="HS7" i="4" s="1"/>
  <c r="HR7" i="4" a="1"/>
  <c r="HR7" i="4" s="1"/>
  <c r="HQ7" i="4" a="1"/>
  <c r="HQ7" i="4" s="1"/>
  <c r="HP7" i="4"/>
  <c r="HO7" i="4"/>
  <c r="HN7" i="4"/>
  <c r="HL7" i="4" a="1"/>
  <c r="HL7" i="4" s="1"/>
  <c r="HK7" i="4" a="1"/>
  <c r="HK7" i="4" s="1"/>
  <c r="HJ7" i="4" a="1"/>
  <c r="HJ7" i="4" s="1"/>
  <c r="HI7" i="4" a="1"/>
  <c r="HI7" i="4" s="1"/>
  <c r="HH7" i="4"/>
  <c r="HG7" i="4"/>
  <c r="HF7" i="4"/>
  <c r="HD7" i="4" a="1"/>
  <c r="HD7" i="4" s="1"/>
  <c r="HC7" i="4" a="1"/>
  <c r="HC7" i="4" s="1"/>
  <c r="HB7" i="4" a="1"/>
  <c r="HB7" i="4" s="1"/>
  <c r="HA7" i="4" a="1"/>
  <c r="HA7" i="4" s="1"/>
  <c r="GZ7" i="4"/>
  <c r="GY7" i="4"/>
  <c r="GX7" i="4"/>
  <c r="GV7" i="4" a="1"/>
  <c r="GV7" i="4" s="1"/>
  <c r="GU7" i="4" a="1"/>
  <c r="GU7" i="4" s="1"/>
  <c r="GT7" i="4" a="1"/>
  <c r="GT7" i="4" s="1"/>
  <c r="GS7" i="4" a="1"/>
  <c r="GS7" i="4" s="1"/>
  <c r="GR7" i="4"/>
  <c r="GQ7" i="4"/>
  <c r="GP7" i="4"/>
  <c r="GP18" i="4" s="1"/>
  <c r="IJ6" i="4"/>
  <c r="II6" i="4"/>
  <c r="IH6" i="4"/>
  <c r="IG6" i="4"/>
  <c r="IF6" i="4"/>
  <c r="IE6" i="4"/>
  <c r="IE16" i="4" s="1"/>
  <c r="ID6" i="4"/>
  <c r="IB6" i="4"/>
  <c r="IA6" i="4"/>
  <c r="HZ6" i="4"/>
  <c r="HY6" i="4"/>
  <c r="HX6" i="4"/>
  <c r="HW6" i="4"/>
  <c r="HV6" i="4"/>
  <c r="HT6" i="4"/>
  <c r="HS6" i="4"/>
  <c r="HR6" i="4"/>
  <c r="HQ6" i="4"/>
  <c r="HQ16" i="4" s="1"/>
  <c r="HP6" i="4"/>
  <c r="HO6" i="4"/>
  <c r="HN6" i="4"/>
  <c r="HL6" i="4"/>
  <c r="HK6" i="4"/>
  <c r="HJ6" i="4"/>
  <c r="HI6" i="4"/>
  <c r="HH6" i="4"/>
  <c r="HG6" i="4"/>
  <c r="HG16" i="4" s="1"/>
  <c r="HF6" i="4"/>
  <c r="HD6" i="4"/>
  <c r="HD15" i="4" s="1"/>
  <c r="HC6" i="4"/>
  <c r="HC39" i="4" s="1"/>
  <c r="HB6" i="4"/>
  <c r="HB38" i="4" s="1"/>
  <c r="HA6" i="4"/>
  <c r="HA39" i="4" s="1"/>
  <c r="GZ6" i="4"/>
  <c r="GZ16" i="4" s="1"/>
  <c r="GY6" i="4"/>
  <c r="GY15" i="4" s="1"/>
  <c r="GX6" i="4"/>
  <c r="GX39" i="4" s="1"/>
  <c r="GV6" i="4"/>
  <c r="GV15" i="4" s="1"/>
  <c r="GU6" i="4"/>
  <c r="GT6" i="4"/>
  <c r="GT39" i="4" s="1"/>
  <c r="GS6" i="4"/>
  <c r="GS16" i="4" s="1"/>
  <c r="GR6" i="4"/>
  <c r="GR39" i="4" s="1"/>
  <c r="GQ6" i="4"/>
  <c r="GQ38" i="4" s="1"/>
  <c r="GP6" i="4"/>
  <c r="IJ5" i="4" a="1"/>
  <c r="IJ5" i="4" s="1"/>
  <c r="IJ14" i="4" s="1"/>
  <c r="II5" i="4" a="1"/>
  <c r="II5" i="4" s="1"/>
  <c r="II14" i="4" s="1"/>
  <c r="II13" i="4" s="1"/>
  <c r="IH5" i="4" a="1"/>
  <c r="IH5" i="4" s="1"/>
  <c r="IG5" i="4" a="1"/>
  <c r="IG5" i="4" s="1"/>
  <c r="IF5" i="4"/>
  <c r="IF14" i="4" s="1"/>
  <c r="IE5" i="4"/>
  <c r="IE14" i="4" s="1"/>
  <c r="ID5" i="4"/>
  <c r="ID4" i="4" s="1"/>
  <c r="IB5" i="4" a="1"/>
  <c r="IB5" i="4" s="1"/>
  <c r="IB14" i="4" s="1"/>
  <c r="IA5" i="4" a="1"/>
  <c r="IA5" i="4" s="1"/>
  <c r="HZ5" i="4" a="1"/>
  <c r="HZ5" i="4" s="1"/>
  <c r="HY5" i="4" a="1"/>
  <c r="HY5" i="4" s="1"/>
  <c r="HY14" i="4" s="1"/>
  <c r="HX5" i="4"/>
  <c r="HW5" i="4"/>
  <c r="HV5" i="4"/>
  <c r="HV14" i="4" s="1"/>
  <c r="HT5" i="4" a="1"/>
  <c r="HT5" i="4" s="1"/>
  <c r="HT14" i="4" s="1"/>
  <c r="HS5" i="4" a="1"/>
  <c r="HS5" i="4" s="1"/>
  <c r="HR5" i="4" a="1"/>
  <c r="HR5" i="4" s="1"/>
  <c r="HR14" i="4" s="1"/>
  <c r="HQ5" i="4" a="1"/>
  <c r="HQ5" i="4" s="1"/>
  <c r="HP5" i="4"/>
  <c r="HP14" i="4" s="1"/>
  <c r="HO5" i="4"/>
  <c r="HO14" i="4" s="1"/>
  <c r="HN5" i="4"/>
  <c r="HN14" i="4" s="1"/>
  <c r="HL5" i="4" a="1"/>
  <c r="HL5" i="4" s="1"/>
  <c r="HL14" i="4" s="1"/>
  <c r="HL13" i="4" s="1"/>
  <c r="HK5" i="4" a="1"/>
  <c r="HK5" i="4" s="1"/>
  <c r="HK14" i="4" s="1"/>
  <c r="HK13" i="4" s="1"/>
  <c r="HJ5" i="4" a="1"/>
  <c r="HJ5" i="4" s="1"/>
  <c r="HJ14" i="4" s="1"/>
  <c r="HI5" i="4" a="1"/>
  <c r="HI5" i="4" s="1"/>
  <c r="HH5" i="4"/>
  <c r="HH14" i="4" s="1"/>
  <c r="HG5" i="4"/>
  <c r="HG14" i="4" s="1"/>
  <c r="HF5" i="4"/>
  <c r="HD5" i="4" a="1"/>
  <c r="HD5" i="4" s="1"/>
  <c r="HC5" i="4" a="1"/>
  <c r="HC5" i="4" s="1"/>
  <c r="HC14" i="4" s="1"/>
  <c r="HB5" i="4" a="1"/>
  <c r="HB5" i="4" s="1"/>
  <c r="HA5" i="4" a="1"/>
  <c r="HA5" i="4" s="1"/>
  <c r="GZ5" i="4"/>
  <c r="GY5" i="4"/>
  <c r="GX5" i="4"/>
  <c r="GV5" i="4" a="1"/>
  <c r="GV5" i="4" s="1"/>
  <c r="GU5" i="4" a="1"/>
  <c r="GU5" i="4" s="1"/>
  <c r="GT5" i="4" a="1"/>
  <c r="GT5" i="4" s="1"/>
  <c r="GT14" i="4" s="1"/>
  <c r="GS5" i="4" a="1"/>
  <c r="GS5" i="4" s="1"/>
  <c r="GS14" i="4" s="1"/>
  <c r="GR5" i="4"/>
  <c r="GR14" i="4" s="1"/>
  <c r="GR13" i="4" s="1"/>
  <c r="GQ5" i="4"/>
  <c r="GQ14" i="4" s="1"/>
  <c r="GP5" i="4"/>
  <c r="GG32" i="4"/>
  <c r="FY32" i="4"/>
  <c r="FQ32" i="4"/>
  <c r="FI32" i="4"/>
  <c r="FA32" i="4"/>
  <c r="ES32" i="4"/>
  <c r="GG28" i="4"/>
  <c r="FY28" i="4"/>
  <c r="FQ28" i="4"/>
  <c r="FI28" i="4"/>
  <c r="FA28" i="4"/>
  <c r="ES28" i="4"/>
  <c r="GG27" i="4"/>
  <c r="FY27" i="4"/>
  <c r="FQ27" i="4"/>
  <c r="FI27" i="4"/>
  <c r="FA27" i="4"/>
  <c r="ES27" i="4"/>
  <c r="FQ26" i="4"/>
  <c r="FI26" i="4"/>
  <c r="FA26" i="4"/>
  <c r="ES26" i="4"/>
  <c r="FQ25" i="4"/>
  <c r="FI25" i="4"/>
  <c r="FA25" i="4"/>
  <c r="ES25" i="4"/>
  <c r="GN8" i="4"/>
  <c r="GN20" i="4" s="1"/>
  <c r="GM8" i="4"/>
  <c r="GM20" i="4" s="1"/>
  <c r="GL8" i="4"/>
  <c r="GL20" i="4" s="1"/>
  <c r="GK8" i="4"/>
  <c r="GJ8" i="4"/>
  <c r="GJ20" i="4" s="1"/>
  <c r="GI8" i="4"/>
  <c r="GI19" i="4" s="1"/>
  <c r="GH8" i="4"/>
  <c r="GH20" i="4" s="1"/>
  <c r="GF8" i="4"/>
  <c r="GE8" i="4"/>
  <c r="GE20" i="4" s="1"/>
  <c r="GD8" i="4"/>
  <c r="GD19" i="4" s="1"/>
  <c r="GC8" i="4"/>
  <c r="GC19" i="4" s="1"/>
  <c r="GB8" i="4"/>
  <c r="GA8" i="4"/>
  <c r="GA19" i="4" s="1"/>
  <c r="FZ8" i="4"/>
  <c r="FZ11" i="4" s="1"/>
  <c r="FX8" i="4"/>
  <c r="FX19" i="4" s="1"/>
  <c r="FW8" i="4"/>
  <c r="FW20" i="4" s="1"/>
  <c r="FV8" i="4"/>
  <c r="FV19" i="4" s="1"/>
  <c r="FU8" i="4"/>
  <c r="FU19" i="4" s="1"/>
  <c r="FT8" i="4"/>
  <c r="FT19" i="4" s="1"/>
  <c r="FS8" i="4"/>
  <c r="FR8" i="4"/>
  <c r="FR19" i="4" s="1"/>
  <c r="FP8" i="4"/>
  <c r="FP20" i="4" s="1"/>
  <c r="FO8" i="4"/>
  <c r="FO19" i="4" s="1"/>
  <c r="FN8" i="4"/>
  <c r="FN20" i="4" s="1"/>
  <c r="FM8" i="4"/>
  <c r="FL8" i="4"/>
  <c r="FL19" i="4" s="1"/>
  <c r="FK8" i="4"/>
  <c r="FJ8" i="4"/>
  <c r="FH8" i="4"/>
  <c r="FH20" i="4" s="1"/>
  <c r="FG8" i="4"/>
  <c r="FG20" i="4" s="1"/>
  <c r="FF8" i="4"/>
  <c r="FF20" i="4" s="1"/>
  <c r="FE8" i="4"/>
  <c r="FE20" i="4" s="1"/>
  <c r="FD8" i="4"/>
  <c r="FD20" i="4" s="1"/>
  <c r="FC8" i="4"/>
  <c r="FB8" i="4"/>
  <c r="EZ8" i="4"/>
  <c r="EY8" i="4"/>
  <c r="EY20" i="4" s="1"/>
  <c r="EX8" i="4"/>
  <c r="EX19" i="4" s="1"/>
  <c r="EW8" i="4"/>
  <c r="EW19" i="4" s="1"/>
  <c r="EV8" i="4"/>
  <c r="EV20" i="4" s="1"/>
  <c r="EU8" i="4"/>
  <c r="ET8" i="4"/>
  <c r="GN7" i="4" a="1"/>
  <c r="GN7" i="4" s="1"/>
  <c r="GM7" i="4" a="1"/>
  <c r="GM7" i="4" s="1"/>
  <c r="GL7" i="4" a="1"/>
  <c r="GL7" i="4" s="1"/>
  <c r="GK7" i="4" a="1"/>
  <c r="GK7" i="4" s="1"/>
  <c r="GJ7" i="4"/>
  <c r="GI7" i="4"/>
  <c r="GH7" i="4"/>
  <c r="GF7" i="4" a="1"/>
  <c r="GF7" i="4" s="1"/>
  <c r="GE7" i="4" a="1"/>
  <c r="GE7" i="4" s="1"/>
  <c r="GD7" i="4" a="1"/>
  <c r="GD7" i="4" s="1"/>
  <c r="GC7" i="4" a="1"/>
  <c r="GC7" i="4" s="1"/>
  <c r="GB7" i="4"/>
  <c r="GA7" i="4"/>
  <c r="GA18" i="4" s="1"/>
  <c r="FZ7" i="4"/>
  <c r="FX7" i="4" a="1"/>
  <c r="FX7" i="4" s="1"/>
  <c r="FW7" i="4" a="1"/>
  <c r="FW7" i="4" s="1"/>
  <c r="FV7" i="4" a="1"/>
  <c r="FV7" i="4" s="1"/>
  <c r="FU7" i="4" a="1"/>
  <c r="FU7" i="4" s="1"/>
  <c r="FT7" i="4"/>
  <c r="FS7" i="4"/>
  <c r="FR7" i="4"/>
  <c r="FP7" i="4" a="1"/>
  <c r="FP7" i="4" s="1"/>
  <c r="FO7" i="4" a="1"/>
  <c r="FO7" i="4" s="1"/>
  <c r="FN7" i="4" a="1"/>
  <c r="FN7" i="4" s="1"/>
  <c r="FN18" i="4" s="1"/>
  <c r="FM7" i="4" a="1"/>
  <c r="FM7" i="4" s="1"/>
  <c r="FL7" i="4"/>
  <c r="FK7" i="4"/>
  <c r="FJ7" i="4"/>
  <c r="FH7" i="4" a="1"/>
  <c r="FH7" i="4" s="1"/>
  <c r="FG7" i="4" a="1"/>
  <c r="FG7" i="4" s="1"/>
  <c r="FG18" i="4" s="1"/>
  <c r="FF7" i="4" a="1"/>
  <c r="FF7" i="4" s="1"/>
  <c r="FE7" i="4" a="1"/>
  <c r="FE7" i="4" s="1"/>
  <c r="FE18" i="4" s="1"/>
  <c r="FD7" i="4"/>
  <c r="FC7" i="4"/>
  <c r="FB7" i="4"/>
  <c r="EZ7" i="4" a="1"/>
  <c r="EZ7" i="4" s="1"/>
  <c r="EY7" i="4" a="1"/>
  <c r="EY7" i="4" s="1"/>
  <c r="EX7" i="4" a="1"/>
  <c r="EX7" i="4" s="1"/>
  <c r="EW7" i="4" a="1"/>
  <c r="EW7" i="4" s="1"/>
  <c r="EW18" i="4" s="1"/>
  <c r="EV7" i="4"/>
  <c r="EU7" i="4"/>
  <c r="ET7" i="4"/>
  <c r="GN6" i="4"/>
  <c r="GN15" i="4" s="1"/>
  <c r="GM6" i="4"/>
  <c r="GM11" i="4" s="1"/>
  <c r="GL6" i="4"/>
  <c r="GK6" i="4"/>
  <c r="GK15" i="4" s="1"/>
  <c r="GJ6" i="4"/>
  <c r="GI6" i="4"/>
  <c r="GH6" i="4"/>
  <c r="GF6" i="4"/>
  <c r="GF15" i="4" s="1"/>
  <c r="GE6" i="4"/>
  <c r="GD6" i="4"/>
  <c r="GC6" i="4"/>
  <c r="GC16" i="4" s="1"/>
  <c r="GC36" i="4" s="1"/>
  <c r="GB6" i="4"/>
  <c r="GA6" i="4"/>
  <c r="FZ6" i="4"/>
  <c r="FZ15" i="4" s="1"/>
  <c r="FZ35" i="4" s="1"/>
  <c r="FX6" i="4"/>
  <c r="FW6" i="4"/>
  <c r="FV6" i="4"/>
  <c r="FV16" i="4" s="1"/>
  <c r="FU6" i="4"/>
  <c r="FU11" i="4" s="1"/>
  <c r="FT6" i="4"/>
  <c r="FS6" i="4"/>
  <c r="FR6" i="4"/>
  <c r="FP6" i="4"/>
  <c r="FP15" i="4" s="1"/>
  <c r="FO6" i="4"/>
  <c r="FN6" i="4"/>
  <c r="FM6" i="4"/>
  <c r="FM15" i="4" s="1"/>
  <c r="FL6" i="4"/>
  <c r="FL11" i="4" s="1"/>
  <c r="FK6" i="4"/>
  <c r="FJ6" i="4"/>
  <c r="FH6" i="4"/>
  <c r="FG6" i="4"/>
  <c r="FF6" i="4"/>
  <c r="FE6" i="4"/>
  <c r="FD6" i="4"/>
  <c r="FC6" i="4"/>
  <c r="FB6" i="4"/>
  <c r="EZ6" i="4"/>
  <c r="EZ15" i="4" s="1"/>
  <c r="ES15" i="4" s="1"/>
  <c r="EY6" i="4"/>
  <c r="EX6" i="4"/>
  <c r="EW6" i="4"/>
  <c r="EV6" i="4"/>
  <c r="EU6" i="4"/>
  <c r="ET6" i="4"/>
  <c r="GN5" i="4" a="1"/>
  <c r="GN5" i="4" s="1"/>
  <c r="GM5" i="4" a="1"/>
  <c r="GM5" i="4" s="1"/>
  <c r="GL5" i="4" a="1"/>
  <c r="GL5" i="4" s="1"/>
  <c r="GL14" i="4" s="1"/>
  <c r="GL13" i="4" s="1"/>
  <c r="GK5" i="4" a="1"/>
  <c r="GK5" i="4" s="1"/>
  <c r="GJ5" i="4"/>
  <c r="GI5" i="4"/>
  <c r="GH5" i="4"/>
  <c r="GF5" i="4" a="1"/>
  <c r="GF5" i="4" s="1"/>
  <c r="GF14" i="4" s="1"/>
  <c r="GE5" i="4" a="1"/>
  <c r="GE5" i="4" s="1"/>
  <c r="GE14" i="4" s="1"/>
  <c r="GD5" i="4" a="1"/>
  <c r="GD5" i="4" s="1"/>
  <c r="GC5" i="4" a="1"/>
  <c r="GC5" i="4" s="1"/>
  <c r="GC14" i="4" s="1"/>
  <c r="GB5" i="4"/>
  <c r="GB14" i="4" s="1"/>
  <c r="GB13" i="4" s="1"/>
  <c r="GA5" i="4"/>
  <c r="FZ5" i="4"/>
  <c r="FZ14" i="4" s="1"/>
  <c r="FX5" i="4" a="1"/>
  <c r="FX5" i="4" s="1"/>
  <c r="FX14" i="4" s="1"/>
  <c r="FW5" i="4" a="1"/>
  <c r="FW5" i="4" s="1"/>
  <c r="FV5" i="4" a="1"/>
  <c r="FV5" i="4" s="1"/>
  <c r="FV14" i="4" s="1"/>
  <c r="FU5" i="4" a="1"/>
  <c r="FU5" i="4" s="1"/>
  <c r="FT5" i="4"/>
  <c r="FT14" i="4" s="1"/>
  <c r="FS5" i="4"/>
  <c r="FS14" i="4" s="1"/>
  <c r="FR5" i="4"/>
  <c r="FP5" i="4" a="1"/>
  <c r="FP5" i="4" s="1"/>
  <c r="FO5" i="4" a="1"/>
  <c r="FO5" i="4" s="1"/>
  <c r="FO14" i="4" s="1"/>
  <c r="FO13" i="4" s="1"/>
  <c r="FN5" i="4" a="1"/>
  <c r="FN5" i="4" s="1"/>
  <c r="FM5" i="4" a="1"/>
  <c r="FM5" i="4" s="1"/>
  <c r="FL5" i="4"/>
  <c r="FL14" i="4" s="1"/>
  <c r="FL13" i="4" s="1"/>
  <c r="FK5" i="4"/>
  <c r="FK14" i="4" s="1"/>
  <c r="FK13" i="4" s="1"/>
  <c r="FJ5" i="4"/>
  <c r="FJ14" i="4" s="1"/>
  <c r="FH5" i="4" a="1"/>
  <c r="FH5" i="4" s="1"/>
  <c r="FG5" i="4" a="1"/>
  <c r="FG5" i="4" s="1"/>
  <c r="FF5" i="4" a="1"/>
  <c r="FF5" i="4" s="1"/>
  <c r="FE5" i="4" a="1"/>
  <c r="FE5" i="4" s="1"/>
  <c r="FD5" i="4"/>
  <c r="FD14" i="4" s="1"/>
  <c r="FD13" i="4" s="1"/>
  <c r="FC5" i="4"/>
  <c r="FC14" i="4" s="1"/>
  <c r="FB5" i="4"/>
  <c r="FB14" i="4" s="1"/>
  <c r="EZ5" i="4" a="1"/>
  <c r="EZ5" i="4" s="1"/>
  <c r="EY5" i="4" a="1"/>
  <c r="EY5" i="4" s="1"/>
  <c r="EX5" i="4" a="1"/>
  <c r="EX5" i="4" s="1"/>
  <c r="EW5" i="4" a="1"/>
  <c r="EW5" i="4" s="1"/>
  <c r="EV5" i="4"/>
  <c r="EV14" i="4" s="1"/>
  <c r="EU5" i="4"/>
  <c r="EU14" i="4" s="1"/>
  <c r="EU13" i="4" s="1"/>
  <c r="ET5" i="4"/>
  <c r="ET14" i="4" s="1"/>
  <c r="EK32" i="4"/>
  <c r="EC32" i="4"/>
  <c r="DU32" i="4"/>
  <c r="CW32" i="4"/>
  <c r="EK28" i="4"/>
  <c r="EC28" i="4"/>
  <c r="DU28" i="4"/>
  <c r="CW28" i="4"/>
  <c r="EK27" i="4"/>
  <c r="EC27" i="4"/>
  <c r="DU27" i="4"/>
  <c r="CW27" i="4"/>
  <c r="EK26" i="4"/>
  <c r="EC26" i="4"/>
  <c r="DU26" i="4"/>
  <c r="CW26" i="4"/>
  <c r="EK25" i="4"/>
  <c r="EC25" i="4"/>
  <c r="DU25" i="4"/>
  <c r="CW25" i="4"/>
  <c r="ER8" i="4"/>
  <c r="ER20" i="4" s="1"/>
  <c r="EQ8" i="4"/>
  <c r="EQ20" i="4" s="1"/>
  <c r="EP8" i="4"/>
  <c r="EP20" i="4" s="1"/>
  <c r="EO8" i="4"/>
  <c r="EO19" i="4" s="1"/>
  <c r="EN8" i="4"/>
  <c r="EN19" i="4" s="1"/>
  <c r="EM8" i="4"/>
  <c r="EL8" i="4"/>
  <c r="EL19" i="4" s="1"/>
  <c r="EJ8" i="4"/>
  <c r="EI8" i="4"/>
  <c r="EI19" i="4" s="1"/>
  <c r="EH8" i="4"/>
  <c r="EH20" i="4" s="1"/>
  <c r="EG8" i="4"/>
  <c r="EG20" i="4" s="1"/>
  <c r="EF8" i="4"/>
  <c r="EF20" i="4" s="1"/>
  <c r="EE8" i="4"/>
  <c r="EE19" i="4" s="1"/>
  <c r="ED8" i="4"/>
  <c r="ED19" i="4" s="1"/>
  <c r="EB8" i="4"/>
  <c r="EB20" i="4" s="1"/>
  <c r="EA8" i="4"/>
  <c r="EA19" i="4" s="1"/>
  <c r="DZ8" i="4"/>
  <c r="DZ20" i="4" s="1"/>
  <c r="DY8" i="4"/>
  <c r="DY19" i="4" s="1"/>
  <c r="DX8" i="4"/>
  <c r="DX19" i="4" s="1"/>
  <c r="DW8" i="4"/>
  <c r="DV8" i="4"/>
  <c r="DT8" i="4"/>
  <c r="DT20" i="4" s="1"/>
  <c r="DS8" i="4"/>
  <c r="DS20" i="4" s="1"/>
  <c r="DR8" i="4"/>
  <c r="DQ8" i="4"/>
  <c r="DQ19" i="4" s="1"/>
  <c r="DP8" i="4"/>
  <c r="DP20" i="4" s="1"/>
  <c r="DO8" i="4"/>
  <c r="DO20" i="4" s="1"/>
  <c r="DN8" i="4"/>
  <c r="DN20" i="4" s="1"/>
  <c r="DL8" i="4"/>
  <c r="DK8" i="4"/>
  <c r="DK20" i="4" s="1"/>
  <c r="DJ8" i="4"/>
  <c r="DJ19" i="4" s="1"/>
  <c r="DI8" i="4"/>
  <c r="DH8" i="4"/>
  <c r="DH20" i="4" s="1"/>
  <c r="DG8" i="4"/>
  <c r="DG19" i="4" s="1"/>
  <c r="DF8" i="4"/>
  <c r="DF19" i="4" s="1"/>
  <c r="DD8" i="4"/>
  <c r="DD19" i="4" s="1"/>
  <c r="DC8" i="4"/>
  <c r="DC20" i="4" s="1"/>
  <c r="DB8" i="4"/>
  <c r="DB19" i="4" s="1"/>
  <c r="DA8" i="4"/>
  <c r="CZ8" i="4"/>
  <c r="CY8" i="4"/>
  <c r="CY19" i="4" s="1"/>
  <c r="CX8" i="4"/>
  <c r="CX19" i="4" s="1"/>
  <c r="ER7" i="4" a="1"/>
  <c r="ER7" i="4" s="1"/>
  <c r="EQ7" i="4" a="1"/>
  <c r="EQ7" i="4" s="1"/>
  <c r="EP7" i="4" a="1"/>
  <c r="EP7" i="4" s="1"/>
  <c r="EO7" i="4" a="1"/>
  <c r="EO7" i="4" s="1"/>
  <c r="EN7" i="4"/>
  <c r="EM7" i="4"/>
  <c r="EL7" i="4"/>
  <c r="EJ7" i="4" a="1"/>
  <c r="EJ7" i="4" s="1"/>
  <c r="EI7" i="4" a="1"/>
  <c r="EI7" i="4" s="1"/>
  <c r="EH7" i="4" a="1"/>
  <c r="EH7" i="4" s="1"/>
  <c r="EG7" i="4" a="1"/>
  <c r="EG7" i="4" s="1"/>
  <c r="EF7" i="4"/>
  <c r="EE7" i="4"/>
  <c r="ED7" i="4"/>
  <c r="EB7" i="4" a="1"/>
  <c r="EB7" i="4" s="1"/>
  <c r="EA7" i="4" a="1"/>
  <c r="EA7" i="4" s="1"/>
  <c r="DZ7" i="4" a="1"/>
  <c r="DZ7" i="4" s="1"/>
  <c r="DY7" i="4" a="1"/>
  <c r="DY7" i="4" s="1"/>
  <c r="DX7" i="4"/>
  <c r="DW7" i="4"/>
  <c r="DV7" i="4"/>
  <c r="DT7" i="4" a="1"/>
  <c r="DT7" i="4" s="1"/>
  <c r="DS7" i="4" a="1"/>
  <c r="DS7" i="4" s="1"/>
  <c r="DS18" i="4" s="1"/>
  <c r="DR7" i="4" a="1"/>
  <c r="DR7" i="4" s="1"/>
  <c r="DQ7" i="4" a="1"/>
  <c r="DQ7" i="4" s="1"/>
  <c r="DP7" i="4"/>
  <c r="DO7" i="4"/>
  <c r="DN7" i="4"/>
  <c r="DL7" i="4" a="1"/>
  <c r="DL7" i="4" s="1"/>
  <c r="DK7" i="4" a="1"/>
  <c r="DK7" i="4" s="1"/>
  <c r="DJ7" i="4" a="1"/>
  <c r="DJ7" i="4" s="1"/>
  <c r="DI7" i="4" a="1"/>
  <c r="DI7" i="4" s="1"/>
  <c r="DH7" i="4"/>
  <c r="DG7" i="4"/>
  <c r="DF7" i="4"/>
  <c r="DD7" i="4" a="1"/>
  <c r="DD7" i="4" s="1"/>
  <c r="DC7" i="4" a="1"/>
  <c r="DC7" i="4" s="1"/>
  <c r="DB7" i="4" a="1"/>
  <c r="DB7" i="4" s="1"/>
  <c r="DA7" i="4" a="1"/>
  <c r="DA7" i="4" s="1"/>
  <c r="CZ7" i="4"/>
  <c r="CY7" i="4"/>
  <c r="CX7" i="4"/>
  <c r="ER6" i="4"/>
  <c r="EQ6" i="4"/>
  <c r="EP6" i="4"/>
  <c r="EO6" i="4"/>
  <c r="EN6" i="4"/>
  <c r="EM6" i="4"/>
  <c r="EM15" i="4" s="1"/>
  <c r="EL6" i="4"/>
  <c r="EJ6" i="4"/>
  <c r="EI6" i="4"/>
  <c r="EH6" i="4"/>
  <c r="EG6" i="4"/>
  <c r="EF6" i="4"/>
  <c r="EE6" i="4"/>
  <c r="EE16" i="4" s="1"/>
  <c r="EC16" i="4" s="1"/>
  <c r="ED6" i="4"/>
  <c r="ED11" i="4" s="1"/>
  <c r="EB6" i="4"/>
  <c r="EA6" i="4"/>
  <c r="DZ6" i="4"/>
  <c r="DY6" i="4"/>
  <c r="DX6" i="4"/>
  <c r="DW6" i="4"/>
  <c r="DV6" i="4"/>
  <c r="DT6" i="4"/>
  <c r="DT11" i="4" s="1"/>
  <c r="DS6" i="4"/>
  <c r="DR6" i="4"/>
  <c r="DQ6" i="4"/>
  <c r="DP6" i="4"/>
  <c r="DO6" i="4"/>
  <c r="DN6" i="4"/>
  <c r="DL6" i="4"/>
  <c r="DK6" i="4"/>
  <c r="DJ6" i="4"/>
  <c r="DI6" i="4"/>
  <c r="DH6" i="4"/>
  <c r="DG6" i="4"/>
  <c r="DF6" i="4"/>
  <c r="DD6" i="4"/>
  <c r="DC6" i="4"/>
  <c r="DB6" i="4"/>
  <c r="DA6" i="4"/>
  <c r="CZ6" i="4"/>
  <c r="CY6" i="4"/>
  <c r="CX6" i="4"/>
  <c r="ER5" i="4" a="1"/>
  <c r="ER5" i="4" s="1"/>
  <c r="EQ5" i="4" a="1"/>
  <c r="EQ5" i="4" s="1"/>
  <c r="EQ14" i="4" s="1"/>
  <c r="EP5" i="4" a="1"/>
  <c r="EP5" i="4" s="1"/>
  <c r="EP14" i="4" s="1"/>
  <c r="EO5" i="4" a="1"/>
  <c r="EO5" i="4" s="1"/>
  <c r="EO14" i="4" s="1"/>
  <c r="EO13" i="4" s="1"/>
  <c r="EN5" i="4"/>
  <c r="EN14" i="4" s="1"/>
  <c r="EM5" i="4"/>
  <c r="EM14" i="4" s="1"/>
  <c r="EL5" i="4"/>
  <c r="EL14" i="4" s="1"/>
  <c r="EJ5" i="4" a="1"/>
  <c r="EJ5" i="4" s="1"/>
  <c r="EI5" i="4" a="1"/>
  <c r="EI5" i="4" s="1"/>
  <c r="EH5" i="4" a="1"/>
  <c r="EH5" i="4" s="1"/>
  <c r="EH14" i="4" s="1"/>
  <c r="EH13" i="4" s="1"/>
  <c r="EG5" i="4" a="1"/>
  <c r="EG5" i="4" s="1"/>
  <c r="EG14" i="4" s="1"/>
  <c r="EF5" i="4"/>
  <c r="EF14" i="4" s="1"/>
  <c r="EF13" i="4" s="1"/>
  <c r="EE5" i="4"/>
  <c r="ED5" i="4"/>
  <c r="ED14" i="4" s="1"/>
  <c r="EB5" i="4" a="1"/>
  <c r="EB5" i="4" s="1"/>
  <c r="EB14" i="4" s="1"/>
  <c r="EA5" i="4" a="1"/>
  <c r="EA5" i="4" s="1"/>
  <c r="EA14" i="4" s="1"/>
  <c r="DZ5" i="4" a="1"/>
  <c r="DZ5" i="4" s="1"/>
  <c r="DY5" i="4" a="1"/>
  <c r="DY5" i="4" s="1"/>
  <c r="DY14" i="4" s="1"/>
  <c r="DY13" i="4" s="1"/>
  <c r="DX5" i="4"/>
  <c r="DX14" i="4" s="1"/>
  <c r="DW5" i="4"/>
  <c r="DV5" i="4"/>
  <c r="DV14" i="4" s="1"/>
  <c r="DT5" i="4" a="1"/>
  <c r="DT5" i="4" s="1"/>
  <c r="DT14" i="4" s="1"/>
  <c r="DT13" i="4" s="1"/>
  <c r="DS5" i="4" a="1"/>
  <c r="DS5" i="4" s="1"/>
  <c r="DR5" i="4" a="1"/>
  <c r="DR5" i="4" s="1"/>
  <c r="DQ5" i="4" a="1"/>
  <c r="DQ5" i="4" s="1"/>
  <c r="DP5" i="4"/>
  <c r="DO5" i="4"/>
  <c r="DO14" i="4" s="1"/>
  <c r="DN5" i="4"/>
  <c r="DL5" i="4" a="1"/>
  <c r="DL5" i="4" s="1"/>
  <c r="DK5" i="4" a="1"/>
  <c r="DK5" i="4" s="1"/>
  <c r="DJ5" i="4" a="1"/>
  <c r="DJ5" i="4" s="1"/>
  <c r="DI5" i="4" a="1"/>
  <c r="DI5" i="4" s="1"/>
  <c r="DH5" i="4"/>
  <c r="DH14" i="4" s="1"/>
  <c r="DG5" i="4"/>
  <c r="DG14" i="4" s="1"/>
  <c r="DG13" i="4" s="1"/>
  <c r="DF5" i="4"/>
  <c r="DF14" i="4" s="1"/>
  <c r="DD5" i="4" a="1"/>
  <c r="DD5" i="4" s="1"/>
  <c r="DC5" i="4" a="1"/>
  <c r="DC5" i="4" s="1"/>
  <c r="DB5" i="4" a="1"/>
  <c r="DB5" i="4" s="1"/>
  <c r="DB14" i="4" s="1"/>
  <c r="DA5" i="4" a="1"/>
  <c r="DA5" i="4" s="1"/>
  <c r="DA14" i="4" s="1"/>
  <c r="DA13" i="4" s="1"/>
  <c r="CZ5" i="4"/>
  <c r="CZ14" i="4" s="1"/>
  <c r="CY5" i="4"/>
  <c r="CX5" i="4"/>
  <c r="CX14" i="4" s="1"/>
  <c r="CX13" i="4" s="1"/>
  <c r="CO32" i="4"/>
  <c r="CG32" i="4"/>
  <c r="BY32" i="4"/>
  <c r="BQ32" i="4"/>
  <c r="BI32" i="4"/>
  <c r="BA32" i="4"/>
  <c r="CO28" i="4"/>
  <c r="CG28" i="4"/>
  <c r="BY28" i="4"/>
  <c r="BQ28" i="4"/>
  <c r="BI28" i="4"/>
  <c r="CO27" i="4"/>
  <c r="CG27" i="4"/>
  <c r="BY27" i="4"/>
  <c r="BQ27" i="4"/>
  <c r="BI27" i="4"/>
  <c r="BA27" i="4"/>
  <c r="CO26" i="4"/>
  <c r="CG26" i="4"/>
  <c r="BY26" i="4"/>
  <c r="BQ26" i="4"/>
  <c r="BI26" i="4"/>
  <c r="BA26" i="4"/>
  <c r="CO25" i="4"/>
  <c r="CG25" i="4"/>
  <c r="BY25" i="4"/>
  <c r="BQ25" i="4"/>
  <c r="CF13" i="4"/>
  <c r="BX13" i="4"/>
  <c r="BP13" i="4"/>
  <c r="BH13" i="4"/>
  <c r="CV8" i="4"/>
  <c r="CU8" i="4"/>
  <c r="CT8" i="4"/>
  <c r="CT20" i="4" s="1"/>
  <c r="CS8" i="4"/>
  <c r="CS19" i="4" s="1"/>
  <c r="CR8" i="4"/>
  <c r="CR20" i="4" s="1"/>
  <c r="CQ8" i="4"/>
  <c r="CQ20" i="4" s="1"/>
  <c r="CP8" i="4"/>
  <c r="CP20" i="4" s="1"/>
  <c r="CN8" i="4"/>
  <c r="CN20" i="4" s="1"/>
  <c r="CM8" i="4"/>
  <c r="CL8" i="4"/>
  <c r="CL19" i="4" s="1"/>
  <c r="CK8" i="4"/>
  <c r="CK19" i="4" s="1"/>
  <c r="CI19" i="4"/>
  <c r="CF8" i="4"/>
  <c r="CF20" i="4" s="1"/>
  <c r="CE8" i="4"/>
  <c r="CE19" i="4" s="1"/>
  <c r="CD8" i="4"/>
  <c r="CC8" i="4"/>
  <c r="CB8" i="4"/>
  <c r="CB20" i="4" s="1"/>
  <c r="CA8" i="4"/>
  <c r="BZ8" i="4"/>
  <c r="BZ20" i="4" s="1"/>
  <c r="BX8" i="4"/>
  <c r="BX19" i="4" s="1"/>
  <c r="BW8" i="4"/>
  <c r="BW20" i="4" s="1"/>
  <c r="BV8" i="4"/>
  <c r="BU8" i="4"/>
  <c r="BU20" i="4" s="1"/>
  <c r="BT8" i="4"/>
  <c r="BT20" i="4" s="1"/>
  <c r="BS8" i="4"/>
  <c r="BR8" i="4"/>
  <c r="BR20" i="4" s="1"/>
  <c r="BP8" i="4"/>
  <c r="BP19" i="4" s="1"/>
  <c r="BO8" i="4"/>
  <c r="BO19" i="4" s="1"/>
  <c r="BN8" i="4"/>
  <c r="BN20" i="4" s="1"/>
  <c r="BM8" i="4"/>
  <c r="BL8" i="4"/>
  <c r="BL19" i="4" s="1"/>
  <c r="BK8" i="4"/>
  <c r="BJ8" i="4"/>
  <c r="BJ19" i="4" s="1"/>
  <c r="BH8" i="4"/>
  <c r="BH19" i="4" s="1"/>
  <c r="BG8" i="4"/>
  <c r="BG20" i="4" s="1"/>
  <c r="BF8" i="4"/>
  <c r="BF20" i="4" s="1"/>
  <c r="BE8" i="4"/>
  <c r="BD8" i="4"/>
  <c r="BD20" i="4" s="1"/>
  <c r="BC8" i="4"/>
  <c r="BC19" i="4" s="1"/>
  <c r="BB8" i="4"/>
  <c r="BB20" i="4" s="1"/>
  <c r="CV7" i="4" a="1"/>
  <c r="CV7" i="4" s="1"/>
  <c r="CU7" i="4" a="1"/>
  <c r="CU7" i="4" s="1"/>
  <c r="CT7" i="4" a="1"/>
  <c r="CT7" i="4" s="1"/>
  <c r="CS7" i="4" a="1"/>
  <c r="CS7" i="4" s="1"/>
  <c r="CS18" i="4" s="1"/>
  <c r="CR7" i="4"/>
  <c r="CQ7" i="4"/>
  <c r="CQ18" i="4" s="1"/>
  <c r="CP7" i="4"/>
  <c r="CN7" i="4" a="1"/>
  <c r="CN7" i="4" s="1"/>
  <c r="CM7" i="4" a="1"/>
  <c r="CM7" i="4" s="1"/>
  <c r="CL7" i="4" a="1"/>
  <c r="CL7" i="4" s="1"/>
  <c r="CK7" i="4" a="1"/>
  <c r="CK7" i="4" s="1"/>
  <c r="CJ7" i="4"/>
  <c r="CI7" i="4"/>
  <c r="CH7" i="4"/>
  <c r="CF7" i="4" a="1"/>
  <c r="CF7" i="4" s="1"/>
  <c r="CF18" i="4" s="1"/>
  <c r="CE7" i="4" a="1"/>
  <c r="CE7" i="4" s="1"/>
  <c r="CD7" i="4" a="1"/>
  <c r="CD7" i="4" s="1"/>
  <c r="CC7" i="4" a="1"/>
  <c r="CC7" i="4" s="1"/>
  <c r="CB7" i="4"/>
  <c r="CA7" i="4"/>
  <c r="BZ7" i="4"/>
  <c r="BX7" i="4" a="1"/>
  <c r="BX7" i="4" s="1"/>
  <c r="BX18" i="4" s="1"/>
  <c r="BW7" i="4" a="1"/>
  <c r="BW7" i="4" s="1"/>
  <c r="BV7" i="4" a="1"/>
  <c r="BV7" i="4" s="1"/>
  <c r="BU7" i="4" a="1"/>
  <c r="BU7" i="4" s="1"/>
  <c r="BT7" i="4"/>
  <c r="BT18" i="4" s="1"/>
  <c r="BS7" i="4"/>
  <c r="BR7" i="4"/>
  <c r="BP7" i="4" a="1"/>
  <c r="BP7" i="4" s="1"/>
  <c r="BP18" i="4" s="1"/>
  <c r="BO7" i="4" a="1"/>
  <c r="BO7" i="4" s="1"/>
  <c r="BO18" i="4" s="1"/>
  <c r="BN7" i="4" a="1"/>
  <c r="BN7" i="4" s="1"/>
  <c r="BN18" i="4" s="1"/>
  <c r="BM7" i="4" a="1"/>
  <c r="BM7" i="4" s="1"/>
  <c r="BL7" i="4"/>
  <c r="BK7" i="4"/>
  <c r="BJ7" i="4"/>
  <c r="BH7" i="4" a="1"/>
  <c r="BH7" i="4" s="1"/>
  <c r="BH18" i="4" s="1"/>
  <c r="BG7" i="4" a="1"/>
  <c r="BG7" i="4" s="1"/>
  <c r="BF7" i="4" a="1"/>
  <c r="BF7" i="4" s="1"/>
  <c r="BE7" i="4" a="1"/>
  <c r="BE7" i="4" s="1"/>
  <c r="BD7" i="4"/>
  <c r="BD18" i="4" s="1"/>
  <c r="BC7" i="4"/>
  <c r="BC18" i="4" s="1"/>
  <c r="BB7" i="4"/>
  <c r="CV6" i="4"/>
  <c r="CV4" i="4" s="1"/>
  <c r="CU6" i="4"/>
  <c r="CT6" i="4"/>
  <c r="CS6" i="4"/>
  <c r="CR6" i="4"/>
  <c r="CQ6" i="4"/>
  <c r="CP6" i="4"/>
  <c r="CN6" i="4"/>
  <c r="CM6" i="4"/>
  <c r="CG6" i="4" s="1"/>
  <c r="CL6" i="4"/>
  <c r="CK6" i="4"/>
  <c r="CJ6" i="4"/>
  <c r="CJ11" i="4" s="1"/>
  <c r="CH6" i="4"/>
  <c r="CH11" i="4" s="1"/>
  <c r="CF6" i="4"/>
  <c r="CE6" i="4"/>
  <c r="CD6" i="4"/>
  <c r="CC6" i="4"/>
  <c r="BY6" i="4" s="1"/>
  <c r="CB6" i="4"/>
  <c r="CA6" i="4"/>
  <c r="BZ6" i="4"/>
  <c r="BX6" i="4"/>
  <c r="BW6" i="4"/>
  <c r="BV6" i="4"/>
  <c r="BU6" i="4"/>
  <c r="BT6" i="4"/>
  <c r="BS6" i="4"/>
  <c r="BR6" i="4"/>
  <c r="BP6" i="4"/>
  <c r="BO6" i="4"/>
  <c r="BN6" i="4"/>
  <c r="BM6" i="4"/>
  <c r="BL6" i="4"/>
  <c r="BK6" i="4"/>
  <c r="BK4" i="4" s="1"/>
  <c r="BJ6" i="4"/>
  <c r="BH6" i="4"/>
  <c r="BG6" i="4"/>
  <c r="BF6" i="4"/>
  <c r="BE6" i="4"/>
  <c r="BD6" i="4"/>
  <c r="BC6" i="4"/>
  <c r="BB6" i="4"/>
  <c r="BA6" i="4" s="1"/>
  <c r="CV5" i="4" a="1"/>
  <c r="CV5" i="4" s="1"/>
  <c r="CU5" i="4" a="1"/>
  <c r="CU5" i="4" s="1"/>
  <c r="CU14" i="4" s="1"/>
  <c r="CU13" i="4" s="1"/>
  <c r="CT5" i="4" a="1"/>
  <c r="CT5" i="4" s="1"/>
  <c r="CS5" i="4" a="1"/>
  <c r="CS5" i="4" s="1"/>
  <c r="CR5" i="4"/>
  <c r="CR14" i="4" s="1"/>
  <c r="CR13" i="4" s="1"/>
  <c r="CQ5" i="4"/>
  <c r="CP5" i="4"/>
  <c r="CP14" i="4" s="1"/>
  <c r="CP13" i="4" s="1"/>
  <c r="CN5" i="4" a="1"/>
  <c r="CN5" i="4" s="1"/>
  <c r="CM5" i="4" a="1"/>
  <c r="CM5" i="4" s="1"/>
  <c r="CM14" i="4" s="1"/>
  <c r="CM13" i="4" s="1"/>
  <c r="CL5" i="4" a="1"/>
  <c r="CL5" i="4" s="1"/>
  <c r="CK5" i="4" a="1"/>
  <c r="CK5" i="4" s="1"/>
  <c r="CK14" i="4" s="1"/>
  <c r="CJ5" i="4"/>
  <c r="CJ14" i="4" s="1"/>
  <c r="CJ13" i="4" s="1"/>
  <c r="CI5" i="4"/>
  <c r="CI14" i="4" s="1"/>
  <c r="CH5" i="4"/>
  <c r="CF5" i="4" a="1"/>
  <c r="CF5" i="4" s="1"/>
  <c r="CE5" i="4" a="1"/>
  <c r="CE5" i="4" s="1"/>
  <c r="CE14" i="4" s="1"/>
  <c r="CD5" i="4" a="1"/>
  <c r="CD5" i="4" s="1"/>
  <c r="CD14" i="4" s="1"/>
  <c r="CC5" i="4" a="1"/>
  <c r="CC5" i="4" s="1"/>
  <c r="CC14" i="4" s="1"/>
  <c r="CB5" i="4"/>
  <c r="CB14" i="4" s="1"/>
  <c r="CA5" i="4"/>
  <c r="BZ5" i="4"/>
  <c r="BX5" i="4" a="1"/>
  <c r="BX5" i="4" s="1"/>
  <c r="BW5" i="4" a="1"/>
  <c r="BW5" i="4" s="1"/>
  <c r="BV5" i="4" a="1"/>
  <c r="BV5" i="4" s="1"/>
  <c r="BV14" i="4" s="1"/>
  <c r="BU5" i="4" a="1"/>
  <c r="BU5" i="4" s="1"/>
  <c r="BT5" i="4"/>
  <c r="BS5" i="4"/>
  <c r="BS14" i="4" s="1"/>
  <c r="BR5" i="4"/>
  <c r="BP5" i="4" a="1"/>
  <c r="BP5" i="4" s="1"/>
  <c r="BO5" i="4" a="1"/>
  <c r="BO5" i="4" s="1"/>
  <c r="BN5" i="4" a="1"/>
  <c r="BN5" i="4" s="1"/>
  <c r="BM5" i="4" a="1"/>
  <c r="BM5" i="4" s="1"/>
  <c r="BL5" i="4"/>
  <c r="BK5" i="4"/>
  <c r="BK14" i="4" s="1"/>
  <c r="BJ5" i="4"/>
  <c r="BH5" i="4" a="1"/>
  <c r="BH5" i="4" s="1"/>
  <c r="BG5" i="4" a="1"/>
  <c r="BG5" i="4" s="1"/>
  <c r="BF5" i="4" a="1"/>
  <c r="BF5" i="4" s="1"/>
  <c r="BF14" i="4" s="1"/>
  <c r="BE5" i="4" a="1"/>
  <c r="BE5" i="4" s="1"/>
  <c r="BD5" i="4"/>
  <c r="BC5" i="4"/>
  <c r="BB5" i="4"/>
  <c r="AS32" i="4"/>
  <c r="AS27" i="4"/>
  <c r="AS26" i="4"/>
  <c r="AS25" i="4"/>
  <c r="AZ13" i="4"/>
  <c r="AZ8" i="4"/>
  <c r="AZ20" i="4" s="1"/>
  <c r="AY8" i="4"/>
  <c r="AX8" i="4"/>
  <c r="AW8" i="4"/>
  <c r="AW20" i="4" s="1"/>
  <c r="AV8" i="4"/>
  <c r="AV20" i="4" s="1"/>
  <c r="AU8" i="4"/>
  <c r="AT8" i="4"/>
  <c r="AT19" i="4" s="1"/>
  <c r="AZ7" i="4" a="1"/>
  <c r="AZ7" i="4" s="1"/>
  <c r="AZ18" i="4" s="1"/>
  <c r="AY7" i="4" a="1"/>
  <c r="AY7" i="4" s="1"/>
  <c r="AX7" i="4" a="1"/>
  <c r="AX7" i="4" s="1"/>
  <c r="AW7" i="4" a="1"/>
  <c r="AW7" i="4" s="1"/>
  <c r="AV7" i="4"/>
  <c r="AU7" i="4"/>
  <c r="AT7" i="4"/>
  <c r="AZ6" i="4"/>
  <c r="AY6" i="4"/>
  <c r="AX6" i="4"/>
  <c r="AW6" i="4"/>
  <c r="AV6" i="4"/>
  <c r="AU6" i="4"/>
  <c r="AT6" i="4"/>
  <c r="AZ5" i="4" a="1"/>
  <c r="AZ5" i="4" s="1"/>
  <c r="AY5" i="4" a="1"/>
  <c r="AY5" i="4" s="1"/>
  <c r="AX5" i="4" a="1"/>
  <c r="AX5" i="4" s="1"/>
  <c r="AX14" i="4" s="1"/>
  <c r="AX13" i="4" s="1"/>
  <c r="AW5" i="4" a="1"/>
  <c r="AW5" i="4" s="1"/>
  <c r="AW14" i="4" s="1"/>
  <c r="AV5" i="4"/>
  <c r="AV14" i="4" s="1"/>
  <c r="AU5" i="4"/>
  <c r="AU14" i="4" s="1"/>
  <c r="AU13" i="4" s="1"/>
  <c r="AT5" i="4"/>
  <c r="AK32" i="4"/>
  <c r="AK28" i="4"/>
  <c r="AK27" i="4"/>
  <c r="AK26" i="4"/>
  <c r="AK25" i="4"/>
  <c r="AR13" i="4"/>
  <c r="AR8" i="4"/>
  <c r="AR19" i="4" s="1"/>
  <c r="AQ8" i="4"/>
  <c r="AQ19" i="4" s="1"/>
  <c r="AP8" i="4"/>
  <c r="AP19" i="4" s="1"/>
  <c r="AO8" i="4"/>
  <c r="AO20" i="4" s="1"/>
  <c r="AN8" i="4"/>
  <c r="AM8" i="4"/>
  <c r="AM20" i="4" s="1"/>
  <c r="AL8" i="4"/>
  <c r="AL19" i="4" s="1"/>
  <c r="AR7" i="4" a="1"/>
  <c r="AR7" i="4" s="1"/>
  <c r="AQ7" i="4" a="1"/>
  <c r="AQ7" i="4" s="1"/>
  <c r="AP7" i="4" a="1"/>
  <c r="AP7" i="4" s="1"/>
  <c r="AO7" i="4" a="1"/>
  <c r="AO7" i="4" s="1"/>
  <c r="AN7" i="4"/>
  <c r="AM7" i="4"/>
  <c r="AL7" i="4"/>
  <c r="AR6" i="4"/>
  <c r="AQ6" i="4"/>
  <c r="AP6" i="4"/>
  <c r="AO6" i="4"/>
  <c r="AN6" i="4"/>
  <c r="AM6" i="4"/>
  <c r="AL6" i="4"/>
  <c r="AR5" i="4" a="1"/>
  <c r="AR5" i="4" s="1"/>
  <c r="AQ5" i="4" a="1"/>
  <c r="AQ5" i="4" s="1"/>
  <c r="AP5" i="4" a="1"/>
  <c r="AP5" i="4" s="1"/>
  <c r="AO5" i="4" a="1"/>
  <c r="AO5" i="4" s="1"/>
  <c r="AN5" i="4"/>
  <c r="AN14" i="4" s="1"/>
  <c r="AM5" i="4"/>
  <c r="AM14" i="4" s="1"/>
  <c r="AM13" i="4" s="1"/>
  <c r="AL5" i="4"/>
  <c r="AC32" i="4"/>
  <c r="AC28" i="4"/>
  <c r="AC27" i="4"/>
  <c r="AC26" i="4"/>
  <c r="AC25" i="4"/>
  <c r="AJ8" i="4"/>
  <c r="AI8" i="4"/>
  <c r="AI20" i="4" s="1"/>
  <c r="AH8" i="4"/>
  <c r="AH19" i="4" s="1"/>
  <c r="AG8" i="4"/>
  <c r="AG19" i="4" s="1"/>
  <c r="AF8" i="4"/>
  <c r="AF19" i="4" s="1"/>
  <c r="AE8" i="4"/>
  <c r="AE20" i="4" s="1"/>
  <c r="AD8" i="4"/>
  <c r="AJ7" i="4" a="1"/>
  <c r="AJ7" i="4" s="1"/>
  <c r="AJ18" i="4" s="1"/>
  <c r="AI7" i="4" a="1"/>
  <c r="AI7" i="4" s="1"/>
  <c r="AH7" i="4" a="1"/>
  <c r="AH7" i="4" s="1"/>
  <c r="AG7" i="4" a="1"/>
  <c r="AG7" i="4" s="1"/>
  <c r="AF7" i="4"/>
  <c r="AE7" i="4"/>
  <c r="AD7" i="4"/>
  <c r="AJ6" i="4"/>
  <c r="AI6" i="4"/>
  <c r="AH6" i="4"/>
  <c r="AG6" i="4"/>
  <c r="AF6" i="4"/>
  <c r="AE6" i="4"/>
  <c r="AD6" i="4"/>
  <c r="AJ5" i="4" a="1"/>
  <c r="AJ5" i="4" s="1"/>
  <c r="AI5" i="4" a="1"/>
  <c r="AI5" i="4" s="1"/>
  <c r="AI14" i="4" s="1"/>
  <c r="AH5" i="4" a="1"/>
  <c r="AH5" i="4" s="1"/>
  <c r="AH14" i="4" s="1"/>
  <c r="AG5" i="4" a="1"/>
  <c r="AG5" i="4" s="1"/>
  <c r="AF5" i="4"/>
  <c r="AE5" i="4"/>
  <c r="AD5" i="4"/>
  <c r="U32" i="4"/>
  <c r="U28" i="4"/>
  <c r="U27" i="4"/>
  <c r="U26" i="4"/>
  <c r="U25" i="4"/>
  <c r="AB13" i="4"/>
  <c r="AB8" i="4"/>
  <c r="AB20" i="4" s="1"/>
  <c r="AA8" i="4"/>
  <c r="Z8" i="4"/>
  <c r="Y8" i="4"/>
  <c r="Y11" i="4" s="1"/>
  <c r="X8" i="4"/>
  <c r="X20" i="4" s="1"/>
  <c r="W8" i="4"/>
  <c r="W19" i="4" s="1"/>
  <c r="V8" i="4"/>
  <c r="AB7" i="4" a="1"/>
  <c r="AB7" i="4" s="1"/>
  <c r="AB18" i="4" s="1"/>
  <c r="AA7" i="4" a="1"/>
  <c r="AA7" i="4" s="1"/>
  <c r="Z7" i="4" a="1"/>
  <c r="Z7" i="4" s="1"/>
  <c r="Y7" i="4" a="1"/>
  <c r="Y7" i="4" s="1"/>
  <c r="X7" i="4"/>
  <c r="W7" i="4"/>
  <c r="V7" i="4"/>
  <c r="AB6" i="4"/>
  <c r="AA6" i="4"/>
  <c r="Z6" i="4"/>
  <c r="Y6" i="4"/>
  <c r="X6" i="4"/>
  <c r="W6" i="4"/>
  <c r="W11" i="4" s="1"/>
  <c r="AB5" i="4" a="1"/>
  <c r="AB5" i="4" s="1"/>
  <c r="AA5" i="4" a="1"/>
  <c r="AA5" i="4" s="1"/>
  <c r="AA14" i="4" s="1"/>
  <c r="Z5" i="4" a="1"/>
  <c r="Z5" i="4" s="1"/>
  <c r="Y5" i="4" a="1"/>
  <c r="Y5" i="4" s="1"/>
  <c r="W5" i="4"/>
  <c r="V5" i="4"/>
  <c r="M32" i="4"/>
  <c r="M28" i="4"/>
  <c r="M27" i="4"/>
  <c r="M26" i="4"/>
  <c r="M25" i="4"/>
  <c r="T13" i="4"/>
  <c r="T8" i="4"/>
  <c r="T20" i="4" s="1"/>
  <c r="S8" i="4"/>
  <c r="S19" i="4" s="1"/>
  <c r="R8" i="4"/>
  <c r="Q8" i="4"/>
  <c r="Q19" i="4" s="1"/>
  <c r="P8" i="4"/>
  <c r="P19" i="4" s="1"/>
  <c r="O8" i="4"/>
  <c r="O19" i="4" s="1"/>
  <c r="N8" i="4"/>
  <c r="T7" i="4" a="1"/>
  <c r="T7" i="4" s="1"/>
  <c r="T18" i="4" s="1"/>
  <c r="S7" i="4" a="1"/>
  <c r="S7" i="4" s="1"/>
  <c r="R7" i="4" a="1"/>
  <c r="R7" i="4" s="1"/>
  <c r="Q7" i="4" a="1"/>
  <c r="Q7" i="4" s="1"/>
  <c r="P7" i="4"/>
  <c r="O7" i="4"/>
  <c r="N7" i="4"/>
  <c r="T6" i="4"/>
  <c r="S6" i="4"/>
  <c r="R6" i="4"/>
  <c r="Q6" i="4"/>
  <c r="P6" i="4"/>
  <c r="O6" i="4"/>
  <c r="N6" i="4"/>
  <c r="T5" i="4" a="1"/>
  <c r="T5" i="4" s="1"/>
  <c r="S5" i="4" a="1"/>
  <c r="S5" i="4" s="1"/>
  <c r="R5" i="4" a="1"/>
  <c r="R5" i="4" s="1"/>
  <c r="R14" i="4" s="1"/>
  <c r="R13" i="4" s="1"/>
  <c r="Q5" i="4" a="1"/>
  <c r="Q5" i="4" s="1"/>
  <c r="P5" i="4"/>
  <c r="O5" i="4"/>
  <c r="O14" i="4" s="1"/>
  <c r="N5" i="4"/>
  <c r="N14" i="4" s="1"/>
  <c r="N13" i="4" s="1"/>
  <c r="OF14" i="4"/>
  <c r="JW20" i="4"/>
  <c r="OQ19" i="4"/>
  <c r="JW19" i="4"/>
  <c r="MY19" i="4"/>
  <c r="OM35" i="4"/>
  <c r="JN20" i="4"/>
  <c r="OI20" i="4"/>
  <c r="OR36" i="4"/>
  <c r="OZ19" i="4"/>
  <c r="OB35" i="4"/>
  <c r="PA35" i="4"/>
  <c r="OQ36" i="4"/>
  <c r="OD36" i="4"/>
  <c r="OT11" i="4"/>
  <c r="OZ20" i="4"/>
  <c r="OC35" i="4"/>
  <c r="OB20" i="4"/>
  <c r="OH35" i="4"/>
  <c r="OH11" i="4"/>
  <c r="OK11" i="4"/>
  <c r="OH20" i="4"/>
  <c r="MU11" i="4"/>
  <c r="MF36" i="4"/>
  <c r="MF35" i="4"/>
  <c r="MO35" i="4"/>
  <c r="NM19" i="4"/>
  <c r="MP20" i="4"/>
  <c r="NN36" i="4"/>
  <c r="NV36" i="4"/>
  <c r="NG35" i="4"/>
  <c r="NW36" i="4"/>
  <c r="MG19" i="4"/>
  <c r="MD35" i="4"/>
  <c r="ML35" i="4"/>
  <c r="MP19" i="4"/>
  <c r="LH36" i="4"/>
  <c r="LN35" i="4"/>
  <c r="LV36" i="4"/>
  <c r="LV35" i="4"/>
  <c r="LQ36" i="4"/>
  <c r="LW35" i="4"/>
  <c r="LR36" i="4"/>
  <c r="KL19" i="4"/>
  <c r="KU19" i="4"/>
  <c r="CW15" i="4"/>
  <c r="DN13" i="4"/>
  <c r="CI20" i="4"/>
  <c r="CJ20" i="4"/>
  <c r="CJ19" i="4"/>
  <c r="JQ16" i="4"/>
  <c r="KO16" i="4"/>
  <c r="KG16" i="4"/>
  <c r="IK16" i="4"/>
  <c r="JW13" i="4"/>
  <c r="JY16" i="4"/>
  <c r="JV13" i="4"/>
  <c r="IW13" i="4"/>
  <c r="IY13" i="4"/>
  <c r="IS16" i="4"/>
  <c r="GP13" i="4"/>
  <c r="IA13" i="4"/>
  <c r="FA16" i="4"/>
  <c r="ES16" i="4"/>
  <c r="EW13" i="4"/>
  <c r="FE13" i="4"/>
  <c r="FQ15" i="4"/>
  <c r="FN13" i="4"/>
  <c r="GD13" i="4"/>
  <c r="FG13" i="4"/>
  <c r="GA13" i="4"/>
  <c r="GM13" i="4"/>
  <c r="DE15" i="4"/>
  <c r="DE16" i="4"/>
  <c r="EC15" i="4"/>
  <c r="DW13" i="4"/>
  <c r="DS13" i="4"/>
  <c r="CW16" i="4"/>
  <c r="DM16" i="4"/>
  <c r="DM15" i="4"/>
  <c r="BN13" i="4"/>
  <c r="BA15" i="4"/>
  <c r="CO15" i="4"/>
  <c r="BY16" i="4"/>
  <c r="CL13" i="4"/>
  <c r="CQ13" i="4"/>
  <c r="BI16" i="4"/>
  <c r="CO16" i="4"/>
  <c r="BT13" i="4"/>
  <c r="BY15" i="4"/>
  <c r="BJ13" i="4"/>
  <c r="BQ15" i="4"/>
  <c r="BC13" i="4"/>
  <c r="BA16" i="4"/>
  <c r="CG15" i="4"/>
  <c r="BQ16" i="4"/>
  <c r="BD13" i="4"/>
  <c r="BO13" i="4"/>
  <c r="CS13" i="4"/>
  <c r="CG16" i="4"/>
  <c r="BI15" i="4"/>
  <c r="AS15" i="4"/>
  <c r="AS16" i="4"/>
  <c r="AK15" i="4"/>
  <c r="AK16" i="4"/>
  <c r="AC15" i="4"/>
  <c r="AC16" i="4"/>
  <c r="U16" i="4"/>
  <c r="U15" i="4"/>
  <c r="M15" i="4"/>
  <c r="M16" i="4"/>
  <c r="I6" i="4"/>
  <c r="L8" i="4"/>
  <c r="L19" i="4" s="1"/>
  <c r="K8" i="4"/>
  <c r="K20" i="4" s="1"/>
  <c r="J8" i="4"/>
  <c r="I8" i="4"/>
  <c r="I20" i="4" s="1"/>
  <c r="H8" i="4"/>
  <c r="H19" i="4" s="1"/>
  <c r="G8" i="4"/>
  <c r="F8" i="4"/>
  <c r="L7" i="4" a="1"/>
  <c r="L7" i="4" s="1"/>
  <c r="K7" i="4" a="1"/>
  <c r="K7" i="4" s="1"/>
  <c r="K18" i="4" s="1"/>
  <c r="J7" i="4" a="1"/>
  <c r="J7" i="4" s="1"/>
  <c r="J18" i="4" s="1"/>
  <c r="I7" i="4" a="1"/>
  <c r="I7" i="4" s="1"/>
  <c r="I18" i="4" s="1"/>
  <c r="H7" i="4"/>
  <c r="G7" i="4"/>
  <c r="F7" i="4"/>
  <c r="L6" i="4"/>
  <c r="K6" i="4"/>
  <c r="J6" i="4"/>
  <c r="H6" i="4"/>
  <c r="H11" i="4" s="1"/>
  <c r="G6" i="4"/>
  <c r="F6" i="4"/>
  <c r="L5" i="4" a="1"/>
  <c r="L5" i="4" s="1"/>
  <c r="K5" i="4" a="1"/>
  <c r="K5" i="4" s="1"/>
  <c r="J5" i="4" a="1"/>
  <c r="J5" i="4" s="1"/>
  <c r="I5" i="4" a="1"/>
  <c r="I5" i="4" s="1"/>
  <c r="H5" i="4"/>
  <c r="H14" i="4" s="1"/>
  <c r="G5" i="4"/>
  <c r="F5" i="4"/>
  <c r="F2" i="21"/>
  <c r="AF6" i="15"/>
  <c r="NG41" i="21"/>
  <c r="NG43" i="21" s="1"/>
  <c r="NG48" i="21"/>
  <c r="NC48" i="21"/>
  <c r="ND48" i="21"/>
  <c r="NE48" i="21"/>
  <c r="NF48" i="21"/>
  <c r="NB48" i="21"/>
  <c r="JP1" i="21"/>
  <c r="JX1" i="21" s="1"/>
  <c r="KF1" i="21" s="1"/>
  <c r="KN1" i="21" s="1"/>
  <c r="KV1" i="21" s="1"/>
  <c r="LD1" i="21" s="1"/>
  <c r="LL1" i="21" s="1"/>
  <c r="LT1" i="21" s="1"/>
  <c r="MB1" i="21" s="1"/>
  <c r="MJ1" i="21" s="1"/>
  <c r="MR1" i="21" s="1"/>
  <c r="MZ1" i="21" s="1"/>
  <c r="NH1" i="21" s="1"/>
  <c r="NP1" i="21" s="1"/>
  <c r="NX1" i="21" s="1"/>
  <c r="OF1" i="21" s="1"/>
  <c r="ON1" i="21" s="1"/>
  <c r="OV1" i="21" s="1"/>
  <c r="FS35" i="4"/>
  <c r="ER36" i="4"/>
  <c r="EQ36" i="4"/>
  <c r="EP36" i="4"/>
  <c r="EO36" i="4"/>
  <c r="EL36" i="4"/>
  <c r="ER35" i="4"/>
  <c r="EQ35" i="4"/>
  <c r="EP35" i="4"/>
  <c r="EO35" i="4"/>
  <c r="EN35" i="4"/>
  <c r="EL35" i="4"/>
  <c r="EJ36" i="4"/>
  <c r="EF36" i="4"/>
  <c r="ED36" i="4"/>
  <c r="EF35" i="4"/>
  <c r="EE35" i="4"/>
  <c r="ED35" i="4"/>
  <c r="DR36" i="4"/>
  <c r="DR35" i="4"/>
  <c r="FT35" i="4"/>
  <c r="PD36" i="4"/>
  <c r="OV36" i="4"/>
  <c r="ON36" i="4"/>
  <c r="OF36" i="4"/>
  <c r="NX36" i="4"/>
  <c r="NP36" i="4"/>
  <c r="NH36" i="4"/>
  <c r="OW34" i="4"/>
  <c r="OO34" i="4"/>
  <c r="OG34" i="4"/>
  <c r="NY34" i="4"/>
  <c r="NQ34" i="4"/>
  <c r="NI34" i="4"/>
  <c r="NA34" i="4"/>
  <c r="MZ36" i="4"/>
  <c r="MR36" i="4"/>
  <c r="MJ36" i="4"/>
  <c r="MB36" i="4"/>
  <c r="LT36" i="4"/>
  <c r="LL36" i="4"/>
  <c r="LD36" i="4"/>
  <c r="KV36" i="4"/>
  <c r="MS34" i="4"/>
  <c r="MK34" i="4"/>
  <c r="MC34" i="4"/>
  <c r="LU34" i="4"/>
  <c r="LM34" i="4"/>
  <c r="LE34" i="4"/>
  <c r="KW34" i="4"/>
  <c r="KO34" i="4"/>
  <c r="KN36" i="4"/>
  <c r="KF36" i="4"/>
  <c r="JX36" i="4"/>
  <c r="JP36" i="4"/>
  <c r="JH36" i="4"/>
  <c r="IZ36" i="4"/>
  <c r="IR36" i="4"/>
  <c r="IJ36" i="4"/>
  <c r="KG34" i="4"/>
  <c r="JY34" i="4"/>
  <c r="JQ34" i="4"/>
  <c r="JI34" i="4"/>
  <c r="JA34" i="4"/>
  <c r="IS34" i="4"/>
  <c r="IK34" i="4"/>
  <c r="IC34" i="4"/>
  <c r="IB36" i="4"/>
  <c r="HU34" i="4"/>
  <c r="HT36" i="4"/>
  <c r="HM34" i="4"/>
  <c r="HL36" i="4"/>
  <c r="HE34" i="4"/>
  <c r="HD36" i="4"/>
  <c r="GW34" i="4"/>
  <c r="GV36" i="4"/>
  <c r="GO34" i="4"/>
  <c r="GN36" i="4"/>
  <c r="GG34" i="4"/>
  <c r="GF36" i="4"/>
  <c r="FY34" i="4"/>
  <c r="IY35" i="4"/>
  <c r="IO36" i="4"/>
  <c r="IQ36" i="4"/>
  <c r="GT35" i="4"/>
  <c r="II36" i="4"/>
  <c r="HZ36" i="4"/>
  <c r="GT36" i="4"/>
  <c r="HR35" i="4"/>
  <c r="KR36" i="4"/>
  <c r="KT35" i="4"/>
  <c r="MY36" i="4"/>
  <c r="KZ35" i="4"/>
  <c r="KQ36" i="4"/>
  <c r="KH36" i="4"/>
  <c r="JS35" i="4"/>
  <c r="KC36" i="4"/>
  <c r="JO36" i="4"/>
  <c r="JW35" i="4"/>
  <c r="KM36" i="4"/>
  <c r="JU36" i="4"/>
  <c r="JG36" i="4"/>
  <c r="KE36" i="4"/>
  <c r="JM36" i="4"/>
  <c r="HV35" i="4"/>
  <c r="KC35" i="4"/>
  <c r="HI36" i="4"/>
  <c r="HB36" i="4"/>
  <c r="HK36" i="4"/>
  <c r="GL36" i="4"/>
  <c r="HJ36" i="4"/>
  <c r="GU35" i="4"/>
  <c r="IG36" i="4"/>
  <c r="HA36" i="4"/>
  <c r="GD36" i="4"/>
  <c r="GE35" i="4"/>
  <c r="GM36" i="4"/>
  <c r="GE36" i="4"/>
  <c r="HC36" i="4"/>
  <c r="GM35" i="4"/>
  <c r="HC35" i="4"/>
  <c r="IW36" i="4"/>
  <c r="HZ35" i="4"/>
  <c r="HJ35" i="4"/>
  <c r="HR36" i="4"/>
  <c r="GQ35" i="4"/>
  <c r="GQ36" i="4"/>
  <c r="OU36" i="4"/>
  <c r="NR35" i="4"/>
  <c r="OC36" i="4"/>
  <c r="KX35" i="4"/>
  <c r="LG35" i="4"/>
  <c r="LI35" i="4"/>
  <c r="KT36" i="4"/>
  <c r="KU36" i="4"/>
  <c r="KR35" i="4"/>
  <c r="LQ35" i="4"/>
  <c r="KZ36" i="4"/>
  <c r="KP36" i="4"/>
  <c r="LC35" i="4"/>
  <c r="LZ35" i="4"/>
  <c r="LC36" i="4"/>
  <c r="KY36" i="4"/>
  <c r="KU35" i="4"/>
  <c r="LA36" i="4"/>
  <c r="LF36" i="4"/>
  <c r="KS35" i="4"/>
  <c r="KQ35" i="4"/>
  <c r="KP35" i="4"/>
  <c r="LA35" i="4"/>
  <c r="KS36" i="4"/>
  <c r="KA36" i="4"/>
  <c r="KD35" i="4"/>
  <c r="KJ36" i="4"/>
  <c r="JL35" i="4"/>
  <c r="IF35" i="4"/>
  <c r="IF36" i="4"/>
  <c r="JT35" i="4"/>
  <c r="KJ35" i="4"/>
  <c r="JD36" i="4"/>
  <c r="IU35" i="4"/>
  <c r="IP36" i="4"/>
  <c r="IO35" i="4"/>
  <c r="IQ35" i="4"/>
  <c r="JD35" i="4"/>
  <c r="IL35" i="4"/>
  <c r="IX35" i="4"/>
  <c r="IV36" i="4"/>
  <c r="JC36" i="4"/>
  <c r="IE35" i="4"/>
  <c r="IL36" i="4"/>
  <c r="JU35" i="4"/>
  <c r="JZ35" i="4"/>
  <c r="IX36" i="4"/>
  <c r="JJ35" i="4"/>
  <c r="JJ36" i="4"/>
  <c r="JG35" i="4"/>
  <c r="KK35" i="4"/>
  <c r="IV35" i="4"/>
  <c r="JS36" i="4"/>
  <c r="KL35" i="4"/>
  <c r="JZ36" i="4"/>
  <c r="ID35" i="4"/>
  <c r="KL36" i="4"/>
  <c r="KD36" i="4"/>
  <c r="KK36" i="4"/>
  <c r="JK35" i="4"/>
  <c r="IU36" i="4"/>
  <c r="JR35" i="4"/>
  <c r="ID36" i="4"/>
  <c r="IG35" i="4"/>
  <c r="KE35" i="4"/>
  <c r="II35" i="4"/>
  <c r="KI35" i="4"/>
  <c r="IM36" i="4"/>
  <c r="IT35" i="4"/>
  <c r="JV35" i="4"/>
  <c r="IP35" i="4"/>
  <c r="IH35" i="4"/>
  <c r="JF35" i="4"/>
  <c r="KB36" i="4"/>
  <c r="IN36" i="4"/>
  <c r="IW35" i="4"/>
  <c r="KI36" i="4"/>
  <c r="IT36" i="4"/>
  <c r="IH36" i="4"/>
  <c r="KB35" i="4"/>
  <c r="IY36" i="4"/>
  <c r="KH35" i="4"/>
  <c r="KM35" i="4"/>
  <c r="JT36" i="4"/>
  <c r="JR36" i="4"/>
  <c r="JN35" i="4"/>
  <c r="JO35" i="4"/>
  <c r="JW36" i="4"/>
  <c r="KA35" i="4"/>
  <c r="JC35" i="4"/>
  <c r="IM35" i="4"/>
  <c r="JV36" i="4"/>
  <c r="JF36" i="4"/>
  <c r="JN36" i="4"/>
  <c r="IN35" i="4"/>
  <c r="HW35" i="4"/>
  <c r="HW36" i="4"/>
  <c r="HX36" i="4"/>
  <c r="HV36" i="4"/>
  <c r="IA36" i="4"/>
  <c r="HX35" i="4"/>
  <c r="IA35" i="4"/>
  <c r="HT35" i="4"/>
  <c r="HO36" i="4"/>
  <c r="HO35" i="4"/>
  <c r="HS36" i="4"/>
  <c r="HN36" i="4"/>
  <c r="HS35" i="4"/>
  <c r="HN35" i="4"/>
  <c r="HF36" i="4"/>
  <c r="HI35" i="4"/>
  <c r="HL35" i="4"/>
  <c r="HK35" i="4"/>
  <c r="HF35" i="4"/>
  <c r="HA35" i="4"/>
  <c r="GX36" i="4"/>
  <c r="GX35" i="4"/>
  <c r="HB35" i="4"/>
  <c r="GR36" i="4"/>
  <c r="GR35" i="4"/>
  <c r="GP36" i="4"/>
  <c r="GU36" i="4"/>
  <c r="GP35" i="4"/>
  <c r="GI35" i="4"/>
  <c r="GH36" i="4"/>
  <c r="GH35" i="4"/>
  <c r="GJ36" i="4"/>
  <c r="GJ35" i="4"/>
  <c r="GL35" i="4"/>
  <c r="GI36" i="4"/>
  <c r="GA36" i="4"/>
  <c r="GA35" i="4"/>
  <c r="GC35" i="4"/>
  <c r="GD35" i="4"/>
  <c r="GB36" i="4"/>
  <c r="GB35" i="4"/>
  <c r="FQ34" i="4"/>
  <c r="FU35" i="4"/>
  <c r="FV35" i="4"/>
  <c r="FW35" i="4"/>
  <c r="FX35" i="4"/>
  <c r="FU36" i="4"/>
  <c r="FW36" i="4"/>
  <c r="FX36" i="4"/>
  <c r="FI34" i="4"/>
  <c r="FP36" i="4"/>
  <c r="FA34" i="4"/>
  <c r="FH36" i="4"/>
  <c r="ES34" i="4"/>
  <c r="EZ36" i="4"/>
  <c r="EK34" i="4"/>
  <c r="EC34" i="4"/>
  <c r="EG36" i="4"/>
  <c r="DU34" i="4"/>
  <c r="EB36" i="4"/>
  <c r="DM34" i="4"/>
  <c r="DT36" i="4"/>
  <c r="DE34" i="4"/>
  <c r="DL36" i="4"/>
  <c r="CW34" i="4"/>
  <c r="DD36" i="4"/>
  <c r="FN35" i="4"/>
  <c r="FL35" i="4"/>
  <c r="DG36" i="4"/>
  <c r="DZ36" i="4"/>
  <c r="DK36" i="4"/>
  <c r="DH36" i="4"/>
  <c r="DG35" i="4"/>
  <c r="DY35" i="4"/>
  <c r="DO35" i="4"/>
  <c r="DJ35" i="4"/>
  <c r="DC35" i="4"/>
  <c r="DY36" i="4"/>
  <c r="CY35" i="4"/>
  <c r="EA35" i="4"/>
  <c r="DO36" i="4"/>
  <c r="DP35" i="4"/>
  <c r="DJ36" i="4"/>
  <c r="DC36" i="4"/>
  <c r="DH35" i="4"/>
  <c r="DX36" i="4"/>
  <c r="CY36" i="4"/>
  <c r="EA36" i="4"/>
  <c r="DP36" i="4"/>
  <c r="DW35" i="4"/>
  <c r="DS35" i="4"/>
  <c r="DI35" i="4"/>
  <c r="DQ35" i="4"/>
  <c r="DW36" i="4"/>
  <c r="CX35" i="4"/>
  <c r="DS36" i="4"/>
  <c r="DI36" i="4"/>
  <c r="DQ36" i="4"/>
  <c r="CX36" i="4"/>
  <c r="CZ35" i="4"/>
  <c r="DB35" i="4"/>
  <c r="DA35" i="4"/>
  <c r="DX35" i="4"/>
  <c r="DZ35" i="4"/>
  <c r="CZ36" i="4"/>
  <c r="DB36" i="4"/>
  <c r="DA36" i="4"/>
  <c r="DK35" i="4"/>
  <c r="CV36" i="4"/>
  <c r="CO34" i="4"/>
  <c r="CN36" i="4"/>
  <c r="CM36" i="4"/>
  <c r="CL36" i="4"/>
  <c r="CK36" i="4"/>
  <c r="CJ36" i="4"/>
  <c r="CI36" i="4"/>
  <c r="CH36" i="4"/>
  <c r="CN35" i="4"/>
  <c r="CM35" i="4"/>
  <c r="CL35" i="4"/>
  <c r="CK35" i="4"/>
  <c r="CJ35" i="4"/>
  <c r="CI35" i="4"/>
  <c r="CH35" i="4"/>
  <c r="CG34" i="4"/>
  <c r="CF36" i="4"/>
  <c r="CE36" i="4"/>
  <c r="CD36" i="4"/>
  <c r="CC36" i="4"/>
  <c r="CB36" i="4"/>
  <c r="CA36" i="4"/>
  <c r="BZ36" i="4"/>
  <c r="BY36" i="4" s="1"/>
  <c r="CF35" i="4"/>
  <c r="CE35" i="4"/>
  <c r="CD35" i="4"/>
  <c r="CC35" i="4"/>
  <c r="CB35" i="4"/>
  <c r="CA35" i="4"/>
  <c r="BZ35" i="4"/>
  <c r="BY34" i="4"/>
  <c r="BX36" i="4"/>
  <c r="BW36" i="4"/>
  <c r="BV36" i="4"/>
  <c r="BU36" i="4"/>
  <c r="BT36" i="4"/>
  <c r="BS36" i="4"/>
  <c r="BR36" i="4"/>
  <c r="BQ36" i="4" s="1"/>
  <c r="BX35" i="4"/>
  <c r="BW35" i="4"/>
  <c r="BV35" i="4"/>
  <c r="BU35" i="4"/>
  <c r="BT35" i="4"/>
  <c r="BS35" i="4"/>
  <c r="BR35" i="4"/>
  <c r="BQ35" i="4" s="1"/>
  <c r="BQ34" i="4"/>
  <c r="BP36" i="4"/>
  <c r="BO36" i="4"/>
  <c r="BN36" i="4"/>
  <c r="BM36" i="4"/>
  <c r="BL36" i="4"/>
  <c r="BK36" i="4"/>
  <c r="BJ36" i="4"/>
  <c r="BP35" i="4"/>
  <c r="BO35" i="4"/>
  <c r="BN35" i="4"/>
  <c r="BM35" i="4"/>
  <c r="BL35" i="4"/>
  <c r="BK35" i="4"/>
  <c r="BI35" i="4"/>
  <c r="BJ35" i="4"/>
  <c r="BI34" i="4"/>
  <c r="BH36" i="4"/>
  <c r="BG36" i="4"/>
  <c r="BF36" i="4"/>
  <c r="BE36" i="4"/>
  <c r="BD36" i="4"/>
  <c r="BC36" i="4"/>
  <c r="BA36" i="4" s="1"/>
  <c r="BB36" i="4"/>
  <c r="BH35" i="4"/>
  <c r="BG35" i="4"/>
  <c r="BF35" i="4"/>
  <c r="BE35" i="4"/>
  <c r="BD35" i="4"/>
  <c r="BC35" i="4"/>
  <c r="BA35" i="4" s="1"/>
  <c r="BB35" i="4"/>
  <c r="BA34" i="4"/>
  <c r="AZ36" i="4"/>
  <c r="AY36" i="4"/>
  <c r="AX36" i="4"/>
  <c r="AW36" i="4"/>
  <c r="AV36" i="4"/>
  <c r="AU36" i="4"/>
  <c r="AT36" i="4"/>
  <c r="AZ35" i="4"/>
  <c r="AY35" i="4"/>
  <c r="AX35" i="4"/>
  <c r="AW35" i="4"/>
  <c r="AV35" i="4"/>
  <c r="AU35" i="4"/>
  <c r="AT35" i="4"/>
  <c r="AS34" i="4"/>
  <c r="AR36" i="4"/>
  <c r="AQ36" i="4"/>
  <c r="AP36" i="4"/>
  <c r="AO36" i="4"/>
  <c r="AN36" i="4"/>
  <c r="AM36" i="4"/>
  <c r="AL36" i="4"/>
  <c r="AR35" i="4"/>
  <c r="AQ35" i="4"/>
  <c r="AP35" i="4"/>
  <c r="AO35" i="4"/>
  <c r="AN35" i="4"/>
  <c r="AM35" i="4"/>
  <c r="AL35" i="4"/>
  <c r="AK34" i="4"/>
  <c r="CS36" i="4"/>
  <c r="CT36" i="4"/>
  <c r="CU36" i="4"/>
  <c r="CR36" i="4"/>
  <c r="CQ36" i="4"/>
  <c r="CU35" i="4"/>
  <c r="CP36" i="4"/>
  <c r="CO36" i="4" s="1"/>
  <c r="CP35" i="4"/>
  <c r="CT35" i="4"/>
  <c r="CS35" i="4"/>
  <c r="CQ35" i="4"/>
  <c r="CR35" i="4"/>
  <c r="A3" i="15"/>
  <c r="A4" i="15"/>
  <c r="A5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6" i="15"/>
  <c r="AJ36" i="4"/>
  <c r="AI36" i="4"/>
  <c r="AH36" i="4"/>
  <c r="AG36" i="4"/>
  <c r="AF36" i="4"/>
  <c r="AE36" i="4"/>
  <c r="AD36" i="4"/>
  <c r="AJ35" i="4"/>
  <c r="AI35" i="4"/>
  <c r="AH35" i="4"/>
  <c r="AG35" i="4"/>
  <c r="AF35" i="4"/>
  <c r="AE35" i="4"/>
  <c r="AD35" i="4"/>
  <c r="AC35" i="4" s="1"/>
  <c r="AC34" i="4"/>
  <c r="AB36" i="4"/>
  <c r="AA36" i="4"/>
  <c r="Z36" i="4"/>
  <c r="Y36" i="4"/>
  <c r="X36" i="4"/>
  <c r="W36" i="4"/>
  <c r="V36" i="4"/>
  <c r="U36" i="4" s="1"/>
  <c r="AB35" i="4"/>
  <c r="AA35" i="4"/>
  <c r="Z35" i="4"/>
  <c r="Y35" i="4"/>
  <c r="W35" i="4"/>
  <c r="V35" i="4"/>
  <c r="U34" i="4"/>
  <c r="JV4" i="3"/>
  <c r="JV6" i="3" s="1"/>
  <c r="JV34" i="3" s="1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147" i="15"/>
  <c r="Y148" i="15"/>
  <c r="Y149" i="15"/>
  <c r="Y150" i="15"/>
  <c r="Y151" i="15"/>
  <c r="Y152" i="15"/>
  <c r="Y153" i="15"/>
  <c r="Y154" i="15"/>
  <c r="Y155" i="15"/>
  <c r="Y156" i="15"/>
  <c r="Y157" i="15"/>
  <c r="Y158" i="15"/>
  <c r="Y159" i="15"/>
  <c r="Y160" i="15"/>
  <c r="Y161" i="15"/>
  <c r="Y162" i="15"/>
  <c r="Y163" i="15"/>
  <c r="Y164" i="15"/>
  <c r="Y165" i="15"/>
  <c r="Y166" i="15"/>
  <c r="Y167" i="15"/>
  <c r="Y168" i="15"/>
  <c r="Y169" i="15"/>
  <c r="Y170" i="15"/>
  <c r="Y171" i="15"/>
  <c r="Y172" i="15"/>
  <c r="Y173" i="15"/>
  <c r="Y174" i="15"/>
  <c r="Y175" i="15"/>
  <c r="Y176" i="15"/>
  <c r="Y177" i="15"/>
  <c r="Y178" i="15"/>
  <c r="Y179" i="15"/>
  <c r="Y180" i="15"/>
  <c r="Y181" i="15"/>
  <c r="Y182" i="15"/>
  <c r="Y183" i="15"/>
  <c r="Y184" i="15"/>
  <c r="Y185" i="15"/>
  <c r="Y186" i="15"/>
  <c r="Y187" i="15"/>
  <c r="Y188" i="15"/>
  <c r="Y189" i="15"/>
  <c r="Y190" i="15"/>
  <c r="Y191" i="15"/>
  <c r="Y192" i="15"/>
  <c r="Y193" i="15"/>
  <c r="Y194" i="15"/>
  <c r="Y195" i="15"/>
  <c r="Y196" i="15"/>
  <c r="Y197" i="15"/>
  <c r="Y198" i="15"/>
  <c r="Y199" i="15"/>
  <c r="Y200" i="15"/>
  <c r="Y201" i="15"/>
  <c r="Y202" i="15"/>
  <c r="Y203" i="15"/>
  <c r="Y204" i="15"/>
  <c r="Y205" i="15"/>
  <c r="Y206" i="15"/>
  <c r="Y207" i="15"/>
  <c r="Y208" i="15"/>
  <c r="Y209" i="15"/>
  <c r="Y210" i="15"/>
  <c r="Y211" i="15"/>
  <c r="Y212" i="15"/>
  <c r="Y213" i="15"/>
  <c r="Y214" i="15"/>
  <c r="Y215" i="15"/>
  <c r="Y216" i="15"/>
  <c r="Y217" i="15"/>
  <c r="Y218" i="15"/>
  <c r="Y219" i="15"/>
  <c r="Y220" i="15"/>
  <c r="Y221" i="15"/>
  <c r="Y222" i="15"/>
  <c r="Y223" i="15"/>
  <c r="Y224" i="15"/>
  <c r="Y225" i="15"/>
  <c r="Y226" i="15"/>
  <c r="Y227" i="15"/>
  <c r="Y228" i="15"/>
  <c r="Y229" i="15"/>
  <c r="Y230" i="15"/>
  <c r="Y231" i="15"/>
  <c r="Y232" i="15"/>
  <c r="Y233" i="15"/>
  <c r="Y234" i="15"/>
  <c r="Y235" i="15"/>
  <c r="Y236" i="15"/>
  <c r="Y237" i="15"/>
  <c r="Y238" i="15"/>
  <c r="Y239" i="15"/>
  <c r="Y240" i="15"/>
  <c r="Y241" i="15"/>
  <c r="Y242" i="15"/>
  <c r="Y243" i="15"/>
  <c r="Y244" i="15"/>
  <c r="Y245" i="15"/>
  <c r="Y246" i="15"/>
  <c r="Y247" i="15"/>
  <c r="Y248" i="15"/>
  <c r="Y249" i="15"/>
  <c r="Y250" i="15"/>
  <c r="Y251" i="15"/>
  <c r="Y252" i="15"/>
  <c r="Y253" i="15"/>
  <c r="Y254" i="15"/>
  <c r="Y255" i="15"/>
  <c r="Y256" i="15"/>
  <c r="Y257" i="15"/>
  <c r="Y258" i="15"/>
  <c r="Y259" i="15"/>
  <c r="Y260" i="15"/>
  <c r="Y261" i="15"/>
  <c r="Y262" i="15"/>
  <c r="Y263" i="15"/>
  <c r="Y264" i="15"/>
  <c r="Y265" i="15"/>
  <c r="Y266" i="15"/>
  <c r="Y267" i="15"/>
  <c r="Y268" i="15"/>
  <c r="Y269" i="15"/>
  <c r="Y270" i="15"/>
  <c r="Y271" i="15"/>
  <c r="Y272" i="15"/>
  <c r="Y273" i="15"/>
  <c r="Y274" i="15"/>
  <c r="Y275" i="15"/>
  <c r="Y276" i="15"/>
  <c r="Y277" i="15"/>
  <c r="Y278" i="15"/>
  <c r="Y279" i="15"/>
  <c r="Y280" i="15"/>
  <c r="Y281" i="15"/>
  <c r="Y282" i="15"/>
  <c r="Y283" i="15"/>
  <c r="Y284" i="15"/>
  <c r="Y285" i="15"/>
  <c r="Y286" i="15"/>
  <c r="Y287" i="15"/>
  <c r="Y288" i="15"/>
  <c r="Y289" i="15"/>
  <c r="Y290" i="15"/>
  <c r="Y291" i="15"/>
  <c r="Y292" i="15"/>
  <c r="Y293" i="15"/>
  <c r="Y294" i="15"/>
  <c r="Y295" i="15"/>
  <c r="Y296" i="15"/>
  <c r="Y297" i="15"/>
  <c r="Y298" i="15"/>
  <c r="Y299" i="15"/>
  <c r="Y300" i="15"/>
  <c r="Y301" i="15"/>
  <c r="Y302" i="15"/>
  <c r="Y303" i="15"/>
  <c r="Y304" i="15"/>
  <c r="Y305" i="15"/>
  <c r="Y306" i="15"/>
  <c r="Y307" i="15"/>
  <c r="Y308" i="15"/>
  <c r="Y309" i="15"/>
  <c r="Y310" i="15"/>
  <c r="Y311" i="15"/>
  <c r="Y312" i="15"/>
  <c r="Y313" i="15"/>
  <c r="Y314" i="15"/>
  <c r="Y315" i="15"/>
  <c r="Y316" i="15"/>
  <c r="Y317" i="15"/>
  <c r="Y318" i="15"/>
  <c r="Y319" i="15"/>
  <c r="Y320" i="15"/>
  <c r="Y321" i="15"/>
  <c r="Y322" i="15"/>
  <c r="Y323" i="15"/>
  <c r="Y324" i="15"/>
  <c r="Y325" i="15"/>
  <c r="Y326" i="15"/>
  <c r="Y327" i="15"/>
  <c r="Y328" i="15"/>
  <c r="Y329" i="15"/>
  <c r="Y330" i="15"/>
  <c r="Y331" i="15"/>
  <c r="Y332" i="15"/>
  <c r="Y333" i="15"/>
  <c r="Y334" i="15"/>
  <c r="Y335" i="15"/>
  <c r="Y336" i="15"/>
  <c r="Y337" i="15"/>
  <c r="Y338" i="15"/>
  <c r="Y339" i="15"/>
  <c r="Y340" i="15"/>
  <c r="Y341" i="15"/>
  <c r="Y342" i="15"/>
  <c r="Y343" i="15"/>
  <c r="Y344" i="15"/>
  <c r="Y345" i="15"/>
  <c r="Y346" i="15"/>
  <c r="Y347" i="15"/>
  <c r="Y348" i="15"/>
  <c r="Y349" i="15"/>
  <c r="Y350" i="15"/>
  <c r="Y351" i="15"/>
  <c r="Y352" i="15"/>
  <c r="Y353" i="15"/>
  <c r="Y354" i="15"/>
  <c r="Y355" i="15"/>
  <c r="Y356" i="15"/>
  <c r="Y357" i="15"/>
  <c r="Y358" i="15"/>
  <c r="Y359" i="15"/>
  <c r="Y360" i="15"/>
  <c r="Y361" i="15"/>
  <c r="Y362" i="15"/>
  <c r="Y363" i="15"/>
  <c r="Y364" i="15"/>
  <c r="Y365" i="15"/>
  <c r="Y366" i="15"/>
  <c r="Y367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147" i="15"/>
  <c r="AB148" i="15"/>
  <c r="AB149" i="15"/>
  <c r="AB150" i="15"/>
  <c r="AB151" i="15"/>
  <c r="AB152" i="15"/>
  <c r="AB153" i="15"/>
  <c r="AB154" i="15"/>
  <c r="AB155" i="15"/>
  <c r="AB156" i="15"/>
  <c r="AB157" i="15"/>
  <c r="AB158" i="15"/>
  <c r="AB159" i="15"/>
  <c r="AB160" i="15"/>
  <c r="AB161" i="15"/>
  <c r="AB162" i="15"/>
  <c r="AB163" i="15"/>
  <c r="AB164" i="15"/>
  <c r="AB165" i="15"/>
  <c r="AB166" i="15"/>
  <c r="AB167" i="15"/>
  <c r="AB168" i="15"/>
  <c r="AB169" i="15"/>
  <c r="AB170" i="15"/>
  <c r="AB171" i="15"/>
  <c r="AB172" i="15"/>
  <c r="AB173" i="15"/>
  <c r="AB174" i="15"/>
  <c r="AB175" i="15"/>
  <c r="AB176" i="15"/>
  <c r="AB177" i="15"/>
  <c r="AB178" i="15"/>
  <c r="AB179" i="15"/>
  <c r="AB180" i="15"/>
  <c r="AB181" i="15"/>
  <c r="AB182" i="15"/>
  <c r="AB183" i="15"/>
  <c r="AB184" i="15"/>
  <c r="AB185" i="15"/>
  <c r="AB186" i="15"/>
  <c r="AB187" i="15"/>
  <c r="AB188" i="15"/>
  <c r="AB189" i="15"/>
  <c r="AB190" i="15"/>
  <c r="AB191" i="15"/>
  <c r="AB192" i="15"/>
  <c r="AB193" i="15"/>
  <c r="AB194" i="15"/>
  <c r="AB195" i="15"/>
  <c r="AB196" i="15"/>
  <c r="AB197" i="15"/>
  <c r="AB198" i="15"/>
  <c r="AB199" i="15"/>
  <c r="AB200" i="15"/>
  <c r="AB201" i="15"/>
  <c r="AB202" i="15"/>
  <c r="AB203" i="15"/>
  <c r="AB204" i="15"/>
  <c r="AB205" i="15"/>
  <c r="AB206" i="15"/>
  <c r="AB207" i="15"/>
  <c r="AB208" i="15"/>
  <c r="AB209" i="15"/>
  <c r="AB210" i="15"/>
  <c r="AB211" i="15"/>
  <c r="AB212" i="15"/>
  <c r="AB213" i="15"/>
  <c r="AB214" i="15"/>
  <c r="AB215" i="15"/>
  <c r="AB216" i="15"/>
  <c r="AB217" i="15"/>
  <c r="AB218" i="15"/>
  <c r="AB219" i="15"/>
  <c r="AB220" i="15"/>
  <c r="AB221" i="15"/>
  <c r="AB222" i="15"/>
  <c r="AB223" i="15"/>
  <c r="AB224" i="15"/>
  <c r="AB225" i="15"/>
  <c r="AB226" i="15"/>
  <c r="AB227" i="15"/>
  <c r="AB228" i="15"/>
  <c r="AB229" i="15"/>
  <c r="AB230" i="15"/>
  <c r="AB231" i="15"/>
  <c r="AB232" i="15"/>
  <c r="AB233" i="15"/>
  <c r="AB234" i="15"/>
  <c r="AB235" i="15"/>
  <c r="AB236" i="15"/>
  <c r="AB237" i="15"/>
  <c r="AB238" i="15"/>
  <c r="AB239" i="15"/>
  <c r="AB240" i="15"/>
  <c r="AB241" i="15"/>
  <c r="AB242" i="15"/>
  <c r="AB243" i="15"/>
  <c r="AB244" i="15"/>
  <c r="AB245" i="15"/>
  <c r="AB246" i="15"/>
  <c r="AB247" i="15"/>
  <c r="AB248" i="15"/>
  <c r="AB249" i="15"/>
  <c r="AB250" i="15"/>
  <c r="AB251" i="15"/>
  <c r="AB252" i="15"/>
  <c r="AB253" i="15"/>
  <c r="AB254" i="15"/>
  <c r="AB255" i="15"/>
  <c r="AB256" i="15"/>
  <c r="AB257" i="15"/>
  <c r="AB258" i="15"/>
  <c r="AB259" i="15"/>
  <c r="AB260" i="15"/>
  <c r="AB261" i="15"/>
  <c r="AB262" i="15"/>
  <c r="AB263" i="15"/>
  <c r="AB264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76" i="15"/>
  <c r="AB277" i="15"/>
  <c r="AB278" i="15"/>
  <c r="AB279" i="15"/>
  <c r="AB280" i="15"/>
  <c r="AB281" i="15"/>
  <c r="AB282" i="15"/>
  <c r="AB283" i="15"/>
  <c r="AB284" i="15"/>
  <c r="AB285" i="15"/>
  <c r="AB286" i="15"/>
  <c r="AB287" i="15"/>
  <c r="AB288" i="15"/>
  <c r="AB289" i="15"/>
  <c r="AB290" i="15"/>
  <c r="AB291" i="15"/>
  <c r="AB292" i="15"/>
  <c r="AB293" i="15"/>
  <c r="AB294" i="15"/>
  <c r="AB295" i="15"/>
  <c r="AB296" i="15"/>
  <c r="AB297" i="15"/>
  <c r="AB298" i="15"/>
  <c r="AB299" i="15"/>
  <c r="AB300" i="15"/>
  <c r="AB301" i="15"/>
  <c r="AB302" i="15"/>
  <c r="AB303" i="15"/>
  <c r="AB304" i="15"/>
  <c r="AB305" i="15"/>
  <c r="AB306" i="15"/>
  <c r="AB307" i="15"/>
  <c r="AB308" i="15"/>
  <c r="AB309" i="15"/>
  <c r="AB310" i="15"/>
  <c r="AB311" i="15"/>
  <c r="AB312" i="15"/>
  <c r="AB313" i="15"/>
  <c r="AB314" i="15"/>
  <c r="AB315" i="15"/>
  <c r="AB316" i="15"/>
  <c r="AB317" i="15"/>
  <c r="AB318" i="15"/>
  <c r="AB319" i="15"/>
  <c r="AB320" i="15"/>
  <c r="AB321" i="15"/>
  <c r="AB322" i="15"/>
  <c r="AB323" i="15"/>
  <c r="AB324" i="15"/>
  <c r="AB325" i="15"/>
  <c r="AB326" i="15"/>
  <c r="AB327" i="15"/>
  <c r="AB328" i="15"/>
  <c r="AB329" i="15"/>
  <c r="AB330" i="15"/>
  <c r="AB331" i="15"/>
  <c r="AB332" i="15"/>
  <c r="AB333" i="15"/>
  <c r="AB334" i="15"/>
  <c r="AB335" i="15"/>
  <c r="AB336" i="15"/>
  <c r="AB337" i="15"/>
  <c r="AB338" i="15"/>
  <c r="AB339" i="15"/>
  <c r="AB340" i="15"/>
  <c r="AB341" i="15"/>
  <c r="AB342" i="15"/>
  <c r="AB343" i="15"/>
  <c r="AB344" i="15"/>
  <c r="AB345" i="15"/>
  <c r="AB346" i="15"/>
  <c r="AB347" i="15"/>
  <c r="AB348" i="15"/>
  <c r="AB349" i="15"/>
  <c r="AB350" i="15"/>
  <c r="AB351" i="15"/>
  <c r="AB352" i="15"/>
  <c r="AB353" i="15"/>
  <c r="AB354" i="15"/>
  <c r="AB355" i="15"/>
  <c r="AB356" i="15"/>
  <c r="AB357" i="15"/>
  <c r="AB358" i="15"/>
  <c r="AB359" i="15"/>
  <c r="AB360" i="15"/>
  <c r="AB361" i="15"/>
  <c r="AB362" i="15"/>
  <c r="AB363" i="15"/>
  <c r="AB364" i="15"/>
  <c r="AB365" i="15"/>
  <c r="AB366" i="15"/>
  <c r="AB367" i="15"/>
  <c r="AX13" i="15"/>
  <c r="AX14" i="15"/>
  <c r="AX15" i="15"/>
  <c r="AX16" i="15"/>
  <c r="AX17" i="15"/>
  <c r="AX18" i="15"/>
  <c r="AX19" i="15"/>
  <c r="AX20" i="15"/>
  <c r="AX21" i="15"/>
  <c r="AX22" i="15"/>
  <c r="AX23" i="15"/>
  <c r="AX24" i="15"/>
  <c r="AX25" i="15"/>
  <c r="AX26" i="15"/>
  <c r="AX27" i="15"/>
  <c r="AX28" i="15"/>
  <c r="AX29" i="15"/>
  <c r="AX30" i="15"/>
  <c r="AX31" i="15"/>
  <c r="AX32" i="15"/>
  <c r="AX33" i="15"/>
  <c r="AX34" i="15"/>
  <c r="AX35" i="15"/>
  <c r="AX36" i="15"/>
  <c r="AX37" i="15"/>
  <c r="AX38" i="15"/>
  <c r="AX39" i="15"/>
  <c r="AX40" i="15"/>
  <c r="AX41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7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X76" i="15"/>
  <c r="AX77" i="15"/>
  <c r="AX78" i="15"/>
  <c r="AX79" i="15"/>
  <c r="AX80" i="15"/>
  <c r="AX81" i="15"/>
  <c r="AX82" i="15"/>
  <c r="AX83" i="15"/>
  <c r="AX84" i="15"/>
  <c r="AX85" i="15"/>
  <c r="AX86" i="15"/>
  <c r="AX87" i="15"/>
  <c r="AX88" i="15"/>
  <c r="AX89" i="15"/>
  <c r="AX90" i="15"/>
  <c r="AX91" i="15"/>
  <c r="AX92" i="15"/>
  <c r="AX93" i="15"/>
  <c r="AX94" i="15"/>
  <c r="AX95" i="15"/>
  <c r="AX96" i="15"/>
  <c r="AX97" i="15"/>
  <c r="AX98" i="15"/>
  <c r="AX99" i="15"/>
  <c r="AX100" i="15"/>
  <c r="AX101" i="15"/>
  <c r="AX102" i="15"/>
  <c r="AX103" i="15"/>
  <c r="AX104" i="15"/>
  <c r="AX105" i="15"/>
  <c r="AX106" i="15"/>
  <c r="AX107" i="15"/>
  <c r="AX108" i="15"/>
  <c r="AX109" i="15"/>
  <c r="AX110" i="15"/>
  <c r="AX111" i="15"/>
  <c r="AX112" i="15"/>
  <c r="AX113" i="15"/>
  <c r="AX114" i="15"/>
  <c r="AX115" i="15"/>
  <c r="AX116" i="15"/>
  <c r="AX117" i="15"/>
  <c r="AX118" i="15"/>
  <c r="AX119" i="15"/>
  <c r="AX120" i="15"/>
  <c r="AX121" i="15"/>
  <c r="AX122" i="15"/>
  <c r="AX123" i="15"/>
  <c r="AX124" i="15"/>
  <c r="AX125" i="15"/>
  <c r="AX126" i="15"/>
  <c r="AX127" i="15"/>
  <c r="AX128" i="15"/>
  <c r="AX129" i="15"/>
  <c r="AX130" i="15"/>
  <c r="AX131" i="15"/>
  <c r="AX132" i="15"/>
  <c r="AX133" i="15"/>
  <c r="AX134" i="15"/>
  <c r="AX135" i="15"/>
  <c r="AX136" i="15"/>
  <c r="AX137" i="15"/>
  <c r="AX138" i="15"/>
  <c r="AX139" i="15"/>
  <c r="AX140" i="15"/>
  <c r="AX141" i="15"/>
  <c r="AX142" i="15"/>
  <c r="AX143" i="15"/>
  <c r="AX144" i="15"/>
  <c r="AX145" i="15"/>
  <c r="AX146" i="15"/>
  <c r="AX147" i="15"/>
  <c r="AX148" i="15"/>
  <c r="AX149" i="15"/>
  <c r="AX150" i="15"/>
  <c r="AX151" i="15"/>
  <c r="AX152" i="15"/>
  <c r="AX153" i="15"/>
  <c r="AX154" i="15"/>
  <c r="AX155" i="15"/>
  <c r="AX156" i="15"/>
  <c r="AX157" i="15"/>
  <c r="AX158" i="15"/>
  <c r="AX159" i="15"/>
  <c r="AX160" i="15"/>
  <c r="AX161" i="15"/>
  <c r="AX162" i="15"/>
  <c r="AX163" i="15"/>
  <c r="AX164" i="15"/>
  <c r="AX165" i="15"/>
  <c r="AX166" i="15"/>
  <c r="AX167" i="15"/>
  <c r="AX168" i="15"/>
  <c r="AX169" i="15"/>
  <c r="AX170" i="15"/>
  <c r="AX171" i="15"/>
  <c r="AX172" i="15"/>
  <c r="AX173" i="15"/>
  <c r="AX174" i="15"/>
  <c r="AX175" i="15"/>
  <c r="AX176" i="15"/>
  <c r="AX177" i="15"/>
  <c r="AX178" i="15"/>
  <c r="AX179" i="15"/>
  <c r="AX180" i="15"/>
  <c r="AX181" i="15"/>
  <c r="AX182" i="15"/>
  <c r="AX183" i="15"/>
  <c r="AX184" i="15"/>
  <c r="AX185" i="15"/>
  <c r="AX186" i="15"/>
  <c r="AX187" i="15"/>
  <c r="AX188" i="15"/>
  <c r="AX189" i="15"/>
  <c r="AX190" i="15"/>
  <c r="AX191" i="15"/>
  <c r="AX192" i="15"/>
  <c r="AX193" i="15"/>
  <c r="AX194" i="15"/>
  <c r="AX195" i="15"/>
  <c r="AX196" i="15"/>
  <c r="AX197" i="15"/>
  <c r="AX198" i="15"/>
  <c r="AX199" i="15"/>
  <c r="AX200" i="15"/>
  <c r="AX201" i="15"/>
  <c r="AX202" i="15"/>
  <c r="AX203" i="15"/>
  <c r="AX204" i="15"/>
  <c r="AX205" i="15"/>
  <c r="AX206" i="15"/>
  <c r="AX207" i="15"/>
  <c r="AX208" i="15"/>
  <c r="AX209" i="15"/>
  <c r="AX210" i="15"/>
  <c r="AX211" i="15"/>
  <c r="AX212" i="15"/>
  <c r="AX213" i="15"/>
  <c r="AX214" i="15"/>
  <c r="AX215" i="15"/>
  <c r="AX216" i="15"/>
  <c r="AX217" i="15"/>
  <c r="AX218" i="15"/>
  <c r="AX219" i="15"/>
  <c r="AX220" i="15"/>
  <c r="AX221" i="15"/>
  <c r="AX222" i="15"/>
  <c r="AX223" i="15"/>
  <c r="AX224" i="15"/>
  <c r="AX225" i="15"/>
  <c r="AX226" i="15"/>
  <c r="AX227" i="15"/>
  <c r="AX228" i="15"/>
  <c r="AX229" i="15"/>
  <c r="AX230" i="15"/>
  <c r="AX231" i="15"/>
  <c r="AX232" i="15"/>
  <c r="AX233" i="15"/>
  <c r="AX234" i="15"/>
  <c r="AX235" i="15"/>
  <c r="AX236" i="15"/>
  <c r="AX237" i="15"/>
  <c r="AX238" i="15"/>
  <c r="AX239" i="15"/>
  <c r="AX240" i="15"/>
  <c r="AX241" i="15"/>
  <c r="AX242" i="15"/>
  <c r="AX243" i="15"/>
  <c r="AX244" i="15"/>
  <c r="AX245" i="15"/>
  <c r="AX246" i="15"/>
  <c r="AX247" i="15"/>
  <c r="AX248" i="15"/>
  <c r="AX249" i="15"/>
  <c r="AX250" i="15"/>
  <c r="AX251" i="15"/>
  <c r="AX252" i="15"/>
  <c r="AX253" i="15"/>
  <c r="AX254" i="15"/>
  <c r="AX255" i="15"/>
  <c r="AX256" i="15"/>
  <c r="AX257" i="15"/>
  <c r="AX258" i="15"/>
  <c r="AX259" i="15"/>
  <c r="AX260" i="15"/>
  <c r="AX261" i="15"/>
  <c r="AX262" i="15"/>
  <c r="AX263" i="15"/>
  <c r="AX264" i="15"/>
  <c r="AX265" i="15"/>
  <c r="AX266" i="15"/>
  <c r="AX267" i="15"/>
  <c r="AX268" i="15"/>
  <c r="AX269" i="15"/>
  <c r="AX270" i="15"/>
  <c r="AX271" i="15"/>
  <c r="AX272" i="15"/>
  <c r="AX273" i="15"/>
  <c r="AX274" i="15"/>
  <c r="AX275" i="15"/>
  <c r="AX276" i="15"/>
  <c r="AX277" i="15"/>
  <c r="AX278" i="15"/>
  <c r="AX279" i="15"/>
  <c r="AX280" i="15"/>
  <c r="AX281" i="15"/>
  <c r="AX282" i="15"/>
  <c r="AX283" i="15"/>
  <c r="AX284" i="15"/>
  <c r="AX285" i="15"/>
  <c r="AX286" i="15"/>
  <c r="AX287" i="15"/>
  <c r="AX288" i="15"/>
  <c r="AX289" i="15"/>
  <c r="AX290" i="15"/>
  <c r="AX291" i="15"/>
  <c r="AX292" i="15"/>
  <c r="AX293" i="15"/>
  <c r="AX294" i="15"/>
  <c r="AX295" i="15"/>
  <c r="AX296" i="15"/>
  <c r="AX297" i="15"/>
  <c r="AX298" i="15"/>
  <c r="AX299" i="15"/>
  <c r="AX300" i="15"/>
  <c r="AX301" i="15"/>
  <c r="AX302" i="15"/>
  <c r="AX303" i="15"/>
  <c r="AX304" i="15"/>
  <c r="AX305" i="15"/>
  <c r="AX306" i="15"/>
  <c r="AX307" i="15"/>
  <c r="AX308" i="15"/>
  <c r="AX309" i="15"/>
  <c r="AX310" i="15"/>
  <c r="AX311" i="15"/>
  <c r="AX312" i="15"/>
  <c r="AX313" i="15"/>
  <c r="AX314" i="15"/>
  <c r="AX315" i="15"/>
  <c r="AX316" i="15"/>
  <c r="AX317" i="15"/>
  <c r="AX318" i="15"/>
  <c r="AX319" i="15"/>
  <c r="AX320" i="15"/>
  <c r="AX321" i="15"/>
  <c r="AX322" i="15"/>
  <c r="AX323" i="15"/>
  <c r="AX324" i="15"/>
  <c r="AX325" i="15"/>
  <c r="AX326" i="15"/>
  <c r="AX327" i="15"/>
  <c r="AX328" i="15"/>
  <c r="AX329" i="15"/>
  <c r="AX330" i="15"/>
  <c r="AX331" i="15"/>
  <c r="AX332" i="15"/>
  <c r="AX333" i="15"/>
  <c r="AX334" i="15"/>
  <c r="AX335" i="15"/>
  <c r="AX336" i="15"/>
  <c r="AX337" i="15"/>
  <c r="AX338" i="15"/>
  <c r="AX339" i="15"/>
  <c r="AX340" i="15"/>
  <c r="AX341" i="15"/>
  <c r="AX342" i="15"/>
  <c r="AX343" i="15"/>
  <c r="AX344" i="15"/>
  <c r="AX345" i="15"/>
  <c r="AX346" i="15"/>
  <c r="AX347" i="15"/>
  <c r="AX348" i="15"/>
  <c r="AX349" i="15"/>
  <c r="AX350" i="15"/>
  <c r="AX351" i="15"/>
  <c r="AX352" i="15"/>
  <c r="AX353" i="15"/>
  <c r="AX354" i="15"/>
  <c r="AX355" i="15"/>
  <c r="AX356" i="15"/>
  <c r="AX357" i="15"/>
  <c r="AX358" i="15"/>
  <c r="AX359" i="15"/>
  <c r="AX360" i="15"/>
  <c r="AX361" i="15"/>
  <c r="AX362" i="15"/>
  <c r="AX363" i="15"/>
  <c r="AX364" i="15"/>
  <c r="AX365" i="15"/>
  <c r="AX366" i="15"/>
  <c r="AX367" i="15"/>
  <c r="AY13" i="15"/>
  <c r="AY14" i="15"/>
  <c r="AY15" i="15"/>
  <c r="AY16" i="15"/>
  <c r="AY17" i="15"/>
  <c r="AY18" i="15"/>
  <c r="AY19" i="15"/>
  <c r="AY20" i="15"/>
  <c r="AY21" i="15"/>
  <c r="AY22" i="15"/>
  <c r="AY23" i="15"/>
  <c r="AY24" i="15"/>
  <c r="AY25" i="15"/>
  <c r="AY26" i="15"/>
  <c r="AY27" i="15"/>
  <c r="AY28" i="15"/>
  <c r="AY29" i="15"/>
  <c r="AY30" i="15"/>
  <c r="AY31" i="15"/>
  <c r="AY32" i="15"/>
  <c r="AY33" i="15"/>
  <c r="AY34" i="15"/>
  <c r="AY35" i="15"/>
  <c r="AY36" i="15"/>
  <c r="AY37" i="15"/>
  <c r="AY38" i="15"/>
  <c r="AY39" i="15"/>
  <c r="AY40" i="15"/>
  <c r="AY41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8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Y76" i="15"/>
  <c r="AY77" i="15"/>
  <c r="AY78" i="15"/>
  <c r="AY79" i="15"/>
  <c r="AY80" i="15"/>
  <c r="AY81" i="15"/>
  <c r="AY82" i="15"/>
  <c r="AY83" i="15"/>
  <c r="AY84" i="15"/>
  <c r="AY85" i="15"/>
  <c r="AY86" i="15"/>
  <c r="AY87" i="15"/>
  <c r="AY88" i="15"/>
  <c r="AY89" i="15"/>
  <c r="AY90" i="15"/>
  <c r="AY91" i="15"/>
  <c r="AY92" i="15"/>
  <c r="AY93" i="15"/>
  <c r="AY94" i="15"/>
  <c r="AY95" i="15"/>
  <c r="AY96" i="15"/>
  <c r="AY97" i="15"/>
  <c r="AY98" i="15"/>
  <c r="AY99" i="15"/>
  <c r="AY100" i="15"/>
  <c r="AY101" i="15"/>
  <c r="AY102" i="15"/>
  <c r="AY103" i="15"/>
  <c r="AY104" i="15"/>
  <c r="AY105" i="15"/>
  <c r="AY106" i="15"/>
  <c r="AY107" i="15"/>
  <c r="AY108" i="15"/>
  <c r="AY109" i="15"/>
  <c r="AY110" i="15"/>
  <c r="AY111" i="15"/>
  <c r="AY112" i="15"/>
  <c r="AY113" i="15"/>
  <c r="AY114" i="15"/>
  <c r="AY115" i="15"/>
  <c r="AY116" i="15"/>
  <c r="AY117" i="15"/>
  <c r="AY118" i="15"/>
  <c r="AY119" i="15"/>
  <c r="AY120" i="15"/>
  <c r="AY121" i="15"/>
  <c r="AY122" i="15"/>
  <c r="AY123" i="15"/>
  <c r="AY124" i="15"/>
  <c r="AY125" i="15"/>
  <c r="AY126" i="15"/>
  <c r="AY127" i="15"/>
  <c r="AY128" i="15"/>
  <c r="AY129" i="15"/>
  <c r="AY130" i="15"/>
  <c r="AY131" i="15"/>
  <c r="AY132" i="15"/>
  <c r="AY133" i="15"/>
  <c r="AY134" i="15"/>
  <c r="AY135" i="15"/>
  <c r="AY136" i="15"/>
  <c r="AY137" i="15"/>
  <c r="AY138" i="15"/>
  <c r="AY139" i="15"/>
  <c r="AY140" i="15"/>
  <c r="AY141" i="15"/>
  <c r="AY142" i="15"/>
  <c r="AY143" i="15"/>
  <c r="AY144" i="15"/>
  <c r="AY145" i="15"/>
  <c r="AY146" i="15"/>
  <c r="AY147" i="15"/>
  <c r="AY148" i="15"/>
  <c r="AY149" i="15"/>
  <c r="AY150" i="15"/>
  <c r="AY151" i="15"/>
  <c r="AY152" i="15"/>
  <c r="AY153" i="15"/>
  <c r="AY154" i="15"/>
  <c r="AY155" i="15"/>
  <c r="AY156" i="15"/>
  <c r="AY157" i="15"/>
  <c r="AY158" i="15"/>
  <c r="AY159" i="15"/>
  <c r="AY160" i="15"/>
  <c r="AY161" i="15"/>
  <c r="AY162" i="15"/>
  <c r="AY163" i="15"/>
  <c r="AY164" i="15"/>
  <c r="AY165" i="15"/>
  <c r="AY166" i="15"/>
  <c r="AY167" i="15"/>
  <c r="AY168" i="15"/>
  <c r="AY169" i="15"/>
  <c r="AY170" i="15"/>
  <c r="AY171" i="15"/>
  <c r="AY172" i="15"/>
  <c r="AY173" i="15"/>
  <c r="AY174" i="15"/>
  <c r="AY175" i="15"/>
  <c r="AY176" i="15"/>
  <c r="AY177" i="15"/>
  <c r="AY178" i="15"/>
  <c r="AY179" i="15"/>
  <c r="AY180" i="15"/>
  <c r="AY181" i="15"/>
  <c r="AY182" i="15"/>
  <c r="AY183" i="15"/>
  <c r="AY184" i="15"/>
  <c r="AY185" i="15"/>
  <c r="AY186" i="15"/>
  <c r="AY187" i="15"/>
  <c r="AY188" i="15"/>
  <c r="AY189" i="15"/>
  <c r="AY190" i="15"/>
  <c r="AY191" i="15"/>
  <c r="AY192" i="15"/>
  <c r="AY193" i="15"/>
  <c r="AY194" i="15"/>
  <c r="AY195" i="15"/>
  <c r="AY196" i="15"/>
  <c r="AY197" i="15"/>
  <c r="AY198" i="15"/>
  <c r="AY199" i="15"/>
  <c r="AY200" i="15"/>
  <c r="AY201" i="15"/>
  <c r="AY202" i="15"/>
  <c r="AY203" i="15"/>
  <c r="AY204" i="15"/>
  <c r="AY205" i="15"/>
  <c r="AY206" i="15"/>
  <c r="AY207" i="15"/>
  <c r="AY208" i="15"/>
  <c r="AY209" i="15"/>
  <c r="AY210" i="15"/>
  <c r="AY211" i="15"/>
  <c r="AY212" i="15"/>
  <c r="AY213" i="15"/>
  <c r="AY214" i="15"/>
  <c r="AY215" i="15"/>
  <c r="AY216" i="15"/>
  <c r="AY217" i="15"/>
  <c r="AY218" i="15"/>
  <c r="AY219" i="15"/>
  <c r="AY220" i="15"/>
  <c r="AY221" i="15"/>
  <c r="AY222" i="15"/>
  <c r="AY223" i="15"/>
  <c r="AY224" i="15"/>
  <c r="AY225" i="15"/>
  <c r="AY226" i="15"/>
  <c r="AY227" i="15"/>
  <c r="AY228" i="15"/>
  <c r="AY229" i="15"/>
  <c r="AY230" i="15"/>
  <c r="AY231" i="15"/>
  <c r="AY232" i="15"/>
  <c r="AY233" i="15"/>
  <c r="AY234" i="15"/>
  <c r="AY235" i="15"/>
  <c r="AY236" i="15"/>
  <c r="AY237" i="15"/>
  <c r="AY238" i="15"/>
  <c r="AY239" i="15"/>
  <c r="AY240" i="15"/>
  <c r="AY241" i="15"/>
  <c r="AY242" i="15"/>
  <c r="AY243" i="15"/>
  <c r="AY244" i="15"/>
  <c r="AY245" i="15"/>
  <c r="AY246" i="15"/>
  <c r="AY247" i="15"/>
  <c r="AY248" i="15"/>
  <c r="AY249" i="15"/>
  <c r="AY250" i="15"/>
  <c r="AY251" i="15"/>
  <c r="AY252" i="15"/>
  <c r="AY253" i="15"/>
  <c r="AY254" i="15"/>
  <c r="AY255" i="15"/>
  <c r="AY256" i="15"/>
  <c r="AY257" i="15"/>
  <c r="AY258" i="15"/>
  <c r="AY259" i="15"/>
  <c r="AY260" i="15"/>
  <c r="AY261" i="15"/>
  <c r="AY262" i="15"/>
  <c r="AY263" i="15"/>
  <c r="AY264" i="15"/>
  <c r="AY265" i="15"/>
  <c r="AY266" i="15"/>
  <c r="AY267" i="15"/>
  <c r="AY268" i="15"/>
  <c r="AY269" i="15"/>
  <c r="AY270" i="15"/>
  <c r="AY271" i="15"/>
  <c r="AY272" i="15"/>
  <c r="AY273" i="15"/>
  <c r="AY274" i="15"/>
  <c r="AY275" i="15"/>
  <c r="AY276" i="15"/>
  <c r="AY277" i="15"/>
  <c r="AY278" i="15"/>
  <c r="AY279" i="15"/>
  <c r="AY280" i="15"/>
  <c r="AY281" i="15"/>
  <c r="AY282" i="15"/>
  <c r="AY283" i="15"/>
  <c r="AY284" i="15"/>
  <c r="AY285" i="15"/>
  <c r="AY286" i="15"/>
  <c r="AY287" i="15"/>
  <c r="AY288" i="15"/>
  <c r="AY289" i="15"/>
  <c r="AY290" i="15"/>
  <c r="AY291" i="15"/>
  <c r="AY292" i="15"/>
  <c r="AY293" i="15"/>
  <c r="AY294" i="15"/>
  <c r="AY295" i="15"/>
  <c r="AY296" i="15"/>
  <c r="AY297" i="15"/>
  <c r="AY298" i="15"/>
  <c r="AY299" i="15"/>
  <c r="AY300" i="15"/>
  <c r="AY301" i="15"/>
  <c r="AY302" i="15"/>
  <c r="AY303" i="15"/>
  <c r="AY304" i="15"/>
  <c r="AY305" i="15"/>
  <c r="AY306" i="15"/>
  <c r="AY307" i="15"/>
  <c r="AY308" i="15"/>
  <c r="AY309" i="15"/>
  <c r="AY310" i="15"/>
  <c r="AY311" i="15"/>
  <c r="AY312" i="15"/>
  <c r="AY313" i="15"/>
  <c r="AY314" i="15"/>
  <c r="AY315" i="15"/>
  <c r="AY316" i="15"/>
  <c r="AY317" i="15"/>
  <c r="AY318" i="15"/>
  <c r="AY319" i="15"/>
  <c r="AY320" i="15"/>
  <c r="AY321" i="15"/>
  <c r="AY322" i="15"/>
  <c r="AY323" i="15"/>
  <c r="AY324" i="15"/>
  <c r="AY325" i="15"/>
  <c r="AY326" i="15"/>
  <c r="AY327" i="15"/>
  <c r="AY328" i="15"/>
  <c r="AY329" i="15"/>
  <c r="AY330" i="15"/>
  <c r="AY331" i="15"/>
  <c r="AY332" i="15"/>
  <c r="AY333" i="15"/>
  <c r="AY334" i="15"/>
  <c r="AY335" i="15"/>
  <c r="AY336" i="15"/>
  <c r="AY337" i="15"/>
  <c r="AY338" i="15"/>
  <c r="AY339" i="15"/>
  <c r="AY340" i="15"/>
  <c r="AY341" i="15"/>
  <c r="AY342" i="15"/>
  <c r="AY343" i="15"/>
  <c r="AY344" i="15"/>
  <c r="AY345" i="15"/>
  <c r="AY346" i="15"/>
  <c r="AY347" i="15"/>
  <c r="AY348" i="15"/>
  <c r="AY349" i="15"/>
  <c r="AY350" i="15"/>
  <c r="AY351" i="15"/>
  <c r="AY352" i="15"/>
  <c r="AY353" i="15"/>
  <c r="AY354" i="15"/>
  <c r="AY355" i="15"/>
  <c r="AY356" i="15"/>
  <c r="AY357" i="15"/>
  <c r="AY358" i="15"/>
  <c r="AY359" i="15"/>
  <c r="AY360" i="15"/>
  <c r="AY361" i="15"/>
  <c r="AY362" i="15"/>
  <c r="AY363" i="15"/>
  <c r="AY364" i="15"/>
  <c r="AY365" i="15"/>
  <c r="AY366" i="15"/>
  <c r="AY367" i="15"/>
  <c r="AZ13" i="15"/>
  <c r="AZ14" i="15"/>
  <c r="AZ15" i="15"/>
  <c r="AZ16" i="15"/>
  <c r="AZ17" i="15"/>
  <c r="AZ18" i="15"/>
  <c r="AZ19" i="15"/>
  <c r="AZ20" i="15"/>
  <c r="AZ21" i="15"/>
  <c r="AZ22" i="15"/>
  <c r="AZ23" i="15"/>
  <c r="AZ24" i="15"/>
  <c r="AZ25" i="15"/>
  <c r="AZ26" i="15"/>
  <c r="AZ27" i="15"/>
  <c r="AZ28" i="15"/>
  <c r="AZ29" i="15"/>
  <c r="AZ30" i="15"/>
  <c r="AZ31" i="15"/>
  <c r="AZ32" i="15"/>
  <c r="AZ33" i="15"/>
  <c r="AZ34" i="15"/>
  <c r="AZ35" i="15"/>
  <c r="AZ36" i="15"/>
  <c r="AZ37" i="15"/>
  <c r="AZ38" i="15"/>
  <c r="AZ39" i="15"/>
  <c r="AZ40" i="15"/>
  <c r="AZ41" i="15"/>
  <c r="AZ42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1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Z76" i="15"/>
  <c r="AZ77" i="15"/>
  <c r="AZ78" i="15"/>
  <c r="AZ79" i="15"/>
  <c r="AZ80" i="15"/>
  <c r="AZ81" i="15"/>
  <c r="AZ82" i="15"/>
  <c r="AZ83" i="15"/>
  <c r="AZ84" i="15"/>
  <c r="AZ85" i="15"/>
  <c r="AZ86" i="15"/>
  <c r="AZ87" i="15"/>
  <c r="AZ88" i="15"/>
  <c r="AZ89" i="15"/>
  <c r="AZ90" i="15"/>
  <c r="AZ91" i="15"/>
  <c r="AZ92" i="15"/>
  <c r="AZ93" i="15"/>
  <c r="AZ94" i="15"/>
  <c r="AZ95" i="15"/>
  <c r="AZ96" i="15"/>
  <c r="AZ97" i="15"/>
  <c r="AZ98" i="15"/>
  <c r="AZ99" i="15"/>
  <c r="AZ100" i="15"/>
  <c r="AZ101" i="15"/>
  <c r="AZ102" i="15"/>
  <c r="AZ103" i="15"/>
  <c r="AZ104" i="15"/>
  <c r="AZ105" i="15"/>
  <c r="AZ106" i="15"/>
  <c r="AZ107" i="15"/>
  <c r="AZ108" i="15"/>
  <c r="AZ109" i="15"/>
  <c r="AZ110" i="15"/>
  <c r="AZ111" i="15"/>
  <c r="AZ112" i="15"/>
  <c r="AZ113" i="15"/>
  <c r="AZ114" i="15"/>
  <c r="AZ115" i="15"/>
  <c r="AZ116" i="15"/>
  <c r="AZ117" i="15"/>
  <c r="AZ118" i="15"/>
  <c r="AZ119" i="15"/>
  <c r="AZ120" i="15"/>
  <c r="AZ121" i="15"/>
  <c r="AZ122" i="15"/>
  <c r="AZ123" i="15"/>
  <c r="AZ124" i="15"/>
  <c r="AZ125" i="15"/>
  <c r="AZ126" i="15"/>
  <c r="AZ127" i="15"/>
  <c r="AZ128" i="15"/>
  <c r="AZ129" i="15"/>
  <c r="AZ130" i="15"/>
  <c r="AZ131" i="15"/>
  <c r="AZ132" i="15"/>
  <c r="AZ133" i="15"/>
  <c r="AZ134" i="15"/>
  <c r="AZ135" i="15"/>
  <c r="AZ136" i="15"/>
  <c r="AZ137" i="15"/>
  <c r="AZ138" i="15"/>
  <c r="AZ139" i="15"/>
  <c r="AZ140" i="15"/>
  <c r="AZ141" i="15"/>
  <c r="AZ142" i="15"/>
  <c r="AZ143" i="15"/>
  <c r="AZ144" i="15"/>
  <c r="AZ145" i="15"/>
  <c r="AZ146" i="15"/>
  <c r="AZ147" i="15"/>
  <c r="AZ148" i="15"/>
  <c r="AZ149" i="15"/>
  <c r="AZ150" i="15"/>
  <c r="AZ151" i="15"/>
  <c r="AZ152" i="15"/>
  <c r="AZ153" i="15"/>
  <c r="AZ154" i="15"/>
  <c r="AZ155" i="15"/>
  <c r="AZ156" i="15"/>
  <c r="AZ157" i="15"/>
  <c r="AZ158" i="15"/>
  <c r="AZ159" i="15"/>
  <c r="AZ160" i="15"/>
  <c r="AZ161" i="15"/>
  <c r="AZ162" i="15"/>
  <c r="AZ163" i="15"/>
  <c r="AZ164" i="15"/>
  <c r="AZ165" i="15"/>
  <c r="AZ166" i="15"/>
  <c r="AZ167" i="15"/>
  <c r="AZ168" i="15"/>
  <c r="AZ169" i="15"/>
  <c r="AZ170" i="15"/>
  <c r="AZ171" i="15"/>
  <c r="AZ172" i="15"/>
  <c r="AZ173" i="15"/>
  <c r="AZ174" i="15"/>
  <c r="AZ175" i="15"/>
  <c r="AZ176" i="15"/>
  <c r="AZ177" i="15"/>
  <c r="AZ178" i="15"/>
  <c r="AZ179" i="15"/>
  <c r="AZ180" i="15"/>
  <c r="AZ181" i="15"/>
  <c r="AZ182" i="15"/>
  <c r="AZ183" i="15"/>
  <c r="AZ184" i="15"/>
  <c r="AZ185" i="15"/>
  <c r="AZ186" i="15"/>
  <c r="AZ187" i="15"/>
  <c r="AZ188" i="15"/>
  <c r="AZ189" i="15"/>
  <c r="AZ190" i="15"/>
  <c r="AZ191" i="15"/>
  <c r="AZ192" i="15"/>
  <c r="AZ193" i="15"/>
  <c r="AZ194" i="15"/>
  <c r="AZ195" i="15"/>
  <c r="AZ196" i="15"/>
  <c r="AZ197" i="15"/>
  <c r="AZ198" i="15"/>
  <c r="AZ199" i="15"/>
  <c r="AZ200" i="15"/>
  <c r="AZ201" i="15"/>
  <c r="AZ202" i="15"/>
  <c r="AZ203" i="15"/>
  <c r="AZ204" i="15"/>
  <c r="AZ205" i="15"/>
  <c r="AZ206" i="15"/>
  <c r="AZ207" i="15"/>
  <c r="AZ208" i="15"/>
  <c r="AZ209" i="15"/>
  <c r="AZ210" i="15"/>
  <c r="AZ211" i="15"/>
  <c r="AZ212" i="15"/>
  <c r="AZ213" i="15"/>
  <c r="AZ214" i="15"/>
  <c r="AZ215" i="15"/>
  <c r="AZ216" i="15"/>
  <c r="AZ217" i="15"/>
  <c r="AZ218" i="15"/>
  <c r="AZ219" i="15"/>
  <c r="AZ220" i="15"/>
  <c r="AZ221" i="15"/>
  <c r="AZ222" i="15"/>
  <c r="AZ223" i="15"/>
  <c r="AZ224" i="15"/>
  <c r="AZ225" i="15"/>
  <c r="AZ226" i="15"/>
  <c r="AZ227" i="15"/>
  <c r="AZ228" i="15"/>
  <c r="AZ229" i="15"/>
  <c r="AZ230" i="15"/>
  <c r="AZ231" i="15"/>
  <c r="AZ232" i="15"/>
  <c r="AZ233" i="15"/>
  <c r="AZ234" i="15"/>
  <c r="AZ235" i="15"/>
  <c r="AZ236" i="15"/>
  <c r="AZ237" i="15"/>
  <c r="AZ238" i="15"/>
  <c r="AZ239" i="15"/>
  <c r="AZ240" i="15"/>
  <c r="AZ241" i="15"/>
  <c r="AZ242" i="15"/>
  <c r="AZ243" i="15"/>
  <c r="AZ244" i="15"/>
  <c r="AZ245" i="15"/>
  <c r="AZ246" i="15"/>
  <c r="AZ247" i="15"/>
  <c r="AZ248" i="15"/>
  <c r="AZ249" i="15"/>
  <c r="AZ250" i="15"/>
  <c r="AZ251" i="15"/>
  <c r="AZ252" i="15"/>
  <c r="AZ253" i="15"/>
  <c r="AZ254" i="15"/>
  <c r="AZ255" i="15"/>
  <c r="AZ256" i="15"/>
  <c r="AZ257" i="15"/>
  <c r="AZ258" i="15"/>
  <c r="AZ259" i="15"/>
  <c r="AZ260" i="15"/>
  <c r="AZ261" i="15"/>
  <c r="AZ262" i="15"/>
  <c r="AZ263" i="15"/>
  <c r="AZ264" i="15"/>
  <c r="AZ265" i="15"/>
  <c r="AZ266" i="15"/>
  <c r="AZ267" i="15"/>
  <c r="AZ268" i="15"/>
  <c r="AZ269" i="15"/>
  <c r="AZ270" i="15"/>
  <c r="AZ271" i="15"/>
  <c r="AZ272" i="15"/>
  <c r="AZ273" i="15"/>
  <c r="AZ274" i="15"/>
  <c r="AZ275" i="15"/>
  <c r="AZ276" i="15"/>
  <c r="AZ277" i="15"/>
  <c r="AZ278" i="15"/>
  <c r="AZ279" i="15"/>
  <c r="AZ280" i="15"/>
  <c r="AZ281" i="15"/>
  <c r="AZ282" i="15"/>
  <c r="AZ283" i="15"/>
  <c r="AZ284" i="15"/>
  <c r="AZ285" i="15"/>
  <c r="AZ286" i="15"/>
  <c r="AZ287" i="15"/>
  <c r="AZ288" i="15"/>
  <c r="AZ289" i="15"/>
  <c r="AZ290" i="15"/>
  <c r="AZ291" i="15"/>
  <c r="AZ292" i="15"/>
  <c r="AZ293" i="15"/>
  <c r="AZ294" i="15"/>
  <c r="AZ295" i="15"/>
  <c r="AZ296" i="15"/>
  <c r="AZ297" i="15"/>
  <c r="AZ298" i="15"/>
  <c r="AZ299" i="15"/>
  <c r="AZ300" i="15"/>
  <c r="AZ301" i="15"/>
  <c r="AZ302" i="15"/>
  <c r="AZ303" i="15"/>
  <c r="AZ304" i="15"/>
  <c r="AZ305" i="15"/>
  <c r="AZ306" i="15"/>
  <c r="AZ307" i="15"/>
  <c r="AZ308" i="15"/>
  <c r="AZ309" i="15"/>
  <c r="AZ310" i="15"/>
  <c r="AZ311" i="15"/>
  <c r="AZ312" i="15"/>
  <c r="AZ313" i="15"/>
  <c r="AZ314" i="15"/>
  <c r="AZ315" i="15"/>
  <c r="AZ316" i="15"/>
  <c r="AZ317" i="15"/>
  <c r="AZ318" i="15"/>
  <c r="AZ319" i="15"/>
  <c r="AZ320" i="15"/>
  <c r="AZ321" i="15"/>
  <c r="AZ322" i="15"/>
  <c r="AZ323" i="15"/>
  <c r="AZ324" i="15"/>
  <c r="AZ325" i="15"/>
  <c r="AZ326" i="15"/>
  <c r="AZ327" i="15"/>
  <c r="AZ328" i="15"/>
  <c r="AZ329" i="15"/>
  <c r="AZ330" i="15"/>
  <c r="AZ331" i="15"/>
  <c r="AZ332" i="15"/>
  <c r="AZ333" i="15"/>
  <c r="AZ334" i="15"/>
  <c r="AZ335" i="15"/>
  <c r="AZ336" i="15"/>
  <c r="AZ337" i="15"/>
  <c r="AZ338" i="15"/>
  <c r="AZ339" i="15"/>
  <c r="AZ340" i="15"/>
  <c r="AZ341" i="15"/>
  <c r="AZ342" i="15"/>
  <c r="AZ343" i="15"/>
  <c r="AZ344" i="15"/>
  <c r="AZ345" i="15"/>
  <c r="AZ346" i="15"/>
  <c r="AZ347" i="15"/>
  <c r="AZ348" i="15"/>
  <c r="AZ349" i="15"/>
  <c r="AZ350" i="15"/>
  <c r="AZ351" i="15"/>
  <c r="AZ352" i="15"/>
  <c r="AZ353" i="15"/>
  <c r="AZ354" i="15"/>
  <c r="AZ355" i="15"/>
  <c r="AZ356" i="15"/>
  <c r="AZ357" i="15"/>
  <c r="AZ358" i="15"/>
  <c r="AZ359" i="15"/>
  <c r="AZ360" i="15"/>
  <c r="AZ361" i="15"/>
  <c r="AZ362" i="15"/>
  <c r="AZ363" i="15"/>
  <c r="AZ364" i="15"/>
  <c r="AZ365" i="15"/>
  <c r="AZ366" i="15"/>
  <c r="AZ367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BA81" i="15"/>
  <c r="BA82" i="15"/>
  <c r="BA83" i="15"/>
  <c r="BA84" i="15"/>
  <c r="BA85" i="15"/>
  <c r="BA86" i="15"/>
  <c r="BA87" i="15"/>
  <c r="BA88" i="15"/>
  <c r="BA89" i="15"/>
  <c r="BA90" i="15"/>
  <c r="BA91" i="15"/>
  <c r="BA92" i="15"/>
  <c r="BA93" i="15"/>
  <c r="BA94" i="15"/>
  <c r="BA95" i="15"/>
  <c r="BA96" i="15"/>
  <c r="BA97" i="15"/>
  <c r="BA98" i="15"/>
  <c r="BA99" i="15"/>
  <c r="BA100" i="15"/>
  <c r="BA101" i="15"/>
  <c r="BA102" i="15"/>
  <c r="BA103" i="15"/>
  <c r="BA104" i="15"/>
  <c r="BA105" i="15"/>
  <c r="BA106" i="15"/>
  <c r="BA107" i="15"/>
  <c r="BA108" i="15"/>
  <c r="BA109" i="15"/>
  <c r="BA110" i="15"/>
  <c r="BA111" i="15"/>
  <c r="BA112" i="15"/>
  <c r="BA113" i="15"/>
  <c r="BA114" i="15"/>
  <c r="BA115" i="15"/>
  <c r="BA116" i="15"/>
  <c r="BA117" i="15"/>
  <c r="BA118" i="15"/>
  <c r="BA119" i="15"/>
  <c r="BA120" i="15"/>
  <c r="BA121" i="15"/>
  <c r="BA122" i="15"/>
  <c r="BA123" i="15"/>
  <c r="BA124" i="15"/>
  <c r="BA125" i="15"/>
  <c r="BA126" i="15"/>
  <c r="BA127" i="15"/>
  <c r="BA128" i="15"/>
  <c r="BA129" i="15"/>
  <c r="BA130" i="15"/>
  <c r="BA131" i="15"/>
  <c r="BA132" i="15"/>
  <c r="BA133" i="15"/>
  <c r="BA134" i="15"/>
  <c r="BA135" i="15"/>
  <c r="BA136" i="15"/>
  <c r="BA137" i="15"/>
  <c r="BA138" i="15"/>
  <c r="BA139" i="15"/>
  <c r="BA140" i="15"/>
  <c r="BA141" i="15"/>
  <c r="BA142" i="15"/>
  <c r="BA143" i="15"/>
  <c r="BA144" i="15"/>
  <c r="BA145" i="15"/>
  <c r="BA146" i="15"/>
  <c r="BA147" i="15"/>
  <c r="BA148" i="15"/>
  <c r="BA149" i="15"/>
  <c r="BA150" i="15"/>
  <c r="BA151" i="15"/>
  <c r="BA152" i="15"/>
  <c r="BA153" i="15"/>
  <c r="BA154" i="15"/>
  <c r="BA155" i="15"/>
  <c r="BA156" i="15"/>
  <c r="BA157" i="15"/>
  <c r="BA158" i="15"/>
  <c r="BA159" i="15"/>
  <c r="BA160" i="15"/>
  <c r="BA161" i="15"/>
  <c r="BA162" i="15"/>
  <c r="BA163" i="15"/>
  <c r="BA164" i="15"/>
  <c r="BA165" i="15"/>
  <c r="BA166" i="15"/>
  <c r="BA167" i="15"/>
  <c r="BA168" i="15"/>
  <c r="BA169" i="15"/>
  <c r="BA170" i="15"/>
  <c r="BA171" i="15"/>
  <c r="BA172" i="15"/>
  <c r="BA173" i="15"/>
  <c r="BA174" i="15"/>
  <c r="BA175" i="15"/>
  <c r="BA176" i="15"/>
  <c r="BA177" i="15"/>
  <c r="BA178" i="15"/>
  <c r="BA179" i="15"/>
  <c r="BA180" i="15"/>
  <c r="BA181" i="15"/>
  <c r="BA182" i="15"/>
  <c r="BA183" i="15"/>
  <c r="BA184" i="15"/>
  <c r="BA185" i="15"/>
  <c r="BA186" i="15"/>
  <c r="BA187" i="15"/>
  <c r="BA188" i="15"/>
  <c r="BA189" i="15"/>
  <c r="BA190" i="15"/>
  <c r="BA191" i="15"/>
  <c r="BA192" i="15"/>
  <c r="BA193" i="15"/>
  <c r="BA194" i="15"/>
  <c r="BA195" i="15"/>
  <c r="BA196" i="15"/>
  <c r="BA197" i="15"/>
  <c r="BA198" i="15"/>
  <c r="BA199" i="15"/>
  <c r="BA200" i="15"/>
  <c r="BA201" i="15"/>
  <c r="BA202" i="15"/>
  <c r="BA203" i="15"/>
  <c r="BA204" i="15"/>
  <c r="BA205" i="15"/>
  <c r="BA206" i="15"/>
  <c r="BA207" i="15"/>
  <c r="BA208" i="15"/>
  <c r="BA209" i="15"/>
  <c r="BA210" i="15"/>
  <c r="BA211" i="15"/>
  <c r="BA212" i="15"/>
  <c r="BA213" i="15"/>
  <c r="BA214" i="15"/>
  <c r="BA215" i="15"/>
  <c r="BA216" i="15"/>
  <c r="BA217" i="15"/>
  <c r="BA218" i="15"/>
  <c r="BA219" i="15"/>
  <c r="BA220" i="15"/>
  <c r="BA221" i="15"/>
  <c r="BA222" i="15"/>
  <c r="BA223" i="15"/>
  <c r="BA224" i="15"/>
  <c r="BA225" i="15"/>
  <c r="BA226" i="15"/>
  <c r="BA227" i="15"/>
  <c r="BA228" i="15"/>
  <c r="BA229" i="15"/>
  <c r="BA230" i="15"/>
  <c r="BA231" i="15"/>
  <c r="BA232" i="15"/>
  <c r="BA233" i="15"/>
  <c r="BA234" i="15"/>
  <c r="BA235" i="15"/>
  <c r="BA236" i="15"/>
  <c r="BA237" i="15"/>
  <c r="BA238" i="15"/>
  <c r="BA239" i="15"/>
  <c r="BA240" i="15"/>
  <c r="BA241" i="15"/>
  <c r="BA242" i="15"/>
  <c r="BA243" i="15"/>
  <c r="BA244" i="15"/>
  <c r="BA245" i="15"/>
  <c r="BA246" i="15"/>
  <c r="BA247" i="15"/>
  <c r="BA248" i="15"/>
  <c r="BA249" i="15"/>
  <c r="BA250" i="15"/>
  <c r="BA251" i="15"/>
  <c r="BA252" i="15"/>
  <c r="BA253" i="15"/>
  <c r="BA254" i="15"/>
  <c r="BA255" i="15"/>
  <c r="BA256" i="15"/>
  <c r="BA257" i="15"/>
  <c r="BA258" i="15"/>
  <c r="BA259" i="15"/>
  <c r="BA260" i="15"/>
  <c r="BA261" i="15"/>
  <c r="BA262" i="15"/>
  <c r="BA263" i="15"/>
  <c r="BA264" i="15"/>
  <c r="BA265" i="15"/>
  <c r="BA266" i="15"/>
  <c r="BA267" i="15"/>
  <c r="BA268" i="15"/>
  <c r="BA269" i="15"/>
  <c r="BA270" i="15"/>
  <c r="BA271" i="15"/>
  <c r="BA272" i="15"/>
  <c r="BA273" i="15"/>
  <c r="BA274" i="15"/>
  <c r="BA275" i="15"/>
  <c r="BA276" i="15"/>
  <c r="BA277" i="15"/>
  <c r="BA278" i="15"/>
  <c r="BA279" i="15"/>
  <c r="BA280" i="15"/>
  <c r="BA281" i="15"/>
  <c r="BA282" i="15"/>
  <c r="BA283" i="15"/>
  <c r="BA284" i="15"/>
  <c r="BA285" i="15"/>
  <c r="BA286" i="15"/>
  <c r="BA287" i="15"/>
  <c r="BA288" i="15"/>
  <c r="BA289" i="15"/>
  <c r="BA290" i="15"/>
  <c r="BA291" i="15"/>
  <c r="BA292" i="15"/>
  <c r="BA293" i="15"/>
  <c r="BA294" i="15"/>
  <c r="BA295" i="15"/>
  <c r="BA296" i="15"/>
  <c r="BA297" i="15"/>
  <c r="BA298" i="15"/>
  <c r="BA299" i="15"/>
  <c r="BA300" i="15"/>
  <c r="BA301" i="15"/>
  <c r="BA302" i="15"/>
  <c r="BA303" i="15"/>
  <c r="BA304" i="15"/>
  <c r="BA305" i="15"/>
  <c r="BA306" i="15"/>
  <c r="BA307" i="15"/>
  <c r="BA308" i="15"/>
  <c r="BA309" i="15"/>
  <c r="BA310" i="15"/>
  <c r="BA311" i="15"/>
  <c r="BA312" i="15"/>
  <c r="BA313" i="15"/>
  <c r="BA314" i="15"/>
  <c r="BA315" i="15"/>
  <c r="BA316" i="15"/>
  <c r="BA317" i="15"/>
  <c r="BA318" i="15"/>
  <c r="BA319" i="15"/>
  <c r="BA320" i="15"/>
  <c r="BA321" i="15"/>
  <c r="BA322" i="15"/>
  <c r="BA323" i="15"/>
  <c r="BA324" i="15"/>
  <c r="BA325" i="15"/>
  <c r="BA326" i="15"/>
  <c r="BA327" i="15"/>
  <c r="BA328" i="15"/>
  <c r="BA329" i="15"/>
  <c r="BA330" i="15"/>
  <c r="BA331" i="15"/>
  <c r="BA332" i="15"/>
  <c r="BA333" i="15"/>
  <c r="BA334" i="15"/>
  <c r="BA335" i="15"/>
  <c r="BA336" i="15"/>
  <c r="BA337" i="15"/>
  <c r="BA338" i="15"/>
  <c r="BA339" i="15"/>
  <c r="BA340" i="15"/>
  <c r="BA341" i="15"/>
  <c r="BA342" i="15"/>
  <c r="BA343" i="15"/>
  <c r="BA344" i="15"/>
  <c r="BA345" i="15"/>
  <c r="BA346" i="15"/>
  <c r="BA347" i="15"/>
  <c r="BA348" i="15"/>
  <c r="BA349" i="15"/>
  <c r="BA350" i="15"/>
  <c r="BA351" i="15"/>
  <c r="BA352" i="15"/>
  <c r="BA353" i="15"/>
  <c r="BA354" i="15"/>
  <c r="BA355" i="15"/>
  <c r="BA356" i="15"/>
  <c r="BA357" i="15"/>
  <c r="BA358" i="15"/>
  <c r="BA359" i="15"/>
  <c r="BA360" i="15"/>
  <c r="BA361" i="15"/>
  <c r="BA362" i="15"/>
  <c r="BA363" i="15"/>
  <c r="BA364" i="15"/>
  <c r="BA365" i="15"/>
  <c r="BA366" i="15"/>
  <c r="BA367" i="15"/>
  <c r="Y6" i="15"/>
  <c r="Y7" i="15"/>
  <c r="Y8" i="15"/>
  <c r="Y9" i="15"/>
  <c r="Y10" i="15"/>
  <c r="Y11" i="15"/>
  <c r="Y12" i="15"/>
  <c r="AA6" i="15"/>
  <c r="AA7" i="15"/>
  <c r="AA8" i="15"/>
  <c r="AA9" i="15"/>
  <c r="AA10" i="15"/>
  <c r="AA11" i="15"/>
  <c r="AA12" i="15"/>
  <c r="AB6" i="15"/>
  <c r="AB7" i="15"/>
  <c r="AB8" i="15"/>
  <c r="AB9" i="15"/>
  <c r="AB10" i="15"/>
  <c r="AB11" i="15"/>
  <c r="AB12" i="15"/>
  <c r="AX6" i="15"/>
  <c r="AX7" i="15"/>
  <c r="AX8" i="15"/>
  <c r="AX9" i="15"/>
  <c r="AX10" i="15"/>
  <c r="AX11" i="15"/>
  <c r="AX12" i="15"/>
  <c r="AY6" i="15"/>
  <c r="AY7" i="15"/>
  <c r="AY8" i="15"/>
  <c r="AY9" i="15"/>
  <c r="AY10" i="15"/>
  <c r="AY11" i="15"/>
  <c r="AY12" i="15"/>
  <c r="AZ6" i="15"/>
  <c r="AZ7" i="15"/>
  <c r="AZ8" i="15"/>
  <c r="AZ9" i="15"/>
  <c r="AZ10" i="15"/>
  <c r="AZ11" i="15"/>
  <c r="AZ12" i="15"/>
  <c r="BA6" i="15"/>
  <c r="BA7" i="15"/>
  <c r="BA8" i="15"/>
  <c r="BA9" i="15"/>
  <c r="BA10" i="15"/>
  <c r="BA11" i="15"/>
  <c r="BA12" i="15"/>
  <c r="T36" i="4"/>
  <c r="S36" i="4"/>
  <c r="R36" i="4"/>
  <c r="Q36" i="4"/>
  <c r="P36" i="4"/>
  <c r="O36" i="4"/>
  <c r="N36" i="4"/>
  <c r="T35" i="4"/>
  <c r="S35" i="4"/>
  <c r="R35" i="4"/>
  <c r="Q35" i="4"/>
  <c r="P35" i="4"/>
  <c r="O35" i="4"/>
  <c r="N35" i="4"/>
  <c r="M34" i="4"/>
  <c r="L36" i="4"/>
  <c r="L35" i="4"/>
  <c r="E34" i="4"/>
  <c r="E32" i="4"/>
  <c r="E28" i="4"/>
  <c r="E27" i="4"/>
  <c r="E26" i="4"/>
  <c r="L13" i="4"/>
  <c r="G1" i="4"/>
  <c r="H1" i="4"/>
  <c r="I1" i="4" s="1"/>
  <c r="J1" i="4"/>
  <c r="K1" i="4" s="1"/>
  <c r="L1" i="4" s="1"/>
  <c r="N1" i="4" s="1"/>
  <c r="O1" i="4" s="1"/>
  <c r="P1" i="4" s="1"/>
  <c r="Q1" i="4" s="1"/>
  <c r="R1" i="4" s="1"/>
  <c r="S1" i="4" s="1"/>
  <c r="T1" i="4" s="1"/>
  <c r="V1" i="4" s="1"/>
  <c r="W1" i="4" s="1"/>
  <c r="X1" i="4" s="1"/>
  <c r="Y1" i="4" s="1"/>
  <c r="Z1" i="4" s="1"/>
  <c r="AA1" i="4" s="1"/>
  <c r="AB1" i="4" s="1"/>
  <c r="AD1" i="4" s="1"/>
  <c r="AE1" i="4" s="1"/>
  <c r="AF1" i="4" s="1"/>
  <c r="AG1" i="4" s="1"/>
  <c r="AH1" i="4" s="1"/>
  <c r="AI1" i="4" s="1"/>
  <c r="AJ1" i="4" s="1"/>
  <c r="AL1" i="4" s="1"/>
  <c r="AM1" i="4" s="1"/>
  <c r="AN1" i="4" s="1"/>
  <c r="AO1" i="4" s="1"/>
  <c r="AP1" i="4" s="1"/>
  <c r="AQ1" i="4" s="1"/>
  <c r="AR1" i="4" s="1"/>
  <c r="AT1" i="4" s="1"/>
  <c r="AU1" i="4" s="1"/>
  <c r="AV1" i="4" s="1"/>
  <c r="AW1" i="4" s="1"/>
  <c r="AX1" i="4" s="1"/>
  <c r="AY1" i="4" s="1"/>
  <c r="AZ1" i="4" s="1"/>
  <c r="BB1" i="4" s="1"/>
  <c r="BC1" i="4" s="1"/>
  <c r="BD1" i="4" s="1"/>
  <c r="BE1" i="4" s="1"/>
  <c r="BF1" i="4" s="1"/>
  <c r="BG1" i="4" s="1"/>
  <c r="BH1" i="4" s="1"/>
  <c r="BJ1" i="4" s="1"/>
  <c r="BK1" i="4" s="1"/>
  <c r="BL1" i="4" s="1"/>
  <c r="BM1" i="4" s="1"/>
  <c r="BN1" i="4" s="1"/>
  <c r="BO1" i="4" s="1"/>
  <c r="BP1" i="4" s="1"/>
  <c r="BR1" i="4" s="1"/>
  <c r="BS1" i="4" s="1"/>
  <c r="BT1" i="4" s="1"/>
  <c r="BU1" i="4" s="1"/>
  <c r="BV1" i="4" s="1"/>
  <c r="BW1" i="4" s="1"/>
  <c r="BX1" i="4" s="1"/>
  <c r="BZ1" i="4" s="1"/>
  <c r="CA1" i="4" s="1"/>
  <c r="CB1" i="4" s="1"/>
  <c r="CC1" i="4" s="1"/>
  <c r="CD1" i="4" s="1"/>
  <c r="CE1" i="4" s="1"/>
  <c r="CF1" i="4" s="1"/>
  <c r="CH1" i="4" s="1"/>
  <c r="CI1" i="4" s="1"/>
  <c r="CJ1" i="4" s="1"/>
  <c r="CK1" i="4" s="1"/>
  <c r="CL1" i="4" s="1"/>
  <c r="CM1" i="4" s="1"/>
  <c r="CN1" i="4" s="1"/>
  <c r="CP1" i="4" s="1"/>
  <c r="CQ1" i="4" s="1"/>
  <c r="CR1" i="4" s="1"/>
  <c r="CS1" i="4" s="1"/>
  <c r="CT1" i="4" s="1"/>
  <c r="CU1" i="4" s="1"/>
  <c r="CV1" i="4" s="1"/>
  <c r="CX1" i="4" s="1"/>
  <c r="CY1" i="4" s="1"/>
  <c r="CZ1" i="4" s="1"/>
  <c r="DA1" i="4" s="1"/>
  <c r="DB1" i="4" s="1"/>
  <c r="DC1" i="4" s="1"/>
  <c r="DD1" i="4" s="1"/>
  <c r="DF1" i="4" s="1"/>
  <c r="DG1" i="4" s="1"/>
  <c r="DH1" i="4" s="1"/>
  <c r="DI1" i="4" s="1"/>
  <c r="DJ1" i="4" s="1"/>
  <c r="DK1" i="4" s="1"/>
  <c r="DL1" i="4" s="1"/>
  <c r="DN1" i="4" s="1"/>
  <c r="DO1" i="4" s="1"/>
  <c r="DP1" i="4" s="1"/>
  <c r="DQ1" i="4" s="1"/>
  <c r="DR1" i="4" s="1"/>
  <c r="DS1" i="4" s="1"/>
  <c r="DT1" i="4" s="1"/>
  <c r="DV1" i="4" s="1"/>
  <c r="DW1" i="4" s="1"/>
  <c r="DX1" i="4" s="1"/>
  <c r="DY1" i="4" s="1"/>
  <c r="DZ1" i="4" s="1"/>
  <c r="EA1" i="4" s="1"/>
  <c r="EB1" i="4" s="1"/>
  <c r="ED1" i="4" s="1"/>
  <c r="EE1" i="4" s="1"/>
  <c r="EF1" i="4" s="1"/>
  <c r="EG1" i="4" s="1"/>
  <c r="EH1" i="4" s="1"/>
  <c r="EI1" i="4" s="1"/>
  <c r="EJ1" i="4" s="1"/>
  <c r="EL1" i="4" s="1"/>
  <c r="EM1" i="4" s="1"/>
  <c r="EN1" i="4" s="1"/>
  <c r="EO1" i="4" s="1"/>
  <c r="EP1" i="4" s="1"/>
  <c r="EQ1" i="4" s="1"/>
  <c r="ER1" i="4" s="1"/>
  <c r="ET1" i="4" s="1"/>
  <c r="EU1" i="4" s="1"/>
  <c r="EV1" i="4" s="1"/>
  <c r="EW1" i="4" s="1"/>
  <c r="EX1" i="4" s="1"/>
  <c r="EY1" i="4" s="1"/>
  <c r="EZ1" i="4" s="1"/>
  <c r="FB1" i="4" s="1"/>
  <c r="FC1" i="4" s="1"/>
  <c r="FD1" i="4" s="1"/>
  <c r="FE1" i="4" s="1"/>
  <c r="FF1" i="4" s="1"/>
  <c r="FG1" i="4" s="1"/>
  <c r="FH1" i="4" s="1"/>
  <c r="FJ1" i="4" s="1"/>
  <c r="FK1" i="4" s="1"/>
  <c r="FL1" i="4" s="1"/>
  <c r="FM1" i="4" s="1"/>
  <c r="FN1" i="4" s="1"/>
  <c r="FO1" i="4" s="1"/>
  <c r="FP1" i="4" s="1"/>
  <c r="FR1" i="4" s="1"/>
  <c r="FS1" i="4" s="1"/>
  <c r="FT1" i="4" s="1"/>
  <c r="FU1" i="4" s="1"/>
  <c r="FV1" i="4" s="1"/>
  <c r="FW1" i="4" s="1"/>
  <c r="FX1" i="4" s="1"/>
  <c r="FZ1" i="4" s="1"/>
  <c r="GA1" i="4" s="1"/>
  <c r="GB1" i="4" s="1"/>
  <c r="GC1" i="4" s="1"/>
  <c r="GD1" i="4" s="1"/>
  <c r="GE1" i="4" s="1"/>
  <c r="GF1" i="4" s="1"/>
  <c r="GH1" i="4" s="1"/>
  <c r="GI1" i="4" s="1"/>
  <c r="GJ1" i="4" s="1"/>
  <c r="GK1" i="4" s="1"/>
  <c r="GL1" i="4" s="1"/>
  <c r="GM1" i="4" s="1"/>
  <c r="GN1" i="4" s="1"/>
  <c r="GP1" i="4" s="1"/>
  <c r="GQ1" i="4" s="1"/>
  <c r="GR1" i="4" s="1"/>
  <c r="GS1" i="4" s="1"/>
  <c r="GT1" i="4" s="1"/>
  <c r="GU1" i="4" s="1"/>
  <c r="GV1" i="4" s="1"/>
  <c r="GX1" i="4" s="1"/>
  <c r="GY1" i="4" s="1"/>
  <c r="GZ1" i="4" s="1"/>
  <c r="HA1" i="4" s="1"/>
  <c r="HB1" i="4" s="1"/>
  <c r="HC1" i="4" s="1"/>
  <c r="HD1" i="4" s="1"/>
  <c r="HF1" i="4" s="1"/>
  <c r="HG1" i="4" s="1"/>
  <c r="HH1" i="4" s="1"/>
  <c r="HI1" i="4" s="1"/>
  <c r="HJ1" i="4" s="1"/>
  <c r="HK1" i="4" s="1"/>
  <c r="HL1" i="4" s="1"/>
  <c r="HN1" i="4" s="1"/>
  <c r="HO1" i="4" s="1"/>
  <c r="HP1" i="4" s="1"/>
  <c r="HQ1" i="4" s="1"/>
  <c r="HR1" i="4" s="1"/>
  <c r="HS1" i="4" s="1"/>
  <c r="HT1" i="4" s="1"/>
  <c r="HV1" i="4" s="1"/>
  <c r="HW1" i="4" s="1"/>
  <c r="HX1" i="4" s="1"/>
  <c r="HY1" i="4" s="1"/>
  <c r="HZ1" i="4" s="1"/>
  <c r="IA1" i="4" s="1"/>
  <c r="IB1" i="4" s="1"/>
  <c r="ID1" i="4" s="1"/>
  <c r="IE1" i="4" s="1"/>
  <c r="IF1" i="4" s="1"/>
  <c r="IG1" i="4" s="1"/>
  <c r="IH1" i="4" s="1"/>
  <c r="II1" i="4" s="1"/>
  <c r="IJ1" i="4" s="1"/>
  <c r="IL1" i="4" s="1"/>
  <c r="IM1" i="4" s="1"/>
  <c r="IN1" i="4" s="1"/>
  <c r="IO1" i="4" s="1"/>
  <c r="IP1" i="4" s="1"/>
  <c r="IQ1" i="4" s="1"/>
  <c r="IR1" i="4" s="1"/>
  <c r="IT1" i="4" s="1"/>
  <c r="IU1" i="4" s="1"/>
  <c r="IV1" i="4" s="1"/>
  <c r="IW1" i="4" s="1"/>
  <c r="IX1" i="4" s="1"/>
  <c r="IY1" i="4" s="1"/>
  <c r="IZ1" i="4" s="1"/>
  <c r="JB1" i="4" s="1"/>
  <c r="JC1" i="4" s="1"/>
  <c r="JD1" i="4" s="1"/>
  <c r="JE1" i="4" s="1"/>
  <c r="JF1" i="4" s="1"/>
  <c r="JG1" i="4" s="1"/>
  <c r="JH1" i="4" s="1"/>
  <c r="JJ1" i="4" s="1"/>
  <c r="JK1" i="4" s="1"/>
  <c r="JL1" i="4" s="1"/>
  <c r="JM1" i="4" s="1"/>
  <c r="JN1" i="4" s="1"/>
  <c r="JO1" i="4" s="1"/>
  <c r="JP1" i="4" s="1"/>
  <c r="JR1" i="4" s="1"/>
  <c r="JS1" i="4" s="1"/>
  <c r="JT1" i="4" s="1"/>
  <c r="JU1" i="4" s="1"/>
  <c r="JV1" i="4" s="1"/>
  <c r="JW1" i="4" s="1"/>
  <c r="JX1" i="4" s="1"/>
  <c r="JZ1" i="4" s="1"/>
  <c r="KA1" i="4" s="1"/>
  <c r="KB1" i="4" s="1"/>
  <c r="KC1" i="4" s="1"/>
  <c r="KD1" i="4" s="1"/>
  <c r="KE1" i="4" s="1"/>
  <c r="KF1" i="4" s="1"/>
  <c r="KH1" i="4" s="1"/>
  <c r="KI1" i="4" s="1"/>
  <c r="KJ1" i="4" s="1"/>
  <c r="KK1" i="4" s="1"/>
  <c r="KL1" i="4" s="1"/>
  <c r="KM1" i="4" s="1"/>
  <c r="KN1" i="4" s="1"/>
  <c r="KP1" i="4" s="1"/>
  <c r="KQ1" i="4" s="1"/>
  <c r="KR1" i="4" s="1"/>
  <c r="KS1" i="4" s="1"/>
  <c r="KT1" i="4" s="1"/>
  <c r="KU1" i="4" s="1"/>
  <c r="KV1" i="4" s="1"/>
  <c r="KX1" i="4" s="1"/>
  <c r="KY1" i="4" s="1"/>
  <c r="KZ1" i="4" s="1"/>
  <c r="LA1" i="4" s="1"/>
  <c r="LB1" i="4" s="1"/>
  <c r="LC1" i="4" s="1"/>
  <c r="LD1" i="4" s="1"/>
  <c r="LF1" i="4" s="1"/>
  <c r="LG1" i="4" s="1"/>
  <c r="LH1" i="4" s="1"/>
  <c r="LI1" i="4" s="1"/>
  <c r="LJ1" i="4" s="1"/>
  <c r="LK1" i="4" s="1"/>
  <c r="LL1" i="4" s="1"/>
  <c r="LN1" i="4" s="1"/>
  <c r="LO1" i="4" s="1"/>
  <c r="LP1" i="4" s="1"/>
  <c r="LQ1" i="4" s="1"/>
  <c r="LR1" i="4" s="1"/>
  <c r="LS1" i="4" s="1"/>
  <c r="LT1" i="4" s="1"/>
  <c r="LV1" i="4" s="1"/>
  <c r="LW1" i="4" s="1"/>
  <c r="LX1" i="4" s="1"/>
  <c r="LY1" i="4" s="1"/>
  <c r="LZ1" i="4" s="1"/>
  <c r="MA1" i="4" s="1"/>
  <c r="MB1" i="4" s="1"/>
  <c r="MD1" i="4" s="1"/>
  <c r="ME1" i="4" s="1"/>
  <c r="MF1" i="4" s="1"/>
  <c r="MG1" i="4" s="1"/>
  <c r="MH1" i="4" s="1"/>
  <c r="MI1" i="4" s="1"/>
  <c r="MJ1" i="4" s="1"/>
  <c r="ML1" i="4" s="1"/>
  <c r="MM1" i="4" s="1"/>
  <c r="MN1" i="4" s="1"/>
  <c r="MO1" i="4" s="1"/>
  <c r="MP1" i="4" s="1"/>
  <c r="MQ1" i="4" s="1"/>
  <c r="MR1" i="4" s="1"/>
  <c r="MT1" i="4" s="1"/>
  <c r="MU1" i="4" s="1"/>
  <c r="MV1" i="4" s="1"/>
  <c r="MW1" i="4" s="1"/>
  <c r="MX1" i="4" s="1"/>
  <c r="MY1" i="4" s="1"/>
  <c r="MZ1" i="4" s="1"/>
  <c r="NB1" i="4" s="1"/>
  <c r="NC1" i="4" s="1"/>
  <c r="ND1" i="4" s="1"/>
  <c r="NE1" i="4" s="1"/>
  <c r="NF1" i="4" s="1"/>
  <c r="NG1" i="4" s="1"/>
  <c r="NH1" i="4" s="1"/>
  <c r="NJ1" i="4" s="1"/>
  <c r="NK1" i="4" s="1"/>
  <c r="NL1" i="4" s="1"/>
  <c r="NM1" i="4" s="1"/>
  <c r="NN1" i="4" s="1"/>
  <c r="NO1" i="4" s="1"/>
  <c r="NP1" i="4" s="1"/>
  <c r="NR1" i="4" s="1"/>
  <c r="NS1" i="4" s="1"/>
  <c r="NT1" i="4" s="1"/>
  <c r="NU1" i="4" s="1"/>
  <c r="NV1" i="4" s="1"/>
  <c r="NW1" i="4" s="1"/>
  <c r="NX1" i="4" s="1"/>
  <c r="NZ1" i="4" s="1"/>
  <c r="OA1" i="4" s="1"/>
  <c r="OB1" i="4" s="1"/>
  <c r="OC1" i="4" s="1"/>
  <c r="OD1" i="4" s="1"/>
  <c r="OE1" i="4" s="1"/>
  <c r="OF1" i="4" s="1"/>
  <c r="OH1" i="4" s="1"/>
  <c r="OI1" i="4" s="1"/>
  <c r="OJ1" i="4" s="1"/>
  <c r="OK1" i="4" s="1"/>
  <c r="OL1" i="4" s="1"/>
  <c r="OM1" i="4" s="1"/>
  <c r="ON1" i="4" s="1"/>
  <c r="OP1" i="4" s="1"/>
  <c r="OQ1" i="4" s="1"/>
  <c r="OR1" i="4" s="1"/>
  <c r="OS1" i="4" s="1"/>
  <c r="OT1" i="4" s="1"/>
  <c r="OU1" i="4" s="1"/>
  <c r="OV1" i="4" s="1"/>
  <c r="OX1" i="4" s="1"/>
  <c r="OY1" i="4" s="1"/>
  <c r="OZ1" i="4" s="1"/>
  <c r="PA1" i="4" s="1"/>
  <c r="PB1" i="4" s="1"/>
  <c r="PC1" i="4" s="1"/>
  <c r="KB33" i="3"/>
  <c r="KB35" i="3"/>
  <c r="KA33" i="3"/>
  <c r="KA35" i="3"/>
  <c r="JZ33" i="3"/>
  <c r="JZ35" i="3"/>
  <c r="JV33" i="3"/>
  <c r="KB27" i="3"/>
  <c r="KA27" i="3"/>
  <c r="JZ27" i="3"/>
  <c r="JY27" i="3"/>
  <c r="JX27" i="3"/>
  <c r="JW27" i="3"/>
  <c r="JV27" i="3"/>
  <c r="KB24" i="3"/>
  <c r="KA24" i="3"/>
  <c r="JZ24" i="3"/>
  <c r="JV24" i="3"/>
  <c r="KB16" i="3"/>
  <c r="KA16" i="3"/>
  <c r="JZ16" i="3"/>
  <c r="JY16" i="3"/>
  <c r="JX16" i="3"/>
  <c r="JW16" i="3"/>
  <c r="JV16" i="3"/>
  <c r="KB13" i="3"/>
  <c r="KB32" i="3"/>
  <c r="KA13" i="3"/>
  <c r="JZ13" i="3"/>
  <c r="JV13" i="3"/>
  <c r="KB9" i="3"/>
  <c r="KA9" i="3"/>
  <c r="JZ9" i="3"/>
  <c r="JY9" i="3"/>
  <c r="JX9" i="3"/>
  <c r="JW9" i="3"/>
  <c r="JV9" i="3"/>
  <c r="KB6" i="3"/>
  <c r="KA6" i="3"/>
  <c r="JZ6" i="3"/>
  <c r="IY69" i="3"/>
  <c r="IX69" i="3"/>
  <c r="IZ66" i="3"/>
  <c r="IZ67" i="3"/>
  <c r="IZ68" i="3"/>
  <c r="IZ65" i="3"/>
  <c r="IW11" i="3"/>
  <c r="IU11" i="3"/>
  <c r="IT11" i="3"/>
  <c r="IO11" i="3"/>
  <c r="IN11" i="3"/>
  <c r="IM22" i="3"/>
  <c r="IM33" i="3"/>
  <c r="IM35" i="3"/>
  <c r="IM11" i="3"/>
  <c r="IK24" i="3"/>
  <c r="IJ42" i="3"/>
  <c r="IG70" i="3"/>
  <c r="IJ14" i="3"/>
  <c r="IJ36" i="3"/>
  <c r="II25" i="3"/>
  <c r="II14" i="3"/>
  <c r="II16" i="3"/>
  <c r="IK36" i="3"/>
  <c r="IG36" i="3"/>
  <c r="IH25" i="3"/>
  <c r="IH36" i="3"/>
  <c r="IF25" i="3"/>
  <c r="IF14" i="3"/>
  <c r="IF16" i="3"/>
  <c r="JU27" i="3"/>
  <c r="JT27" i="3"/>
  <c r="JS27" i="3"/>
  <c r="JR27" i="3"/>
  <c r="JQ27" i="3"/>
  <c r="JP27" i="3"/>
  <c r="JO27" i="3"/>
  <c r="JU16" i="3"/>
  <c r="JT16" i="3"/>
  <c r="JS16" i="3"/>
  <c r="JR16" i="3"/>
  <c r="JQ16" i="3"/>
  <c r="JP16" i="3"/>
  <c r="JO16" i="3"/>
  <c r="JU9" i="3"/>
  <c r="JT9" i="3"/>
  <c r="JS9" i="3"/>
  <c r="JR9" i="3"/>
  <c r="JQ9" i="3"/>
  <c r="JP9" i="3"/>
  <c r="JO9" i="3"/>
  <c r="JN27" i="3"/>
  <c r="JM27" i="3"/>
  <c r="JL27" i="3"/>
  <c r="JK27" i="3"/>
  <c r="JJ27" i="3"/>
  <c r="JI27" i="3"/>
  <c r="JH27" i="3"/>
  <c r="JN16" i="3"/>
  <c r="JM16" i="3"/>
  <c r="JL16" i="3"/>
  <c r="JK16" i="3"/>
  <c r="JJ16" i="3"/>
  <c r="JI16" i="3"/>
  <c r="JH16" i="3"/>
  <c r="JN9" i="3"/>
  <c r="JM9" i="3"/>
  <c r="JL9" i="3"/>
  <c r="JK9" i="3"/>
  <c r="JJ9" i="3"/>
  <c r="JI9" i="3"/>
  <c r="JH9" i="3"/>
  <c r="JG27" i="3"/>
  <c r="JF27" i="3"/>
  <c r="JE27" i="3"/>
  <c r="JD27" i="3"/>
  <c r="JC27" i="3"/>
  <c r="JB27" i="3"/>
  <c r="JA27" i="3"/>
  <c r="JG16" i="3"/>
  <c r="JF16" i="3"/>
  <c r="JE16" i="3"/>
  <c r="JD16" i="3"/>
  <c r="JC16" i="3"/>
  <c r="JB16" i="3"/>
  <c r="JA16" i="3"/>
  <c r="JG13" i="3"/>
  <c r="JG9" i="3"/>
  <c r="JF9" i="3"/>
  <c r="JE9" i="3"/>
  <c r="JD9" i="3"/>
  <c r="JC9" i="3"/>
  <c r="JB9" i="3"/>
  <c r="JA9" i="3"/>
  <c r="JN13" i="3"/>
  <c r="IZ27" i="3"/>
  <c r="IY27" i="3"/>
  <c r="IX27" i="3"/>
  <c r="IW27" i="3"/>
  <c r="IV27" i="3"/>
  <c r="IU27" i="3"/>
  <c r="IT27" i="3"/>
  <c r="IZ16" i="3"/>
  <c r="IY16" i="3"/>
  <c r="IX16" i="3"/>
  <c r="IW16" i="3"/>
  <c r="IV16" i="3"/>
  <c r="IU16" i="3"/>
  <c r="IT16" i="3"/>
  <c r="IZ9" i="3"/>
  <c r="IY9" i="3"/>
  <c r="IX9" i="3"/>
  <c r="IW9" i="3"/>
  <c r="IV9" i="3"/>
  <c r="IU9" i="3"/>
  <c r="IT9" i="3"/>
  <c r="BA5" i="15"/>
  <c r="HV6" i="3"/>
  <c r="IS27" i="3"/>
  <c r="IR27" i="3"/>
  <c r="IQ27" i="3"/>
  <c r="IP27" i="3"/>
  <c r="IO27" i="3"/>
  <c r="IN27" i="3"/>
  <c r="IM27" i="3"/>
  <c r="IS16" i="3"/>
  <c r="IR16" i="3"/>
  <c r="IQ16" i="3"/>
  <c r="IP16" i="3"/>
  <c r="IO16" i="3"/>
  <c r="IN16" i="3"/>
  <c r="IM16" i="3"/>
  <c r="IS9" i="3"/>
  <c r="IR9" i="3"/>
  <c r="IQ9" i="3"/>
  <c r="IP9" i="3"/>
  <c r="IO9" i="3"/>
  <c r="IN9" i="3"/>
  <c r="IM9" i="3"/>
  <c r="IL27" i="3"/>
  <c r="IK27" i="3"/>
  <c r="IJ27" i="3"/>
  <c r="II27" i="3"/>
  <c r="IG27" i="3"/>
  <c r="IF27" i="3"/>
  <c r="IL16" i="3"/>
  <c r="IK16" i="3"/>
  <c r="IJ16" i="3"/>
  <c r="IH16" i="3"/>
  <c r="IG16" i="3"/>
  <c r="IL9" i="3"/>
  <c r="IK9" i="3"/>
  <c r="IJ9" i="3"/>
  <c r="II9" i="3"/>
  <c r="IH9" i="3"/>
  <c r="IG9" i="3"/>
  <c r="IF9" i="3"/>
  <c r="HJ59" i="3"/>
  <c r="GW42" i="3"/>
  <c r="GN6" i="3"/>
  <c r="GL14" i="3"/>
  <c r="GL16" i="3"/>
  <c r="GK25" i="3"/>
  <c r="GK27" i="3"/>
  <c r="GK7" i="3"/>
  <c r="IE27" i="3"/>
  <c r="ID27" i="3"/>
  <c r="IC27" i="3"/>
  <c r="IB27" i="3"/>
  <c r="IA27" i="3"/>
  <c r="HZ27" i="3"/>
  <c r="HY27" i="3"/>
  <c r="IE16" i="3"/>
  <c r="ID16" i="3"/>
  <c r="IC16" i="3"/>
  <c r="IB16" i="3"/>
  <c r="IA16" i="3"/>
  <c r="HZ16" i="3"/>
  <c r="HY16" i="3"/>
  <c r="IE9" i="3"/>
  <c r="ID9" i="3"/>
  <c r="IC9" i="3"/>
  <c r="IB9" i="3"/>
  <c r="IA9" i="3"/>
  <c r="HZ9" i="3"/>
  <c r="HY9" i="3"/>
  <c r="HX27" i="3"/>
  <c r="HW27" i="3"/>
  <c r="HV27" i="3"/>
  <c r="HU27" i="3"/>
  <c r="HT27" i="3"/>
  <c r="HS27" i="3"/>
  <c r="HR27" i="3"/>
  <c r="HX16" i="3"/>
  <c r="HW16" i="3"/>
  <c r="HV16" i="3"/>
  <c r="HU16" i="3"/>
  <c r="HT16" i="3"/>
  <c r="HS16" i="3"/>
  <c r="HR16" i="3"/>
  <c r="HX9" i="3"/>
  <c r="HW9" i="3"/>
  <c r="HV9" i="3"/>
  <c r="HU9" i="3"/>
  <c r="HT9" i="3"/>
  <c r="HS9" i="3"/>
  <c r="HR9" i="3"/>
  <c r="HQ27" i="3"/>
  <c r="HP27" i="3"/>
  <c r="HO27" i="3"/>
  <c r="HN27" i="3"/>
  <c r="HM27" i="3"/>
  <c r="HL27" i="3"/>
  <c r="HK27" i="3"/>
  <c r="HQ16" i="3"/>
  <c r="HP16" i="3"/>
  <c r="HO16" i="3"/>
  <c r="HN16" i="3"/>
  <c r="HM16" i="3"/>
  <c r="HL16" i="3"/>
  <c r="HK16" i="3"/>
  <c r="HQ9" i="3"/>
  <c r="HP9" i="3"/>
  <c r="HO9" i="3"/>
  <c r="HN9" i="3"/>
  <c r="HM9" i="3"/>
  <c r="HL9" i="3"/>
  <c r="HK9" i="3"/>
  <c r="HJ27" i="3"/>
  <c r="HI27" i="3"/>
  <c r="HH27" i="3"/>
  <c r="HG27" i="3"/>
  <c r="HF27" i="3"/>
  <c r="HE27" i="3"/>
  <c r="HD27" i="3"/>
  <c r="HJ16" i="3"/>
  <c r="HI16" i="3"/>
  <c r="HH16" i="3"/>
  <c r="HG16" i="3"/>
  <c r="HF16" i="3"/>
  <c r="HE16" i="3"/>
  <c r="HD16" i="3"/>
  <c r="HJ9" i="3"/>
  <c r="HI9" i="3"/>
  <c r="HH9" i="3"/>
  <c r="HG9" i="3"/>
  <c r="HF9" i="3"/>
  <c r="HE9" i="3"/>
  <c r="HD9" i="3"/>
  <c r="HC27" i="3"/>
  <c r="HB27" i="3"/>
  <c r="HA27" i="3"/>
  <c r="GZ27" i="3"/>
  <c r="GY27" i="3"/>
  <c r="GX27" i="3"/>
  <c r="GW27" i="3"/>
  <c r="HC16" i="3"/>
  <c r="HB16" i="3"/>
  <c r="HA16" i="3"/>
  <c r="GZ16" i="3"/>
  <c r="GY16" i="3"/>
  <c r="GX16" i="3"/>
  <c r="GW16" i="3"/>
  <c r="HC9" i="3"/>
  <c r="HB9" i="3"/>
  <c r="HA9" i="3"/>
  <c r="GZ9" i="3"/>
  <c r="GY9" i="3"/>
  <c r="GX9" i="3"/>
  <c r="GW9" i="3"/>
  <c r="GV27" i="3"/>
  <c r="GU27" i="3"/>
  <c r="GT27" i="3"/>
  <c r="GS27" i="3"/>
  <c r="GR27" i="3"/>
  <c r="GP27" i="3"/>
  <c r="GQ27" i="3"/>
  <c r="GV16" i="3"/>
  <c r="GU16" i="3"/>
  <c r="GT16" i="3"/>
  <c r="GS16" i="3"/>
  <c r="GQ16" i="3"/>
  <c r="GP16" i="3"/>
  <c r="GR16" i="3"/>
  <c r="GV9" i="3"/>
  <c r="GU9" i="3"/>
  <c r="GT9" i="3"/>
  <c r="GS9" i="3"/>
  <c r="GR9" i="3"/>
  <c r="GQ9" i="3"/>
  <c r="GP9" i="3"/>
  <c r="GK14" i="3"/>
  <c r="GJ25" i="3"/>
  <c r="GJ14" i="3"/>
  <c r="GJ7" i="3"/>
  <c r="GI14" i="3"/>
  <c r="GD14" i="3"/>
  <c r="GD16" i="3"/>
  <c r="GD7" i="3"/>
  <c r="GD9" i="3"/>
  <c r="GC25" i="3"/>
  <c r="GC27" i="3"/>
  <c r="FU11" i="3"/>
  <c r="FU33" i="3"/>
  <c r="FU35" i="3"/>
  <c r="FM24" i="3"/>
  <c r="FL24" i="3"/>
  <c r="FK24" i="3"/>
  <c r="FJ24" i="3"/>
  <c r="FI24" i="3"/>
  <c r="FH24" i="3"/>
  <c r="FG24" i="3"/>
  <c r="FM13" i="3"/>
  <c r="FL13" i="3"/>
  <c r="FK13" i="3"/>
  <c r="FJ13" i="3"/>
  <c r="FI13" i="3"/>
  <c r="FH13" i="3"/>
  <c r="FG13" i="3"/>
  <c r="FM6" i="3"/>
  <c r="FL6" i="3"/>
  <c r="FK6" i="3"/>
  <c r="FJ6" i="3"/>
  <c r="FI6" i="3"/>
  <c r="FH6" i="3"/>
  <c r="FG6" i="3"/>
  <c r="FF41" i="3"/>
  <c r="FE41" i="3"/>
  <c r="FD41" i="3"/>
  <c r="FC41" i="3"/>
  <c r="FB41" i="3"/>
  <c r="FA41" i="3"/>
  <c r="EZ41" i="3"/>
  <c r="AZ5" i="15"/>
  <c r="AY5" i="15"/>
  <c r="AX5" i="15"/>
  <c r="AZ4" i="15"/>
  <c r="AY4" i="15"/>
  <c r="AX4" i="15"/>
  <c r="AZ3" i="15"/>
  <c r="AY3" i="15"/>
  <c r="AX3" i="15"/>
  <c r="GO27" i="3"/>
  <c r="GN27" i="3"/>
  <c r="GM27" i="3"/>
  <c r="GL27" i="3"/>
  <c r="GJ27" i="3"/>
  <c r="GI27" i="3"/>
  <c r="GO16" i="3"/>
  <c r="GN16" i="3"/>
  <c r="GM16" i="3"/>
  <c r="GK16" i="3"/>
  <c r="GJ16" i="3"/>
  <c r="GI16" i="3"/>
  <c r="GO9" i="3"/>
  <c r="GN9" i="3"/>
  <c r="GM9" i="3"/>
  <c r="GL9" i="3"/>
  <c r="GK9" i="3"/>
  <c r="GJ9" i="3"/>
  <c r="GI9" i="3"/>
  <c r="GI1" i="3"/>
  <c r="GH27" i="3"/>
  <c r="GG27" i="3"/>
  <c r="GF27" i="3"/>
  <c r="GE27" i="3"/>
  <c r="GD27" i="3"/>
  <c r="GB27" i="3"/>
  <c r="GH16" i="3"/>
  <c r="GG16" i="3"/>
  <c r="GF16" i="3"/>
  <c r="GE16" i="3"/>
  <c r="GC16" i="3"/>
  <c r="GB16" i="3"/>
  <c r="GH9" i="3"/>
  <c r="GG9" i="3"/>
  <c r="GF9" i="3"/>
  <c r="GE9" i="3"/>
  <c r="GC9" i="3"/>
  <c r="GB9" i="3"/>
  <c r="GB1" i="3"/>
  <c r="FM16" i="3"/>
  <c r="FL27" i="3"/>
  <c r="FK27" i="3"/>
  <c r="FJ27" i="3"/>
  <c r="FI27" i="3"/>
  <c r="FH27" i="3"/>
  <c r="FG27" i="3"/>
  <c r="FL16" i="3"/>
  <c r="FK16" i="3"/>
  <c r="FJ16" i="3"/>
  <c r="FI16" i="3"/>
  <c r="FH16" i="3"/>
  <c r="FG16" i="3"/>
  <c r="FL9" i="3"/>
  <c r="FK9" i="3"/>
  <c r="FJ9" i="3"/>
  <c r="FI9" i="3"/>
  <c r="FH9" i="3"/>
  <c r="FG9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U1" i="3"/>
  <c r="FN1" i="3"/>
  <c r="FG1" i="3"/>
  <c r="EZ1" i="3"/>
  <c r="ES1" i="3"/>
  <c r="EL1" i="3"/>
  <c r="EE1" i="3"/>
  <c r="DX1" i="3"/>
  <c r="DQ1" i="3"/>
  <c r="DJ1" i="3"/>
  <c r="DC1" i="3"/>
  <c r="CV1" i="3"/>
  <c r="CO1" i="3"/>
  <c r="CH1" i="3"/>
  <c r="CA1" i="3"/>
  <c r="BT1" i="3"/>
  <c r="BM1" i="3"/>
  <c r="BF1" i="3"/>
  <c r="AY1" i="3"/>
  <c r="AR1" i="3"/>
  <c r="AD1" i="3"/>
  <c r="W1" i="3"/>
  <c r="P1" i="3"/>
  <c r="I1" i="3"/>
  <c r="B1" i="3"/>
  <c r="BO13" i="8"/>
  <c r="GW5" i="3"/>
  <c r="GW6" i="3" s="1"/>
  <c r="GW34" i="3" s="1"/>
  <c r="GK5" i="3"/>
  <c r="GK6" i="3"/>
  <c r="FT5" i="3"/>
  <c r="FS5" i="3"/>
  <c r="IZ12" i="3"/>
  <c r="IZ13" i="3" s="1"/>
  <c r="HT5" i="3"/>
  <c r="GV5" i="3"/>
  <c r="GO5" i="3"/>
  <c r="JA23" i="3"/>
  <c r="IS5" i="3"/>
  <c r="HC5" i="3"/>
  <c r="HJ5" i="3"/>
  <c r="HB5" i="3"/>
  <c r="HB6" i="3" s="1"/>
  <c r="HQ23" i="3"/>
  <c r="HQ5" i="3"/>
  <c r="HA5" i="3"/>
  <c r="FY5" i="3"/>
  <c r="FX5" i="3"/>
  <c r="GE5" i="3"/>
  <c r="GE6" i="3"/>
  <c r="FW5" i="3"/>
  <c r="FO5" i="3"/>
  <c r="HX23" i="3"/>
  <c r="HX5" i="3"/>
  <c r="GZ5" i="3"/>
  <c r="FQ5" i="3"/>
  <c r="FQ6" i="3"/>
  <c r="GF5" i="3"/>
  <c r="FP5" i="3"/>
  <c r="FP6" i="3"/>
  <c r="GD5" i="3"/>
  <c r="GD6" i="3"/>
  <c r="FV5" i="3"/>
  <c r="FN5" i="3"/>
  <c r="FN6" i="3"/>
  <c r="IE23" i="3"/>
  <c r="IE5" i="3"/>
  <c r="GC5" i="3"/>
  <c r="GC6" i="3"/>
  <c r="FU5" i="3"/>
  <c r="FU6" i="3"/>
  <c r="GH5" i="3"/>
  <c r="FZ5" i="3"/>
  <c r="FZ6" i="3"/>
  <c r="FR5" i="3"/>
  <c r="FR6" i="3"/>
  <c r="GI5" i="3"/>
  <c r="GI6" i="3"/>
  <c r="GA5" i="3"/>
  <c r="GG5" i="3"/>
  <c r="GJ5" i="3"/>
  <c r="FG41" i="3"/>
  <c r="JF12" i="3"/>
  <c r="JF23" i="3"/>
  <c r="JE12" i="3"/>
  <c r="JE13" i="3" s="1"/>
  <c r="JE23" i="3"/>
  <c r="JE24" i="3" s="1"/>
  <c r="JD23" i="3"/>
  <c r="JD24" i="3" s="1"/>
  <c r="JD12" i="3"/>
  <c r="JD13" i="3" s="1"/>
  <c r="HJ23" i="3"/>
  <c r="HJ12" i="3"/>
  <c r="HC12" i="3"/>
  <c r="HC23" i="3"/>
  <c r="HF23" i="3"/>
  <c r="HF24" i="3" s="1"/>
  <c r="HF12" i="3"/>
  <c r="HF13" i="3" s="1"/>
  <c r="GR23" i="3"/>
  <c r="GR24" i="3" s="1"/>
  <c r="GR12" i="3"/>
  <c r="GP12" i="3"/>
  <c r="GP13" i="3" s="1"/>
  <c r="GP23" i="3"/>
  <c r="GQ12" i="3"/>
  <c r="GQ23" i="3"/>
  <c r="GQ24" i="3" s="1"/>
  <c r="GZ12" i="3"/>
  <c r="GZ23" i="3"/>
  <c r="GZ24" i="3" s="1"/>
  <c r="GT23" i="3"/>
  <c r="GT24" i="3" s="1"/>
  <c r="GT12" i="3"/>
  <c r="GT13" i="3" s="1"/>
  <c r="HT12" i="3"/>
  <c r="HT23" i="3"/>
  <c r="HB23" i="3"/>
  <c r="HB12" i="3"/>
  <c r="GU12" i="3"/>
  <c r="GU13" i="3" s="1"/>
  <c r="GU23" i="3"/>
  <c r="GV12" i="3"/>
  <c r="GV23" i="3"/>
  <c r="IB12" i="3"/>
  <c r="IB23" i="3"/>
  <c r="GS23" i="3"/>
  <c r="GS24" i="3" s="1"/>
  <c r="GS12" i="3"/>
  <c r="HD22" i="3"/>
  <c r="HD24" i="3" s="1"/>
  <c r="FX12" i="3"/>
  <c r="FX23" i="3"/>
  <c r="FX24" i="3"/>
  <c r="GN12" i="3"/>
  <c r="GN13" i="3"/>
  <c r="GN23" i="3"/>
  <c r="GN24" i="3"/>
  <c r="GC23" i="3"/>
  <c r="GC12" i="3"/>
  <c r="FN12" i="3"/>
  <c r="FN23" i="3"/>
  <c r="FN24" i="3"/>
  <c r="FU23" i="3"/>
  <c r="FU12" i="3"/>
  <c r="FU13" i="3"/>
  <c r="GJ23" i="3"/>
  <c r="GJ24" i="3"/>
  <c r="GJ12" i="3"/>
  <c r="GD12" i="3"/>
  <c r="GD23" i="3"/>
  <c r="GE12" i="3"/>
  <c r="GE23" i="3"/>
  <c r="FQ12" i="3"/>
  <c r="FQ13" i="3"/>
  <c r="FQ23" i="3"/>
  <c r="FQ24" i="3"/>
  <c r="GG12" i="3"/>
  <c r="GG23" i="3"/>
  <c r="GA23" i="3"/>
  <c r="GA12" i="3"/>
  <c r="FR23" i="3"/>
  <c r="FR24" i="3"/>
  <c r="FR32" i="3"/>
  <c r="FR34" i="3"/>
  <c r="FR12" i="3"/>
  <c r="GH23" i="3"/>
  <c r="GH12" i="3"/>
  <c r="FT23" i="3"/>
  <c r="FT12" i="3"/>
  <c r="FT13" i="3"/>
  <c r="FV12" i="3"/>
  <c r="FV23" i="3"/>
  <c r="FO12" i="3"/>
  <c r="FO23" i="3"/>
  <c r="FP12" i="3"/>
  <c r="FP23" i="3"/>
  <c r="FP24" i="3"/>
  <c r="GF12" i="3"/>
  <c r="GF23" i="3"/>
  <c r="GK23" i="3"/>
  <c r="GK24" i="3"/>
  <c r="GK12" i="3"/>
  <c r="GK13" i="3"/>
  <c r="GL12" i="3"/>
  <c r="GL13" i="3"/>
  <c r="GL23" i="3"/>
  <c r="GL24" i="3"/>
  <c r="FW12" i="3"/>
  <c r="FW23" i="3"/>
  <c r="FW24" i="3"/>
  <c r="FY12" i="3"/>
  <c r="FY13" i="3"/>
  <c r="FY23" i="3"/>
  <c r="GO23" i="3"/>
  <c r="FS23" i="3"/>
  <c r="FS12" i="3"/>
  <c r="GI23" i="3"/>
  <c r="GI24" i="3"/>
  <c r="GI12" i="3"/>
  <c r="FZ23" i="3"/>
  <c r="FZ24" i="3"/>
  <c r="FZ12" i="3"/>
  <c r="FZ13" i="3"/>
  <c r="FV4" i="3"/>
  <c r="GB6" i="3"/>
  <c r="GB22" i="3"/>
  <c r="HZ11" i="3"/>
  <c r="JS6" i="3"/>
  <c r="HR11" i="3"/>
  <c r="HR13" i="3" s="1"/>
  <c r="JH4" i="3"/>
  <c r="JH35" i="3" s="1"/>
  <c r="HK11" i="3"/>
  <c r="HK13" i="3" s="1"/>
  <c r="FN11" i="3"/>
  <c r="FV11" i="3"/>
  <c r="FV22" i="3"/>
  <c r="GJ4" i="3"/>
  <c r="JP11" i="3"/>
  <c r="JP13" i="3" s="1"/>
  <c r="JW11" i="3"/>
  <c r="JW13" i="3" s="1"/>
  <c r="JO4" i="3"/>
  <c r="JO13" i="3"/>
  <c r="JA22" i="3"/>
  <c r="JA33" i="3" s="1"/>
  <c r="JA35" i="3" s="1"/>
  <c r="JI22" i="3"/>
  <c r="JI24" i="3" s="1"/>
  <c r="Y3" i="15"/>
  <c r="JA6" i="3"/>
  <c r="JH33" i="3"/>
  <c r="JA13" i="3"/>
  <c r="IT6" i="3"/>
  <c r="JH13" i="3"/>
  <c r="JG47" i="3"/>
  <c r="JS13" i="3"/>
  <c r="AA3" i="15"/>
  <c r="IF13" i="3"/>
  <c r="IM6" i="3"/>
  <c r="IM13" i="3"/>
  <c r="IF6" i="3"/>
  <c r="HE6" i="3"/>
  <c r="HE13" i="3"/>
  <c r="GP6" i="3"/>
  <c r="HS13" i="3"/>
  <c r="HR22" i="3"/>
  <c r="HD6" i="3"/>
  <c r="GP22" i="3"/>
  <c r="GP33" i="3" s="1"/>
  <c r="GP35" i="3" s="1"/>
  <c r="HR6" i="3"/>
  <c r="GW33" i="3"/>
  <c r="GW35" i="3"/>
  <c r="HD11" i="3"/>
  <c r="GX6" i="3"/>
  <c r="HK6" i="3"/>
  <c r="GW13" i="3"/>
  <c r="HY11" i="3"/>
  <c r="HY13" i="3" s="1"/>
  <c r="HY32" i="3" s="1"/>
  <c r="HY34" i="3" s="1"/>
  <c r="HY60" i="3" s="1"/>
  <c r="HY61" i="3" s="1"/>
  <c r="HY62" i="3" s="1"/>
  <c r="FU24" i="3"/>
  <c r="GI13" i="3"/>
  <c r="GJ13" i="3"/>
  <c r="JW22" i="3"/>
  <c r="HD41" i="3"/>
  <c r="HR41" i="3"/>
  <c r="HR59" i="3" s="1"/>
  <c r="JH41" i="3"/>
  <c r="GP41" i="3"/>
  <c r="GQ11" i="3"/>
  <c r="GQ33" i="3" s="1"/>
  <c r="GQ35" i="3" s="1"/>
  <c r="JI4" i="3"/>
  <c r="JI6" i="3" s="1"/>
  <c r="FH41" i="3"/>
  <c r="IM41" i="3"/>
  <c r="IM59" i="3" s="1"/>
  <c r="IM61" i="3" s="1"/>
  <c r="IM62" i="3" s="1"/>
  <c r="GW41" i="3"/>
  <c r="HK41" i="3"/>
  <c r="HK59" i="3" s="1"/>
  <c r="IT41" i="3"/>
  <c r="JA41" i="3"/>
  <c r="FO11" i="3"/>
  <c r="GD11" i="3"/>
  <c r="GC11" i="3"/>
  <c r="GC22" i="3"/>
  <c r="GR11" i="3"/>
  <c r="GR33" i="3" s="1"/>
  <c r="GR35" i="3" s="1"/>
  <c r="IH11" i="3"/>
  <c r="FW4" i="3"/>
  <c r="FW6" i="3"/>
  <c r="FW11" i="3"/>
  <c r="FW13" i="3"/>
  <c r="JO41" i="3"/>
  <c r="JV41" i="3"/>
  <c r="JP4" i="3"/>
  <c r="JP6" i="3" s="1"/>
  <c r="JW4" i="3"/>
  <c r="JW6" i="3" s="1"/>
  <c r="IU22" i="3"/>
  <c r="IU6" i="3"/>
  <c r="JP22" i="3"/>
  <c r="JS24" i="3"/>
  <c r="AB3" i="15"/>
  <c r="JO24" i="3"/>
  <c r="IT13" i="3"/>
  <c r="IT24" i="3"/>
  <c r="IT32" i="3"/>
  <c r="IT33" i="3"/>
  <c r="IT35" i="3"/>
  <c r="JU6" i="3"/>
  <c r="Y5" i="15"/>
  <c r="JS33" i="3"/>
  <c r="JS35" i="3"/>
  <c r="JB6" i="3"/>
  <c r="JT6" i="3"/>
  <c r="Y4" i="15"/>
  <c r="JI11" i="3"/>
  <c r="JH24" i="3"/>
  <c r="JH32" i="3"/>
  <c r="JB13" i="3"/>
  <c r="JO33" i="3"/>
  <c r="IG6" i="3"/>
  <c r="IH6" i="3"/>
  <c r="IF24" i="3"/>
  <c r="IF32" i="3"/>
  <c r="IN6" i="3"/>
  <c r="IN24" i="3"/>
  <c r="IG24" i="3"/>
  <c r="IF33" i="3"/>
  <c r="IF35" i="3"/>
  <c r="IF59" i="3"/>
  <c r="IM24" i="3"/>
  <c r="HY59" i="3"/>
  <c r="HE41" i="3"/>
  <c r="HE33" i="3"/>
  <c r="HE35" i="3"/>
  <c r="HY24" i="3"/>
  <c r="HZ6" i="3"/>
  <c r="IA11" i="3"/>
  <c r="IA13" i="3" s="1"/>
  <c r="IA32" i="3" s="1"/>
  <c r="IA34" i="3" s="1"/>
  <c r="IA60" i="3" s="1"/>
  <c r="IA61" i="3" s="1"/>
  <c r="IA62" i="3" s="1"/>
  <c r="HS6" i="3"/>
  <c r="HE24" i="3"/>
  <c r="HL13" i="3"/>
  <c r="GR6" i="3"/>
  <c r="GW24" i="3"/>
  <c r="GW32" i="3"/>
  <c r="HK24" i="3"/>
  <c r="HF6" i="3"/>
  <c r="HL6" i="3"/>
  <c r="GQ6" i="3"/>
  <c r="HY6" i="3"/>
  <c r="HF33" i="3"/>
  <c r="HF35" i="3"/>
  <c r="HS24" i="3"/>
  <c r="HS32" i="3"/>
  <c r="HS33" i="3"/>
  <c r="HS35" i="3"/>
  <c r="GD22" i="3"/>
  <c r="GD24" i="3"/>
  <c r="HZ41" i="3"/>
  <c r="HZ59" i="3" s="1"/>
  <c r="GX41" i="3"/>
  <c r="JI41" i="3"/>
  <c r="FI41" i="3"/>
  <c r="IN41" i="3"/>
  <c r="IN59" i="3" s="1"/>
  <c r="IN61" i="3" s="1"/>
  <c r="IN62" i="3" s="1"/>
  <c r="IU41" i="3"/>
  <c r="GR41" i="3"/>
  <c r="HS41" i="3"/>
  <c r="HS59" i="3" s="1"/>
  <c r="HS61" i="3" s="1"/>
  <c r="HS62" i="3" s="1"/>
  <c r="JB41" i="3"/>
  <c r="HL41" i="3"/>
  <c r="HL59" i="3" s="1"/>
  <c r="HL61" i="3" s="1"/>
  <c r="HL62" i="3" s="1"/>
  <c r="GQ41" i="3"/>
  <c r="GY11" i="3"/>
  <c r="GY33" i="3" s="1"/>
  <c r="GY35" i="3" s="1"/>
  <c r="JX22" i="3"/>
  <c r="JJ11" i="3"/>
  <c r="JJ13" i="3" s="1"/>
  <c r="HT4" i="3"/>
  <c r="HT11" i="3"/>
  <c r="IO22" i="3"/>
  <c r="IO33" i="3" s="1"/>
  <c r="IO4" i="3"/>
  <c r="IO6" i="3" s="1"/>
  <c r="IW4" i="3"/>
  <c r="IW6" i="3" s="1"/>
  <c r="IW34" i="3" s="1"/>
  <c r="FY4" i="3"/>
  <c r="JC11" i="3"/>
  <c r="JC4" i="3"/>
  <c r="JC6" i="3" s="1"/>
  <c r="GS11" i="3"/>
  <c r="FX6" i="3"/>
  <c r="FX13" i="3"/>
  <c r="GL6" i="3"/>
  <c r="CA10" i="8"/>
  <c r="CB10" i="8"/>
  <c r="CC10" i="8"/>
  <c r="CC13" i="8"/>
  <c r="HF41" i="3"/>
  <c r="JQ11" i="3"/>
  <c r="JQ13" i="3" s="1"/>
  <c r="JX11" i="3"/>
  <c r="JX13" i="3" s="1"/>
  <c r="JP41" i="3"/>
  <c r="JW41" i="3"/>
  <c r="JQ4" i="3"/>
  <c r="JQ6" i="3" s="1"/>
  <c r="JX4" i="3"/>
  <c r="JX6" i="3" s="1"/>
  <c r="IV6" i="3"/>
  <c r="JB24" i="3"/>
  <c r="IU13" i="3"/>
  <c r="JQ22" i="3"/>
  <c r="JQ24" i="3" s="1"/>
  <c r="JT24" i="3"/>
  <c r="AB4" i="15"/>
  <c r="JJ6" i="3"/>
  <c r="JT33" i="3"/>
  <c r="JT35" i="3"/>
  <c r="JT13" i="3"/>
  <c r="AA4" i="15"/>
  <c r="JC22" i="3"/>
  <c r="JC24" i="3" s="1"/>
  <c r="JJ22" i="3"/>
  <c r="JJ24" i="3" s="1"/>
  <c r="IV22" i="3"/>
  <c r="JB33" i="3"/>
  <c r="JB35" i="3"/>
  <c r="IG59" i="3"/>
  <c r="IN13" i="3"/>
  <c r="IN33" i="3"/>
  <c r="IN35" i="3"/>
  <c r="IG13" i="3"/>
  <c r="IG33" i="3"/>
  <c r="IG35" i="3"/>
  <c r="IO13" i="3"/>
  <c r="HL24" i="3"/>
  <c r="HL32" i="3"/>
  <c r="HL34" i="3"/>
  <c r="HL60" i="3"/>
  <c r="HL33" i="3"/>
  <c r="HL35" i="3"/>
  <c r="HG13" i="3"/>
  <c r="HG33" i="3"/>
  <c r="HG35" i="3"/>
  <c r="HM33" i="3"/>
  <c r="HM35" i="3"/>
  <c r="GY6" i="3"/>
  <c r="GX13" i="3"/>
  <c r="GX33" i="3"/>
  <c r="GX35" i="3"/>
  <c r="IA6" i="3"/>
  <c r="HM6" i="3"/>
  <c r="HT22" i="3"/>
  <c r="HZ24" i="3"/>
  <c r="GX24" i="3"/>
  <c r="HM13" i="3"/>
  <c r="GS6" i="3"/>
  <c r="HG6" i="3"/>
  <c r="GJ33" i="3"/>
  <c r="GB13" i="3"/>
  <c r="GI33" i="3"/>
  <c r="GI35" i="3"/>
  <c r="GF4" i="3"/>
  <c r="GF6" i="3"/>
  <c r="GE11" i="3"/>
  <c r="FY22" i="3"/>
  <c r="FY24" i="3"/>
  <c r="IX4" i="3"/>
  <c r="HT41" i="3"/>
  <c r="HT59" i="3" s="1"/>
  <c r="GS41" i="3"/>
  <c r="IV41" i="3"/>
  <c r="IO41" i="3"/>
  <c r="IO59" i="3" s="1"/>
  <c r="JC41" i="3"/>
  <c r="FJ41" i="3"/>
  <c r="JJ41" i="3"/>
  <c r="GY41" i="3"/>
  <c r="HG41" i="3"/>
  <c r="HM41" i="3"/>
  <c r="HM59" i="3" s="1"/>
  <c r="HM61" i="3" s="1"/>
  <c r="HM62" i="3" s="1"/>
  <c r="JK11" i="3"/>
  <c r="JK13" i="3" s="1"/>
  <c r="GM13" i="3"/>
  <c r="JY22" i="3"/>
  <c r="JY24" i="3" s="1"/>
  <c r="GZ4" i="3"/>
  <c r="GZ11" i="3"/>
  <c r="GZ33" i="3" s="1"/>
  <c r="IB11" i="3"/>
  <c r="FO6" i="3"/>
  <c r="FO24" i="3"/>
  <c r="HN11" i="3"/>
  <c r="HH11" i="3"/>
  <c r="GM24" i="3"/>
  <c r="GM6" i="3"/>
  <c r="JR4" i="3"/>
  <c r="JR6" i="3" s="1"/>
  <c r="JY4" i="3"/>
  <c r="JY6" i="3" s="1"/>
  <c r="JR11" i="3"/>
  <c r="JR13" i="3" s="1"/>
  <c r="JY11" i="3"/>
  <c r="JQ41" i="3"/>
  <c r="JX41" i="3"/>
  <c r="JK6" i="3"/>
  <c r="JR22" i="3"/>
  <c r="JR24" i="3" s="1"/>
  <c r="JD33" i="3"/>
  <c r="JD35" i="3"/>
  <c r="JU13" i="3"/>
  <c r="JU33" i="3"/>
  <c r="JU35" i="3"/>
  <c r="AA5" i="15"/>
  <c r="JU24" i="3"/>
  <c r="AB5" i="15"/>
  <c r="JK22" i="3"/>
  <c r="JK24" i="3" s="1"/>
  <c r="JD6" i="3"/>
  <c r="IV13" i="3"/>
  <c r="IH59" i="3"/>
  <c r="II11" i="3"/>
  <c r="IJ13" i="3"/>
  <c r="IP13" i="3"/>
  <c r="IJ6" i="3"/>
  <c r="IP6" i="3"/>
  <c r="IH24" i="3"/>
  <c r="IJ22" i="3"/>
  <c r="IA59" i="3"/>
  <c r="IB6" i="3"/>
  <c r="HU13" i="3"/>
  <c r="HM24" i="3"/>
  <c r="GT33" i="3"/>
  <c r="GT35" i="3"/>
  <c r="GT6" i="3"/>
  <c r="HH6" i="3"/>
  <c r="HG24" i="3"/>
  <c r="HG32" i="3"/>
  <c r="IA24" i="3"/>
  <c r="HU6" i="3"/>
  <c r="HN6" i="3"/>
  <c r="IB22" i="3"/>
  <c r="HU33" i="3"/>
  <c r="HU35" i="3"/>
  <c r="GY24" i="3"/>
  <c r="GE22" i="3"/>
  <c r="GK33" i="3"/>
  <c r="GK35" i="3"/>
  <c r="FP13" i="3"/>
  <c r="GF11" i="3"/>
  <c r="HN41" i="3"/>
  <c r="HN59" i="3" s="1"/>
  <c r="FK41" i="3"/>
  <c r="GZ41" i="3"/>
  <c r="HH41" i="3"/>
  <c r="HH59" i="3" s="1"/>
  <c r="IP41" i="3"/>
  <c r="IP59" i="3" s="1"/>
  <c r="IP61" i="3" s="1"/>
  <c r="IP62" i="3" s="1"/>
  <c r="HU41" i="3"/>
  <c r="HU59" i="3" s="1"/>
  <c r="HU61" i="3" s="1"/>
  <c r="HU62" i="3" s="1"/>
  <c r="GT41" i="3"/>
  <c r="IB41" i="3"/>
  <c r="IB59" i="3" s="1"/>
  <c r="GM41" i="3"/>
  <c r="JK41" i="3"/>
  <c r="IW41" i="3"/>
  <c r="JD41" i="3"/>
  <c r="FL41" i="3"/>
  <c r="HV11" i="3"/>
  <c r="HV13" i="3" s="1"/>
  <c r="HV32" i="3" s="1"/>
  <c r="HV34" i="3" s="1"/>
  <c r="HV60" i="3" s="1"/>
  <c r="JL4" i="3"/>
  <c r="JL6" i="3" s="1"/>
  <c r="JL11" i="3"/>
  <c r="IC11" i="3"/>
  <c r="IC13" i="3" s="1"/>
  <c r="HA4" i="3"/>
  <c r="HA11" i="3"/>
  <c r="HA13" i="3" s="1"/>
  <c r="FS4" i="3"/>
  <c r="FS6" i="3"/>
  <c r="IQ11" i="3"/>
  <c r="IQ13" i="3" s="1"/>
  <c r="FR22" i="3"/>
  <c r="HI11" i="3"/>
  <c r="IY4" i="3"/>
  <c r="JR41" i="3"/>
  <c r="JY41" i="3"/>
  <c r="JE6" i="3"/>
  <c r="JU32" i="3"/>
  <c r="JU34" i="3"/>
  <c r="IW13" i="3"/>
  <c r="IW33" i="3"/>
  <c r="IW24" i="3"/>
  <c r="IY33" i="3"/>
  <c r="IY13" i="3"/>
  <c r="JL22" i="3"/>
  <c r="JL24" i="3" s="1"/>
  <c r="IX24" i="3"/>
  <c r="IJ59" i="3"/>
  <c r="IK6" i="3"/>
  <c r="IQ6" i="3"/>
  <c r="II59" i="3"/>
  <c r="II24" i="3"/>
  <c r="IK33" i="3"/>
  <c r="IK35" i="3"/>
  <c r="IK13" i="3"/>
  <c r="IP24" i="3"/>
  <c r="IP32" i="3"/>
  <c r="IP34" i="3"/>
  <c r="IP60" i="3"/>
  <c r="IQ22" i="3"/>
  <c r="IQ24" i="3" s="1"/>
  <c r="II6" i="3"/>
  <c r="IP33" i="3"/>
  <c r="IP35" i="3"/>
  <c r="GG4" i="3"/>
  <c r="GG11" i="3"/>
  <c r="GH22" i="3"/>
  <c r="GH24" i="3"/>
  <c r="GG22" i="3"/>
  <c r="GO11" i="3"/>
  <c r="IC22" i="3"/>
  <c r="IC6" i="3"/>
  <c r="HO13" i="3"/>
  <c r="HH24" i="3"/>
  <c r="HA22" i="3"/>
  <c r="HA24" i="3" s="1"/>
  <c r="HO33" i="3"/>
  <c r="HO35" i="3"/>
  <c r="HI6" i="3"/>
  <c r="HN24" i="3"/>
  <c r="HO6" i="3"/>
  <c r="HU24" i="3"/>
  <c r="HU32" i="3"/>
  <c r="GU6" i="3"/>
  <c r="GU22" i="3"/>
  <c r="GF22" i="3"/>
  <c r="IY41" i="3"/>
  <c r="GF41" i="3"/>
  <c r="GA11" i="3"/>
  <c r="GA4" i="3"/>
  <c r="GA6" i="3"/>
  <c r="FP33" i="3"/>
  <c r="FP35" i="3"/>
  <c r="FX33" i="3"/>
  <c r="FX35" i="3"/>
  <c r="GL33" i="3"/>
  <c r="GL35" i="3"/>
  <c r="IX41" i="3"/>
  <c r="GU41" i="3"/>
  <c r="FS11" i="3"/>
  <c r="GN41" i="3"/>
  <c r="JE41" i="3"/>
  <c r="IQ41" i="3"/>
  <c r="IQ59" i="3" s="1"/>
  <c r="HI41" i="3"/>
  <c r="HI59" i="3" s="1"/>
  <c r="HO41" i="3"/>
  <c r="HO59" i="3" s="1"/>
  <c r="HO61" i="3" s="1"/>
  <c r="HO62" i="3" s="1"/>
  <c r="FM41" i="3"/>
  <c r="IC41" i="3"/>
  <c r="IC59" i="3" s="1"/>
  <c r="HV41" i="3"/>
  <c r="HV59" i="3" s="1"/>
  <c r="HA41" i="3"/>
  <c r="JL41" i="3"/>
  <c r="HB11" i="3"/>
  <c r="ID11" i="3"/>
  <c r="JM11" i="3"/>
  <c r="JM13" i="3" s="1"/>
  <c r="JM4" i="3"/>
  <c r="JM6" i="3" s="1"/>
  <c r="HW11" i="3"/>
  <c r="HW13" i="3" s="1"/>
  <c r="JF11" i="3"/>
  <c r="IZ4" i="3"/>
  <c r="IZ6" i="3" s="1"/>
  <c r="HJ4" i="3"/>
  <c r="HJ11" i="3"/>
  <c r="HJ22" i="3"/>
  <c r="GV4" i="3"/>
  <c r="GV11" i="3"/>
  <c r="IL4" i="3"/>
  <c r="IL6" i="3" s="1"/>
  <c r="BQ35" i="8"/>
  <c r="BP35" i="8"/>
  <c r="BO35" i="8"/>
  <c r="BN35" i="8"/>
  <c r="BM35" i="8"/>
  <c r="BL35" i="8"/>
  <c r="BK35" i="8"/>
  <c r="BQ34" i="8"/>
  <c r="BP34" i="8"/>
  <c r="BO34" i="8"/>
  <c r="BN34" i="8"/>
  <c r="BM34" i="8"/>
  <c r="BL34" i="8"/>
  <c r="BK34" i="8"/>
  <c r="BQ33" i="8"/>
  <c r="BP33" i="8"/>
  <c r="BO33" i="8"/>
  <c r="BN33" i="8"/>
  <c r="BM33" i="8"/>
  <c r="BL33" i="8"/>
  <c r="BK33" i="8"/>
  <c r="BY35" i="8"/>
  <c r="BX35" i="8"/>
  <c r="BW35" i="8"/>
  <c r="BV35" i="8"/>
  <c r="BU35" i="8"/>
  <c r="BT35" i="8"/>
  <c r="BS35" i="8"/>
  <c r="BY34" i="8"/>
  <c r="BX34" i="8"/>
  <c r="BW34" i="8"/>
  <c r="BV34" i="8"/>
  <c r="BU34" i="8"/>
  <c r="BT34" i="8"/>
  <c r="BS34" i="8"/>
  <c r="BY33" i="8"/>
  <c r="BX33" i="8"/>
  <c r="BW33" i="8"/>
  <c r="BV33" i="8"/>
  <c r="BU33" i="8"/>
  <c r="BT33" i="8"/>
  <c r="BS33" i="8"/>
  <c r="BM37" i="8"/>
  <c r="CA4" i="8"/>
  <c r="CB4" i="8"/>
  <c r="CC4" i="8"/>
  <c r="CD4" i="8"/>
  <c r="CE4" i="8"/>
  <c r="CE7" i="8"/>
  <c r="CF4" i="8"/>
  <c r="CG4" i="8"/>
  <c r="CF46" i="8"/>
  <c r="CE46" i="8"/>
  <c r="CD46" i="8"/>
  <c r="CC46" i="8"/>
  <c r="CB46" i="8"/>
  <c r="CA46" i="8"/>
  <c r="BZ45" i="8"/>
  <c r="BZ44" i="8"/>
  <c r="BZ43" i="8"/>
  <c r="BZ46" i="8"/>
  <c r="CG41" i="8"/>
  <c r="CE41" i="8"/>
  <c r="BZ41" i="8"/>
  <c r="CG40" i="8"/>
  <c r="CF40" i="8"/>
  <c r="CE40" i="8"/>
  <c r="CD40" i="8"/>
  <c r="CC40" i="8"/>
  <c r="CB40" i="8"/>
  <c r="CA40" i="8"/>
  <c r="CG39" i="8"/>
  <c r="CF39" i="8"/>
  <c r="CE39" i="8"/>
  <c r="CD39" i="8"/>
  <c r="CC39" i="8"/>
  <c r="CB39" i="8"/>
  <c r="CB42" i="8"/>
  <c r="CA39" i="8"/>
  <c r="CG38" i="8"/>
  <c r="CF38" i="8"/>
  <c r="CE38" i="8"/>
  <c r="CD38" i="8"/>
  <c r="CC38" i="8"/>
  <c r="CB38" i="8"/>
  <c r="CA38" i="8"/>
  <c r="BZ38" i="8"/>
  <c r="CG36" i="8"/>
  <c r="CF36" i="8"/>
  <c r="CE36" i="8"/>
  <c r="CD36" i="8"/>
  <c r="CC36" i="8"/>
  <c r="CB36" i="8"/>
  <c r="CA36" i="8"/>
  <c r="BZ35" i="8"/>
  <c r="BZ34" i="8"/>
  <c r="BZ33" i="8"/>
  <c r="CG16" i="8"/>
  <c r="CF16" i="8"/>
  <c r="CF19" i="8"/>
  <c r="CE16" i="8"/>
  <c r="CD16" i="8"/>
  <c r="CD19" i="8"/>
  <c r="CD21" i="8"/>
  <c r="CC16" i="8"/>
  <c r="CC48" i="8"/>
  <c r="CB16" i="8"/>
  <c r="CB19" i="8"/>
  <c r="CA16" i="8"/>
  <c r="CG10" i="8"/>
  <c r="CG13" i="8"/>
  <c r="CF10" i="8"/>
  <c r="CE10" i="8"/>
  <c r="CD10" i="8"/>
  <c r="CD13" i="8"/>
  <c r="BS4" i="8"/>
  <c r="BT4" i="8"/>
  <c r="BT7" i="8"/>
  <c r="BU4" i="8"/>
  <c r="BV4" i="8"/>
  <c r="BV7" i="8"/>
  <c r="BW4" i="8"/>
  <c r="BW7" i="8"/>
  <c r="BX4" i="8"/>
  <c r="BY4" i="8"/>
  <c r="BS10" i="8"/>
  <c r="BT10" i="8"/>
  <c r="BU10" i="8"/>
  <c r="BV10" i="8"/>
  <c r="BW10" i="8"/>
  <c r="BW13" i="8"/>
  <c r="BX10" i="8"/>
  <c r="BX12" i="8"/>
  <c r="BY10" i="8"/>
  <c r="BS16" i="8"/>
  <c r="BT16" i="8"/>
  <c r="BT19" i="8"/>
  <c r="BT21" i="8"/>
  <c r="BU16" i="8"/>
  <c r="BV16" i="8"/>
  <c r="BW16" i="8"/>
  <c r="BW48" i="8"/>
  <c r="BX16" i="8"/>
  <c r="BY16" i="8"/>
  <c r="BY19" i="8"/>
  <c r="BS38" i="8"/>
  <c r="BT38" i="8"/>
  <c r="BU38" i="8"/>
  <c r="BU42" i="8"/>
  <c r="BV38" i="8"/>
  <c r="BW38" i="8"/>
  <c r="BX38" i="8"/>
  <c r="BY38" i="8"/>
  <c r="BS39" i="8"/>
  <c r="BT39" i="8"/>
  <c r="BU39" i="8"/>
  <c r="BV39" i="8"/>
  <c r="BW39" i="8"/>
  <c r="BX39" i="8"/>
  <c r="BY39" i="8"/>
  <c r="BS40" i="8"/>
  <c r="BT40" i="8"/>
  <c r="BU40" i="8"/>
  <c r="BV40" i="8"/>
  <c r="BW40" i="8"/>
  <c r="BX40" i="8"/>
  <c r="BY40" i="8"/>
  <c r="BW41" i="8"/>
  <c r="BY41" i="8"/>
  <c r="BR43" i="8"/>
  <c r="BR44" i="8"/>
  <c r="BR45" i="8"/>
  <c r="BS46" i="8"/>
  <c r="BT46" i="8"/>
  <c r="BU46" i="8"/>
  <c r="BV46" i="8"/>
  <c r="BW46" i="8"/>
  <c r="BX46" i="8"/>
  <c r="JF22" i="3"/>
  <c r="JM22" i="3"/>
  <c r="JM24" i="3" s="1"/>
  <c r="JF6" i="3"/>
  <c r="IX13" i="3"/>
  <c r="IX32" i="3"/>
  <c r="IX33" i="3"/>
  <c r="IZ22" i="3"/>
  <c r="IZ33" i="3" s="1"/>
  <c r="IY24" i="3"/>
  <c r="IW32" i="3"/>
  <c r="JE33" i="3"/>
  <c r="JE35" i="3"/>
  <c r="GH4" i="3"/>
  <c r="GH11" i="3"/>
  <c r="IL22" i="3"/>
  <c r="IK59" i="3"/>
  <c r="IR6" i="3"/>
  <c r="IR13" i="3"/>
  <c r="IL13" i="3"/>
  <c r="IR22" i="3"/>
  <c r="GV22" i="3"/>
  <c r="HB22" i="3"/>
  <c r="HI24" i="3"/>
  <c r="ID6" i="3"/>
  <c r="HP13" i="3"/>
  <c r="HW6" i="3"/>
  <c r="HP6" i="3"/>
  <c r="HW22" i="3"/>
  <c r="HW24" i="3" s="1"/>
  <c r="HO24" i="3"/>
  <c r="HO32" i="3"/>
  <c r="HO34" i="3"/>
  <c r="HO60" i="3"/>
  <c r="HV24" i="3"/>
  <c r="GA22" i="3"/>
  <c r="GO22" i="3"/>
  <c r="GA41" i="3"/>
  <c r="FQ33" i="3"/>
  <c r="FQ35" i="3"/>
  <c r="FZ33" i="3"/>
  <c r="FZ35" i="3"/>
  <c r="GM33" i="3"/>
  <c r="GM35" i="3"/>
  <c r="FT4" i="3"/>
  <c r="FT22" i="3"/>
  <c r="GO4" i="3"/>
  <c r="JM41" i="3"/>
  <c r="IL41" i="3"/>
  <c r="IL59" i="3" s="1"/>
  <c r="FS41" i="3"/>
  <c r="GO41" i="3"/>
  <c r="ID41" i="3"/>
  <c r="ID59" i="3" s="1"/>
  <c r="GV41" i="3"/>
  <c r="HB41" i="3"/>
  <c r="JF41" i="3"/>
  <c r="IZ41" i="3"/>
  <c r="IR41" i="3"/>
  <c r="IR59" i="3" s="1"/>
  <c r="HP41" i="3"/>
  <c r="HP59" i="3" s="1"/>
  <c r="HP61" i="3" s="1"/>
  <c r="HP62" i="3" s="1"/>
  <c r="IS4" i="3"/>
  <c r="HX11" i="3"/>
  <c r="HX4" i="3"/>
  <c r="JN4" i="3"/>
  <c r="JN6" i="3" s="1"/>
  <c r="HC11" i="3"/>
  <c r="HC4" i="3"/>
  <c r="HC6" i="3" s="1"/>
  <c r="IE11" i="3"/>
  <c r="IE13" i="3" s="1"/>
  <c r="IE4" i="3"/>
  <c r="JG4" i="3"/>
  <c r="JG6" i="3" s="1"/>
  <c r="HQ4" i="3"/>
  <c r="HQ6" i="3" s="1"/>
  <c r="JN22" i="3"/>
  <c r="JG22" i="3"/>
  <c r="IK32" i="3"/>
  <c r="IK34" i="3"/>
  <c r="IK60" i="3"/>
  <c r="IK61" i="3"/>
  <c r="IK62" i="3"/>
  <c r="GH41" i="3"/>
  <c r="IS22" i="3"/>
  <c r="IS13" i="3"/>
  <c r="HW59" i="3"/>
  <c r="HQ22" i="3"/>
  <c r="HQ33" i="3" s="1"/>
  <c r="HP24" i="3"/>
  <c r="IE22" i="3"/>
  <c r="HC22" i="3"/>
  <c r="ID24" i="3"/>
  <c r="HQ13" i="3"/>
  <c r="HX22" i="3"/>
  <c r="HP33" i="3"/>
  <c r="HP35" i="3"/>
  <c r="GN33" i="3"/>
  <c r="GN35" i="3"/>
  <c r="FR13" i="3"/>
  <c r="FR33" i="3"/>
  <c r="FR35" i="3"/>
  <c r="FT41" i="3"/>
  <c r="HX41" i="3"/>
  <c r="HX59" i="3" s="1"/>
  <c r="JG41" i="3"/>
  <c r="IE41" i="3"/>
  <c r="IE59" i="3" s="1"/>
  <c r="HC41" i="3"/>
  <c r="IS41" i="3"/>
  <c r="IS59" i="3" s="1"/>
  <c r="HQ41" i="3"/>
  <c r="HQ59" i="3" s="1"/>
  <c r="JN41" i="3"/>
  <c r="FS24" i="3"/>
  <c r="BK21" i="8"/>
  <c r="AU4" i="8"/>
  <c r="AU10" i="8"/>
  <c r="AU16" i="8"/>
  <c r="BN16" i="8"/>
  <c r="BN48" i="8"/>
  <c r="BQ4" i="8"/>
  <c r="BQ7" i="8"/>
  <c r="BP4" i="8"/>
  <c r="BO4" i="8"/>
  <c r="BN4" i="8"/>
  <c r="BM4" i="8"/>
  <c r="BL4" i="8"/>
  <c r="BK4" i="8"/>
  <c r="BI4" i="8"/>
  <c r="BH4" i="8"/>
  <c r="BG4" i="8"/>
  <c r="BG22" i="8"/>
  <c r="BF4" i="8"/>
  <c r="BE4" i="8"/>
  <c r="BD4" i="8"/>
  <c r="BC4" i="8"/>
  <c r="AR13" i="8"/>
  <c r="AR24" i="8"/>
  <c r="BI25" i="8"/>
  <c r="BI32" i="8"/>
  <c r="BH25" i="8"/>
  <c r="BG25" i="8"/>
  <c r="BG32" i="8"/>
  <c r="BF25" i="8"/>
  <c r="BE25" i="8"/>
  <c r="BL24" i="8"/>
  <c r="BM24" i="8"/>
  <c r="BP46" i="8"/>
  <c r="BO46" i="8"/>
  <c r="BN46" i="8"/>
  <c r="BM46" i="8"/>
  <c r="BL46" i="8"/>
  <c r="BK46" i="8"/>
  <c r="BJ45" i="8"/>
  <c r="BJ44" i="8"/>
  <c r="BJ43" i="8"/>
  <c r="BQ41" i="8"/>
  <c r="BO41" i="8"/>
  <c r="BQ40" i="8"/>
  <c r="BP40" i="8"/>
  <c r="BO40" i="8"/>
  <c r="BN40" i="8"/>
  <c r="BM40" i="8"/>
  <c r="BL40" i="8"/>
  <c r="BK40" i="8"/>
  <c r="BQ39" i="8"/>
  <c r="BP39" i="8"/>
  <c r="BO39" i="8"/>
  <c r="BN39" i="8"/>
  <c r="BM39" i="8"/>
  <c r="BL39" i="8"/>
  <c r="BK39" i="8"/>
  <c r="BQ38" i="8"/>
  <c r="BP38" i="8"/>
  <c r="BO38" i="8"/>
  <c r="BN38" i="8"/>
  <c r="BM38" i="8"/>
  <c r="BL38" i="8"/>
  <c r="BK38" i="8"/>
  <c r="BO24" i="8"/>
  <c r="BK24" i="8"/>
  <c r="BQ16" i="8"/>
  <c r="BP16" i="8"/>
  <c r="BO16" i="8"/>
  <c r="BO48" i="8"/>
  <c r="BM16" i="8"/>
  <c r="BM48" i="8"/>
  <c r="BL16" i="8"/>
  <c r="BK16" i="8"/>
  <c r="BQ10" i="8"/>
  <c r="BP10" i="8"/>
  <c r="BO10" i="8"/>
  <c r="BO47" i="8"/>
  <c r="BN10" i="8"/>
  <c r="BM10" i="8"/>
  <c r="BM47" i="8"/>
  <c r="BL10" i="8"/>
  <c r="BK10" i="8"/>
  <c r="BK47" i="8"/>
  <c r="BN24" i="8"/>
  <c r="BL25" i="8"/>
  <c r="BK25" i="8"/>
  <c r="BK32" i="8"/>
  <c r="FG33" i="3"/>
  <c r="FH33" i="3"/>
  <c r="FI33" i="3"/>
  <c r="FJ33" i="3"/>
  <c r="FK33" i="3"/>
  <c r="FL33" i="3"/>
  <c r="FM33" i="3"/>
  <c r="FG35" i="3"/>
  <c r="FH35" i="3"/>
  <c r="FI35" i="3"/>
  <c r="FJ35" i="3"/>
  <c r="FK35" i="3"/>
  <c r="FL35" i="3"/>
  <c r="FM35" i="3"/>
  <c r="FM28" i="3"/>
  <c r="FG28" i="3"/>
  <c r="FH28" i="3"/>
  <c r="FI28" i="3"/>
  <c r="FJ28" i="3"/>
  <c r="FK28" i="3"/>
  <c r="FG32" i="3"/>
  <c r="FG34" i="3"/>
  <c r="FG17" i="3"/>
  <c r="FH17" i="3"/>
  <c r="FI17" i="3"/>
  <c r="FJ17" i="3"/>
  <c r="FK17" i="3"/>
  <c r="FL17" i="3"/>
  <c r="FM17" i="3"/>
  <c r="FG18" i="3"/>
  <c r="FH18" i="3"/>
  <c r="FI18" i="3"/>
  <c r="FJ18" i="3"/>
  <c r="FK18" i="3"/>
  <c r="FL18" i="3"/>
  <c r="FM18" i="3"/>
  <c r="FI32" i="3"/>
  <c r="FI34" i="3"/>
  <c r="FM32" i="3"/>
  <c r="FM34" i="3"/>
  <c r="FL32" i="3"/>
  <c r="FL34" i="3"/>
  <c r="FH32" i="3"/>
  <c r="FH34" i="3"/>
  <c r="FK32" i="3"/>
  <c r="FK34" i="3"/>
  <c r="FJ32" i="3"/>
  <c r="FJ34" i="3"/>
  <c r="BC25" i="8"/>
  <c r="BD15" i="8"/>
  <c r="BD25" i="8"/>
  <c r="BD32" i="8"/>
  <c r="BI36" i="8"/>
  <c r="BH36" i="8"/>
  <c r="BG36" i="8"/>
  <c r="BF36" i="8"/>
  <c r="BE36" i="8"/>
  <c r="BD36" i="8"/>
  <c r="BC36" i="8"/>
  <c r="BD37" i="8"/>
  <c r="BE37" i="8"/>
  <c r="BF37" i="8"/>
  <c r="BG37" i="8"/>
  <c r="EZ33" i="3"/>
  <c r="FA33" i="3"/>
  <c r="FB33" i="3"/>
  <c r="FC33" i="3"/>
  <c r="FD33" i="3"/>
  <c r="FE33" i="3"/>
  <c r="FF33" i="3"/>
  <c r="EZ35" i="3"/>
  <c r="FA35" i="3"/>
  <c r="FB35" i="3"/>
  <c r="FC35" i="3"/>
  <c r="FD35" i="3"/>
  <c r="FE35" i="3"/>
  <c r="FF35" i="3"/>
  <c r="FF28" i="3"/>
  <c r="EZ28" i="3"/>
  <c r="FA28" i="3"/>
  <c r="FB28" i="3"/>
  <c r="FC28" i="3"/>
  <c r="FD28" i="3"/>
  <c r="FF23" i="3"/>
  <c r="FF24" i="3"/>
  <c r="EZ24" i="3"/>
  <c r="FA24" i="3"/>
  <c r="FB24" i="3"/>
  <c r="FC24" i="3"/>
  <c r="FD24" i="3"/>
  <c r="FE24" i="3"/>
  <c r="EZ17" i="3"/>
  <c r="FA17" i="3"/>
  <c r="FB17" i="3"/>
  <c r="FC17" i="3"/>
  <c r="FD17" i="3"/>
  <c r="FE17" i="3"/>
  <c r="FF17" i="3"/>
  <c r="EZ18" i="3"/>
  <c r="FA18" i="3"/>
  <c r="FB18" i="3"/>
  <c r="FC18" i="3"/>
  <c r="FD18" i="3"/>
  <c r="FE18" i="3"/>
  <c r="FF18" i="3"/>
  <c r="EZ13" i="3"/>
  <c r="FA13" i="3"/>
  <c r="FB13" i="3"/>
  <c r="FC13" i="3"/>
  <c r="FD13" i="3"/>
  <c r="FE13" i="3"/>
  <c r="FF13" i="3"/>
  <c r="EZ6" i="3"/>
  <c r="FA6" i="3"/>
  <c r="FB6" i="3"/>
  <c r="FC6" i="3"/>
  <c r="FD6" i="3"/>
  <c r="FE6" i="3"/>
  <c r="FD32" i="3"/>
  <c r="AD8" i="8"/>
  <c r="BH46" i="8"/>
  <c r="BG46" i="8"/>
  <c r="BF46" i="8"/>
  <c r="BE46" i="8"/>
  <c r="BD46" i="8"/>
  <c r="BC46" i="8"/>
  <c r="BB45" i="8"/>
  <c r="BB44" i="8"/>
  <c r="BB43" i="8"/>
  <c r="BI41" i="8"/>
  <c r="BG41" i="8"/>
  <c r="BI40" i="8"/>
  <c r="BB40" i="8"/>
  <c r="BH40" i="8"/>
  <c r="BG40" i="8"/>
  <c r="BF40" i="8"/>
  <c r="BE40" i="8"/>
  <c r="BD40" i="8"/>
  <c r="BC40" i="8"/>
  <c r="BI39" i="8"/>
  <c r="BH39" i="8"/>
  <c r="BG39" i="8"/>
  <c r="BF39" i="8"/>
  <c r="BE39" i="8"/>
  <c r="BD39" i="8"/>
  <c r="BC39" i="8"/>
  <c r="BI38" i="8"/>
  <c r="BH38" i="8"/>
  <c r="BG38" i="8"/>
  <c r="BF38" i="8"/>
  <c r="BE38" i="8"/>
  <c r="BD38" i="8"/>
  <c r="BC38" i="8"/>
  <c r="BB35" i="8"/>
  <c r="BB34" i="8"/>
  <c r="BB33" i="8"/>
  <c r="BF32" i="8"/>
  <c r="BE32" i="8"/>
  <c r="BI24" i="8"/>
  <c r="BH24" i="8"/>
  <c r="BG24" i="8"/>
  <c r="BF24" i="8"/>
  <c r="BE24" i="8"/>
  <c r="BD24" i="8"/>
  <c r="BC24" i="8"/>
  <c r="BB21" i="8"/>
  <c r="BB20" i="8"/>
  <c r="BB19" i="8"/>
  <c r="BI16" i="8"/>
  <c r="BH16" i="8"/>
  <c r="BG16" i="8"/>
  <c r="BF16" i="8"/>
  <c r="BF48" i="8"/>
  <c r="BE16" i="8"/>
  <c r="BD16" i="8"/>
  <c r="BD48" i="8"/>
  <c r="BC16" i="8"/>
  <c r="BC48" i="8"/>
  <c r="BB15" i="8"/>
  <c r="BB14" i="8"/>
  <c r="BB13" i="8"/>
  <c r="BI10" i="8"/>
  <c r="BH10" i="8"/>
  <c r="BG10" i="8"/>
  <c r="BG47" i="8"/>
  <c r="BF10" i="8"/>
  <c r="BF47" i="8"/>
  <c r="BE10" i="8"/>
  <c r="BD10" i="8"/>
  <c r="BD47" i="8"/>
  <c r="BC10" i="8"/>
  <c r="BB9" i="8"/>
  <c r="BB8" i="8"/>
  <c r="BB7" i="8"/>
  <c r="V15" i="8"/>
  <c r="AV16" i="8"/>
  <c r="AW16" i="8"/>
  <c r="AX16" i="8"/>
  <c r="AY16" i="8"/>
  <c r="BA16" i="8"/>
  <c r="BA20" i="8"/>
  <c r="AZ20" i="8"/>
  <c r="AZ14" i="8"/>
  <c r="BA14" i="8"/>
  <c r="AV10" i="8"/>
  <c r="AW10" i="8"/>
  <c r="AX10" i="8"/>
  <c r="AY10" i="8"/>
  <c r="BA10" i="8"/>
  <c r="AV4" i="8"/>
  <c r="AX4" i="8"/>
  <c r="AO4" i="8"/>
  <c r="AP4" i="8"/>
  <c r="AS20" i="8"/>
  <c r="AS8" i="8"/>
  <c r="ES33" i="3"/>
  <c r="ET33" i="3"/>
  <c r="EU33" i="3"/>
  <c r="EV33" i="3"/>
  <c r="EW33" i="3"/>
  <c r="EX33" i="3"/>
  <c r="EY33" i="3"/>
  <c r="ES35" i="3"/>
  <c r="ET35" i="3"/>
  <c r="EU35" i="3"/>
  <c r="EV35" i="3"/>
  <c r="EW35" i="3"/>
  <c r="EX35" i="3"/>
  <c r="EY35" i="3"/>
  <c r="EY28" i="3"/>
  <c r="ES28" i="3"/>
  <c r="ET28" i="3"/>
  <c r="EU28" i="3"/>
  <c r="EV28" i="3"/>
  <c r="EW28" i="3"/>
  <c r="EY23" i="3"/>
  <c r="EY24" i="3"/>
  <c r="ES24" i="3"/>
  <c r="ET24" i="3"/>
  <c r="EU24" i="3"/>
  <c r="EV24" i="3"/>
  <c r="EW24" i="3"/>
  <c r="EX24" i="3"/>
  <c r="ES17" i="3"/>
  <c r="ET17" i="3"/>
  <c r="EU17" i="3"/>
  <c r="EV17" i="3"/>
  <c r="EW17" i="3"/>
  <c r="EX17" i="3"/>
  <c r="EY17" i="3"/>
  <c r="ES18" i="3"/>
  <c r="ET18" i="3"/>
  <c r="EU18" i="3"/>
  <c r="EV18" i="3"/>
  <c r="EW18" i="3"/>
  <c r="EX18" i="3"/>
  <c r="EY18" i="3"/>
  <c r="ES13" i="3"/>
  <c r="ET13" i="3"/>
  <c r="EU13" i="3"/>
  <c r="EU32" i="3"/>
  <c r="EV13" i="3"/>
  <c r="EW13" i="3"/>
  <c r="EX13" i="3"/>
  <c r="EX32" i="3"/>
  <c r="EY13" i="3"/>
  <c r="EY16" i="3"/>
  <c r="ES6" i="3"/>
  <c r="ET6" i="3"/>
  <c r="EU6" i="3"/>
  <c r="EV6" i="3"/>
  <c r="EW6" i="3"/>
  <c r="EX6" i="3"/>
  <c r="AE20" i="8"/>
  <c r="AF20" i="8"/>
  <c r="AE14" i="8"/>
  <c r="AJ14" i="8"/>
  <c r="X20" i="8"/>
  <c r="Y20" i="8"/>
  <c r="AB20" i="8"/>
  <c r="AA14" i="8"/>
  <c r="AB14" i="8"/>
  <c r="X8" i="8"/>
  <c r="Y8" i="8"/>
  <c r="Z8" i="8"/>
  <c r="AA8" i="8"/>
  <c r="AB8" i="8"/>
  <c r="W8" i="8"/>
  <c r="AP10" i="8"/>
  <c r="AP12" i="8"/>
  <c r="AU5" i="8"/>
  <c r="AU17" i="8"/>
  <c r="AV17" i="8"/>
  <c r="AW17" i="8"/>
  <c r="AX17" i="8"/>
  <c r="AY17" i="8"/>
  <c r="AZ17" i="8"/>
  <c r="AZ18" i="8"/>
  <c r="AU11" i="8"/>
  <c r="AU12" i="8"/>
  <c r="AT12" i="8"/>
  <c r="AV11" i="8"/>
  <c r="AW11" i="8"/>
  <c r="AX11" i="8"/>
  <c r="AY11" i="8"/>
  <c r="AK9" i="8"/>
  <c r="AD9" i="8"/>
  <c r="AJ17" i="8"/>
  <c r="AJ18" i="8"/>
  <c r="EL24" i="3"/>
  <c r="EX47" i="3"/>
  <c r="ET32" i="3"/>
  <c r="ET34" i="3"/>
  <c r="EQ24" i="3"/>
  <c r="ER23" i="3"/>
  <c r="ER24" i="3"/>
  <c r="ER13" i="3"/>
  <c r="EQ6" i="3"/>
  <c r="EN24" i="3"/>
  <c r="EM24" i="3"/>
  <c r="AS10" i="8"/>
  <c r="AR4" i="8"/>
  <c r="AM4" i="8"/>
  <c r="AQ4" i="8"/>
  <c r="AS4" i="8"/>
  <c r="ER35" i="3"/>
  <c r="EQ35" i="3"/>
  <c r="EP35" i="3"/>
  <c r="EO35" i="3"/>
  <c r="EN35" i="3"/>
  <c r="EM35" i="3"/>
  <c r="EL35" i="3"/>
  <c r="ER33" i="3"/>
  <c r="EQ33" i="3"/>
  <c r="EP33" i="3"/>
  <c r="EO33" i="3"/>
  <c r="EN33" i="3"/>
  <c r="EM33" i="3"/>
  <c r="EL33" i="3"/>
  <c r="ER28" i="3"/>
  <c r="EP28" i="3"/>
  <c r="EO28" i="3"/>
  <c r="EN28" i="3"/>
  <c r="EM28" i="3"/>
  <c r="EL28" i="3"/>
  <c r="EP24" i="3"/>
  <c r="EO24" i="3"/>
  <c r="ER18" i="3"/>
  <c r="EQ18" i="3"/>
  <c r="EP18" i="3"/>
  <c r="EO18" i="3"/>
  <c r="EN18" i="3"/>
  <c r="EM18" i="3"/>
  <c r="EL18" i="3"/>
  <c r="ER17" i="3"/>
  <c r="EQ17" i="3"/>
  <c r="EP17" i="3"/>
  <c r="EO17" i="3"/>
  <c r="EN17" i="3"/>
  <c r="EM17" i="3"/>
  <c r="EL17" i="3"/>
  <c r="ER16" i="3"/>
  <c r="EQ13" i="3"/>
  <c r="EP13" i="3"/>
  <c r="EO13" i="3"/>
  <c r="EN13" i="3"/>
  <c r="EM13" i="3"/>
  <c r="EL13" i="3"/>
  <c r="EP6" i="3"/>
  <c r="EO6" i="3"/>
  <c r="EN6" i="3"/>
  <c r="EM6" i="3"/>
  <c r="EL6" i="3"/>
  <c r="AG41" i="8"/>
  <c r="AH19" i="8"/>
  <c r="AH7" i="8"/>
  <c r="AD7" i="8"/>
  <c r="EK35" i="3"/>
  <c r="EJ35" i="3"/>
  <c r="EI35" i="3"/>
  <c r="EH35" i="3"/>
  <c r="EG35" i="3"/>
  <c r="EF35" i="3"/>
  <c r="EE35" i="3"/>
  <c r="EK33" i="3"/>
  <c r="EJ33" i="3"/>
  <c r="EI33" i="3"/>
  <c r="EH33" i="3"/>
  <c r="EG33" i="3"/>
  <c r="EF33" i="3"/>
  <c r="EE33" i="3"/>
  <c r="EK28" i="3"/>
  <c r="EI28" i="3"/>
  <c r="EH28" i="3"/>
  <c r="EG28" i="3"/>
  <c r="EF28" i="3"/>
  <c r="EE28" i="3"/>
  <c r="EK24" i="3"/>
  <c r="EK32" i="3"/>
  <c r="EK34" i="3"/>
  <c r="EI24" i="3"/>
  <c r="EH24" i="3"/>
  <c r="EG24" i="3"/>
  <c r="EF24" i="3"/>
  <c r="EE24" i="3"/>
  <c r="EK18" i="3"/>
  <c r="EJ18" i="3"/>
  <c r="EI18" i="3"/>
  <c r="EH18" i="3"/>
  <c r="EG18" i="3"/>
  <c r="EF18" i="3"/>
  <c r="EE18" i="3"/>
  <c r="EK17" i="3"/>
  <c r="EJ17" i="3"/>
  <c r="EI17" i="3"/>
  <c r="EH17" i="3"/>
  <c r="EG17" i="3"/>
  <c r="EF17" i="3"/>
  <c r="EE17" i="3"/>
  <c r="EK16" i="3"/>
  <c r="EJ16" i="3"/>
  <c r="EJ13" i="3"/>
  <c r="EJ32" i="3"/>
  <c r="EJ34" i="3"/>
  <c r="EI13" i="3"/>
  <c r="EH13" i="3"/>
  <c r="EG13" i="3"/>
  <c r="EF13" i="3"/>
  <c r="EF32" i="3"/>
  <c r="EE13" i="3"/>
  <c r="EI6" i="3"/>
  <c r="EH6" i="3"/>
  <c r="EG6" i="3"/>
  <c r="EF6" i="3"/>
  <c r="EE6" i="3"/>
  <c r="BA48" i="8"/>
  <c r="AZ48" i="8"/>
  <c r="AY48" i="8"/>
  <c r="AX48" i="8"/>
  <c r="AW48" i="8"/>
  <c r="AV48" i="8"/>
  <c r="AU48" i="8"/>
  <c r="BA47" i="8"/>
  <c r="AZ47" i="8"/>
  <c r="AY47" i="8"/>
  <c r="AX47" i="8"/>
  <c r="AW47" i="8"/>
  <c r="AV47" i="8"/>
  <c r="AU47" i="8"/>
  <c r="AZ46" i="8"/>
  <c r="AY46" i="8"/>
  <c r="AX46" i="8"/>
  <c r="AW46" i="8"/>
  <c r="AV46" i="8"/>
  <c r="AU46" i="8"/>
  <c r="AT45" i="8"/>
  <c r="AT44" i="8"/>
  <c r="AT43" i="8"/>
  <c r="BA41" i="8"/>
  <c r="AY41" i="8"/>
  <c r="BA40" i="8"/>
  <c r="AZ40" i="8"/>
  <c r="AZ42" i="8"/>
  <c r="AY40" i="8"/>
  <c r="AX40" i="8"/>
  <c r="AW40" i="8"/>
  <c r="AV40" i="8"/>
  <c r="AU40" i="8"/>
  <c r="BA39" i="8"/>
  <c r="AZ39" i="8"/>
  <c r="AY39" i="8"/>
  <c r="AX39" i="8"/>
  <c r="AW39" i="8"/>
  <c r="AV39" i="8"/>
  <c r="AU39" i="8"/>
  <c r="BA38" i="8"/>
  <c r="AZ38" i="8"/>
  <c r="AY38" i="8"/>
  <c r="AX38" i="8"/>
  <c r="AW38" i="8"/>
  <c r="AV38" i="8"/>
  <c r="AU38" i="8"/>
  <c r="BA36" i="8"/>
  <c r="AZ36" i="8"/>
  <c r="AY36" i="8"/>
  <c r="AX36" i="8"/>
  <c r="AW36" i="8"/>
  <c r="AV36" i="8"/>
  <c r="AU36" i="8"/>
  <c r="AV37" i="8"/>
  <c r="AW37" i="8"/>
  <c r="AX37" i="8"/>
  <c r="AT35" i="8"/>
  <c r="AT34" i="8"/>
  <c r="AT33" i="8"/>
  <c r="BA24" i="8"/>
  <c r="AZ24" i="8"/>
  <c r="AY24" i="8"/>
  <c r="AX24" i="8"/>
  <c r="AW24" i="8"/>
  <c r="AV24" i="8"/>
  <c r="AU24" i="8"/>
  <c r="AZ22" i="8"/>
  <c r="AT19" i="8"/>
  <c r="AT13" i="8"/>
  <c r="AT7" i="8"/>
  <c r="BA4" i="8"/>
  <c r="AS48" i="8"/>
  <c r="AR48" i="8"/>
  <c r="AQ48" i="8"/>
  <c r="AP48" i="8"/>
  <c r="AO48" i="8"/>
  <c r="AN48" i="8"/>
  <c r="AM48" i="8"/>
  <c r="AS47" i="8"/>
  <c r="AR47" i="8"/>
  <c r="AQ47" i="8"/>
  <c r="AP47" i="8"/>
  <c r="AO47" i="8"/>
  <c r="AN47" i="8"/>
  <c r="AM47" i="8"/>
  <c r="AR46" i="8"/>
  <c r="AQ46" i="8"/>
  <c r="AP46" i="8"/>
  <c r="AO46" i="8"/>
  <c r="AN46" i="8"/>
  <c r="AM46" i="8"/>
  <c r="AL45" i="8"/>
  <c r="AL44" i="8"/>
  <c r="AL43" i="8"/>
  <c r="AS41" i="8"/>
  <c r="AR41" i="8"/>
  <c r="AQ41" i="8"/>
  <c r="AP41" i="8"/>
  <c r="AO41" i="8"/>
  <c r="AO42" i="8"/>
  <c r="AN41" i="8"/>
  <c r="AM41" i="8"/>
  <c r="AS40" i="8"/>
  <c r="AR40" i="8"/>
  <c r="AQ40" i="8"/>
  <c r="AP40" i="8"/>
  <c r="AO40" i="8"/>
  <c r="AN40" i="8"/>
  <c r="AN42" i="8"/>
  <c r="AM40" i="8"/>
  <c r="AS39" i="8"/>
  <c r="AR39" i="8"/>
  <c r="AQ39" i="8"/>
  <c r="AP39" i="8"/>
  <c r="AO39" i="8"/>
  <c r="AN39" i="8"/>
  <c r="AM39" i="8"/>
  <c r="AS38" i="8"/>
  <c r="AR38" i="8"/>
  <c r="AQ38" i="8"/>
  <c r="AP38" i="8"/>
  <c r="AO38" i="8"/>
  <c r="AN38" i="8"/>
  <c r="AM38" i="8"/>
  <c r="AS36" i="8"/>
  <c r="AR36" i="8"/>
  <c r="AQ36" i="8"/>
  <c r="AP36" i="8"/>
  <c r="AO36" i="8"/>
  <c r="AN36" i="8"/>
  <c r="AM36" i="8"/>
  <c r="AL35" i="8"/>
  <c r="AL34" i="8"/>
  <c r="AL33" i="8"/>
  <c r="AS24" i="8"/>
  <c r="AQ24" i="8"/>
  <c r="AP24" i="8"/>
  <c r="AO24" i="8"/>
  <c r="AN24" i="8"/>
  <c r="AM24" i="8"/>
  <c r="AL19" i="8"/>
  <c r="AS16" i="8"/>
  <c r="AP16" i="8"/>
  <c r="AO16" i="8"/>
  <c r="AN16" i="8"/>
  <c r="AM16" i="8"/>
  <c r="AO25" i="8"/>
  <c r="AL13" i="8"/>
  <c r="AQ10" i="8"/>
  <c r="AO10" i="8"/>
  <c r="AN10" i="8"/>
  <c r="AM10" i="8"/>
  <c r="AN25" i="8"/>
  <c r="AN32" i="8"/>
  <c r="AL7" i="8"/>
  <c r="X3" i="8"/>
  <c r="AF3" i="8"/>
  <c r="AN3" i="8"/>
  <c r="AV3" i="8"/>
  <c r="BD3" i="8"/>
  <c r="BL3" i="8"/>
  <c r="BT3" i="8"/>
  <c r="CB3" i="8"/>
  <c r="Y3" i="8"/>
  <c r="AG3" i="8"/>
  <c r="AO3" i="8"/>
  <c r="AW3" i="8"/>
  <c r="BE3" i="8"/>
  <c r="BM3" i="8"/>
  <c r="BU3" i="8"/>
  <c r="CC3" i="8"/>
  <c r="Z3" i="8"/>
  <c r="AH3" i="8"/>
  <c r="AP3" i="8"/>
  <c r="AX3" i="8"/>
  <c r="BF3" i="8"/>
  <c r="BN3" i="8"/>
  <c r="BV3" i="8"/>
  <c r="CD3" i="8"/>
  <c r="AA3" i="8"/>
  <c r="AI3" i="8"/>
  <c r="AQ3" i="8"/>
  <c r="AY3" i="8"/>
  <c r="BG3" i="8"/>
  <c r="BO3" i="8"/>
  <c r="BW3" i="8"/>
  <c r="CE3" i="8"/>
  <c r="AB3" i="8"/>
  <c r="AJ3" i="8"/>
  <c r="AR3" i="8"/>
  <c r="AZ3" i="8"/>
  <c r="BH3" i="8"/>
  <c r="BP3" i="8"/>
  <c r="BX3" i="8"/>
  <c r="CF3" i="8"/>
  <c r="AC3" i="8"/>
  <c r="AK3" i="8"/>
  <c r="AS3" i="8"/>
  <c r="BA3" i="8"/>
  <c r="BI3" i="8"/>
  <c r="BQ3" i="8"/>
  <c r="BY3" i="8"/>
  <c r="CG3" i="8"/>
  <c r="W3" i="8"/>
  <c r="AE3" i="8"/>
  <c r="AM3" i="8"/>
  <c r="AU3" i="8"/>
  <c r="BC3" i="8"/>
  <c r="BK3" i="8"/>
  <c r="BS3" i="8"/>
  <c r="CA3" i="8"/>
  <c r="EE32" i="3"/>
  <c r="AM25" i="8"/>
  <c r="AM32" i="8"/>
  <c r="BA5" i="8"/>
  <c r="AZ5" i="8"/>
  <c r="AS5" i="8"/>
  <c r="AR5" i="8"/>
  <c r="AQ5" i="8"/>
  <c r="AP5" i="8"/>
  <c r="AO5" i="8"/>
  <c r="AN5" i="8"/>
  <c r="AN6" i="8"/>
  <c r="AN23" i="8"/>
  <c r="AM5" i="8"/>
  <c r="BC11" i="8"/>
  <c r="CG5" i="8"/>
  <c r="BU17" i="8"/>
  <c r="BU20" i="8"/>
  <c r="BU11" i="8"/>
  <c r="BU14" i="8"/>
  <c r="BV5" i="8"/>
  <c r="CG17" i="8"/>
  <c r="CG20" i="8"/>
  <c r="CG11" i="8"/>
  <c r="BV17" i="8"/>
  <c r="BV20" i="8"/>
  <c r="BV11" i="8"/>
  <c r="BV14" i="8"/>
  <c r="BW5" i="8"/>
  <c r="CA5" i="8"/>
  <c r="BW17" i="8"/>
  <c r="BW11" i="8"/>
  <c r="BX5" i="8"/>
  <c r="BX8" i="8"/>
  <c r="CA11" i="8"/>
  <c r="CA17" i="8"/>
  <c r="CA20" i="8"/>
  <c r="CB5" i="8"/>
  <c r="CB8" i="8"/>
  <c r="BU5" i="8"/>
  <c r="BX17" i="8"/>
  <c r="BX11" i="8"/>
  <c r="BX14" i="8"/>
  <c r="BY5" i="8"/>
  <c r="CB11" i="8"/>
  <c r="CB14" i="8"/>
  <c r="CB17" i="8"/>
  <c r="CB20" i="8"/>
  <c r="CC5" i="8"/>
  <c r="CC11" i="8"/>
  <c r="CC14" i="8"/>
  <c r="CC17" i="8"/>
  <c r="CD5" i="8"/>
  <c r="BT11" i="8"/>
  <c r="BT17" i="8"/>
  <c r="CF17" i="8"/>
  <c r="CF20" i="8"/>
  <c r="CF11" i="8"/>
  <c r="BY17" i="8"/>
  <c r="BY20" i="8"/>
  <c r="BY11" i="8"/>
  <c r="BS5" i="8"/>
  <c r="BS8" i="8"/>
  <c r="BS28" i="8"/>
  <c r="CD11" i="8"/>
  <c r="CD14" i="8"/>
  <c r="CD17" i="8"/>
  <c r="CD20" i="8"/>
  <c r="CE5" i="8"/>
  <c r="BS11" i="8"/>
  <c r="BS17" i="8"/>
  <c r="BT5" i="8"/>
  <c r="BT8" i="8"/>
  <c r="CE17" i="8"/>
  <c r="CE11" i="8"/>
  <c r="CF5" i="8"/>
  <c r="BO11" i="8"/>
  <c r="BO14" i="8"/>
  <c r="BO17" i="8"/>
  <c r="BO20" i="8"/>
  <c r="BO21" i="8"/>
  <c r="BP11" i="8"/>
  <c r="BP17" i="8"/>
  <c r="BQ17" i="8"/>
  <c r="BQ11" i="8"/>
  <c r="BQ14" i="8"/>
  <c r="BK17" i="8"/>
  <c r="BK11" i="8"/>
  <c r="BL17" i="8"/>
  <c r="BL11" i="8"/>
  <c r="BM17" i="8"/>
  <c r="BM11" i="8"/>
  <c r="BN11" i="8"/>
  <c r="BN17" i="8"/>
  <c r="BQ5" i="8"/>
  <c r="BQ8" i="8"/>
  <c r="BQ9" i="8"/>
  <c r="BQ25" i="8"/>
  <c r="BL5" i="8"/>
  <c r="BK5" i="8"/>
  <c r="BM5" i="8"/>
  <c r="BM29" i="8"/>
  <c r="BN5" i="8"/>
  <c r="BO5" i="8"/>
  <c r="BP5" i="8"/>
  <c r="BP8" i="8"/>
  <c r="BE5" i="8"/>
  <c r="BF5" i="8"/>
  <c r="BF29" i="8"/>
  <c r="BG5" i="8"/>
  <c r="BH5" i="8"/>
  <c r="BH6" i="8"/>
  <c r="BD5" i="8"/>
  <c r="BI5" i="8"/>
  <c r="BC5" i="8"/>
  <c r="BC17" i="8"/>
  <c r="BB17" i="8"/>
  <c r="BD17" i="8"/>
  <c r="BD11" i="8"/>
  <c r="BE17" i="8"/>
  <c r="BE11" i="8"/>
  <c r="BF17" i="8"/>
  <c r="BF11" i="8"/>
  <c r="BG17" i="8"/>
  <c r="BG18" i="8"/>
  <c r="BG11" i="8"/>
  <c r="BG12" i="8"/>
  <c r="BI11" i="8"/>
  <c r="BI17" i="8"/>
  <c r="BH17" i="8"/>
  <c r="BH11" i="8"/>
  <c r="AX5" i="8"/>
  <c r="AX6" i="8"/>
  <c r="AX23" i="8"/>
  <c r="AY5" i="8"/>
  <c r="AY6" i="8"/>
  <c r="AY23" i="8"/>
  <c r="AV5" i="8"/>
  <c r="AW5" i="8"/>
  <c r="AW6" i="8"/>
  <c r="AW23" i="8"/>
  <c r="AW30" i="8"/>
  <c r="AQ17" i="8"/>
  <c r="AQ11" i="8"/>
  <c r="AQ29" i="8"/>
  <c r="AR11" i="8"/>
  <c r="AR12" i="8"/>
  <c r="AR17" i="8"/>
  <c r="AR18" i="8"/>
  <c r="AM11" i="8"/>
  <c r="AM17" i="8"/>
  <c r="AN17" i="8"/>
  <c r="AN11" i="8"/>
  <c r="AZ11" i="8"/>
  <c r="AZ12" i="8"/>
  <c r="AS11" i="8"/>
  <c r="AS17" i="8"/>
  <c r="AO17" i="8"/>
  <c r="AO11" i="8"/>
  <c r="AO12" i="8"/>
  <c r="BA11" i="8"/>
  <c r="BA17" i="8"/>
  <c r="AP11" i="8"/>
  <c r="AP29" i="8"/>
  <c r="AP17" i="8"/>
  <c r="AK41" i="8"/>
  <c r="AJ41" i="8"/>
  <c r="AI41" i="8"/>
  <c r="AH41" i="8"/>
  <c r="AF41" i="8"/>
  <c r="AE41" i="8"/>
  <c r="AK40" i="8"/>
  <c r="AJ40" i="8"/>
  <c r="AI40" i="8"/>
  <c r="AH40" i="8"/>
  <c r="AG40" i="8"/>
  <c r="AF40" i="8"/>
  <c r="AE40" i="8"/>
  <c r="AK39" i="8"/>
  <c r="AK42" i="8"/>
  <c r="AJ39" i="8"/>
  <c r="AI39" i="8"/>
  <c r="AH39" i="8"/>
  <c r="AH42" i="8"/>
  <c r="AG39" i="8"/>
  <c r="AF39" i="8"/>
  <c r="AE39" i="8"/>
  <c r="AD39" i="8"/>
  <c r="AK38" i="8"/>
  <c r="AJ38" i="8"/>
  <c r="AJ42" i="8"/>
  <c r="AI38" i="8"/>
  <c r="AH38" i="8"/>
  <c r="AG38" i="8"/>
  <c r="AG42" i="8"/>
  <c r="AF38" i="8"/>
  <c r="AE38" i="8"/>
  <c r="X41" i="8"/>
  <c r="Y41" i="8"/>
  <c r="Z41" i="8"/>
  <c r="AA41" i="8"/>
  <c r="AB41" i="8"/>
  <c r="AC41" i="8"/>
  <c r="W41" i="8"/>
  <c r="AC40" i="8"/>
  <c r="AB40" i="8"/>
  <c r="AB42" i="8"/>
  <c r="AA40" i="8"/>
  <c r="Z40" i="8"/>
  <c r="Y40" i="8"/>
  <c r="X40" i="8"/>
  <c r="W40" i="8"/>
  <c r="P41" i="8"/>
  <c r="Q41" i="8"/>
  <c r="R41" i="8"/>
  <c r="S41" i="8"/>
  <c r="T41" i="8"/>
  <c r="U41" i="8"/>
  <c r="O41" i="8"/>
  <c r="AC39" i="8"/>
  <c r="AC42" i="8"/>
  <c r="AB39" i="8"/>
  <c r="AA39" i="8"/>
  <c r="Z39" i="8"/>
  <c r="Y39" i="8"/>
  <c r="X39" i="8"/>
  <c r="W39" i="8"/>
  <c r="AC38" i="8"/>
  <c r="AB38" i="8"/>
  <c r="AA38" i="8"/>
  <c r="Z38" i="8"/>
  <c r="Y38" i="8"/>
  <c r="X38" i="8"/>
  <c r="W38" i="8"/>
  <c r="BN25" i="8"/>
  <c r="BN32" i="8"/>
  <c r="BM25" i="8"/>
  <c r="BM32" i="8"/>
  <c r="W36" i="8"/>
  <c r="R48" i="8"/>
  <c r="AK48" i="8"/>
  <c r="AJ48" i="8"/>
  <c r="AI48" i="8"/>
  <c r="AG48" i="8"/>
  <c r="AF48" i="8"/>
  <c r="AE48" i="8"/>
  <c r="AK47" i="8"/>
  <c r="AJ47" i="8"/>
  <c r="AI47" i="8"/>
  <c r="AH47" i="8"/>
  <c r="AG47" i="8"/>
  <c r="AF47" i="8"/>
  <c r="AE47" i="8"/>
  <c r="P48" i="8"/>
  <c r="Q48" i="8"/>
  <c r="S48" i="8"/>
  <c r="T48" i="8"/>
  <c r="O48" i="8"/>
  <c r="O47" i="8"/>
  <c r="P47" i="8"/>
  <c r="R47" i="8"/>
  <c r="S47" i="8"/>
  <c r="T47" i="8"/>
  <c r="Q47" i="8"/>
  <c r="ED35" i="3"/>
  <c r="EC35" i="3"/>
  <c r="EB35" i="3"/>
  <c r="EA35" i="3"/>
  <c r="DZ35" i="3"/>
  <c r="DY35" i="3"/>
  <c r="DX35" i="3"/>
  <c r="ED33" i="3"/>
  <c r="EC33" i="3"/>
  <c r="EB33" i="3"/>
  <c r="EA33" i="3"/>
  <c r="DZ33" i="3"/>
  <c r="DY33" i="3"/>
  <c r="DX33" i="3"/>
  <c r="ED28" i="3"/>
  <c r="EC28" i="3"/>
  <c r="EB28" i="3"/>
  <c r="EA28" i="3"/>
  <c r="DZ28" i="3"/>
  <c r="DY28" i="3"/>
  <c r="DX28" i="3"/>
  <c r="EC27" i="3"/>
  <c r="ED24" i="3"/>
  <c r="EC24" i="3"/>
  <c r="EB24" i="3"/>
  <c r="EA24" i="3"/>
  <c r="DZ24" i="3"/>
  <c r="DY24" i="3"/>
  <c r="DX24" i="3"/>
  <c r="ED18" i="3"/>
  <c r="EC18" i="3"/>
  <c r="EB18" i="3"/>
  <c r="EA18" i="3"/>
  <c r="DZ18" i="3"/>
  <c r="DY18" i="3"/>
  <c r="DX18" i="3"/>
  <c r="ED17" i="3"/>
  <c r="EC17" i="3"/>
  <c r="EB17" i="3"/>
  <c r="EA17" i="3"/>
  <c r="DZ17" i="3"/>
  <c r="DY17" i="3"/>
  <c r="DX17" i="3"/>
  <c r="ED16" i="3"/>
  <c r="EC16" i="3"/>
  <c r="ED13" i="3"/>
  <c r="EC13" i="3"/>
  <c r="EB13" i="3"/>
  <c r="EA13" i="3"/>
  <c r="DZ13" i="3"/>
  <c r="DY13" i="3"/>
  <c r="DX13" i="3"/>
  <c r="EC9" i="3"/>
  <c r="EC6" i="3"/>
  <c r="EB6" i="3"/>
  <c r="EA6" i="3"/>
  <c r="DZ6" i="3"/>
  <c r="DY6" i="3"/>
  <c r="DX6" i="3"/>
  <c r="AJ46" i="8"/>
  <c r="AI46" i="8"/>
  <c r="AH46" i="8"/>
  <c r="AG46" i="8"/>
  <c r="AF46" i="8"/>
  <c r="AE46" i="8"/>
  <c r="AD45" i="8"/>
  <c r="AD44" i="8"/>
  <c r="AD43" i="8"/>
  <c r="AD46" i="8"/>
  <c r="AK36" i="8"/>
  <c r="AJ36" i="8"/>
  <c r="AI36" i="8"/>
  <c r="AH36" i="8"/>
  <c r="AG36" i="8"/>
  <c r="AF36" i="8"/>
  <c r="AE36" i="8"/>
  <c r="AF37" i="8"/>
  <c r="AG37" i="8"/>
  <c r="AH37" i="8"/>
  <c r="AI37" i="8"/>
  <c r="AJ37" i="8"/>
  <c r="AD35" i="8"/>
  <c r="AD34" i="8"/>
  <c r="AD33" i="8"/>
  <c r="AK24" i="8"/>
  <c r="AJ24" i="8"/>
  <c r="AI24" i="8"/>
  <c r="AG24" i="8"/>
  <c r="AF24" i="8"/>
  <c r="AE24" i="8"/>
  <c r="AK16" i="8"/>
  <c r="AI16" i="8"/>
  <c r="AH16" i="8"/>
  <c r="AG16" i="8"/>
  <c r="AF16" i="8"/>
  <c r="AE16" i="8"/>
  <c r="AD13" i="8"/>
  <c r="AJ10" i="8"/>
  <c r="AJ12" i="8"/>
  <c r="AI10" i="8"/>
  <c r="AH10" i="8"/>
  <c r="AG10" i="8"/>
  <c r="AF10" i="8"/>
  <c r="AE10" i="8"/>
  <c r="AK4" i="8"/>
  <c r="AK6" i="8"/>
  <c r="AK23" i="8"/>
  <c r="AI4" i="8"/>
  <c r="AH4" i="8"/>
  <c r="AH22" i="8"/>
  <c r="AG4" i="8"/>
  <c r="AF4" i="8"/>
  <c r="AE4" i="8"/>
  <c r="AE22" i="8"/>
  <c r="AB46" i="8"/>
  <c r="AA46" i="8"/>
  <c r="Z46" i="8"/>
  <c r="Y46" i="8"/>
  <c r="X46" i="8"/>
  <c r="W46" i="8"/>
  <c r="V45" i="8"/>
  <c r="V44" i="8"/>
  <c r="V43" i="8"/>
  <c r="AC36" i="8"/>
  <c r="AB36" i="8"/>
  <c r="AA36" i="8"/>
  <c r="Z36" i="8"/>
  <c r="Y36" i="8"/>
  <c r="X36" i="8"/>
  <c r="V35" i="8"/>
  <c r="V34" i="8"/>
  <c r="V33" i="8"/>
  <c r="AC16" i="8"/>
  <c r="AB16" i="8"/>
  <c r="AA16" i="8"/>
  <c r="Z16" i="8"/>
  <c r="Y16" i="8"/>
  <c r="Y48" i="8"/>
  <c r="X16" i="8"/>
  <c r="W16" i="8"/>
  <c r="W19" i="8"/>
  <c r="AC10" i="8"/>
  <c r="AB10" i="8"/>
  <c r="AA10" i="8"/>
  <c r="Z10" i="8"/>
  <c r="Z12" i="8"/>
  <c r="Y10" i="8"/>
  <c r="X10" i="8"/>
  <c r="W10" i="8"/>
  <c r="AC4" i="8"/>
  <c r="AC7" i="8"/>
  <c r="AC9" i="8"/>
  <c r="AB4" i="8"/>
  <c r="AA4" i="8"/>
  <c r="Z4" i="8"/>
  <c r="Z22" i="8"/>
  <c r="Y4" i="8"/>
  <c r="X4" i="8"/>
  <c r="W4" i="8"/>
  <c r="T46" i="8"/>
  <c r="S46" i="8"/>
  <c r="R46" i="8"/>
  <c r="Q46" i="8"/>
  <c r="P46" i="8"/>
  <c r="O46" i="8"/>
  <c r="N45" i="8"/>
  <c r="N44" i="8"/>
  <c r="N43" i="8"/>
  <c r="U40" i="8"/>
  <c r="U42" i="8"/>
  <c r="T40" i="8"/>
  <c r="S40" i="8"/>
  <c r="N40" i="8"/>
  <c r="R40" i="8"/>
  <c r="Q40" i="8"/>
  <c r="P40" i="8"/>
  <c r="O40" i="8"/>
  <c r="U39" i="8"/>
  <c r="T39" i="8"/>
  <c r="T42" i="8"/>
  <c r="S39" i="8"/>
  <c r="R39" i="8"/>
  <c r="Q39" i="8"/>
  <c r="P39" i="8"/>
  <c r="O39" i="8"/>
  <c r="U38" i="8"/>
  <c r="T38" i="8"/>
  <c r="S38" i="8"/>
  <c r="S42" i="8"/>
  <c r="R38" i="8"/>
  <c r="Q38" i="8"/>
  <c r="Q42" i="8"/>
  <c r="P38" i="8"/>
  <c r="N38" i="8"/>
  <c r="O38" i="8"/>
  <c r="U36" i="8"/>
  <c r="T36" i="8"/>
  <c r="S36" i="8"/>
  <c r="R36" i="8"/>
  <c r="Q36" i="8"/>
  <c r="P36" i="8"/>
  <c r="O36" i="8"/>
  <c r="N35" i="8"/>
  <c r="N34" i="8"/>
  <c r="N33" i="8"/>
  <c r="S24" i="8"/>
  <c r="Q24" i="8"/>
  <c r="P24" i="8"/>
  <c r="O24" i="8"/>
  <c r="P21" i="8"/>
  <c r="O21" i="8"/>
  <c r="U16" i="8"/>
  <c r="U19" i="8"/>
  <c r="U48" i="8"/>
  <c r="T16" i="8"/>
  <c r="S16" i="8"/>
  <c r="R16" i="8"/>
  <c r="Q16" i="8"/>
  <c r="P16" i="8"/>
  <c r="O16" i="8"/>
  <c r="N16" i="8"/>
  <c r="P15" i="8"/>
  <c r="O15" i="8"/>
  <c r="U10" i="8"/>
  <c r="U13" i="8"/>
  <c r="U47" i="8"/>
  <c r="T10" i="8"/>
  <c r="S10" i="8"/>
  <c r="R10" i="8"/>
  <c r="Q10" i="8"/>
  <c r="Q22" i="8"/>
  <c r="P10" i="8"/>
  <c r="O10" i="8"/>
  <c r="O22" i="8"/>
  <c r="P9" i="8"/>
  <c r="O9" i="8"/>
  <c r="U4" i="8"/>
  <c r="T4" i="8"/>
  <c r="S4" i="8"/>
  <c r="R4" i="8"/>
  <c r="R24" i="8"/>
  <c r="Q4" i="8"/>
  <c r="Q6" i="8"/>
  <c r="Q23" i="8"/>
  <c r="P4" i="8"/>
  <c r="O4" i="8"/>
  <c r="F20" i="8"/>
  <c r="F14" i="8"/>
  <c r="F8" i="8"/>
  <c r="H38" i="8"/>
  <c r="I38" i="8"/>
  <c r="J38" i="8"/>
  <c r="K38" i="8"/>
  <c r="L38" i="8"/>
  <c r="M38" i="8"/>
  <c r="H39" i="8"/>
  <c r="I39" i="8"/>
  <c r="J39" i="8"/>
  <c r="J42" i="8"/>
  <c r="K39" i="8"/>
  <c r="L39" i="8"/>
  <c r="M39" i="8"/>
  <c r="H40" i="8"/>
  <c r="I40" i="8"/>
  <c r="J40" i="8"/>
  <c r="K40" i="8"/>
  <c r="K42" i="8"/>
  <c r="L40" i="8"/>
  <c r="L42" i="8"/>
  <c r="M40" i="8"/>
  <c r="G39" i="8"/>
  <c r="G40" i="8"/>
  <c r="G38" i="8"/>
  <c r="H16" i="8"/>
  <c r="I16" i="8"/>
  <c r="J16" i="8"/>
  <c r="J22" i="8"/>
  <c r="K16" i="8"/>
  <c r="K48" i="8"/>
  <c r="L16" i="8"/>
  <c r="L48" i="8"/>
  <c r="M16" i="8"/>
  <c r="M48" i="8"/>
  <c r="G16" i="8"/>
  <c r="G48" i="8"/>
  <c r="H10" i="8"/>
  <c r="H47" i="8"/>
  <c r="I10" i="8"/>
  <c r="J10" i="8"/>
  <c r="K10" i="8"/>
  <c r="K47" i="8"/>
  <c r="L10" i="8"/>
  <c r="M10" i="8"/>
  <c r="M47" i="8"/>
  <c r="G10" i="8"/>
  <c r="G47" i="8"/>
  <c r="H4" i="8"/>
  <c r="H22" i="8"/>
  <c r="I4" i="8"/>
  <c r="J4" i="8"/>
  <c r="K4" i="8"/>
  <c r="L4" i="8"/>
  <c r="L22" i="8"/>
  <c r="M4" i="8"/>
  <c r="M22" i="8"/>
  <c r="G4" i="8"/>
  <c r="AF25" i="8"/>
  <c r="AF32" i="8"/>
  <c r="AG25" i="8"/>
  <c r="AG32" i="8"/>
  <c r="AH25" i="8"/>
  <c r="AI25" i="8"/>
  <c r="AI32" i="8"/>
  <c r="AE25" i="8"/>
  <c r="T24" i="8"/>
  <c r="AA47" i="8"/>
  <c r="AB47" i="8"/>
  <c r="AB48" i="8"/>
  <c r="AG5" i="8"/>
  <c r="AH5" i="8"/>
  <c r="AA11" i="8"/>
  <c r="AA12" i="8"/>
  <c r="AG11" i="8"/>
  <c r="AB11" i="8"/>
  <c r="AE5" i="8"/>
  <c r="AG17" i="8"/>
  <c r="AB5" i="8"/>
  <c r="AI11" i="8"/>
  <c r="AC5" i="8"/>
  <c r="AF5" i="8"/>
  <c r="AF17" i="8"/>
  <c r="AF11" i="8"/>
  <c r="AF12" i="8"/>
  <c r="AI5" i="8"/>
  <c r="AI29" i="8"/>
  <c r="Z5" i="8"/>
  <c r="AA5" i="8"/>
  <c r="AH11" i="8"/>
  <c r="AI17" i="8"/>
  <c r="AD17" i="8"/>
  <c r="AC11" i="8"/>
  <c r="AC29" i="8"/>
  <c r="AC17" i="8"/>
  <c r="W11" i="8"/>
  <c r="X17" i="8"/>
  <c r="AE17" i="8"/>
  <c r="W5" i="8"/>
  <c r="X11" i="8"/>
  <c r="Y17" i="8"/>
  <c r="Y18" i="8"/>
  <c r="X5" i="8"/>
  <c r="Y11" i="8"/>
  <c r="Z17" i="8"/>
  <c r="AK5" i="8"/>
  <c r="W17" i="8"/>
  <c r="Y5" i="8"/>
  <c r="Z11" i="8"/>
  <c r="AA17" i="8"/>
  <c r="AE11" i="8"/>
  <c r="AH17" i="8"/>
  <c r="AB17" i="8"/>
  <c r="AJ5" i="8"/>
  <c r="AJ29" i="8"/>
  <c r="AK11" i="8"/>
  <c r="AK17" i="8"/>
  <c r="AJ11" i="8"/>
  <c r="X48" i="8"/>
  <c r="AB24" i="8"/>
  <c r="Y37" i="8"/>
  <c r="Z37" i="8"/>
  <c r="AA37" i="8"/>
  <c r="AB37" i="8"/>
  <c r="Y25" i="8"/>
  <c r="AB25" i="8"/>
  <c r="AA25" i="8"/>
  <c r="X25" i="8"/>
  <c r="Z25" i="8"/>
  <c r="W25" i="8"/>
  <c r="DR28" i="3"/>
  <c r="DR24" i="3"/>
  <c r="DR18" i="3"/>
  <c r="DR17" i="3"/>
  <c r="DR13" i="3"/>
  <c r="DR6" i="3"/>
  <c r="DW35" i="3"/>
  <c r="DV35" i="3"/>
  <c r="DU35" i="3"/>
  <c r="DT35" i="3"/>
  <c r="DS35" i="3"/>
  <c r="DR35" i="3"/>
  <c r="DQ35" i="3"/>
  <c r="DW33" i="3"/>
  <c r="DV33" i="3"/>
  <c r="DU33" i="3"/>
  <c r="DT33" i="3"/>
  <c r="DS33" i="3"/>
  <c r="DR33" i="3"/>
  <c r="DQ33" i="3"/>
  <c r="DW28" i="3"/>
  <c r="DV28" i="3"/>
  <c r="DU28" i="3"/>
  <c r="DT28" i="3"/>
  <c r="DS28" i="3"/>
  <c r="DQ28" i="3"/>
  <c r="DW24" i="3"/>
  <c r="DV24" i="3"/>
  <c r="DU24" i="3"/>
  <c r="DT24" i="3"/>
  <c r="DS24" i="3"/>
  <c r="DQ24" i="3"/>
  <c r="DW18" i="3"/>
  <c r="DV18" i="3"/>
  <c r="DU18" i="3"/>
  <c r="DT18" i="3"/>
  <c r="DS18" i="3"/>
  <c r="DQ18" i="3"/>
  <c r="DW17" i="3"/>
  <c r="DV17" i="3"/>
  <c r="DU17" i="3"/>
  <c r="DT17" i="3"/>
  <c r="DS17" i="3"/>
  <c r="DQ17" i="3"/>
  <c r="DW13" i="3"/>
  <c r="DV13" i="3"/>
  <c r="DV32" i="3"/>
  <c r="DU13" i="3"/>
  <c r="DT13" i="3"/>
  <c r="DS13" i="3"/>
  <c r="DQ13" i="3"/>
  <c r="DV6" i="3"/>
  <c r="DU6" i="3"/>
  <c r="DT6" i="3"/>
  <c r="DS6" i="3"/>
  <c r="DQ6" i="3"/>
  <c r="M21" i="8"/>
  <c r="K21" i="8"/>
  <c r="H21" i="8"/>
  <c r="M15" i="8"/>
  <c r="L15" i="8"/>
  <c r="K15" i="8"/>
  <c r="J15" i="8"/>
  <c r="I15" i="8"/>
  <c r="H15" i="8"/>
  <c r="G15" i="8"/>
  <c r="M9" i="8"/>
  <c r="H9" i="8"/>
  <c r="I9" i="8"/>
  <c r="J9" i="8"/>
  <c r="K9" i="8"/>
  <c r="L9" i="8"/>
  <c r="G9" i="8"/>
  <c r="L46" i="8"/>
  <c r="K46" i="8"/>
  <c r="J46" i="8"/>
  <c r="I46" i="8"/>
  <c r="H46" i="8"/>
  <c r="G46" i="8"/>
  <c r="F44" i="8"/>
  <c r="F45" i="8"/>
  <c r="R5" i="8"/>
  <c r="S5" i="8"/>
  <c r="T5" i="8"/>
  <c r="T8" i="8"/>
  <c r="O5" i="8"/>
  <c r="P5" i="8"/>
  <c r="P6" i="8"/>
  <c r="P23" i="8"/>
  <c r="Q5" i="8"/>
  <c r="G17" i="8"/>
  <c r="G11" i="8"/>
  <c r="H11" i="8"/>
  <c r="H17" i="8"/>
  <c r="I17" i="8"/>
  <c r="I11" i="8"/>
  <c r="I12" i="8"/>
  <c r="H37" i="8"/>
  <c r="K5" i="8"/>
  <c r="K6" i="8"/>
  <c r="K23" i="8"/>
  <c r="U5" i="8"/>
  <c r="I5" i="8"/>
  <c r="I6" i="8"/>
  <c r="I23" i="8"/>
  <c r="G5" i="8"/>
  <c r="G6" i="8"/>
  <c r="H5" i="8"/>
  <c r="M5" i="8"/>
  <c r="L5" i="8"/>
  <c r="J5" i="8"/>
  <c r="J6" i="8"/>
  <c r="J23" i="8"/>
  <c r="O11" i="8"/>
  <c r="O17" i="8"/>
  <c r="Q11" i="8"/>
  <c r="Q17" i="8"/>
  <c r="Q18" i="8"/>
  <c r="U11" i="8"/>
  <c r="U17" i="8"/>
  <c r="U20" i="8"/>
  <c r="P11" i="8"/>
  <c r="P17" i="8"/>
  <c r="N17" i="8"/>
  <c r="L11" i="8"/>
  <c r="L12" i="8"/>
  <c r="L17" i="8"/>
  <c r="R11" i="8"/>
  <c r="R17" i="8"/>
  <c r="K17" i="8"/>
  <c r="K11" i="8"/>
  <c r="S17" i="8"/>
  <c r="S11" i="8"/>
  <c r="S12" i="8"/>
  <c r="J11" i="8"/>
  <c r="J12" i="8"/>
  <c r="J17" i="8"/>
  <c r="T17" i="8"/>
  <c r="T20" i="8"/>
  <c r="T21" i="8"/>
  <c r="N21" i="8"/>
  <c r="T11" i="8"/>
  <c r="M17" i="8"/>
  <c r="M11" i="8"/>
  <c r="F34" i="8"/>
  <c r="M36" i="8"/>
  <c r="L36" i="8"/>
  <c r="K36" i="8"/>
  <c r="J36" i="8"/>
  <c r="I36" i="8"/>
  <c r="G36" i="8"/>
  <c r="F35" i="8"/>
  <c r="F33" i="8"/>
  <c r="F43" i="8"/>
  <c r="M24" i="8"/>
  <c r="K24" i="8"/>
  <c r="J24" i="8"/>
  <c r="R21" i="8"/>
  <c r="S15" i="8"/>
  <c r="S21" i="8"/>
  <c r="R15" i="8"/>
  <c r="R25" i="8"/>
  <c r="G24" i="8"/>
  <c r="F7" i="8"/>
  <c r="L24" i="8"/>
  <c r="F19" i="8"/>
  <c r="H24" i="8"/>
  <c r="I24" i="8"/>
  <c r="F13" i="8"/>
  <c r="Q21" i="8"/>
  <c r="Q15" i="8"/>
  <c r="DC48" i="3"/>
  <c r="R32" i="8"/>
  <c r="CX27" i="3"/>
  <c r="CW16" i="3"/>
  <c r="DD48" i="3"/>
  <c r="DE48" i="3"/>
  <c r="DF48" i="3"/>
  <c r="DG48" i="3"/>
  <c r="DH48" i="3"/>
  <c r="DI48" i="3"/>
  <c r="DD49" i="3"/>
  <c r="DE49" i="3"/>
  <c r="DF49" i="3"/>
  <c r="DG49" i="3"/>
  <c r="DH49" i="3"/>
  <c r="DI49" i="3"/>
  <c r="DC49" i="3"/>
  <c r="DP35" i="3"/>
  <c r="DO35" i="3"/>
  <c r="DN35" i="3"/>
  <c r="DM35" i="3"/>
  <c r="DL35" i="3"/>
  <c r="DK35" i="3"/>
  <c r="DJ35" i="3"/>
  <c r="DP33" i="3"/>
  <c r="DO33" i="3"/>
  <c r="DN33" i="3"/>
  <c r="DM33" i="3"/>
  <c r="DL33" i="3"/>
  <c r="DK33" i="3"/>
  <c r="DJ33" i="3"/>
  <c r="DP28" i="3"/>
  <c r="DO28" i="3"/>
  <c r="DN28" i="3"/>
  <c r="DM28" i="3"/>
  <c r="DL28" i="3"/>
  <c r="DK28" i="3"/>
  <c r="DJ28" i="3"/>
  <c r="DO27" i="3"/>
  <c r="DK27" i="3"/>
  <c r="DJ27" i="3"/>
  <c r="DP24" i="3"/>
  <c r="DO24" i="3"/>
  <c r="DN24" i="3"/>
  <c r="DM24" i="3"/>
  <c r="DL24" i="3"/>
  <c r="DK24" i="3"/>
  <c r="DJ24" i="3"/>
  <c r="DP18" i="3"/>
  <c r="DO18" i="3"/>
  <c r="DN18" i="3"/>
  <c r="DM18" i="3"/>
  <c r="DL18" i="3"/>
  <c r="DK18" i="3"/>
  <c r="DJ18" i="3"/>
  <c r="DP17" i="3"/>
  <c r="DO17" i="3"/>
  <c r="DN17" i="3"/>
  <c r="DM17" i="3"/>
  <c r="DL17" i="3"/>
  <c r="DK17" i="3"/>
  <c r="DJ17" i="3"/>
  <c r="DP16" i="3"/>
  <c r="DO16" i="3"/>
  <c r="DJ16" i="3"/>
  <c r="DP13" i="3"/>
  <c r="DO13" i="3"/>
  <c r="DN13" i="3"/>
  <c r="DM13" i="3"/>
  <c r="DL13" i="3"/>
  <c r="DK13" i="3"/>
  <c r="DJ13" i="3"/>
  <c r="DK9" i="3"/>
  <c r="DJ9" i="3"/>
  <c r="DO6" i="3"/>
  <c r="DN6" i="3"/>
  <c r="DM6" i="3"/>
  <c r="DL6" i="3"/>
  <c r="DK47" i="3"/>
  <c r="DK6" i="3"/>
  <c r="DJ6" i="3"/>
  <c r="DO47" i="3"/>
  <c r="DO32" i="3"/>
  <c r="DO34" i="3"/>
  <c r="DM32" i="3"/>
  <c r="DM34" i="3"/>
  <c r="I35" i="3"/>
  <c r="BT33" i="3"/>
  <c r="DC33" i="3"/>
  <c r="DD33" i="3"/>
  <c r="DE33" i="3"/>
  <c r="DF33" i="3"/>
  <c r="DG33" i="3"/>
  <c r="DH33" i="3"/>
  <c r="DI33" i="3"/>
  <c r="DC35" i="3"/>
  <c r="DD35" i="3"/>
  <c r="DE35" i="3"/>
  <c r="DF35" i="3"/>
  <c r="DG35" i="3"/>
  <c r="DH35" i="3"/>
  <c r="DI35" i="3"/>
  <c r="DC28" i="3"/>
  <c r="DD28" i="3"/>
  <c r="DE28" i="3"/>
  <c r="DF28" i="3"/>
  <c r="DG28" i="3"/>
  <c r="DH28" i="3"/>
  <c r="DI28" i="3"/>
  <c r="DC24" i="3"/>
  <c r="DD24" i="3"/>
  <c r="DE24" i="3"/>
  <c r="DF24" i="3"/>
  <c r="DG24" i="3"/>
  <c r="DH24" i="3"/>
  <c r="DI24" i="3"/>
  <c r="DC27" i="3"/>
  <c r="DE27" i="3"/>
  <c r="DH27" i="3"/>
  <c r="DC17" i="3"/>
  <c r="DD17" i="3"/>
  <c r="DE17" i="3"/>
  <c r="DF17" i="3"/>
  <c r="DG17" i="3"/>
  <c r="DH17" i="3"/>
  <c r="DI17" i="3"/>
  <c r="DC18" i="3"/>
  <c r="DD18" i="3"/>
  <c r="DE18" i="3"/>
  <c r="DF18" i="3"/>
  <c r="DG18" i="3"/>
  <c r="DH18" i="3"/>
  <c r="DI18" i="3"/>
  <c r="DC13" i="3"/>
  <c r="DD13" i="3"/>
  <c r="DE13" i="3"/>
  <c r="DF13" i="3"/>
  <c r="DG13" i="3"/>
  <c r="DH13" i="3"/>
  <c r="DI13" i="3"/>
  <c r="DC16" i="3"/>
  <c r="DE16" i="3"/>
  <c r="DG16" i="3"/>
  <c r="DH16" i="3"/>
  <c r="DI16" i="3"/>
  <c r="DC6" i="3"/>
  <c r="DD6" i="3"/>
  <c r="DE6" i="3"/>
  <c r="DF6" i="3"/>
  <c r="DG6" i="3"/>
  <c r="DH6" i="3"/>
  <c r="DC9" i="3"/>
  <c r="DE9" i="3"/>
  <c r="DG9" i="3"/>
  <c r="DH9" i="3"/>
  <c r="CL22" i="3"/>
  <c r="CK22" i="3"/>
  <c r="CK27" i="3"/>
  <c r="CH27" i="3"/>
  <c r="CI27" i="3"/>
  <c r="CJ27" i="3"/>
  <c r="CM27" i="3"/>
  <c r="CI16" i="3"/>
  <c r="CJ16" i="3"/>
  <c r="CK16" i="3"/>
  <c r="CL16" i="3"/>
  <c r="CM16" i="3"/>
  <c r="CN16" i="3"/>
  <c r="CH16" i="3"/>
  <c r="CK13" i="3"/>
  <c r="CK6" i="3"/>
  <c r="CI33" i="3"/>
  <c r="CP13" i="3"/>
  <c r="AV35" i="3"/>
  <c r="AU35" i="3"/>
  <c r="AT35" i="3"/>
  <c r="AS35" i="3"/>
  <c r="AR35" i="3"/>
  <c r="AW33" i="3"/>
  <c r="AV33" i="3"/>
  <c r="AU33" i="3"/>
  <c r="AT33" i="3"/>
  <c r="AS33" i="3"/>
  <c r="AR33" i="3"/>
  <c r="AQ35" i="3"/>
  <c r="AP35" i="3"/>
  <c r="AO35" i="3"/>
  <c r="AN35" i="3"/>
  <c r="AM35" i="3"/>
  <c r="AL35" i="3"/>
  <c r="AK35" i="3"/>
  <c r="AQ33" i="3"/>
  <c r="AP33" i="3"/>
  <c r="AO33" i="3"/>
  <c r="AN33" i="3"/>
  <c r="AM33" i="3"/>
  <c r="AL33" i="3"/>
  <c r="AK33" i="3"/>
  <c r="BE35" i="3"/>
  <c r="BD35" i="3"/>
  <c r="BC35" i="3"/>
  <c r="BB35" i="3"/>
  <c r="BA35" i="3"/>
  <c r="AZ35" i="3"/>
  <c r="AY35" i="3"/>
  <c r="BE33" i="3"/>
  <c r="BD33" i="3"/>
  <c r="BC33" i="3"/>
  <c r="BB33" i="3"/>
  <c r="BA33" i="3"/>
  <c r="AZ33" i="3"/>
  <c r="AY33" i="3"/>
  <c r="BL35" i="3"/>
  <c r="BK35" i="3"/>
  <c r="BJ35" i="3"/>
  <c r="BI35" i="3"/>
  <c r="BH35" i="3"/>
  <c r="BG35" i="3"/>
  <c r="BF35" i="3"/>
  <c r="BL33" i="3"/>
  <c r="BK33" i="3"/>
  <c r="BJ33" i="3"/>
  <c r="BI33" i="3"/>
  <c r="BH33" i="3"/>
  <c r="BG33" i="3"/>
  <c r="BF33" i="3"/>
  <c r="BZ35" i="3"/>
  <c r="BY35" i="3"/>
  <c r="BX35" i="3"/>
  <c r="BW35" i="3"/>
  <c r="BV35" i="3"/>
  <c r="BU35" i="3"/>
  <c r="BT35" i="3"/>
  <c r="BZ33" i="3"/>
  <c r="BY33" i="3"/>
  <c r="BX33" i="3"/>
  <c r="BW33" i="3"/>
  <c r="BV33" i="3"/>
  <c r="BU33" i="3"/>
  <c r="DB35" i="3"/>
  <c r="DA35" i="3"/>
  <c r="CZ35" i="3"/>
  <c r="CY35" i="3"/>
  <c r="CX35" i="3"/>
  <c r="CW35" i="3"/>
  <c r="CV35" i="3"/>
  <c r="DB33" i="3"/>
  <c r="DA33" i="3"/>
  <c r="CZ33" i="3"/>
  <c r="CY33" i="3"/>
  <c r="CX33" i="3"/>
  <c r="CW33" i="3"/>
  <c r="CV33" i="3"/>
  <c r="CU35" i="3"/>
  <c r="CT35" i="3"/>
  <c r="CS35" i="3"/>
  <c r="CR35" i="3"/>
  <c r="CQ35" i="3"/>
  <c r="CP35" i="3"/>
  <c r="CO35" i="3"/>
  <c r="CU33" i="3"/>
  <c r="CT33" i="3"/>
  <c r="CS33" i="3"/>
  <c r="CR33" i="3"/>
  <c r="CQ33" i="3"/>
  <c r="CP33" i="3"/>
  <c r="CO33" i="3"/>
  <c r="CN35" i="3"/>
  <c r="CM35" i="3"/>
  <c r="CJ35" i="3"/>
  <c r="CI35" i="3"/>
  <c r="CH35" i="3"/>
  <c r="CN33" i="3"/>
  <c r="CM33" i="3"/>
  <c r="CJ33" i="3"/>
  <c r="CH33" i="3"/>
  <c r="DB28" i="3"/>
  <c r="DA28" i="3"/>
  <c r="CZ28" i="3"/>
  <c r="CY28" i="3"/>
  <c r="CX28" i="3"/>
  <c r="CW28" i="3"/>
  <c r="CV28" i="3"/>
  <c r="DA27" i="3"/>
  <c r="CY27" i="3"/>
  <c r="CW27" i="3"/>
  <c r="CV27" i="3"/>
  <c r="DB24" i="3"/>
  <c r="DA24" i="3"/>
  <c r="CZ24" i="3"/>
  <c r="CY24" i="3"/>
  <c r="CX24" i="3"/>
  <c r="CW24" i="3"/>
  <c r="CV24" i="3"/>
  <c r="DB18" i="3"/>
  <c r="DA18" i="3"/>
  <c r="CZ18" i="3"/>
  <c r="CY18" i="3"/>
  <c r="CX18" i="3"/>
  <c r="CW18" i="3"/>
  <c r="CV18" i="3"/>
  <c r="DB17" i="3"/>
  <c r="DA17" i="3"/>
  <c r="CZ17" i="3"/>
  <c r="CY17" i="3"/>
  <c r="CX17" i="3"/>
  <c r="CW17" i="3"/>
  <c r="CV17" i="3"/>
  <c r="DB16" i="3"/>
  <c r="DA16" i="3"/>
  <c r="CZ16" i="3"/>
  <c r="CY16" i="3"/>
  <c r="CX16" i="3"/>
  <c r="CV16" i="3"/>
  <c r="DB13" i="3"/>
  <c r="DA13" i="3"/>
  <c r="CZ13" i="3"/>
  <c r="CZ32" i="3"/>
  <c r="CY13" i="3"/>
  <c r="CX13" i="3"/>
  <c r="CW13" i="3"/>
  <c r="CV13" i="3"/>
  <c r="DA9" i="3"/>
  <c r="CZ9" i="3"/>
  <c r="CY9" i="3"/>
  <c r="CX9" i="3"/>
  <c r="CW9" i="3"/>
  <c r="CV9" i="3"/>
  <c r="DA6" i="3"/>
  <c r="CZ6" i="3"/>
  <c r="CY6" i="3"/>
  <c r="CX6" i="3"/>
  <c r="CW6" i="3"/>
  <c r="CV6" i="3"/>
  <c r="CY32" i="3"/>
  <c r="CU28" i="3"/>
  <c r="CT28" i="3"/>
  <c r="CS28" i="3"/>
  <c r="CR28" i="3"/>
  <c r="CQ28" i="3"/>
  <c r="CP28" i="3"/>
  <c r="CO28" i="3"/>
  <c r="CT27" i="3"/>
  <c r="CR27" i="3"/>
  <c r="CQ27" i="3"/>
  <c r="CP27" i="3"/>
  <c r="CO27" i="3"/>
  <c r="CU24" i="3"/>
  <c r="CT24" i="3"/>
  <c r="CS24" i="3"/>
  <c r="CR24" i="3"/>
  <c r="CQ24" i="3"/>
  <c r="CP24" i="3"/>
  <c r="CO24" i="3"/>
  <c r="CU18" i="3"/>
  <c r="CT18" i="3"/>
  <c r="CS18" i="3"/>
  <c r="CR18" i="3"/>
  <c r="CQ18" i="3"/>
  <c r="CP18" i="3"/>
  <c r="CO18" i="3"/>
  <c r="CU17" i="3"/>
  <c r="CT17" i="3"/>
  <c r="CS17" i="3"/>
  <c r="CR17" i="3"/>
  <c r="CQ17" i="3"/>
  <c r="CP17" i="3"/>
  <c r="CO17" i="3"/>
  <c r="CU16" i="3"/>
  <c r="CT16" i="3"/>
  <c r="CS16" i="3"/>
  <c r="CR16" i="3"/>
  <c r="CQ16" i="3"/>
  <c r="CO16" i="3"/>
  <c r="CU13" i="3"/>
  <c r="CT13" i="3"/>
  <c r="CT32" i="3"/>
  <c r="CS13" i="3"/>
  <c r="CR13" i="3"/>
  <c r="CQ13" i="3"/>
  <c r="CO13" i="3"/>
  <c r="CT9" i="3"/>
  <c r="CS9" i="3"/>
  <c r="CR9" i="3"/>
  <c r="CQ9" i="3"/>
  <c r="CP9" i="3"/>
  <c r="CO9" i="3"/>
  <c r="CT6" i="3"/>
  <c r="CT47" i="3"/>
  <c r="CS6" i="3"/>
  <c r="CR6" i="3"/>
  <c r="CQ6" i="3"/>
  <c r="CP6" i="3"/>
  <c r="CO6" i="3"/>
  <c r="CN36" i="3"/>
  <c r="CN39" i="3"/>
  <c r="CM36" i="3"/>
  <c r="CM39" i="3"/>
  <c r="CL36" i="3"/>
  <c r="CL39" i="3"/>
  <c r="CK36" i="3"/>
  <c r="CK39" i="3"/>
  <c r="CJ36" i="3"/>
  <c r="CJ39" i="3"/>
  <c r="CI36" i="3"/>
  <c r="CI39" i="3"/>
  <c r="CH36" i="3"/>
  <c r="CH39" i="3"/>
  <c r="CN28" i="3"/>
  <c r="CM28" i="3"/>
  <c r="CL28" i="3"/>
  <c r="CK28" i="3"/>
  <c r="CJ28" i="3"/>
  <c r="CI28" i="3"/>
  <c r="CH28" i="3"/>
  <c r="CN24" i="3"/>
  <c r="CM24" i="3"/>
  <c r="CK24" i="3"/>
  <c r="CK32" i="3"/>
  <c r="CK34" i="3"/>
  <c r="CJ24" i="3"/>
  <c r="CI24" i="3"/>
  <c r="CH24" i="3"/>
  <c r="CN18" i="3"/>
  <c r="CM18" i="3"/>
  <c r="CL18" i="3"/>
  <c r="CK18" i="3"/>
  <c r="CJ18" i="3"/>
  <c r="CI18" i="3"/>
  <c r="CH18" i="3"/>
  <c r="CN17" i="3"/>
  <c r="CM17" i="3"/>
  <c r="CL17" i="3"/>
  <c r="CK17" i="3"/>
  <c r="CJ17" i="3"/>
  <c r="CI17" i="3"/>
  <c r="CH17" i="3"/>
  <c r="CN13" i="3"/>
  <c r="CM13" i="3"/>
  <c r="CL13" i="3"/>
  <c r="CJ13" i="3"/>
  <c r="CJ32" i="3"/>
  <c r="CI13" i="3"/>
  <c r="CH13" i="3"/>
  <c r="CM9" i="3"/>
  <c r="CL9" i="3"/>
  <c r="CK9" i="3"/>
  <c r="CM6" i="3"/>
  <c r="CL6" i="3"/>
  <c r="CJ6" i="3"/>
  <c r="CI6" i="3"/>
  <c r="CH6" i="3"/>
  <c r="CI32" i="3"/>
  <c r="CB33" i="3"/>
  <c r="CC33" i="3"/>
  <c r="CD33" i="3"/>
  <c r="CE33" i="3"/>
  <c r="CF33" i="3"/>
  <c r="CG33" i="3"/>
  <c r="CA33" i="3"/>
  <c r="BX36" i="3"/>
  <c r="BX16" i="3"/>
  <c r="CG36" i="3"/>
  <c r="CG39" i="3"/>
  <c r="CF36" i="3"/>
  <c r="CF39" i="3"/>
  <c r="CE36" i="3"/>
  <c r="CE39" i="3"/>
  <c r="CD36" i="3"/>
  <c r="CD39" i="3"/>
  <c r="CC36" i="3"/>
  <c r="CC39" i="3"/>
  <c r="CB36" i="3"/>
  <c r="CB39" i="3"/>
  <c r="CA36" i="3"/>
  <c r="CA39" i="3"/>
  <c r="CG35" i="3"/>
  <c r="CF35" i="3"/>
  <c r="CE35" i="3"/>
  <c r="CD35" i="3"/>
  <c r="CC35" i="3"/>
  <c r="CB35" i="3"/>
  <c r="CA35" i="3"/>
  <c r="CG28" i="3"/>
  <c r="CF28" i="3"/>
  <c r="CE28" i="3"/>
  <c r="CD28" i="3"/>
  <c r="CC28" i="3"/>
  <c r="CB28" i="3"/>
  <c r="CA28" i="3"/>
  <c r="CD27" i="3"/>
  <c r="CC27" i="3"/>
  <c r="CB27" i="3"/>
  <c r="CA27" i="3"/>
  <c r="CG24" i="3"/>
  <c r="CF24" i="3"/>
  <c r="CE24" i="3"/>
  <c r="CD24" i="3"/>
  <c r="CC24" i="3"/>
  <c r="CB24" i="3"/>
  <c r="CA24" i="3"/>
  <c r="CG18" i="3"/>
  <c r="CF18" i="3"/>
  <c r="CE18" i="3"/>
  <c r="CD18" i="3"/>
  <c r="CC18" i="3"/>
  <c r="CB18" i="3"/>
  <c r="CA18" i="3"/>
  <c r="CG17" i="3"/>
  <c r="CF17" i="3"/>
  <c r="CE17" i="3"/>
  <c r="CD17" i="3"/>
  <c r="CC17" i="3"/>
  <c r="CB17" i="3"/>
  <c r="CA17" i="3"/>
  <c r="CG16" i="3"/>
  <c r="CE16" i="3"/>
  <c r="CD16" i="3"/>
  <c r="CC16" i="3"/>
  <c r="CA16" i="3"/>
  <c r="CG13" i="3"/>
  <c r="CF13" i="3"/>
  <c r="CE13" i="3"/>
  <c r="CD13" i="3"/>
  <c r="CD32" i="3"/>
  <c r="CC13" i="3"/>
  <c r="CB13" i="3"/>
  <c r="CA13" i="3"/>
  <c r="CE9" i="3"/>
  <c r="CD9" i="3"/>
  <c r="CC9" i="3"/>
  <c r="CB9" i="3"/>
  <c r="CA9" i="3"/>
  <c r="CF6" i="3"/>
  <c r="CE6" i="3"/>
  <c r="CD6" i="3"/>
  <c r="CC6" i="3"/>
  <c r="CB6" i="3"/>
  <c r="CA6" i="3"/>
  <c r="BO17" i="3"/>
  <c r="BQ27" i="3"/>
  <c r="BO28" i="3"/>
  <c r="BN28" i="3"/>
  <c r="BZ17" i="3"/>
  <c r="BQ28" i="3"/>
  <c r="BR28" i="3"/>
  <c r="BS28" i="3"/>
  <c r="BT28" i="3"/>
  <c r="BU28" i="3"/>
  <c r="BV28" i="3"/>
  <c r="BW28" i="3"/>
  <c r="BX28" i="3"/>
  <c r="BY28" i="3"/>
  <c r="BQ17" i="3"/>
  <c r="BR17" i="3"/>
  <c r="BS17" i="3"/>
  <c r="BT17" i="3"/>
  <c r="BU17" i="3"/>
  <c r="BV17" i="3"/>
  <c r="BW17" i="3"/>
  <c r="BX17" i="3"/>
  <c r="BY17" i="3"/>
  <c r="BP17" i="3"/>
  <c r="BP28" i="3"/>
  <c r="BZ36" i="3"/>
  <c r="BZ39" i="3"/>
  <c r="BY36" i="3"/>
  <c r="BY39" i="3"/>
  <c r="BX39" i="3"/>
  <c r="BW36" i="3"/>
  <c r="BW39" i="3"/>
  <c r="BV36" i="3"/>
  <c r="BV39" i="3"/>
  <c r="BU36" i="3"/>
  <c r="BU39" i="3"/>
  <c r="BT36" i="3"/>
  <c r="BT39" i="3"/>
  <c r="BY29" i="3"/>
  <c r="BW29" i="3"/>
  <c r="BZ28" i="3"/>
  <c r="BY27" i="3"/>
  <c r="BW27" i="3"/>
  <c r="BV27" i="3"/>
  <c r="BU27" i="3"/>
  <c r="BT27" i="3"/>
  <c r="BZ24" i="3"/>
  <c r="BY24" i="3"/>
  <c r="BX24" i="3"/>
  <c r="BW24" i="3"/>
  <c r="BV24" i="3"/>
  <c r="BU24" i="3"/>
  <c r="BT24" i="3"/>
  <c r="BZ18" i="3"/>
  <c r="BY18" i="3"/>
  <c r="BX18" i="3"/>
  <c r="BW18" i="3"/>
  <c r="BV18" i="3"/>
  <c r="BU18" i="3"/>
  <c r="BT18" i="3"/>
  <c r="BZ16" i="3"/>
  <c r="BY16" i="3"/>
  <c r="BW16" i="3"/>
  <c r="BV16" i="3"/>
  <c r="BT16" i="3"/>
  <c r="BZ13" i="3"/>
  <c r="BY13" i="3"/>
  <c r="BX13" i="3"/>
  <c r="BW13" i="3"/>
  <c r="BV13" i="3"/>
  <c r="BV32" i="3"/>
  <c r="BU13" i="3"/>
  <c r="BT13" i="3"/>
  <c r="BY9" i="3"/>
  <c r="BX9" i="3"/>
  <c r="BW9" i="3"/>
  <c r="BV9" i="3"/>
  <c r="BU9" i="3"/>
  <c r="BT9" i="3"/>
  <c r="BY6" i="3"/>
  <c r="BX6" i="3"/>
  <c r="BW6" i="3"/>
  <c r="BV6" i="3"/>
  <c r="BU6" i="3"/>
  <c r="BT6" i="3"/>
  <c r="BF27" i="3"/>
  <c r="BC27" i="3"/>
  <c r="BS36" i="3"/>
  <c r="BS39" i="3"/>
  <c r="BR36" i="3"/>
  <c r="BR39" i="3"/>
  <c r="BQ36" i="3"/>
  <c r="BQ39" i="3"/>
  <c r="BP36" i="3"/>
  <c r="BP39" i="3"/>
  <c r="BO36" i="3"/>
  <c r="BO39" i="3"/>
  <c r="BN36" i="3"/>
  <c r="BN39" i="3"/>
  <c r="BM36" i="3"/>
  <c r="BM39" i="3"/>
  <c r="BS35" i="3"/>
  <c r="BR35" i="3"/>
  <c r="BQ35" i="3"/>
  <c r="BP35" i="3"/>
  <c r="BO35" i="3"/>
  <c r="BN35" i="3"/>
  <c r="BM35" i="3"/>
  <c r="BR29" i="3"/>
  <c r="BP29" i="3"/>
  <c r="BO29" i="3"/>
  <c r="BN29" i="3"/>
  <c r="BM29" i="3"/>
  <c r="BM28" i="3"/>
  <c r="BR27" i="3"/>
  <c r="BP27" i="3"/>
  <c r="BO27" i="3"/>
  <c r="BN27" i="3"/>
  <c r="BM27" i="3"/>
  <c r="BS24" i="3"/>
  <c r="BR24" i="3"/>
  <c r="BQ24" i="3"/>
  <c r="BP24" i="3"/>
  <c r="BO24" i="3"/>
  <c r="BN24" i="3"/>
  <c r="BM24" i="3"/>
  <c r="BS18" i="3"/>
  <c r="BR18" i="3"/>
  <c r="BQ18" i="3"/>
  <c r="BP18" i="3"/>
  <c r="BO18" i="3"/>
  <c r="BN18" i="3"/>
  <c r="BM18" i="3"/>
  <c r="BN17" i="3"/>
  <c r="BM17" i="3"/>
  <c r="BS16" i="3"/>
  <c r="BR16" i="3"/>
  <c r="BQ16" i="3"/>
  <c r="BP16" i="3"/>
  <c r="BO16" i="3"/>
  <c r="BM16" i="3"/>
  <c r="BS13" i="3"/>
  <c r="BR13" i="3"/>
  <c r="BQ13" i="3"/>
  <c r="BP13" i="3"/>
  <c r="BO13" i="3"/>
  <c r="BN13" i="3"/>
  <c r="BM13" i="3"/>
  <c r="BR9" i="3"/>
  <c r="BQ9" i="3"/>
  <c r="BP9" i="3"/>
  <c r="BO9" i="3"/>
  <c r="BN9" i="3"/>
  <c r="BM9" i="3"/>
  <c r="BR6" i="3"/>
  <c r="BQ6" i="3"/>
  <c r="BP6" i="3"/>
  <c r="BO6" i="3"/>
  <c r="BN6" i="3"/>
  <c r="BM6" i="3"/>
  <c r="AW4" i="3"/>
  <c r="AW6" i="3"/>
  <c r="AV36" i="3"/>
  <c r="AV39" i="3"/>
  <c r="AW36" i="3"/>
  <c r="AW39" i="3"/>
  <c r="AX36" i="3"/>
  <c r="AX39" i="3"/>
  <c r="AY36" i="3"/>
  <c r="AY39" i="3"/>
  <c r="AZ36" i="3"/>
  <c r="AZ39" i="3"/>
  <c r="BA36" i="3"/>
  <c r="BA39" i="3"/>
  <c r="AN36" i="3"/>
  <c r="AN39" i="3"/>
  <c r="AO36" i="3"/>
  <c r="AO39" i="3"/>
  <c r="AP36" i="3"/>
  <c r="AP39" i="3"/>
  <c r="AQ36" i="3"/>
  <c r="AQ39" i="3"/>
  <c r="AR36" i="3"/>
  <c r="AR39" i="3"/>
  <c r="AS36" i="3"/>
  <c r="AS39" i="3"/>
  <c r="AT36" i="3"/>
  <c r="AT39" i="3"/>
  <c r="AV16" i="3"/>
  <c r="AX11" i="3"/>
  <c r="AX13" i="3"/>
  <c r="BB17" i="3"/>
  <c r="BA17" i="3"/>
  <c r="BB16" i="3"/>
  <c r="BB13" i="3"/>
  <c r="BB32" i="3"/>
  <c r="BB34" i="3"/>
  <c r="BG28" i="3"/>
  <c r="BH28" i="3"/>
  <c r="BI28" i="3"/>
  <c r="BJ28" i="3"/>
  <c r="BK28" i="3"/>
  <c r="BG17" i="3"/>
  <c r="BH17" i="3"/>
  <c r="BI17" i="3"/>
  <c r="BJ17" i="3"/>
  <c r="BK17" i="3"/>
  <c r="BL17" i="3"/>
  <c r="BL36" i="3"/>
  <c r="BL39" i="3"/>
  <c r="BK36" i="3"/>
  <c r="BK39" i="3"/>
  <c r="BJ36" i="3"/>
  <c r="BJ39" i="3"/>
  <c r="BI36" i="3"/>
  <c r="BI39" i="3"/>
  <c r="BH36" i="3"/>
  <c r="BH39" i="3"/>
  <c r="BG36" i="3"/>
  <c r="BG39" i="3"/>
  <c r="BF36" i="3"/>
  <c r="BF39" i="3"/>
  <c r="BK29" i="3"/>
  <c r="BI29" i="3"/>
  <c r="BH29" i="3"/>
  <c r="BG29" i="3"/>
  <c r="BF29" i="3"/>
  <c r="BL28" i="3"/>
  <c r="BF28" i="3"/>
  <c r="BK27" i="3"/>
  <c r="BI27" i="3"/>
  <c r="BH27" i="3"/>
  <c r="BG27" i="3"/>
  <c r="BL24" i="3"/>
  <c r="BK24" i="3"/>
  <c r="BJ24" i="3"/>
  <c r="BI24" i="3"/>
  <c r="BH24" i="3"/>
  <c r="BG24" i="3"/>
  <c r="BF24" i="3"/>
  <c r="BL18" i="3"/>
  <c r="BK18" i="3"/>
  <c r="BJ18" i="3"/>
  <c r="BI18" i="3"/>
  <c r="BH18" i="3"/>
  <c r="BG18" i="3"/>
  <c r="BF18" i="3"/>
  <c r="BF17" i="3"/>
  <c r="BL16" i="3"/>
  <c r="BK16" i="3"/>
  <c r="BJ16" i="3"/>
  <c r="BI16" i="3"/>
  <c r="BH16" i="3"/>
  <c r="BG16" i="3"/>
  <c r="BF16" i="3"/>
  <c r="BL13" i="3"/>
  <c r="BL32" i="3"/>
  <c r="BL34" i="3"/>
  <c r="BK13" i="3"/>
  <c r="BJ13" i="3"/>
  <c r="BI13" i="3"/>
  <c r="BH13" i="3"/>
  <c r="BG13" i="3"/>
  <c r="BF13" i="3"/>
  <c r="BK9" i="3"/>
  <c r="BJ9" i="3"/>
  <c r="BI9" i="3"/>
  <c r="BH9" i="3"/>
  <c r="BG9" i="3"/>
  <c r="BF9" i="3"/>
  <c r="BK6" i="3"/>
  <c r="BJ6" i="3"/>
  <c r="BI6" i="3"/>
  <c r="BH6" i="3"/>
  <c r="BG6" i="3"/>
  <c r="BF6" i="3"/>
  <c r="AZ9" i="3"/>
  <c r="AV9" i="3"/>
  <c r="AT9" i="3"/>
  <c r="AY9" i="3"/>
  <c r="AY6" i="3"/>
  <c r="AZ6" i="3"/>
  <c r="AV28" i="3"/>
  <c r="BE36" i="3"/>
  <c r="BE39" i="3"/>
  <c r="BD36" i="3"/>
  <c r="BD39" i="3"/>
  <c r="BC36" i="3"/>
  <c r="BC39" i="3"/>
  <c r="BD29" i="3"/>
  <c r="BA29" i="3"/>
  <c r="AZ29" i="3"/>
  <c r="AY29" i="3"/>
  <c r="BE28" i="3"/>
  <c r="BD28" i="3"/>
  <c r="BA28" i="3"/>
  <c r="AZ28" i="3"/>
  <c r="AY28" i="3"/>
  <c r="BD27" i="3"/>
  <c r="BA27" i="3"/>
  <c r="AZ27" i="3"/>
  <c r="AY27" i="3"/>
  <c r="BE24" i="3"/>
  <c r="BD24" i="3"/>
  <c r="BC24" i="3"/>
  <c r="BA24" i="3"/>
  <c r="AZ24" i="3"/>
  <c r="AY24" i="3"/>
  <c r="BE18" i="3"/>
  <c r="BD18" i="3"/>
  <c r="BC18" i="3"/>
  <c r="BA18" i="3"/>
  <c r="AZ18" i="3"/>
  <c r="AY18" i="3"/>
  <c r="BE17" i="3"/>
  <c r="BD17" i="3"/>
  <c r="BC17" i="3"/>
  <c r="AZ17" i="3"/>
  <c r="AY17" i="3"/>
  <c r="BE16" i="3"/>
  <c r="BD16" i="3"/>
  <c r="BC16" i="3"/>
  <c r="BA16" i="3"/>
  <c r="AZ16" i="3"/>
  <c r="AY16" i="3"/>
  <c r="BE13" i="3"/>
  <c r="BD13" i="3"/>
  <c r="BC13" i="3"/>
  <c r="BA13" i="3"/>
  <c r="BA32" i="3"/>
  <c r="AZ13" i="3"/>
  <c r="AY13" i="3"/>
  <c r="BD9" i="3"/>
  <c r="BD6" i="3"/>
  <c r="BC6" i="3"/>
  <c r="BA6" i="3"/>
  <c r="BA9" i="3"/>
  <c r="AM9" i="3"/>
  <c r="AN9" i="3"/>
  <c r="AU36" i="3"/>
  <c r="AU39" i="3"/>
  <c r="AW29" i="3"/>
  <c r="AU29" i="3"/>
  <c r="AT29" i="3"/>
  <c r="AS29" i="3"/>
  <c r="AR29" i="3"/>
  <c r="AX28" i="3"/>
  <c r="AW28" i="3"/>
  <c r="AU28" i="3"/>
  <c r="AT28" i="3"/>
  <c r="AS28" i="3"/>
  <c r="AR28" i="3"/>
  <c r="AW27" i="3"/>
  <c r="AU27" i="3"/>
  <c r="AT27" i="3"/>
  <c r="AS27" i="3"/>
  <c r="AR27" i="3"/>
  <c r="AX24" i="3"/>
  <c r="AX32" i="3"/>
  <c r="AX34" i="3"/>
  <c r="AW24" i="3"/>
  <c r="AV24" i="3"/>
  <c r="AU24" i="3"/>
  <c r="AT24" i="3"/>
  <c r="AS24" i="3"/>
  <c r="AR24" i="3"/>
  <c r="AX18" i="3"/>
  <c r="AW18" i="3"/>
  <c r="AV18" i="3"/>
  <c r="AU18" i="3"/>
  <c r="AT18" i="3"/>
  <c r="AS18" i="3"/>
  <c r="AR18" i="3"/>
  <c r="AW17" i="3"/>
  <c r="AV17" i="3"/>
  <c r="AU17" i="3"/>
  <c r="AT17" i="3"/>
  <c r="AS17" i="3"/>
  <c r="AR17" i="3"/>
  <c r="AW16" i="3"/>
  <c r="AU16" i="3"/>
  <c r="AT16" i="3"/>
  <c r="AS16" i="3"/>
  <c r="AR16" i="3"/>
  <c r="AW13" i="3"/>
  <c r="AV13" i="3"/>
  <c r="AU13" i="3"/>
  <c r="AT13" i="3"/>
  <c r="AS13" i="3"/>
  <c r="AR13" i="3"/>
  <c r="AU9" i="3"/>
  <c r="AS9" i="3"/>
  <c r="AR9" i="3"/>
  <c r="AV6" i="3"/>
  <c r="AU6" i="3"/>
  <c r="AT6" i="3"/>
  <c r="AS6" i="3"/>
  <c r="AR6" i="3"/>
  <c r="AO6" i="3"/>
  <c r="AO24" i="3"/>
  <c r="AE16" i="3"/>
  <c r="AM16" i="3"/>
  <c r="AN16" i="3"/>
  <c r="AO16" i="3"/>
  <c r="AP16" i="3"/>
  <c r="AQ16" i="3"/>
  <c r="AF16" i="3"/>
  <c r="AM36" i="3"/>
  <c r="AM39" i="3"/>
  <c r="AL36" i="3"/>
  <c r="AL39" i="3"/>
  <c r="AK36" i="3"/>
  <c r="AK39" i="3"/>
  <c r="AP29" i="3"/>
  <c r="AN29" i="3"/>
  <c r="AM29" i="3"/>
  <c r="AL29" i="3"/>
  <c r="AK29" i="3"/>
  <c r="AQ28" i="3"/>
  <c r="AP28" i="3"/>
  <c r="AN28" i="3"/>
  <c r="AM28" i="3"/>
  <c r="AL28" i="3"/>
  <c r="AK28" i="3"/>
  <c r="AP27" i="3"/>
  <c r="AN27" i="3"/>
  <c r="AM27" i="3"/>
  <c r="AL27" i="3"/>
  <c r="AK27" i="3"/>
  <c r="AQ24" i="3"/>
  <c r="AP24" i="3"/>
  <c r="AN24" i="3"/>
  <c r="AM24" i="3"/>
  <c r="AL24" i="3"/>
  <c r="AK24" i="3"/>
  <c r="AL20" i="3"/>
  <c r="AK20" i="3"/>
  <c r="AQ18" i="3"/>
  <c r="AP18" i="3"/>
  <c r="AO18" i="3"/>
  <c r="AN18" i="3"/>
  <c r="AM18" i="3"/>
  <c r="AL18" i="3"/>
  <c r="AK18" i="3"/>
  <c r="AQ17" i="3"/>
  <c r="AP17" i="3"/>
  <c r="AO17" i="3"/>
  <c r="AN17" i="3"/>
  <c r="AM17" i="3"/>
  <c r="AL17" i="3"/>
  <c r="AK17" i="3"/>
  <c r="AL16" i="3"/>
  <c r="AK16" i="3"/>
  <c r="AQ13" i="3"/>
  <c r="AP13" i="3"/>
  <c r="AO13" i="3"/>
  <c r="AO32" i="3"/>
  <c r="AO38" i="3"/>
  <c r="AN13" i="3"/>
  <c r="AM13" i="3"/>
  <c r="AL13" i="3"/>
  <c r="AK13" i="3"/>
  <c r="AP9" i="3"/>
  <c r="AL9" i="3"/>
  <c r="AK9" i="3"/>
  <c r="AP6" i="3"/>
  <c r="AN6" i="3"/>
  <c r="AM6" i="3"/>
  <c r="AL6" i="3"/>
  <c r="AK6" i="3"/>
  <c r="AA6" i="3"/>
  <c r="AD36" i="3"/>
  <c r="AD39" i="3"/>
  <c r="AD35" i="3"/>
  <c r="AD29" i="3"/>
  <c r="AD28" i="3"/>
  <c r="AD27" i="3"/>
  <c r="AD24" i="3"/>
  <c r="AD20" i="3"/>
  <c r="AD18" i="3"/>
  <c r="AD17" i="3"/>
  <c r="AD16" i="3"/>
  <c r="AD13" i="3"/>
  <c r="AD9" i="3"/>
  <c r="AD6" i="3"/>
  <c r="AJ36" i="3"/>
  <c r="AJ39" i="3"/>
  <c r="AI36" i="3"/>
  <c r="AI39" i="3"/>
  <c r="AH36" i="3"/>
  <c r="AH39" i="3"/>
  <c r="AG36" i="3"/>
  <c r="AG39" i="3"/>
  <c r="AF36" i="3"/>
  <c r="AF39" i="3"/>
  <c r="AE36" i="3"/>
  <c r="AE39" i="3"/>
  <c r="AJ35" i="3"/>
  <c r="AI35" i="3"/>
  <c r="AH35" i="3"/>
  <c r="AG35" i="3"/>
  <c r="AF35" i="3"/>
  <c r="AE35" i="3"/>
  <c r="AI29" i="3"/>
  <c r="AG29" i="3"/>
  <c r="AF29" i="3"/>
  <c r="AE29" i="3"/>
  <c r="AJ28" i="3"/>
  <c r="AI28" i="3"/>
  <c r="AG28" i="3"/>
  <c r="AF28" i="3"/>
  <c r="AE28" i="3"/>
  <c r="AI27" i="3"/>
  <c r="AG27" i="3"/>
  <c r="AF27" i="3"/>
  <c r="AE27" i="3"/>
  <c r="AJ24" i="3"/>
  <c r="AI24" i="3"/>
  <c r="AG24" i="3"/>
  <c r="AF24" i="3"/>
  <c r="AE24" i="3"/>
  <c r="AE20" i="3"/>
  <c r="AJ18" i="3"/>
  <c r="AI18" i="3"/>
  <c r="AH18" i="3"/>
  <c r="AG18" i="3"/>
  <c r="AF18" i="3"/>
  <c r="AE18" i="3"/>
  <c r="AJ17" i="3"/>
  <c r="AI17" i="3"/>
  <c r="AH17" i="3"/>
  <c r="AG17" i="3"/>
  <c r="AF17" i="3"/>
  <c r="AE17" i="3"/>
  <c r="AJ16" i="3"/>
  <c r="AI16" i="3"/>
  <c r="AH16" i="3"/>
  <c r="AG16" i="3"/>
  <c r="AJ13" i="3"/>
  <c r="AI13" i="3"/>
  <c r="AH13" i="3"/>
  <c r="AH32" i="3"/>
  <c r="AH38" i="3"/>
  <c r="AG13" i="3"/>
  <c r="AF13" i="3"/>
  <c r="AE13" i="3"/>
  <c r="AI9" i="3"/>
  <c r="AG9" i="3"/>
  <c r="AF9" i="3"/>
  <c r="AE9" i="3"/>
  <c r="AI6" i="3"/>
  <c r="AG6" i="3"/>
  <c r="AF6" i="3"/>
  <c r="AE6" i="3"/>
  <c r="Y13" i="3"/>
  <c r="R35" i="3"/>
  <c r="S35" i="3"/>
  <c r="T35" i="3"/>
  <c r="U35" i="3"/>
  <c r="V35" i="3"/>
  <c r="W35" i="3"/>
  <c r="X35" i="3"/>
  <c r="Y35" i="3"/>
  <c r="Z35" i="3"/>
  <c r="AA35" i="3"/>
  <c r="AB35" i="3"/>
  <c r="AC35" i="3"/>
  <c r="Q35" i="3"/>
  <c r="R36" i="3"/>
  <c r="R39" i="3"/>
  <c r="S36" i="3"/>
  <c r="S39" i="3"/>
  <c r="T36" i="3"/>
  <c r="T39" i="3"/>
  <c r="U36" i="3"/>
  <c r="U39" i="3"/>
  <c r="V36" i="3"/>
  <c r="V39" i="3"/>
  <c r="W36" i="3"/>
  <c r="W39" i="3"/>
  <c r="X36" i="3"/>
  <c r="X39" i="3"/>
  <c r="Y36" i="3"/>
  <c r="Y39" i="3"/>
  <c r="Z36" i="3"/>
  <c r="Z39" i="3"/>
  <c r="AA36" i="3"/>
  <c r="AA39" i="3"/>
  <c r="AB36" i="3"/>
  <c r="AB39" i="3"/>
  <c r="AC36" i="3"/>
  <c r="AC39" i="3"/>
  <c r="Q36" i="3"/>
  <c r="Q39" i="3"/>
  <c r="AB29" i="3"/>
  <c r="AA29" i="3"/>
  <c r="Z29" i="3"/>
  <c r="Y29" i="3"/>
  <c r="X29" i="3"/>
  <c r="W29" i="3"/>
  <c r="AC28" i="3"/>
  <c r="AB28" i="3"/>
  <c r="AA28" i="3"/>
  <c r="Z28" i="3"/>
  <c r="Y28" i="3"/>
  <c r="X28" i="3"/>
  <c r="W28" i="3"/>
  <c r="AB27" i="3"/>
  <c r="AA27" i="3"/>
  <c r="Z27" i="3"/>
  <c r="Y27" i="3"/>
  <c r="X27" i="3"/>
  <c r="W27" i="3"/>
  <c r="AB24" i="3"/>
  <c r="AA24" i="3"/>
  <c r="Z24" i="3"/>
  <c r="Y24" i="3"/>
  <c r="X24" i="3"/>
  <c r="W24" i="3"/>
  <c r="AC23" i="3"/>
  <c r="AC24" i="3"/>
  <c r="AC18" i="3"/>
  <c r="AB18" i="3"/>
  <c r="AA18" i="3"/>
  <c r="Z18" i="3"/>
  <c r="Y18" i="3"/>
  <c r="X18" i="3"/>
  <c r="W18" i="3"/>
  <c r="AC17" i="3"/>
  <c r="AB17" i="3"/>
  <c r="AA17" i="3"/>
  <c r="Z17" i="3"/>
  <c r="Y17" i="3"/>
  <c r="X17" i="3"/>
  <c r="W17" i="3"/>
  <c r="AC16" i="3"/>
  <c r="AB16" i="3"/>
  <c r="AA16" i="3"/>
  <c r="Z16" i="3"/>
  <c r="Y16" i="3"/>
  <c r="X16" i="3"/>
  <c r="W16" i="3"/>
  <c r="AC13" i="3"/>
  <c r="AC32" i="3"/>
  <c r="AB13" i="3"/>
  <c r="AA13" i="3"/>
  <c r="Z13" i="3"/>
  <c r="X13" i="3"/>
  <c r="W13" i="3"/>
  <c r="AB9" i="3"/>
  <c r="AA9" i="3"/>
  <c r="Z9" i="3"/>
  <c r="Y9" i="3"/>
  <c r="X9" i="3"/>
  <c r="W9" i="3"/>
  <c r="AB6" i="3"/>
  <c r="Z6" i="3"/>
  <c r="Y6" i="3"/>
  <c r="X6" i="3"/>
  <c r="W6" i="3"/>
  <c r="AC27" i="1"/>
  <c r="AB27" i="1"/>
  <c r="AA27" i="1"/>
  <c r="Z27" i="1"/>
  <c r="Y27" i="1"/>
  <c r="X27" i="1"/>
  <c r="AC17" i="1"/>
  <c r="AB17" i="1"/>
  <c r="AA17" i="1"/>
  <c r="Z17" i="1"/>
  <c r="Y17" i="1"/>
  <c r="X17" i="1"/>
  <c r="AC9" i="1"/>
  <c r="AB9" i="1"/>
  <c r="AA9" i="1"/>
  <c r="Z9" i="1"/>
  <c r="Z44" i="1"/>
  <c r="Z48" i="1"/>
  <c r="Z50" i="1"/>
  <c r="Y9" i="1"/>
  <c r="Y44" i="1"/>
  <c r="X9" i="1"/>
  <c r="X44" i="1"/>
  <c r="AC5" i="1"/>
  <c r="AB5" i="1"/>
  <c r="AA5" i="1"/>
  <c r="Z5" i="1"/>
  <c r="Y5" i="1"/>
  <c r="X5" i="1"/>
  <c r="AC39" i="1"/>
  <c r="AB39" i="1"/>
  <c r="AA39" i="1"/>
  <c r="Z39" i="1"/>
  <c r="Y39" i="1"/>
  <c r="X39" i="1"/>
  <c r="AC34" i="1"/>
  <c r="AB34" i="1"/>
  <c r="AA34" i="1"/>
  <c r="Z34" i="1"/>
  <c r="Y34" i="1"/>
  <c r="X34" i="1"/>
  <c r="AA44" i="1"/>
  <c r="AA48" i="1"/>
  <c r="AA50" i="1"/>
  <c r="AC54" i="1"/>
  <c r="AC56" i="1"/>
  <c r="AB54" i="1"/>
  <c r="AB56" i="1"/>
  <c r="AA54" i="1"/>
  <c r="AA56" i="1"/>
  <c r="Z54" i="1"/>
  <c r="Z56" i="1"/>
  <c r="Y54" i="1"/>
  <c r="Y56" i="1"/>
  <c r="X54" i="1"/>
  <c r="X56" i="1"/>
  <c r="K13" i="3"/>
  <c r="R28" i="3"/>
  <c r="S28" i="3"/>
  <c r="T28" i="3"/>
  <c r="U28" i="3"/>
  <c r="Q28" i="3"/>
  <c r="J28" i="3"/>
  <c r="K28" i="3"/>
  <c r="L28" i="3"/>
  <c r="M28" i="3"/>
  <c r="N28" i="3"/>
  <c r="I28" i="3"/>
  <c r="R9" i="3"/>
  <c r="S9" i="3"/>
  <c r="T9" i="3"/>
  <c r="U9" i="3"/>
  <c r="R6" i="3"/>
  <c r="S6" i="3"/>
  <c r="T6" i="3"/>
  <c r="U6" i="3"/>
  <c r="Q9" i="3"/>
  <c r="Q6" i="3"/>
  <c r="T29" i="3"/>
  <c r="Q29" i="3"/>
  <c r="V28" i="3"/>
  <c r="U27" i="3"/>
  <c r="T27" i="3"/>
  <c r="S27" i="3"/>
  <c r="R27" i="3"/>
  <c r="Q27" i="3"/>
  <c r="V24" i="3"/>
  <c r="U24" i="3"/>
  <c r="T24" i="3"/>
  <c r="S24" i="3"/>
  <c r="R24" i="3"/>
  <c r="Q24" i="3"/>
  <c r="Q20" i="3"/>
  <c r="V17" i="3"/>
  <c r="U17" i="3"/>
  <c r="T17" i="3"/>
  <c r="S17" i="3"/>
  <c r="R17" i="3"/>
  <c r="Q17" i="3"/>
  <c r="V16" i="3"/>
  <c r="U16" i="3"/>
  <c r="T16" i="3"/>
  <c r="S16" i="3"/>
  <c r="R16" i="3"/>
  <c r="Q16" i="3"/>
  <c r="V13" i="3"/>
  <c r="U13" i="3"/>
  <c r="T13" i="3"/>
  <c r="S13" i="3"/>
  <c r="R13" i="3"/>
  <c r="Q13" i="3"/>
  <c r="L17" i="3"/>
  <c r="J24" i="3"/>
  <c r="J9" i="3"/>
  <c r="K9" i="3"/>
  <c r="L9" i="3"/>
  <c r="M9" i="3"/>
  <c r="N9" i="3"/>
  <c r="I9" i="3"/>
  <c r="O23" i="3"/>
  <c r="O24" i="3"/>
  <c r="O36" i="3"/>
  <c r="O39" i="3"/>
  <c r="O35" i="3"/>
  <c r="O28" i="3"/>
  <c r="O17" i="3"/>
  <c r="O16" i="3"/>
  <c r="O13" i="3"/>
  <c r="N36" i="3"/>
  <c r="N39" i="3"/>
  <c r="M36" i="3"/>
  <c r="M39" i="3"/>
  <c r="L36" i="3"/>
  <c r="L39" i="3"/>
  <c r="N35" i="3"/>
  <c r="M35" i="3"/>
  <c r="L35" i="3"/>
  <c r="N27" i="3"/>
  <c r="M27" i="3"/>
  <c r="L27" i="3"/>
  <c r="N24" i="3"/>
  <c r="M24" i="3"/>
  <c r="L24" i="3"/>
  <c r="N17" i="3"/>
  <c r="M17" i="3"/>
  <c r="N16" i="3"/>
  <c r="M16" i="3"/>
  <c r="L16" i="3"/>
  <c r="N13" i="3"/>
  <c r="M13" i="3"/>
  <c r="L13" i="3"/>
  <c r="N6" i="3"/>
  <c r="M6" i="3"/>
  <c r="L6" i="3"/>
  <c r="C35" i="3"/>
  <c r="D35" i="3"/>
  <c r="E35" i="3"/>
  <c r="F35" i="3"/>
  <c r="G35" i="3"/>
  <c r="H35" i="3"/>
  <c r="J35" i="3"/>
  <c r="K35" i="3"/>
  <c r="B35" i="3"/>
  <c r="J6" i="3"/>
  <c r="K6" i="3"/>
  <c r="I6" i="3"/>
  <c r="K9" i="1"/>
  <c r="G17" i="3"/>
  <c r="F17" i="3"/>
  <c r="D17" i="3"/>
  <c r="C20" i="3"/>
  <c r="B20" i="3"/>
  <c r="C29" i="3"/>
  <c r="B29" i="3"/>
  <c r="E17" i="3"/>
  <c r="H17" i="3"/>
  <c r="I17" i="3"/>
  <c r="J17" i="3"/>
  <c r="K17" i="3"/>
  <c r="C17" i="3"/>
  <c r="D28" i="3"/>
  <c r="E28" i="3"/>
  <c r="F28" i="3"/>
  <c r="G28" i="3"/>
  <c r="H28" i="3"/>
  <c r="C28" i="3"/>
  <c r="D27" i="1"/>
  <c r="C27" i="1"/>
  <c r="E27" i="1"/>
  <c r="G16" i="3"/>
  <c r="H16" i="3"/>
  <c r="I16" i="3"/>
  <c r="J16" i="3"/>
  <c r="K16" i="3"/>
  <c r="C16" i="3"/>
  <c r="D16" i="3"/>
  <c r="E16" i="3"/>
  <c r="F16" i="3"/>
  <c r="I27" i="3"/>
  <c r="J27" i="3"/>
  <c r="K27" i="3"/>
  <c r="D27" i="3"/>
  <c r="E27" i="3"/>
  <c r="F27" i="3"/>
  <c r="G27" i="3"/>
  <c r="C27" i="3"/>
  <c r="C36" i="3"/>
  <c r="C39" i="3"/>
  <c r="D36" i="3"/>
  <c r="D39" i="3"/>
  <c r="E36" i="3"/>
  <c r="E39" i="3"/>
  <c r="F36" i="3"/>
  <c r="F39" i="3"/>
  <c r="G36" i="3"/>
  <c r="G39" i="3"/>
  <c r="H36" i="3"/>
  <c r="H39" i="3"/>
  <c r="I36" i="3"/>
  <c r="I39" i="3"/>
  <c r="J36" i="3"/>
  <c r="J39" i="3"/>
  <c r="K36" i="3"/>
  <c r="K39" i="3"/>
  <c r="B36" i="3"/>
  <c r="B39" i="3"/>
  <c r="B17" i="3"/>
  <c r="B28" i="3"/>
  <c r="B13" i="3"/>
  <c r="C13" i="3"/>
  <c r="D13" i="3"/>
  <c r="E13" i="3"/>
  <c r="F13" i="3"/>
  <c r="G13" i="3"/>
  <c r="H13" i="3"/>
  <c r="I13" i="3"/>
  <c r="J13" i="3"/>
  <c r="J32" i="3"/>
  <c r="J38" i="3"/>
  <c r="D24" i="3"/>
  <c r="E24" i="3"/>
  <c r="F24" i="3"/>
  <c r="G24" i="3"/>
  <c r="G32" i="3"/>
  <c r="G38" i="3"/>
  <c r="H24" i="3"/>
  <c r="I24" i="3"/>
  <c r="K24" i="3"/>
  <c r="K32" i="3"/>
  <c r="K38" i="3"/>
  <c r="C24" i="3"/>
  <c r="C32" i="3"/>
  <c r="C38" i="3"/>
  <c r="B24" i="3"/>
  <c r="B27" i="3"/>
  <c r="B16" i="3"/>
  <c r="G16" i="2"/>
  <c r="B20" i="2"/>
  <c r="E54" i="1"/>
  <c r="E56" i="1"/>
  <c r="C54" i="1"/>
  <c r="C56" i="1"/>
  <c r="D54" i="1"/>
  <c r="D56" i="1"/>
  <c r="F54" i="1"/>
  <c r="F56" i="1"/>
  <c r="G54" i="1"/>
  <c r="G56" i="1"/>
  <c r="H54" i="1"/>
  <c r="H56" i="1"/>
  <c r="I54" i="1"/>
  <c r="I56" i="1"/>
  <c r="J54" i="1"/>
  <c r="J56" i="1"/>
  <c r="K54" i="1"/>
  <c r="K56" i="1"/>
  <c r="L54" i="1"/>
  <c r="L56" i="1"/>
  <c r="M54" i="1"/>
  <c r="M56" i="1"/>
  <c r="N54" i="1"/>
  <c r="N56" i="1"/>
  <c r="O54" i="1"/>
  <c r="O56" i="1"/>
  <c r="P54" i="1"/>
  <c r="P56" i="1"/>
  <c r="Q54" i="1"/>
  <c r="Q56" i="1"/>
  <c r="R54" i="1"/>
  <c r="R56" i="1"/>
  <c r="S54" i="1"/>
  <c r="S56" i="1"/>
  <c r="T54" i="1"/>
  <c r="T56" i="1"/>
  <c r="U54" i="1"/>
  <c r="U56" i="1"/>
  <c r="V54" i="1"/>
  <c r="V56" i="1"/>
  <c r="B54" i="1"/>
  <c r="B56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V9" i="1"/>
  <c r="U9" i="1"/>
  <c r="N29" i="3"/>
  <c r="T9" i="1"/>
  <c r="M29" i="3"/>
  <c r="T44" i="1"/>
  <c r="S9" i="1"/>
  <c r="R9" i="1"/>
  <c r="Q9" i="1"/>
  <c r="J18" i="3"/>
  <c r="J29" i="3"/>
  <c r="P9" i="1"/>
  <c r="O9" i="1"/>
  <c r="H18" i="3"/>
  <c r="N9" i="1"/>
  <c r="N44" i="1"/>
  <c r="M9" i="1"/>
  <c r="L9" i="1"/>
  <c r="J9" i="1"/>
  <c r="I9" i="1"/>
  <c r="H9" i="1"/>
  <c r="H44" i="1"/>
  <c r="H46" i="1"/>
  <c r="G9" i="1"/>
  <c r="G44" i="1"/>
  <c r="F9" i="1"/>
  <c r="E9" i="1"/>
  <c r="E44" i="1"/>
  <c r="E48" i="1"/>
  <c r="D9" i="1"/>
  <c r="D44" i="1"/>
  <c r="D48" i="1"/>
  <c r="C9" i="1"/>
  <c r="B9" i="1"/>
  <c r="B44" i="1"/>
  <c r="B46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B49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B2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O25" i="1"/>
  <c r="P17" i="1"/>
  <c r="Q17" i="1"/>
  <c r="R17" i="1"/>
  <c r="S17" i="1"/>
  <c r="S25" i="1"/>
  <c r="T17" i="1"/>
  <c r="T25" i="1"/>
  <c r="U17" i="1"/>
  <c r="V17" i="1"/>
  <c r="B17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B5" i="1"/>
  <c r="L29" i="3"/>
  <c r="L18" i="3"/>
  <c r="U44" i="1"/>
  <c r="U46" i="1"/>
  <c r="I44" i="1"/>
  <c r="S44" i="1"/>
  <c r="S46" i="1"/>
  <c r="S48" i="1"/>
  <c r="S50" i="1"/>
  <c r="J44" i="1"/>
  <c r="J46" i="1"/>
  <c r="O44" i="1"/>
  <c r="G48" i="1"/>
  <c r="B48" i="1"/>
  <c r="G46" i="1"/>
  <c r="Q18" i="3"/>
  <c r="AA46" i="1"/>
  <c r="X25" i="1"/>
  <c r="C44" i="1"/>
  <c r="C46" i="1"/>
  <c r="M18" i="3"/>
  <c r="S18" i="3"/>
  <c r="Q44" i="1"/>
  <c r="T18" i="3"/>
  <c r="S29" i="3"/>
  <c r="D46" i="1"/>
  <c r="AX17" i="3"/>
  <c r="M32" i="3"/>
  <c r="M38" i="3"/>
  <c r="H32" i="3"/>
  <c r="BM32" i="3"/>
  <c r="BM38" i="3"/>
  <c r="BS32" i="3"/>
  <c r="E32" i="3"/>
  <c r="E38" i="3"/>
  <c r="N32" i="3"/>
  <c r="N38" i="3"/>
  <c r="B32" i="3"/>
  <c r="B38" i="3"/>
  <c r="D32" i="3"/>
  <c r="D38" i="3"/>
  <c r="AX33" i="3"/>
  <c r="BZ32" i="3"/>
  <c r="BZ34" i="3"/>
  <c r="CG32" i="3"/>
  <c r="CG34" i="3"/>
  <c r="CA32" i="3"/>
  <c r="CA38" i="3"/>
  <c r="CB32" i="3"/>
  <c r="CB38" i="3"/>
  <c r="CC32" i="3"/>
  <c r="CC38" i="3"/>
  <c r="AG32" i="3"/>
  <c r="AG38" i="3"/>
  <c r="AD32" i="3"/>
  <c r="AD38" i="3"/>
  <c r="AK32" i="3"/>
  <c r="AK38" i="3"/>
  <c r="AL32" i="3"/>
  <c r="AQ32" i="3"/>
  <c r="AQ34" i="3"/>
  <c r="AT32" i="3"/>
  <c r="AT38" i="3"/>
  <c r="AU32" i="3"/>
  <c r="AU34" i="3"/>
  <c r="AW32" i="3"/>
  <c r="C48" i="1"/>
  <c r="C50" i="1"/>
  <c r="Z46" i="1"/>
  <c r="CA34" i="3"/>
  <c r="DA47" i="3"/>
  <c r="DB47" i="3"/>
  <c r="I21" i="8"/>
  <c r="L21" i="8"/>
  <c r="L25" i="8"/>
  <c r="J21" i="8"/>
  <c r="G21" i="8"/>
  <c r="AP25" i="8"/>
  <c r="AQ25" i="8"/>
  <c r="AR25" i="8"/>
  <c r="AR32" i="8"/>
  <c r="AL20" i="8"/>
  <c r="AL21" i="8"/>
  <c r="AL15" i="8"/>
  <c r="AS14" i="8"/>
  <c r="AL9" i="8"/>
  <c r="AL25" i="8"/>
  <c r="AL8" i="8"/>
  <c r="AS25" i="8"/>
  <c r="AZ8" i="8"/>
  <c r="AT9" i="8"/>
  <c r="BA8" i="8"/>
  <c r="AT15" i="8"/>
  <c r="AT14" i="8"/>
  <c r="AW25" i="8"/>
  <c r="AZ25" i="8"/>
  <c r="AX25" i="8"/>
  <c r="AT20" i="8"/>
  <c r="BA25" i="8"/>
  <c r="BA32" i="8"/>
  <c r="AT21" i="8"/>
  <c r="AU25" i="8"/>
  <c r="AY25" i="8"/>
  <c r="AY32" i="8"/>
  <c r="AV25" i="8"/>
  <c r="AV32" i="8"/>
  <c r="AJ25" i="8"/>
  <c r="AJ32" i="8"/>
  <c r="AD15" i="8"/>
  <c r="AK25" i="8"/>
  <c r="AD21" i="8"/>
  <c r="V21" i="8"/>
  <c r="V8" i="8"/>
  <c r="AP32" i="8"/>
  <c r="AQ32" i="8"/>
  <c r="AL14" i="8"/>
  <c r="G51" i="15" a="1"/>
  <c r="G51" i="15" s="1"/>
  <c r="F51" i="15" a="1"/>
  <c r="F51" i="15" s="1"/>
  <c r="G35" i="15"/>
  <c r="F35" i="15"/>
  <c r="G363" i="15"/>
  <c r="F363" i="15"/>
  <c r="G355" i="15"/>
  <c r="F355" i="15"/>
  <c r="G347" i="15" a="1"/>
  <c r="G347" i="15" s="1"/>
  <c r="F347" i="15" a="1"/>
  <c r="F347" i="15" s="1"/>
  <c r="G339" i="15" a="1"/>
  <c r="G339" i="15" s="1"/>
  <c r="F339" i="15" a="1"/>
  <c r="F339" i="15" s="1"/>
  <c r="G331" i="15" a="1"/>
  <c r="G331" i="15" s="1"/>
  <c r="F331" i="15" a="1"/>
  <c r="F331" i="15" s="1"/>
  <c r="G323" i="15" a="1"/>
  <c r="G323" i="15" s="1"/>
  <c r="F323" i="15" a="1"/>
  <c r="F323" i="15" s="1"/>
  <c r="G315" i="15"/>
  <c r="F315" i="15"/>
  <c r="G307" i="15"/>
  <c r="F307" i="15"/>
  <c r="G299" i="15"/>
  <c r="F299" i="15"/>
  <c r="G291" i="15" a="1"/>
  <c r="G291" i="15" s="1"/>
  <c r="F291" i="15" a="1"/>
  <c r="F291" i="15" s="1"/>
  <c r="G283" i="15" a="1"/>
  <c r="G283" i="15" s="1"/>
  <c r="F283" i="15" a="1"/>
  <c r="F283" i="15" s="1"/>
  <c r="G275" i="15" a="1"/>
  <c r="G275" i="15" s="1"/>
  <c r="F275" i="15" a="1"/>
  <c r="F275" i="15" s="1"/>
  <c r="G267" i="15" a="1"/>
  <c r="G267" i="15" s="1"/>
  <c r="F267" i="15" a="1"/>
  <c r="F267" i="15" s="1"/>
  <c r="G259" i="15"/>
  <c r="F259" i="15"/>
  <c r="G251" i="15"/>
  <c r="F251" i="15"/>
  <c r="G243" i="15"/>
  <c r="F243" i="15"/>
  <c r="G235" i="15" a="1"/>
  <c r="G235" i="15" s="1"/>
  <c r="F235" i="15" a="1"/>
  <c r="F235" i="15" s="1"/>
  <c r="G227" i="15" a="1"/>
  <c r="G227" i="15" s="1"/>
  <c r="F227" i="15" a="1"/>
  <c r="F227" i="15" s="1"/>
  <c r="G219" i="15" a="1"/>
  <c r="G219" i="15" s="1"/>
  <c r="F219" i="15" a="1"/>
  <c r="F219" i="15" s="1"/>
  <c r="G211" i="15" a="1"/>
  <c r="G211" i="15" s="1"/>
  <c r="F211" i="15" a="1"/>
  <c r="F211" i="15" s="1"/>
  <c r="G203" i="15"/>
  <c r="F203" i="15"/>
  <c r="G195" i="15"/>
  <c r="F195" i="15"/>
  <c r="G187" i="15"/>
  <c r="F187" i="15"/>
  <c r="G179" i="15" a="1"/>
  <c r="G179" i="15" s="1"/>
  <c r="E179" i="15" s="1"/>
  <c r="F179" i="15" a="1"/>
  <c r="F179" i="15" s="1"/>
  <c r="G171" i="15" a="1"/>
  <c r="G171" i="15" s="1"/>
  <c r="F171" i="15" a="1"/>
  <c r="F171" i="15" s="1"/>
  <c r="G163" i="15" a="1"/>
  <c r="G163" i="15" s="1"/>
  <c r="E163" i="15" s="1"/>
  <c r="F163" i="15" a="1"/>
  <c r="F163" i="15" s="1"/>
  <c r="G155" i="15" a="1"/>
  <c r="G155" i="15" s="1"/>
  <c r="F155" i="15" a="1"/>
  <c r="F155" i="15" s="1"/>
  <c r="G147" i="15"/>
  <c r="F147" i="15"/>
  <c r="G139" i="15"/>
  <c r="F139" i="15"/>
  <c r="G131" i="15"/>
  <c r="F131" i="15"/>
  <c r="G123" i="15" a="1"/>
  <c r="G123" i="15" s="1"/>
  <c r="F123" i="15" a="1"/>
  <c r="F123" i="15" s="1"/>
  <c r="G115" i="15" a="1"/>
  <c r="G115" i="15" s="1"/>
  <c r="F115" i="15" a="1"/>
  <c r="F115" i="15" s="1"/>
  <c r="G107" i="15" a="1"/>
  <c r="G107" i="15" s="1"/>
  <c r="F107" i="15" a="1"/>
  <c r="F107" i="15" s="1"/>
  <c r="G99" i="15" a="1"/>
  <c r="G99" i="15" s="1"/>
  <c r="F99" i="15" a="1"/>
  <c r="F99" i="15" s="1"/>
  <c r="G91" i="15"/>
  <c r="F91" i="15"/>
  <c r="G83" i="15"/>
  <c r="F83" i="15"/>
  <c r="G75" i="15"/>
  <c r="F75" i="15"/>
  <c r="G67" i="15" a="1"/>
  <c r="G67" i="15" s="1"/>
  <c r="F67" i="15" a="1"/>
  <c r="F67" i="15" s="1"/>
  <c r="G59" i="15" a="1"/>
  <c r="G59" i="15" s="1"/>
  <c r="F59" i="15" a="1"/>
  <c r="F59" i="15" s="1"/>
  <c r="G43" i="15" a="1"/>
  <c r="G43" i="15" s="1"/>
  <c r="F43" i="15" a="1"/>
  <c r="F43" i="15" s="1"/>
  <c r="G27" i="15"/>
  <c r="F27" i="15"/>
  <c r="G19" i="15"/>
  <c r="F19" i="15"/>
  <c r="G177" i="15" a="1"/>
  <c r="G177" i="15" s="1"/>
  <c r="F177" i="15" a="1"/>
  <c r="F177" i="15" s="1"/>
  <c r="G81" i="15" a="1"/>
  <c r="G81" i="15" s="1"/>
  <c r="F81" i="15" a="1"/>
  <c r="F81" i="15" s="1"/>
  <c r="G7" i="15"/>
  <c r="F7" i="15"/>
  <c r="G345" i="15" a="1"/>
  <c r="G345" i="15" s="1"/>
  <c r="F345" i="15" a="1"/>
  <c r="F345" i="15" s="1"/>
  <c r="G305" i="15" a="1"/>
  <c r="G305" i="15" s="1"/>
  <c r="F305" i="15" a="1"/>
  <c r="F305" i="15" s="1"/>
  <c r="F277" i="15" a="1"/>
  <c r="F277" i="15" s="1"/>
  <c r="G277" i="15" a="1"/>
  <c r="G277" i="15" s="1"/>
  <c r="G249" i="15" a="1"/>
  <c r="G249" i="15" s="1"/>
  <c r="F249" i="15" a="1"/>
  <c r="F249" i="15" s="1"/>
  <c r="G223" i="15"/>
  <c r="F223" i="15"/>
  <c r="G197" i="15" a="1"/>
  <c r="G197" i="15" s="1"/>
  <c r="F197" i="15" a="1"/>
  <c r="F197" i="15" s="1"/>
  <c r="G175" i="15"/>
  <c r="F175" i="15"/>
  <c r="G149" i="15" a="1"/>
  <c r="G149" i="15" s="1"/>
  <c r="F149" i="15" a="1"/>
  <c r="F149" i="15" s="1"/>
  <c r="F133" i="15"/>
  <c r="G133" i="15"/>
  <c r="G111" i="15"/>
  <c r="F111" i="15"/>
  <c r="G95" i="15" a="1"/>
  <c r="G95" i="15" s="1"/>
  <c r="F95" i="15" a="1"/>
  <c r="F95" i="15" s="1"/>
  <c r="G79" i="15" a="1"/>
  <c r="G79" i="15" s="1"/>
  <c r="F79" i="15" a="1"/>
  <c r="F79" i="15" s="1"/>
  <c r="G61" i="15"/>
  <c r="F61" i="15"/>
  <c r="G45" i="15" a="1"/>
  <c r="G45" i="15" s="1"/>
  <c r="F45" i="15" a="1"/>
  <c r="F45" i="15" s="1"/>
  <c r="G31" i="15" a="1"/>
  <c r="G31" i="15" s="1"/>
  <c r="F31" i="15" a="1"/>
  <c r="F31" i="15" s="1"/>
  <c r="G359" i="15" a="1"/>
  <c r="G359" i="15" s="1"/>
  <c r="F359" i="15" a="1"/>
  <c r="F359" i="15" s="1"/>
  <c r="G298" i="15" a="1"/>
  <c r="G298" i="15" s="1"/>
  <c r="F298" i="15" a="1"/>
  <c r="F298" i="15" s="1"/>
  <c r="G151" i="15" a="1"/>
  <c r="G151" i="15" s="1"/>
  <c r="F151" i="15" a="1"/>
  <c r="F151" i="15" s="1"/>
  <c r="F362" i="15"/>
  <c r="G362" i="15"/>
  <c r="G354" i="15" a="1"/>
  <c r="G354" i="15" s="1"/>
  <c r="F354" i="15" a="1"/>
  <c r="F354" i="15" s="1"/>
  <c r="F346" i="15" a="1"/>
  <c r="F346" i="15" s="1"/>
  <c r="G346" i="15" a="1"/>
  <c r="G346" i="15" s="1"/>
  <c r="G338" i="15" a="1"/>
  <c r="G338" i="15" s="1"/>
  <c r="F338" i="15" a="1"/>
  <c r="F338" i="15" s="1"/>
  <c r="G330" i="15" a="1"/>
  <c r="G330" i="15" s="1"/>
  <c r="F330" i="15" a="1"/>
  <c r="F330" i="15" s="1"/>
  <c r="G322" i="15"/>
  <c r="F322" i="15"/>
  <c r="G314" i="15"/>
  <c r="F314" i="15"/>
  <c r="G290" i="15" a="1"/>
  <c r="G290" i="15" s="1"/>
  <c r="F290" i="15" a="1"/>
  <c r="F290" i="15" s="1"/>
  <c r="G274" i="15" a="1"/>
  <c r="G274" i="15" s="1"/>
  <c r="F274" i="15" a="1"/>
  <c r="F274" i="15" s="1"/>
  <c r="G266" i="15"/>
  <c r="F266" i="15"/>
  <c r="G258" i="15"/>
  <c r="F258" i="15"/>
  <c r="G250" i="15"/>
  <c r="F250" i="15"/>
  <c r="G242" i="15" a="1"/>
  <c r="G242" i="15" s="1"/>
  <c r="F242" i="15" a="1"/>
  <c r="F242" i="15" s="1"/>
  <c r="G234" i="15" a="1"/>
  <c r="G234" i="15" s="1"/>
  <c r="F234" i="15" a="1"/>
  <c r="F234" i="15" s="1"/>
  <c r="G202" i="15"/>
  <c r="F202" i="15"/>
  <c r="G194" i="15"/>
  <c r="F194" i="15"/>
  <c r="G186" i="15" a="1"/>
  <c r="G186" i="15" s="1"/>
  <c r="F186" i="15" a="1"/>
  <c r="F186" i="15" s="1"/>
  <c r="G178" i="15" a="1"/>
  <c r="G178" i="15" s="1"/>
  <c r="F178" i="15" a="1"/>
  <c r="F178" i="15" s="1"/>
  <c r="G162" i="15" a="1"/>
  <c r="G162" i="15" s="1"/>
  <c r="F162" i="15" a="1"/>
  <c r="F162" i="15" s="1"/>
  <c r="G154" i="15"/>
  <c r="F154" i="15"/>
  <c r="G146" i="15"/>
  <c r="F146" i="15"/>
  <c r="G130" i="15" a="1"/>
  <c r="G130" i="15" s="1"/>
  <c r="F130" i="15" a="1"/>
  <c r="F130" i="15" s="1"/>
  <c r="G122" i="15" a="1"/>
  <c r="G122" i="15" s="1"/>
  <c r="F122" i="15" a="1"/>
  <c r="F122" i="15" s="1"/>
  <c r="G106" i="15" a="1"/>
  <c r="G106" i="15" s="1"/>
  <c r="F106" i="15" a="1"/>
  <c r="F106" i="15" s="1"/>
  <c r="G74" i="15" a="1"/>
  <c r="G74" i="15" s="1"/>
  <c r="F74" i="15" a="1"/>
  <c r="F74" i="15" s="1"/>
  <c r="G50" i="15" a="1"/>
  <c r="G50" i="15" s="1"/>
  <c r="F50" i="15" a="1"/>
  <c r="F50" i="15" s="1"/>
  <c r="G26" i="15"/>
  <c r="F26" i="15"/>
  <c r="G18" i="15" a="1"/>
  <c r="G18" i="15" s="1"/>
  <c r="F18" i="15" a="1"/>
  <c r="F18" i="15" s="1"/>
  <c r="G281" i="15" a="1"/>
  <c r="G281" i="15" s="1"/>
  <c r="F281" i="15" a="1"/>
  <c r="F281" i="15" s="1"/>
  <c r="G153" i="15"/>
  <c r="F153" i="15"/>
  <c r="G63" i="15"/>
  <c r="F63" i="15"/>
  <c r="FS13" i="3"/>
  <c r="GE33" i="3"/>
  <c r="GE35" i="3"/>
  <c r="G6" i="15"/>
  <c r="F6" i="15"/>
  <c r="G335" i="15"/>
  <c r="F335" i="15"/>
  <c r="G303" i="15" a="1"/>
  <c r="G303" i="15" s="1"/>
  <c r="F303" i="15" a="1"/>
  <c r="F303" i="15" s="1"/>
  <c r="G273" i="15"/>
  <c r="F273" i="15"/>
  <c r="G245" i="15"/>
  <c r="F245" i="15"/>
  <c r="G221" i="15" a="1"/>
  <c r="G221" i="15" s="1"/>
  <c r="F221" i="15" a="1"/>
  <c r="F221" i="15" s="1"/>
  <c r="G193" i="15" a="1"/>
  <c r="G193" i="15" s="1"/>
  <c r="F193" i="15" a="1"/>
  <c r="F193" i="15" s="1"/>
  <c r="G173" i="15"/>
  <c r="F173" i="15"/>
  <c r="G145" i="15"/>
  <c r="F145" i="15"/>
  <c r="F129" i="15" a="1"/>
  <c r="F129" i="15" s="1"/>
  <c r="G129" i="15" a="1"/>
  <c r="G129" i="15" s="1"/>
  <c r="F109" i="15" a="1"/>
  <c r="F109" i="15" s="1"/>
  <c r="G109" i="15" a="1"/>
  <c r="G109" i="15" s="1"/>
  <c r="G93" i="15" a="1"/>
  <c r="G93" i="15" s="1"/>
  <c r="F93" i="15" a="1"/>
  <c r="F93" i="15" s="1"/>
  <c r="G77" i="15"/>
  <c r="F77" i="15"/>
  <c r="G58" i="15" a="1"/>
  <c r="G58" i="15" s="1"/>
  <c r="F58" i="15" a="1"/>
  <c r="F58" i="15" s="1"/>
  <c r="G42" i="15"/>
  <c r="F42" i="15"/>
  <c r="G29" i="15" a="1"/>
  <c r="G29" i="15" s="1"/>
  <c r="F29" i="15" a="1"/>
  <c r="F29" i="15" s="1"/>
  <c r="G343" i="15"/>
  <c r="F343" i="15"/>
  <c r="G295" i="15" a="1"/>
  <c r="G295" i="15" s="1"/>
  <c r="F295" i="15" a="1"/>
  <c r="F295" i="15" s="1"/>
  <c r="G127" i="15" a="1"/>
  <c r="G127" i="15" s="1"/>
  <c r="F127" i="15" a="1"/>
  <c r="F127" i="15" s="1"/>
  <c r="G9" i="15" a="1"/>
  <c r="G9" i="15" s="1"/>
  <c r="F9" i="15" a="1"/>
  <c r="F9" i="15" s="1"/>
  <c r="F309" i="15" a="1"/>
  <c r="F309" i="15" s="1"/>
  <c r="G309" i="15" a="1"/>
  <c r="G309" i="15" s="1"/>
  <c r="G134" i="15" a="1"/>
  <c r="G134" i="15" s="1"/>
  <c r="F134" i="15" a="1"/>
  <c r="F134" i="15" s="1"/>
  <c r="G33" i="15"/>
  <c r="F33" i="15"/>
  <c r="G333" i="15" a="1"/>
  <c r="G333" i="15" s="1"/>
  <c r="F333" i="15" a="1"/>
  <c r="F333" i="15" s="1"/>
  <c r="G301" i="15"/>
  <c r="F301" i="15"/>
  <c r="G271" i="15"/>
  <c r="F271" i="15"/>
  <c r="G241" i="15" a="1"/>
  <c r="G241" i="15" s="1"/>
  <c r="F241" i="15" a="1"/>
  <c r="F241" i="15" s="1"/>
  <c r="G217" i="15"/>
  <c r="F217" i="15"/>
  <c r="G191" i="15" a="1"/>
  <c r="G191" i="15" s="1"/>
  <c r="F191" i="15" a="1"/>
  <c r="F191" i="15" s="1"/>
  <c r="G169" i="15" a="1"/>
  <c r="G169" i="15" s="1"/>
  <c r="F169" i="15" a="1"/>
  <c r="F169" i="15" s="1"/>
  <c r="G143" i="15" a="1"/>
  <c r="G143" i="15" s="1"/>
  <c r="F143" i="15" a="1"/>
  <c r="F143" i="15" s="1"/>
  <c r="F125" i="15"/>
  <c r="G125" i="15"/>
  <c r="F105" i="15"/>
  <c r="G105" i="15"/>
  <c r="G90" i="15"/>
  <c r="F90" i="15"/>
  <c r="G73" i="15" a="1"/>
  <c r="G73" i="15" s="1"/>
  <c r="F73" i="15" a="1"/>
  <c r="F73" i="15" s="1"/>
  <c r="G57" i="15" a="1"/>
  <c r="G57" i="15" s="1"/>
  <c r="F57" i="15" a="1"/>
  <c r="F57" i="15" s="1"/>
  <c r="G41" i="15"/>
  <c r="F41" i="15"/>
  <c r="G25" i="15" a="1"/>
  <c r="G25" i="15" s="1"/>
  <c r="F25" i="15" a="1"/>
  <c r="F25" i="15" s="1"/>
  <c r="G337" i="15" a="1"/>
  <c r="G337" i="15" s="1"/>
  <c r="F337" i="15" a="1"/>
  <c r="F337" i="15" s="1"/>
  <c r="G282" i="15" a="1"/>
  <c r="G282" i="15" s="1"/>
  <c r="F282" i="15" a="1"/>
  <c r="F282" i="15" s="1"/>
  <c r="G92" i="15" a="1"/>
  <c r="G92" i="15" s="1"/>
  <c r="F92" i="15" a="1"/>
  <c r="F92" i="15" s="1"/>
  <c r="G360" i="15" a="1"/>
  <c r="G360" i="15" s="1"/>
  <c r="F360" i="15" a="1"/>
  <c r="F360" i="15" s="1"/>
  <c r="G352" i="15" a="1"/>
  <c r="G352" i="15" s="1"/>
  <c r="F352" i="15" a="1"/>
  <c r="F352" i="15" s="1"/>
  <c r="G344" i="15" a="1"/>
  <c r="G344" i="15" s="1"/>
  <c r="F344" i="15" a="1"/>
  <c r="F344" i="15" s="1"/>
  <c r="G336" i="15"/>
  <c r="F336" i="15"/>
  <c r="G328" i="15"/>
  <c r="F328" i="15"/>
  <c r="G320" i="15"/>
  <c r="F320" i="15"/>
  <c r="G312" i="15" a="1"/>
  <c r="G312" i="15" s="1"/>
  <c r="F312" i="15" a="1"/>
  <c r="F312" i="15" s="1"/>
  <c r="G304" i="15" a="1"/>
  <c r="G304" i="15" s="1"/>
  <c r="F304" i="15" a="1"/>
  <c r="F304" i="15" s="1"/>
  <c r="G296" i="15" a="1"/>
  <c r="G296" i="15" s="1"/>
  <c r="F296" i="15" a="1"/>
  <c r="F296" i="15" s="1"/>
  <c r="G288" i="15" a="1"/>
  <c r="G288" i="15" s="1"/>
  <c r="F288" i="15" a="1"/>
  <c r="F288" i="15" s="1"/>
  <c r="G280" i="15"/>
  <c r="F280" i="15"/>
  <c r="G272" i="15"/>
  <c r="F272" i="15"/>
  <c r="G264" i="15"/>
  <c r="F264" i="15"/>
  <c r="G256" i="15" a="1"/>
  <c r="G256" i="15" s="1"/>
  <c r="F256" i="15" a="1"/>
  <c r="F256" i="15" s="1"/>
  <c r="G248" i="15" a="1"/>
  <c r="G248" i="15" s="1"/>
  <c r="F248" i="15" a="1"/>
  <c r="F248" i="15" s="1"/>
  <c r="G240" i="15" a="1"/>
  <c r="G240" i="15" s="1"/>
  <c r="F240" i="15" a="1"/>
  <c r="F240" i="15" s="1"/>
  <c r="G232" i="15" a="1"/>
  <c r="G232" i="15" s="1"/>
  <c r="F232" i="15" a="1"/>
  <c r="F232" i="15" s="1"/>
  <c r="G224" i="15"/>
  <c r="F224" i="15"/>
  <c r="G216" i="15"/>
  <c r="F216" i="15"/>
  <c r="G208" i="15"/>
  <c r="F208" i="15"/>
  <c r="G200" i="15" a="1"/>
  <c r="G200" i="15" s="1"/>
  <c r="F200" i="15" a="1"/>
  <c r="F200" i="15" s="1"/>
  <c r="G192" i="15" a="1"/>
  <c r="G192" i="15" s="1"/>
  <c r="F192" i="15" a="1"/>
  <c r="F192" i="15" s="1"/>
  <c r="G176" i="15" a="1"/>
  <c r="G176" i="15" s="1"/>
  <c r="F176" i="15" a="1"/>
  <c r="F176" i="15" s="1"/>
  <c r="G168" i="15"/>
  <c r="F168" i="15"/>
  <c r="G160" i="15"/>
  <c r="F160" i="15"/>
  <c r="G152" i="15"/>
  <c r="F152" i="15"/>
  <c r="G144" i="15" a="1"/>
  <c r="G144" i="15" s="1"/>
  <c r="F144" i="15" a="1"/>
  <c r="F144" i="15" s="1"/>
  <c r="G136" i="15" a="1"/>
  <c r="G136" i="15" s="1"/>
  <c r="F136" i="15" a="1"/>
  <c r="F136" i="15" s="1"/>
  <c r="G128" i="15" a="1"/>
  <c r="G128" i="15" s="1"/>
  <c r="F128" i="15" a="1"/>
  <c r="F128" i="15" s="1"/>
  <c r="G120" i="15" a="1"/>
  <c r="G120" i="15" s="1"/>
  <c r="F120" i="15" a="1"/>
  <c r="F120" i="15" s="1"/>
  <c r="G112" i="15"/>
  <c r="F112" i="15"/>
  <c r="G104" i="15"/>
  <c r="F104" i="15"/>
  <c r="G96" i="15"/>
  <c r="F96" i="15"/>
  <c r="G88" i="15" a="1"/>
  <c r="G88" i="15" s="1"/>
  <c r="F88" i="15" a="1"/>
  <c r="F88" i="15" s="1"/>
  <c r="G80" i="15" a="1"/>
  <c r="G80" i="15" s="1"/>
  <c r="F80" i="15" a="1"/>
  <c r="F80" i="15" s="1"/>
  <c r="G72" i="15" a="1"/>
  <c r="G72" i="15" s="1"/>
  <c r="F72" i="15" a="1"/>
  <c r="F72" i="15" s="1"/>
  <c r="G64" i="15" a="1"/>
  <c r="G64" i="15" s="1"/>
  <c r="F64" i="15" a="1"/>
  <c r="F64" i="15" s="1"/>
  <c r="G56" i="15"/>
  <c r="F56" i="15"/>
  <c r="G48" i="15"/>
  <c r="F48" i="15"/>
  <c r="G40" i="15"/>
  <c r="F40" i="15"/>
  <c r="G32" i="15" a="1"/>
  <c r="G32" i="15" s="1"/>
  <c r="F32" i="15" a="1"/>
  <c r="F32" i="15" s="1"/>
  <c r="G24" i="15" a="1"/>
  <c r="G24" i="15" s="1"/>
  <c r="F24" i="15" a="1"/>
  <c r="F24" i="15" s="1"/>
  <c r="G16" i="15" a="1"/>
  <c r="G16" i="15" s="1"/>
  <c r="F16" i="15" a="1"/>
  <c r="F16" i="15" s="1"/>
  <c r="G8" i="15" a="1"/>
  <c r="G8" i="15" s="1"/>
  <c r="F8" i="15" a="1"/>
  <c r="F8" i="15" s="1"/>
  <c r="G349" i="15"/>
  <c r="F349" i="15"/>
  <c r="G225" i="15" a="1"/>
  <c r="G225" i="15" s="1"/>
  <c r="F225" i="15" a="1"/>
  <c r="F225" i="15" s="1"/>
  <c r="G97" i="15"/>
  <c r="F97" i="15"/>
  <c r="G47" i="15"/>
  <c r="F47" i="15"/>
  <c r="GH6" i="3"/>
  <c r="G329" i="15"/>
  <c r="F329" i="15"/>
  <c r="G297" i="15" a="1"/>
  <c r="G297" i="15" s="1"/>
  <c r="F297" i="15" a="1"/>
  <c r="F297" i="15" s="1"/>
  <c r="G269" i="15" a="1"/>
  <c r="G269" i="15" s="1"/>
  <c r="F269" i="15" a="1"/>
  <c r="F269" i="15" s="1"/>
  <c r="G239" i="15" a="1"/>
  <c r="G239" i="15" s="1"/>
  <c r="F239" i="15" a="1"/>
  <c r="F239" i="15" s="1"/>
  <c r="G209" i="15"/>
  <c r="F209" i="15"/>
  <c r="G185" i="15" a="1"/>
  <c r="G185" i="15" s="1"/>
  <c r="F185" i="15" a="1"/>
  <c r="F185" i="15" s="1"/>
  <c r="G165" i="15" a="1"/>
  <c r="G165" i="15" s="1"/>
  <c r="F165" i="15" a="1"/>
  <c r="F165" i="15" s="1"/>
  <c r="G141" i="15" a="1"/>
  <c r="G141" i="15" s="1"/>
  <c r="F141" i="15" a="1"/>
  <c r="F141" i="15" s="1"/>
  <c r="F121" i="15" a="1"/>
  <c r="F121" i="15" s="1"/>
  <c r="G121" i="15" a="1"/>
  <c r="G121" i="15" s="1"/>
  <c r="G103" i="15"/>
  <c r="F103" i="15"/>
  <c r="G89" i="15"/>
  <c r="F89" i="15"/>
  <c r="G71" i="15" a="1"/>
  <c r="G71" i="15" s="1"/>
  <c r="F71" i="15" a="1"/>
  <c r="F71" i="15" s="1"/>
  <c r="G55" i="15"/>
  <c r="F55" i="15"/>
  <c r="G39" i="15" a="1"/>
  <c r="G39" i="15" s="1"/>
  <c r="F39" i="15" a="1"/>
  <c r="F39" i="15" s="1"/>
  <c r="G23" i="15" a="1"/>
  <c r="G23" i="15" s="1"/>
  <c r="F23" i="15" a="1"/>
  <c r="F23" i="15" s="1"/>
  <c r="G327" i="15"/>
  <c r="F327" i="15"/>
  <c r="G226" i="15" a="1"/>
  <c r="G226" i="15" s="1"/>
  <c r="F226" i="15" a="1"/>
  <c r="F226" i="15" s="1"/>
  <c r="G367" i="15" a="1"/>
  <c r="G367" i="15" s="1"/>
  <c r="F367" i="15" a="1"/>
  <c r="F367" i="15" s="1"/>
  <c r="G351" i="15" a="1"/>
  <c r="G351" i="15" s="1"/>
  <c r="F351" i="15" a="1"/>
  <c r="F351" i="15" s="1"/>
  <c r="G287" i="15"/>
  <c r="F287" i="15"/>
  <c r="G279" i="15"/>
  <c r="F279" i="15"/>
  <c r="G263" i="15" a="1"/>
  <c r="G263" i="15" s="1"/>
  <c r="F263" i="15" a="1"/>
  <c r="F263" i="15" s="1"/>
  <c r="G255" i="15" a="1"/>
  <c r="G255" i="15" s="1"/>
  <c r="F255" i="15" a="1"/>
  <c r="F255" i="15" s="1"/>
  <c r="G247" i="15" a="1"/>
  <c r="G247" i="15" s="1"/>
  <c r="F247" i="15" a="1"/>
  <c r="F247" i="15" s="1"/>
  <c r="G215" i="15"/>
  <c r="F215" i="15"/>
  <c r="G199" i="15" a="1"/>
  <c r="G199" i="15" s="1"/>
  <c r="F199" i="15" a="1"/>
  <c r="F199" i="15" s="1"/>
  <c r="G306" i="15"/>
  <c r="F306" i="15"/>
  <c r="G365" i="15" a="1"/>
  <c r="G365" i="15" s="1"/>
  <c r="F365" i="15" a="1"/>
  <c r="F365" i="15" s="1"/>
  <c r="F325" i="15" a="1"/>
  <c r="F325" i="15" s="1"/>
  <c r="G325" i="15" a="1"/>
  <c r="G325" i="15" s="1"/>
  <c r="F293" i="15"/>
  <c r="G293" i="15"/>
  <c r="G265" i="15"/>
  <c r="F265" i="15"/>
  <c r="G237" i="15"/>
  <c r="F237" i="15"/>
  <c r="G207" i="15" a="1"/>
  <c r="G207" i="15" s="1"/>
  <c r="F207" i="15" a="1"/>
  <c r="F207" i="15" s="1"/>
  <c r="G184" i="15" a="1"/>
  <c r="G184" i="15" s="1"/>
  <c r="F184" i="15" a="1"/>
  <c r="F184" i="15" s="1"/>
  <c r="G161" i="15"/>
  <c r="F161" i="15"/>
  <c r="G138" i="15"/>
  <c r="F138" i="15"/>
  <c r="G119" i="15"/>
  <c r="F119" i="15"/>
  <c r="G102" i="15" a="1"/>
  <c r="G102" i="15" s="1"/>
  <c r="F102" i="15" a="1"/>
  <c r="F102" i="15" s="1"/>
  <c r="G87" i="15" a="1"/>
  <c r="G87" i="15" s="1"/>
  <c r="F87" i="15" a="1"/>
  <c r="F87" i="15" s="1"/>
  <c r="G69" i="15"/>
  <c r="F69" i="15"/>
  <c r="G53" i="15" a="1"/>
  <c r="G53" i="15" s="1"/>
  <c r="F53" i="15" a="1"/>
  <c r="F53" i="15" s="1"/>
  <c r="G37" i="15" a="1"/>
  <c r="G37" i="15" s="1"/>
  <c r="F37" i="15" a="1"/>
  <c r="F37" i="15" s="1"/>
  <c r="G21" i="15"/>
  <c r="E21" i="15" s="1"/>
  <c r="F21" i="15"/>
  <c r="G321" i="15"/>
  <c r="F321" i="15"/>
  <c r="G218" i="15" a="1"/>
  <c r="G218" i="15" s="1"/>
  <c r="F218" i="15" a="1"/>
  <c r="F218" i="15" s="1"/>
  <c r="G366" i="15" a="1"/>
  <c r="G366" i="15" s="1"/>
  <c r="F366" i="15" a="1"/>
  <c r="F366" i="15" s="1"/>
  <c r="G358" i="15" a="1"/>
  <c r="G358" i="15" s="1"/>
  <c r="F358" i="15" a="1"/>
  <c r="F358" i="15" s="1"/>
  <c r="G350" i="15"/>
  <c r="F350" i="15"/>
  <c r="G342" i="15"/>
  <c r="F342" i="15"/>
  <c r="G334" i="15"/>
  <c r="F334" i="15"/>
  <c r="G326" i="15" a="1"/>
  <c r="G326" i="15" s="1"/>
  <c r="F326" i="15" a="1"/>
  <c r="F326" i="15" s="1"/>
  <c r="G318" i="15" a="1"/>
  <c r="G318" i="15" s="1"/>
  <c r="F318" i="15" a="1"/>
  <c r="F318" i="15" s="1"/>
  <c r="G310" i="15" a="1"/>
  <c r="G310" i="15" s="1"/>
  <c r="F310" i="15" a="1"/>
  <c r="F310" i="15" s="1"/>
  <c r="G302" i="15" a="1"/>
  <c r="G302" i="15" s="1"/>
  <c r="F302" i="15" a="1"/>
  <c r="F302" i="15" s="1"/>
  <c r="G294" i="15"/>
  <c r="F294" i="15"/>
  <c r="G286" i="15"/>
  <c r="F286" i="15"/>
  <c r="G278" i="15"/>
  <c r="F278" i="15"/>
  <c r="G270" i="15" a="1"/>
  <c r="G270" i="15" s="1"/>
  <c r="F270" i="15" a="1"/>
  <c r="F270" i="15" s="1"/>
  <c r="G262" i="15" a="1"/>
  <c r="G262" i="15" s="1"/>
  <c r="F262" i="15" a="1"/>
  <c r="F262" i="15" s="1"/>
  <c r="G254" i="15" a="1"/>
  <c r="G254" i="15" s="1"/>
  <c r="F254" i="15" a="1"/>
  <c r="F254" i="15" s="1"/>
  <c r="G246" i="15" a="1"/>
  <c r="G246" i="15" s="1"/>
  <c r="F246" i="15" a="1"/>
  <c r="F246" i="15" s="1"/>
  <c r="G238" i="15"/>
  <c r="F238" i="15"/>
  <c r="G230" i="15"/>
  <c r="F230" i="15"/>
  <c r="G222" i="15"/>
  <c r="F222" i="15"/>
  <c r="G214" i="15" a="1"/>
  <c r="G214" i="15" s="1"/>
  <c r="F214" i="15" a="1"/>
  <c r="F214" i="15" s="1"/>
  <c r="G206" i="15" a="1"/>
  <c r="G206" i="15" s="1"/>
  <c r="F206" i="15" a="1"/>
  <c r="F206" i="15" s="1"/>
  <c r="G198" i="15" a="1"/>
  <c r="G198" i="15" s="1"/>
  <c r="F198" i="15" a="1"/>
  <c r="F198" i="15" s="1"/>
  <c r="G190" i="15" a="1"/>
  <c r="G190" i="15" s="1"/>
  <c r="F190" i="15" a="1"/>
  <c r="F190" i="15" s="1"/>
  <c r="G182" i="15"/>
  <c r="F182" i="15"/>
  <c r="G174" i="15"/>
  <c r="F174" i="15"/>
  <c r="G166" i="15"/>
  <c r="F166" i="15"/>
  <c r="G158" i="15" a="1"/>
  <c r="G158" i="15" s="1"/>
  <c r="F158" i="15" a="1"/>
  <c r="F158" i="15" s="1"/>
  <c r="G150" i="15" a="1"/>
  <c r="G150" i="15" s="1"/>
  <c r="F150" i="15" a="1"/>
  <c r="F150" i="15" s="1"/>
  <c r="G142" i="15" a="1"/>
  <c r="G142" i="15" s="1"/>
  <c r="F142" i="15" a="1"/>
  <c r="F142" i="15" s="1"/>
  <c r="G126" i="15"/>
  <c r="F126" i="15"/>
  <c r="G118" i="15"/>
  <c r="F118" i="15"/>
  <c r="G110" i="15"/>
  <c r="F110" i="15"/>
  <c r="G94" i="15" a="1"/>
  <c r="G94" i="15" s="1"/>
  <c r="F94" i="15" a="1"/>
  <c r="F94" i="15" s="1"/>
  <c r="G86" i="15" a="1"/>
  <c r="G86" i="15" s="1"/>
  <c r="F86" i="15" a="1"/>
  <c r="F86" i="15" s="1"/>
  <c r="G78" i="15" a="1"/>
  <c r="G78" i="15" s="1"/>
  <c r="F78" i="15" a="1"/>
  <c r="F78" i="15" s="1"/>
  <c r="G70" i="15"/>
  <c r="F70" i="15"/>
  <c r="G62" i="15"/>
  <c r="F62" i="15"/>
  <c r="G54" i="15"/>
  <c r="F54" i="15"/>
  <c r="G46" i="15" a="1"/>
  <c r="G46" i="15" s="1"/>
  <c r="F46" i="15" a="1"/>
  <c r="F46" i="15" s="1"/>
  <c r="G38" i="15" a="1"/>
  <c r="G38" i="15" s="1"/>
  <c r="F38" i="15" a="1"/>
  <c r="F38" i="15" s="1"/>
  <c r="G30" i="15" a="1"/>
  <c r="G30" i="15" s="1"/>
  <c r="F30" i="15" a="1"/>
  <c r="F30" i="15" s="1"/>
  <c r="G22" i="15" a="1"/>
  <c r="G22" i="15" s="1"/>
  <c r="F22" i="15" a="1"/>
  <c r="F22" i="15" s="1"/>
  <c r="G14" i="15"/>
  <c r="F14" i="15"/>
  <c r="G253" i="15" a="1"/>
  <c r="G253" i="15" s="1"/>
  <c r="F253" i="15" a="1"/>
  <c r="F253" i="15" s="1"/>
  <c r="F113" i="15" a="1"/>
  <c r="F113" i="15" s="1"/>
  <c r="G113" i="15" a="1"/>
  <c r="G113" i="15" s="1"/>
  <c r="G167" i="15"/>
  <c r="F167" i="15"/>
  <c r="G5" i="15"/>
  <c r="F5" i="15"/>
  <c r="M5" i="15"/>
  <c r="G11" i="15" a="1"/>
  <c r="G11" i="15" s="1"/>
  <c r="F11" i="15" a="1"/>
  <c r="F11" i="15" s="1"/>
  <c r="G361" i="15" a="1"/>
  <c r="G361" i="15" s="1"/>
  <c r="F361" i="15" a="1"/>
  <c r="F361" i="15" s="1"/>
  <c r="G317" i="15" a="1"/>
  <c r="G317" i="15" s="1"/>
  <c r="F317" i="15" a="1"/>
  <c r="F317" i="15" s="1"/>
  <c r="G289" i="15" a="1"/>
  <c r="G289" i="15" s="1"/>
  <c r="F289" i="15" a="1"/>
  <c r="F289" i="15" s="1"/>
  <c r="G261" i="15" a="1"/>
  <c r="G261" i="15" s="1"/>
  <c r="F261" i="15" a="1"/>
  <c r="F261" i="15" s="1"/>
  <c r="G233" i="15" a="1"/>
  <c r="G233" i="15" s="1"/>
  <c r="F233" i="15" a="1"/>
  <c r="F233" i="15" s="1"/>
  <c r="G205" i="15" a="1"/>
  <c r="G205" i="15" s="1"/>
  <c r="F205" i="15" a="1"/>
  <c r="F205" i="15" s="1"/>
  <c r="G183" i="15" a="1"/>
  <c r="G183" i="15" s="1"/>
  <c r="F183" i="15" a="1"/>
  <c r="F183" i="15" s="1"/>
  <c r="G159" i="15"/>
  <c r="F159" i="15"/>
  <c r="G137" i="15" a="1"/>
  <c r="G137" i="15" s="1"/>
  <c r="F137" i="15" a="1"/>
  <c r="F137" i="15" s="1"/>
  <c r="F117" i="15"/>
  <c r="G117" i="15"/>
  <c r="F101" i="15" a="1"/>
  <c r="F101" i="15" s="1"/>
  <c r="G101" i="15" a="1"/>
  <c r="G101" i="15" s="1"/>
  <c r="G85" i="15" a="1"/>
  <c r="G85" i="15" s="1"/>
  <c r="F85" i="15" a="1"/>
  <c r="F85" i="15" s="1"/>
  <c r="G66" i="15" a="1"/>
  <c r="G66" i="15" s="1"/>
  <c r="F66" i="15" a="1"/>
  <c r="F66" i="15" s="1"/>
  <c r="G17" i="15" a="1"/>
  <c r="G17" i="15" s="1"/>
  <c r="F17" i="15" a="1"/>
  <c r="F17" i="15" s="1"/>
  <c r="G319" i="15" a="1"/>
  <c r="G319" i="15" s="1"/>
  <c r="F319" i="15" a="1"/>
  <c r="F319" i="15" s="1"/>
  <c r="G210" i="15"/>
  <c r="F210" i="15"/>
  <c r="G357" i="15"/>
  <c r="F357" i="15"/>
  <c r="G341" i="15"/>
  <c r="F341" i="15"/>
  <c r="G229" i="15"/>
  <c r="F229" i="15"/>
  <c r="G213" i="15" a="1"/>
  <c r="G213" i="15" s="1"/>
  <c r="F213" i="15" a="1"/>
  <c r="F213" i="15" s="1"/>
  <c r="G189" i="15"/>
  <c r="F189" i="15"/>
  <c r="G13" i="15"/>
  <c r="F13" i="15"/>
  <c r="G10" i="15" a="1"/>
  <c r="G10" i="15" s="1"/>
  <c r="F10" i="15" a="1"/>
  <c r="F10" i="15" s="1"/>
  <c r="G353" i="15" a="1"/>
  <c r="G353" i="15" s="1"/>
  <c r="F353" i="15" a="1"/>
  <c r="F353" i="15" s="1"/>
  <c r="G313" i="15"/>
  <c r="F313" i="15"/>
  <c r="G285" i="15"/>
  <c r="F285" i="15"/>
  <c r="G257" i="15"/>
  <c r="F257" i="15"/>
  <c r="G231" i="15"/>
  <c r="F231" i="15"/>
  <c r="G201" i="15"/>
  <c r="F201" i="15"/>
  <c r="G181" i="15"/>
  <c r="F181" i="15"/>
  <c r="G157" i="15" a="1"/>
  <c r="G157" i="15" s="1"/>
  <c r="F157" i="15" a="1"/>
  <c r="F157" i="15" s="1"/>
  <c r="G135" i="15" a="1"/>
  <c r="G135" i="15" s="1"/>
  <c r="F135" i="15" a="1"/>
  <c r="F135" i="15" s="1"/>
  <c r="G114" i="15" a="1"/>
  <c r="G114" i="15" s="1"/>
  <c r="F114" i="15" a="1"/>
  <c r="F114" i="15" s="1"/>
  <c r="G98" i="15"/>
  <c r="F98" i="15"/>
  <c r="G82" i="15"/>
  <c r="F82" i="15"/>
  <c r="G65" i="15" a="1"/>
  <c r="G65" i="15" s="1"/>
  <c r="F65" i="15" a="1"/>
  <c r="F65" i="15" s="1"/>
  <c r="G49" i="15"/>
  <c r="F49" i="15"/>
  <c r="G34" i="15"/>
  <c r="F34" i="15"/>
  <c r="G15" i="15" a="1"/>
  <c r="G15" i="15" s="1"/>
  <c r="F15" i="15" a="1"/>
  <c r="F15" i="15" s="1"/>
  <c r="G311" i="15" a="1"/>
  <c r="G311" i="15" s="1"/>
  <c r="F311" i="15" a="1"/>
  <c r="F311" i="15" s="1"/>
  <c r="G170" i="15" a="1"/>
  <c r="G170" i="15" s="1"/>
  <c r="F170" i="15" a="1"/>
  <c r="F170" i="15" s="1"/>
  <c r="G364" i="15"/>
  <c r="F364" i="15"/>
  <c r="G356" i="15"/>
  <c r="F356" i="15"/>
  <c r="G348" i="15"/>
  <c r="F348" i="15"/>
  <c r="G340" i="15" a="1"/>
  <c r="G340" i="15" s="1"/>
  <c r="F340" i="15" a="1"/>
  <c r="F340" i="15" s="1"/>
  <c r="G332" i="15" a="1"/>
  <c r="G332" i="15" s="1"/>
  <c r="F332" i="15" a="1"/>
  <c r="F332" i="15" s="1"/>
  <c r="G324" i="15" a="1"/>
  <c r="G324" i="15" s="1"/>
  <c r="F324" i="15" a="1"/>
  <c r="F324" i="15" s="1"/>
  <c r="G316" i="15" a="1"/>
  <c r="G316" i="15" s="1"/>
  <c r="F316" i="15" a="1"/>
  <c r="F316" i="15" s="1"/>
  <c r="G308" i="15"/>
  <c r="F308" i="15"/>
  <c r="G300" i="15"/>
  <c r="F300" i="15"/>
  <c r="G292" i="15"/>
  <c r="F292" i="15"/>
  <c r="G284" i="15" a="1"/>
  <c r="G284" i="15" s="1"/>
  <c r="F284" i="15" a="1"/>
  <c r="F284" i="15" s="1"/>
  <c r="G276" i="15" a="1"/>
  <c r="G276" i="15" s="1"/>
  <c r="F276" i="15" a="1"/>
  <c r="F276" i="15" s="1"/>
  <c r="G268" i="15" a="1"/>
  <c r="G268" i="15" s="1"/>
  <c r="F268" i="15" a="1"/>
  <c r="F268" i="15" s="1"/>
  <c r="G260" i="15" a="1"/>
  <c r="G260" i="15" s="1"/>
  <c r="F260" i="15" a="1"/>
  <c r="F260" i="15" s="1"/>
  <c r="G252" i="15"/>
  <c r="F252" i="15"/>
  <c r="G244" i="15"/>
  <c r="F244" i="15"/>
  <c r="G236" i="15"/>
  <c r="F236" i="15"/>
  <c r="G228" i="15" a="1"/>
  <c r="G228" i="15" s="1"/>
  <c r="F228" i="15" a="1"/>
  <c r="F228" i="15" s="1"/>
  <c r="G220" i="15" a="1"/>
  <c r="G220" i="15" s="1"/>
  <c r="F220" i="15" a="1"/>
  <c r="F220" i="15" s="1"/>
  <c r="G212" i="15" a="1"/>
  <c r="G212" i="15" s="1"/>
  <c r="F212" i="15" a="1"/>
  <c r="F212" i="15" s="1"/>
  <c r="G204" i="15" a="1"/>
  <c r="G204" i="15" s="1"/>
  <c r="F204" i="15" a="1"/>
  <c r="F204" i="15" s="1"/>
  <c r="G196" i="15"/>
  <c r="F196" i="15"/>
  <c r="G188" i="15"/>
  <c r="F188" i="15"/>
  <c r="G180" i="15"/>
  <c r="F180" i="15"/>
  <c r="G172" i="15" a="1"/>
  <c r="G172" i="15" s="1"/>
  <c r="F172" i="15" a="1"/>
  <c r="F172" i="15" s="1"/>
  <c r="G164" i="15" a="1"/>
  <c r="G164" i="15" s="1"/>
  <c r="F164" i="15" a="1"/>
  <c r="F164" i="15" s="1"/>
  <c r="G156" i="15" a="1"/>
  <c r="G156" i="15" s="1"/>
  <c r="F156" i="15" a="1"/>
  <c r="F156" i="15" s="1"/>
  <c r="G148" i="15" a="1"/>
  <c r="G148" i="15" s="1"/>
  <c r="F148" i="15" a="1"/>
  <c r="F148" i="15" s="1"/>
  <c r="G140" i="15"/>
  <c r="F140" i="15"/>
  <c r="G132" i="15"/>
  <c r="F132" i="15"/>
  <c r="G124" i="15"/>
  <c r="F124" i="15"/>
  <c r="G116" i="15" a="1"/>
  <c r="G116" i="15" s="1"/>
  <c r="F116" i="15" a="1"/>
  <c r="F116" i="15" s="1"/>
  <c r="G108" i="15" a="1"/>
  <c r="G108" i="15" s="1"/>
  <c r="F108" i="15" a="1"/>
  <c r="F108" i="15" s="1"/>
  <c r="G100" i="15" a="1"/>
  <c r="G100" i="15" s="1"/>
  <c r="F100" i="15" a="1"/>
  <c r="F100" i="15" s="1"/>
  <c r="G84" i="15"/>
  <c r="F84" i="15"/>
  <c r="G76" i="15"/>
  <c r="F76" i="15"/>
  <c r="G68" i="15"/>
  <c r="F68" i="15"/>
  <c r="G60" i="15" a="1"/>
  <c r="G60" i="15" s="1"/>
  <c r="F60" i="15" a="1"/>
  <c r="F60" i="15" s="1"/>
  <c r="G52" i="15" a="1"/>
  <c r="G52" i="15" s="1"/>
  <c r="F52" i="15" a="1"/>
  <c r="F52" i="15" s="1"/>
  <c r="G44" i="15" a="1"/>
  <c r="G44" i="15" s="1"/>
  <c r="F44" i="15" a="1"/>
  <c r="F44" i="15" s="1"/>
  <c r="G36" i="15" a="1"/>
  <c r="G36" i="15" s="1"/>
  <c r="F36" i="15" a="1"/>
  <c r="F36" i="15" s="1"/>
  <c r="G28" i="15"/>
  <c r="F28" i="15"/>
  <c r="G20" i="15"/>
  <c r="F20" i="15"/>
  <c r="G12" i="15"/>
  <c r="F12" i="15"/>
  <c r="GJ35" i="3"/>
  <c r="FV6" i="3"/>
  <c r="M3" i="15"/>
  <c r="AV3" i="15" s="1" a="1"/>
  <c r="AV3" i="15" s="1"/>
  <c r="GF24" i="3"/>
  <c r="GG6" i="3"/>
  <c r="GO6" i="3"/>
  <c r="FY6" i="3"/>
  <c r="BS18" i="8"/>
  <c r="BR18" i="8"/>
  <c r="AP6" i="8"/>
  <c r="AP23" i="8"/>
  <c r="CD47" i="8"/>
  <c r="CF21" i="8"/>
  <c r="CG47" i="8"/>
  <c r="CD12" i="8"/>
  <c r="W6" i="8"/>
  <c r="AE18" i="8"/>
  <c r="AD18" i="8"/>
  <c r="BF6" i="8"/>
  <c r="BF23" i="8"/>
  <c r="BK18" i="8"/>
  <c r="BJ18" i="8"/>
  <c r="CD48" i="8"/>
  <c r="CG18" i="8"/>
  <c r="BS42" i="8"/>
  <c r="AH18" i="8"/>
  <c r="BY48" i="8"/>
  <c r="AT25" i="8"/>
  <c r="AT8" i="8"/>
  <c r="AL32" i="8"/>
  <c r="E50" i="1"/>
  <c r="I32" i="3"/>
  <c r="I38" i="3"/>
  <c r="L32" i="3"/>
  <c r="L38" i="3"/>
  <c r="U32" i="3"/>
  <c r="U38" i="3"/>
  <c r="V32" i="3"/>
  <c r="Y25" i="1"/>
  <c r="AA25" i="1"/>
  <c r="X32" i="3"/>
  <c r="X38" i="3"/>
  <c r="Z32" i="3"/>
  <c r="Z38" i="3"/>
  <c r="AA32" i="3"/>
  <c r="AA38" i="3"/>
  <c r="AE32" i="3"/>
  <c r="AE38" i="3"/>
  <c r="AF32" i="3"/>
  <c r="AF38" i="3"/>
  <c r="AJ32" i="3"/>
  <c r="AN32" i="3"/>
  <c r="AY32" i="3"/>
  <c r="BC32" i="3"/>
  <c r="BD32" i="3"/>
  <c r="BH32" i="3"/>
  <c r="BH38" i="3"/>
  <c r="BF32" i="3"/>
  <c r="BJ32" i="3"/>
  <c r="BJ38" i="3"/>
  <c r="BN32" i="3"/>
  <c r="BN38" i="3"/>
  <c r="BO32" i="3"/>
  <c r="BO38" i="3"/>
  <c r="BR32" i="3"/>
  <c r="BR38" i="3"/>
  <c r="BU32" i="3"/>
  <c r="BW32" i="3"/>
  <c r="BW38" i="3"/>
  <c r="BX32" i="3"/>
  <c r="BX38" i="3"/>
  <c r="CC34" i="3"/>
  <c r="CD34" i="3"/>
  <c r="CB47" i="3"/>
  <c r="CE32" i="3"/>
  <c r="CE34" i="3"/>
  <c r="CH32" i="3"/>
  <c r="CO32" i="3"/>
  <c r="CO34" i="3"/>
  <c r="CS32" i="3"/>
  <c r="CS34" i="3"/>
  <c r="CV32" i="3"/>
  <c r="CW32" i="3"/>
  <c r="CW34" i="3"/>
  <c r="CP32" i="3"/>
  <c r="DG32" i="3"/>
  <c r="DG34" i="3"/>
  <c r="DE32" i="3"/>
  <c r="DE34" i="3"/>
  <c r="DL32" i="3"/>
  <c r="DL34" i="3"/>
  <c r="F24" i="8"/>
  <c r="S25" i="8"/>
  <c r="F46" i="8"/>
  <c r="H25" i="8"/>
  <c r="DV34" i="3"/>
  <c r="DU32" i="3"/>
  <c r="DW32" i="3"/>
  <c r="DW34" i="3"/>
  <c r="DR32" i="3"/>
  <c r="S18" i="8"/>
  <c r="N46" i="8"/>
  <c r="AI12" i="8"/>
  <c r="DZ32" i="3"/>
  <c r="DZ34" i="3"/>
  <c r="EC47" i="3"/>
  <c r="ED47" i="3"/>
  <c r="AZ26" i="8"/>
  <c r="EQ47" i="3"/>
  <c r="ER47" i="3"/>
  <c r="AB32" i="8"/>
  <c r="EU34" i="3"/>
  <c r="ES32" i="3"/>
  <c r="ES34" i="3"/>
  <c r="EY32" i="3"/>
  <c r="EY34" i="3"/>
  <c r="AW18" i="8"/>
  <c r="FB32" i="3"/>
  <c r="FB34" i="3"/>
  <c r="HP32" i="3"/>
  <c r="BS36" i="8"/>
  <c r="IK47" i="3"/>
  <c r="IY32" i="3"/>
  <c r="GM32" i="3"/>
  <c r="JT32" i="3"/>
  <c r="JT34" i="3"/>
  <c r="IM32" i="3"/>
  <c r="IM34" i="3"/>
  <c r="IM60" i="3"/>
  <c r="GO24" i="3"/>
  <c r="GG13" i="3"/>
  <c r="KB34" i="3"/>
  <c r="EU35" i="4"/>
  <c r="FB36" i="4"/>
  <c r="FL36" i="4"/>
  <c r="AF18" i="8"/>
  <c r="Z13" i="8"/>
  <c r="Z14" i="8"/>
  <c r="Q12" i="8"/>
  <c r="AX18" i="8"/>
  <c r="CB47" i="8"/>
  <c r="BT42" i="8"/>
  <c r="L6" i="8"/>
  <c r="L23" i="8"/>
  <c r="L28" i="8"/>
  <c r="L29" i="8"/>
  <c r="AS6" i="8"/>
  <c r="AS23" i="8"/>
  <c r="AS31" i="8"/>
  <c r="CD22" i="8"/>
  <c r="W22" i="8"/>
  <c r="BN47" i="8"/>
  <c r="W18" i="8"/>
  <c r="V18" i="8"/>
  <c r="BA38" i="3"/>
  <c r="BA34" i="3"/>
  <c r="BF38" i="3"/>
  <c r="BF34" i="3"/>
  <c r="N36" i="8"/>
  <c r="BP13" i="8"/>
  <c r="BP12" i="8"/>
  <c r="BP47" i="8"/>
  <c r="AW32" i="8"/>
  <c r="H25" i="1"/>
  <c r="B18" i="3"/>
  <c r="I25" i="1"/>
  <c r="H48" i="1"/>
  <c r="H50" i="1"/>
  <c r="AY34" i="3"/>
  <c r="AY38" i="3"/>
  <c r="BQ32" i="3"/>
  <c r="BQ38" i="3"/>
  <c r="CL35" i="3"/>
  <c r="CL24" i="3"/>
  <c r="CL32" i="3"/>
  <c r="FZ47" i="3"/>
  <c r="FZ32" i="3"/>
  <c r="FZ34" i="3"/>
  <c r="BV38" i="3"/>
  <c r="BV34" i="3"/>
  <c r="E25" i="1"/>
  <c r="AL38" i="3"/>
  <c r="AL34" i="3"/>
  <c r="B50" i="1"/>
  <c r="CL33" i="3"/>
  <c r="F29" i="3"/>
  <c r="F18" i="3"/>
  <c r="M44" i="1"/>
  <c r="M46" i="1"/>
  <c r="CI34" i="3"/>
  <c r="CI38" i="3"/>
  <c r="FT33" i="3"/>
  <c r="FT35" i="3"/>
  <c r="FT24" i="3"/>
  <c r="AT34" i="3"/>
  <c r="AB25" i="1"/>
  <c r="U18" i="3"/>
  <c r="U29" i="3"/>
  <c r="AN34" i="3"/>
  <c r="AN38" i="3"/>
  <c r="CA7" i="8"/>
  <c r="Y32" i="3"/>
  <c r="Y38" i="3"/>
  <c r="AS32" i="3"/>
  <c r="DK32" i="3"/>
  <c r="DK34" i="3"/>
  <c r="BH34" i="3"/>
  <c r="AW38" i="3"/>
  <c r="AW34" i="3"/>
  <c r="AB44" i="1"/>
  <c r="AP32" i="3"/>
  <c r="BD34" i="3"/>
  <c r="BD38" i="3"/>
  <c r="BJ34" i="3"/>
  <c r="BN36" i="8"/>
  <c r="IL47" i="3"/>
  <c r="IT34" i="3"/>
  <c r="AD36" i="8"/>
  <c r="C25" i="1"/>
  <c r="AB32" i="3"/>
  <c r="AB38" i="3"/>
  <c r="CR32" i="3"/>
  <c r="CR34" i="3"/>
  <c r="CU47" i="3"/>
  <c r="Q25" i="8"/>
  <c r="DY32" i="3"/>
  <c r="DY34" i="3"/>
  <c r="AX35" i="3"/>
  <c r="AX16" i="3"/>
  <c r="CM32" i="3"/>
  <c r="DC32" i="3"/>
  <c r="DC34" i="3"/>
  <c r="DS32" i="3"/>
  <c r="DS34" i="3"/>
  <c r="BQ6" i="8"/>
  <c r="BQ23" i="8"/>
  <c r="CE14" i="8"/>
  <c r="BL28" i="8"/>
  <c r="CD6" i="8"/>
  <c r="CD23" i="8"/>
  <c r="ER32" i="3"/>
  <c r="ER34" i="3"/>
  <c r="FE32" i="3"/>
  <c r="FE34" i="3"/>
  <c r="CB48" i="8"/>
  <c r="FY33" i="3"/>
  <c r="HP34" i="3"/>
  <c r="HP60" i="3"/>
  <c r="GE13" i="3"/>
  <c r="CA13" i="8"/>
  <c r="CA47" i="8"/>
  <c r="BH23" i="8"/>
  <c r="BH28" i="8"/>
  <c r="Z25" i="1"/>
  <c r="Q25" i="1"/>
  <c r="AM32" i="3"/>
  <c r="AZ32" i="3"/>
  <c r="BI32" i="3"/>
  <c r="CT34" i="3"/>
  <c r="CQ32" i="3"/>
  <c r="U18" i="8"/>
  <c r="K25" i="8"/>
  <c r="BD12" i="8"/>
  <c r="EJ47" i="3"/>
  <c r="EK47" i="3"/>
  <c r="BB46" i="8"/>
  <c r="BT36" i="8"/>
  <c r="BO36" i="8"/>
  <c r="HU34" i="3"/>
  <c r="HU60" i="3"/>
  <c r="GF13" i="3"/>
  <c r="GJ6" i="3"/>
  <c r="GJ34" i="3"/>
  <c r="CY34" i="3"/>
  <c r="CV34" i="3"/>
  <c r="O25" i="8"/>
  <c r="EC32" i="3"/>
  <c r="FC32" i="3"/>
  <c r="FC34" i="3"/>
  <c r="CD7" i="8"/>
  <c r="GM34" i="3"/>
  <c r="GB24" i="3"/>
  <c r="GB32" i="3"/>
  <c r="GB34" i="3"/>
  <c r="GB33" i="3"/>
  <c r="GB35" i="3"/>
  <c r="GL32" i="3"/>
  <c r="GL34" i="3"/>
  <c r="GH33" i="3"/>
  <c r="GH35" i="3"/>
  <c r="BW36" i="8"/>
  <c r="FV33" i="3"/>
  <c r="FV35" i="3"/>
  <c r="FV24" i="3"/>
  <c r="Y22" i="8"/>
  <c r="ED32" i="3"/>
  <c r="ED34" i="3"/>
  <c r="BO12" i="8"/>
  <c r="CA12" i="8"/>
  <c r="BZ12" i="8"/>
  <c r="CA14" i="8"/>
  <c r="AT36" i="8"/>
  <c r="EG32" i="3"/>
  <c r="EG34" i="3"/>
  <c r="EI32" i="3"/>
  <c r="EI34" i="3"/>
  <c r="EY47" i="3"/>
  <c r="BE42" i="8"/>
  <c r="IN32" i="3"/>
  <c r="IN34" i="3"/>
  <c r="IN60" i="3"/>
  <c r="FO13" i="3"/>
  <c r="FO32" i="3"/>
  <c r="FO34" i="3"/>
  <c r="GI32" i="3"/>
  <c r="GI34" i="3"/>
  <c r="GA24" i="3"/>
  <c r="G50" i="1"/>
  <c r="R44" i="1"/>
  <c r="K29" i="3"/>
  <c r="CP34" i="3"/>
  <c r="I25" i="8"/>
  <c r="I32" i="8"/>
  <c r="M25" i="1"/>
  <c r="D50" i="1"/>
  <c r="T32" i="3"/>
  <c r="T38" i="3"/>
  <c r="CU32" i="3"/>
  <c r="CU34" i="3"/>
  <c r="CK33" i="3"/>
  <c r="CK35" i="3"/>
  <c r="G42" i="8"/>
  <c r="DV47" i="3"/>
  <c r="DW47" i="3"/>
  <c r="G22" i="8"/>
  <c r="O18" i="8"/>
  <c r="N18" i="8"/>
  <c r="V36" i="8"/>
  <c r="DX32" i="3"/>
  <c r="CF18" i="8"/>
  <c r="AL24" i="8"/>
  <c r="AT46" i="8"/>
  <c r="EH32" i="3"/>
  <c r="EH34" i="3"/>
  <c r="EN32" i="3"/>
  <c r="EN34" i="3"/>
  <c r="BH32" i="8"/>
  <c r="CF48" i="8"/>
  <c r="CG42" i="8"/>
  <c r="CB7" i="8"/>
  <c r="CB6" i="8"/>
  <c r="CB23" i="8"/>
  <c r="BX36" i="8"/>
  <c r="BY36" i="8"/>
  <c r="GE24" i="3"/>
  <c r="AI32" i="3"/>
  <c r="AI38" i="3"/>
  <c r="BE32" i="3"/>
  <c r="BE34" i="3"/>
  <c r="BG32" i="3"/>
  <c r="BK32" i="3"/>
  <c r="BX34" i="3"/>
  <c r="BT32" i="3"/>
  <c r="BT34" i="3"/>
  <c r="BY32" i="3"/>
  <c r="DI32" i="3"/>
  <c r="DI34" i="3"/>
  <c r="M18" i="8"/>
  <c r="U12" i="8"/>
  <c r="BI12" i="8"/>
  <c r="BD18" i="8"/>
  <c r="CC12" i="8"/>
  <c r="AD14" i="8"/>
  <c r="BO42" i="8"/>
  <c r="FX32" i="3"/>
  <c r="FX34" i="3"/>
  <c r="JO32" i="3"/>
  <c r="GC33" i="3"/>
  <c r="GC35" i="3"/>
  <c r="JV32" i="3"/>
  <c r="KA32" i="3"/>
  <c r="KA34" i="3"/>
  <c r="IG32" i="3"/>
  <c r="IG34" i="3"/>
  <c r="IG60" i="3"/>
  <c r="IF34" i="3"/>
  <c r="IF60" i="3"/>
  <c r="IF61" i="3"/>
  <c r="IF62" i="3"/>
  <c r="GC24" i="3"/>
  <c r="FW32" i="3"/>
  <c r="FW34" i="3"/>
  <c r="GH13" i="3"/>
  <c r="GH32" i="3"/>
  <c r="GH34" i="3"/>
  <c r="FQ32" i="3"/>
  <c r="FQ34" i="3"/>
  <c r="FU32" i="3"/>
  <c r="BO25" i="8"/>
  <c r="BJ21" i="8"/>
  <c r="BT47" i="8"/>
  <c r="Z42" i="8"/>
  <c r="BF12" i="8"/>
  <c r="CB12" i="8"/>
  <c r="AX22" i="8"/>
  <c r="AX27" i="8"/>
  <c r="BW47" i="8"/>
  <c r="CC47" i="8"/>
  <c r="AK36" i="4"/>
  <c r="AS35" i="4"/>
  <c r="AJ22" i="8"/>
  <c r="U14" i="8"/>
  <c r="BY18" i="8"/>
  <c r="BO18" i="8"/>
  <c r="AH29" i="8"/>
  <c r="CD8" i="8"/>
  <c r="AG28" i="8"/>
  <c r="BA42" i="8"/>
  <c r="L47" i="8"/>
  <c r="U21" i="8"/>
  <c r="K12" i="8"/>
  <c r="Y6" i="8"/>
  <c r="Y23" i="8"/>
  <c r="AG29" i="8"/>
  <c r="AG12" i="8"/>
  <c r="AH12" i="8"/>
  <c r="BU18" i="8"/>
  <c r="AU18" i="8"/>
  <c r="AT18" i="8"/>
  <c r="AT4" i="8"/>
  <c r="BF42" i="8"/>
  <c r="BE12" i="8"/>
  <c r="BI42" i="8"/>
  <c r="BL22" i="8"/>
  <c r="BG34" i="3"/>
  <c r="BG38" i="3"/>
  <c r="AT32" i="8"/>
  <c r="BI48" i="8"/>
  <c r="BI18" i="8"/>
  <c r="N46" i="1"/>
  <c r="N48" i="1"/>
  <c r="N50" i="1"/>
  <c r="K44" i="1"/>
  <c r="D29" i="3"/>
  <c r="K25" i="1"/>
  <c r="D18" i="3"/>
  <c r="W32" i="3"/>
  <c r="W38" i="3"/>
  <c r="AW35" i="3"/>
  <c r="AW9" i="3"/>
  <c r="BP32" i="3"/>
  <c r="BP38" i="3"/>
  <c r="AC22" i="8"/>
  <c r="DD32" i="3"/>
  <c r="DD34" i="3"/>
  <c r="K22" i="8"/>
  <c r="I18" i="8"/>
  <c r="T22" i="8"/>
  <c r="T6" i="8"/>
  <c r="T23" i="8"/>
  <c r="AD19" i="8"/>
  <c r="AH32" i="8"/>
  <c r="AH48" i="8"/>
  <c r="AH24" i="8"/>
  <c r="CA42" i="8"/>
  <c r="BZ39" i="8"/>
  <c r="BL36" i="8"/>
  <c r="BJ34" i="8"/>
  <c r="GG24" i="3"/>
  <c r="GG32" i="3"/>
  <c r="GG34" i="3"/>
  <c r="GG33" i="3"/>
  <c r="GG35" i="3"/>
  <c r="BI6" i="8"/>
  <c r="BI23" i="8"/>
  <c r="BI30" i="8"/>
  <c r="BI28" i="8"/>
  <c r="BI29" i="8"/>
  <c r="I46" i="1"/>
  <c r="I48" i="1"/>
  <c r="I50" i="1"/>
  <c r="AU32" i="8"/>
  <c r="AX32" i="8"/>
  <c r="O32" i="3"/>
  <c r="CZ34" i="3"/>
  <c r="S32" i="8"/>
  <c r="O46" i="1"/>
  <c r="O48" i="1"/>
  <c r="O50" i="1"/>
  <c r="AK32" i="8"/>
  <c r="AD25" i="8"/>
  <c r="CB34" i="3"/>
  <c r="AO34" i="3"/>
  <c r="BT38" i="3"/>
  <c r="M48" i="1"/>
  <c r="M50" i="1"/>
  <c r="AR32" i="3"/>
  <c r="O32" i="8"/>
  <c r="N13" i="8"/>
  <c r="E18" i="3"/>
  <c r="L44" i="1"/>
  <c r="E29" i="3"/>
  <c r="L25" i="1"/>
  <c r="V18" i="3"/>
  <c r="AC25" i="1"/>
  <c r="BN6" i="8"/>
  <c r="BN23" i="8"/>
  <c r="BN22" i="8"/>
  <c r="BN27" i="8"/>
  <c r="AZ32" i="8"/>
  <c r="BC34" i="3"/>
  <c r="BC38" i="3"/>
  <c r="T46" i="1"/>
  <c r="T48" i="1"/>
  <c r="T50" i="1"/>
  <c r="X48" i="1"/>
  <c r="X50" i="1"/>
  <c r="X46" i="1"/>
  <c r="J47" i="8"/>
  <c r="I48" i="8"/>
  <c r="Z47" i="8"/>
  <c r="AV32" i="3"/>
  <c r="G25" i="8"/>
  <c r="F21" i="8"/>
  <c r="AU38" i="3"/>
  <c r="Q48" i="1"/>
  <c r="Q50" i="1"/>
  <c r="Q46" i="1"/>
  <c r="F44" i="1"/>
  <c r="F25" i="1"/>
  <c r="G29" i="3"/>
  <c r="G18" i="3"/>
  <c r="N25" i="1"/>
  <c r="CF47" i="3"/>
  <c r="CG47" i="3"/>
  <c r="CH47" i="3"/>
  <c r="CI47" i="3"/>
  <c r="CJ47" i="3"/>
  <c r="CF32" i="3"/>
  <c r="CM34" i="3"/>
  <c r="CM38" i="3"/>
  <c r="K32" i="8"/>
  <c r="AI6" i="8"/>
  <c r="AI23" i="8"/>
  <c r="BM12" i="8"/>
  <c r="CC18" i="8"/>
  <c r="BU8" i="8"/>
  <c r="BW8" i="8"/>
  <c r="BW9" i="8"/>
  <c r="BW25" i="8"/>
  <c r="BW6" i="8"/>
  <c r="BW23" i="8"/>
  <c r="CG8" i="8"/>
  <c r="CG6" i="8"/>
  <c r="CG23" i="8"/>
  <c r="J25" i="8"/>
  <c r="J48" i="1"/>
  <c r="J50" i="1"/>
  <c r="CW47" i="3"/>
  <c r="DB32" i="3"/>
  <c r="DB34" i="3"/>
  <c r="DN32" i="3"/>
  <c r="DN34" i="3"/>
  <c r="AP28" i="8"/>
  <c r="BL29" i="8"/>
  <c r="AO32" i="8"/>
  <c r="AW22" i="8"/>
  <c r="AW26" i="8"/>
  <c r="BL47" i="8"/>
  <c r="BL12" i="8"/>
  <c r="BU48" i="8"/>
  <c r="BU19" i="8"/>
  <c r="CL27" i="3"/>
  <c r="DR34" i="3"/>
  <c r="W13" i="8"/>
  <c r="W14" i="8"/>
  <c r="V46" i="8"/>
  <c r="AF22" i="8"/>
  <c r="DX34" i="3"/>
  <c r="AA42" i="8"/>
  <c r="BL6" i="8"/>
  <c r="BL23" i="8"/>
  <c r="BL31" i="8"/>
  <c r="BP14" i="8"/>
  <c r="CC8" i="8"/>
  <c r="AP42" i="8"/>
  <c r="FF32" i="3"/>
  <c r="FF34" i="3"/>
  <c r="BC32" i="8"/>
  <c r="S32" i="3"/>
  <c r="S38" i="3"/>
  <c r="R18" i="3"/>
  <c r="DP47" i="3"/>
  <c r="DP32" i="3"/>
  <c r="DP34" i="3"/>
  <c r="U8" i="8"/>
  <c r="N8" i="8"/>
  <c r="P25" i="8"/>
  <c r="X13" i="8"/>
  <c r="X12" i="8"/>
  <c r="BK28" i="8"/>
  <c r="CE8" i="8"/>
  <c r="CE9" i="8"/>
  <c r="CB28" i="8"/>
  <c r="AQ6" i="8"/>
  <c r="AQ23" i="8"/>
  <c r="AQ30" i="8"/>
  <c r="AY37" i="8"/>
  <c r="AZ37" i="8"/>
  <c r="AV42" i="8"/>
  <c r="BB24" i="8"/>
  <c r="FY35" i="3"/>
  <c r="GC13" i="3"/>
  <c r="DH47" i="3"/>
  <c r="DI47" i="3"/>
  <c r="DH32" i="3"/>
  <c r="DH34" i="3"/>
  <c r="CB21" i="8"/>
  <c r="EE34" i="3"/>
  <c r="BS19" i="8"/>
  <c r="BS21" i="8"/>
  <c r="BR21" i="8"/>
  <c r="BS48" i="8"/>
  <c r="BS47" i="8"/>
  <c r="BR10" i="8"/>
  <c r="BS12" i="8"/>
  <c r="BR12" i="8"/>
  <c r="CF47" i="8"/>
  <c r="CF13" i="8"/>
  <c r="FN13" i="3"/>
  <c r="FN32" i="3"/>
  <c r="FN34" i="3"/>
  <c r="FN33" i="3"/>
  <c r="FN35" i="3"/>
  <c r="GK32" i="3"/>
  <c r="GK34" i="3"/>
  <c r="U25" i="1"/>
  <c r="N18" i="3"/>
  <c r="F32" i="3"/>
  <c r="F38" i="3"/>
  <c r="CN32" i="3"/>
  <c r="CN34" i="3"/>
  <c r="DA32" i="3"/>
  <c r="DA34" i="3"/>
  <c r="CX32" i="3"/>
  <c r="CX34" i="3"/>
  <c r="DJ32" i="3"/>
  <c r="DJ34" i="3"/>
  <c r="F36" i="8"/>
  <c r="K18" i="8"/>
  <c r="AH28" i="8"/>
  <c r="AK28" i="8"/>
  <c r="AK29" i="8"/>
  <c r="AC6" i="8"/>
  <c r="AC23" i="8"/>
  <c r="O42" i="8"/>
  <c r="Z19" i="8"/>
  <c r="Z18" i="8"/>
  <c r="AD16" i="8"/>
  <c r="AK18" i="8"/>
  <c r="EA32" i="3"/>
  <c r="EA34" i="3"/>
  <c r="CB29" i="8"/>
  <c r="AI42" i="8"/>
  <c r="CE6" i="8"/>
  <c r="CE23" i="8"/>
  <c r="BW12" i="8"/>
  <c r="BW14" i="8"/>
  <c r="BV8" i="8"/>
  <c r="BV9" i="8"/>
  <c r="BV25" i="8"/>
  <c r="BV6" i="8"/>
  <c r="BV23" i="8"/>
  <c r="EW32" i="3"/>
  <c r="EW34" i="3"/>
  <c r="BS13" i="8"/>
  <c r="BS15" i="8"/>
  <c r="Q32" i="3"/>
  <c r="Q38" i="3"/>
  <c r="CQ34" i="3"/>
  <c r="DF32" i="3"/>
  <c r="DF34" i="3"/>
  <c r="F9" i="8"/>
  <c r="V4" i="8"/>
  <c r="N41" i="8"/>
  <c r="EF34" i="3"/>
  <c r="EP32" i="3"/>
  <c r="EP34" i="3"/>
  <c r="BC12" i="8"/>
  <c r="BB12" i="8"/>
  <c r="BC47" i="8"/>
  <c r="BP48" i="8"/>
  <c r="BC22" i="8"/>
  <c r="BX48" i="8"/>
  <c r="BX19" i="8"/>
  <c r="BX18" i="8"/>
  <c r="BX47" i="8"/>
  <c r="BX13" i="8"/>
  <c r="BX15" i="8"/>
  <c r="GA13" i="3"/>
  <c r="GA33" i="3"/>
  <c r="GA35" i="3"/>
  <c r="R32" i="3"/>
  <c r="R38" i="3"/>
  <c r="N20" i="8"/>
  <c r="G12" i="8"/>
  <c r="F12" i="8"/>
  <c r="F15" i="8"/>
  <c r="DU34" i="3"/>
  <c r="EB32" i="3"/>
  <c r="EB34" i="3"/>
  <c r="EC34" i="3"/>
  <c r="X42" i="8"/>
  <c r="CA8" i="8"/>
  <c r="AT24" i="8"/>
  <c r="AD24" i="8"/>
  <c r="AD20" i="8"/>
  <c r="AY22" i="8"/>
  <c r="AY12" i="8"/>
  <c r="BL32" i="8"/>
  <c r="FS33" i="3"/>
  <c r="FS35" i="3"/>
  <c r="GO13" i="3"/>
  <c r="GO33" i="3"/>
  <c r="GO35" i="3"/>
  <c r="FU34" i="3"/>
  <c r="X18" i="8"/>
  <c r="AI18" i="8"/>
  <c r="AE32" i="8"/>
  <c r="BH29" i="8"/>
  <c r="AL46" i="8"/>
  <c r="EL32" i="3"/>
  <c r="EL34" i="3"/>
  <c r="EX34" i="3"/>
  <c r="BR41" i="8"/>
  <c r="HG34" i="3"/>
  <c r="GX32" i="3"/>
  <c r="GX34" i="3"/>
  <c r="L18" i="8"/>
  <c r="M25" i="8"/>
  <c r="M32" i="8"/>
  <c r="BA18" i="8"/>
  <c r="AZ27" i="8"/>
  <c r="AT41" i="8"/>
  <c r="EO32" i="3"/>
  <c r="EO34" i="3"/>
  <c r="EQ32" i="3"/>
  <c r="EQ34" i="3"/>
  <c r="BB25" i="8"/>
  <c r="FE47" i="3"/>
  <c r="FF47" i="3"/>
  <c r="FA32" i="3"/>
  <c r="FA34" i="3"/>
  <c r="GF33" i="3"/>
  <c r="GF35" i="3"/>
  <c r="FP32" i="3"/>
  <c r="FP34" i="3"/>
  <c r="IG61" i="3"/>
  <c r="IG62" i="3"/>
  <c r="EZ32" i="3"/>
  <c r="BN42" i="8"/>
  <c r="FT32" i="3"/>
  <c r="JS32" i="3"/>
  <c r="JS34" i="3"/>
  <c r="M12" i="8"/>
  <c r="P12" i="8"/>
  <c r="DT32" i="3"/>
  <c r="DT34" i="3"/>
  <c r="DQ32" i="3"/>
  <c r="DQ34" i="3"/>
  <c r="AN18" i="8"/>
  <c r="AU29" i="8"/>
  <c r="EV32" i="3"/>
  <c r="EV34" i="3"/>
  <c r="BB36" i="8"/>
  <c r="BP42" i="8"/>
  <c r="BQ42" i="8"/>
  <c r="BJ41" i="8"/>
  <c r="BR35" i="8"/>
  <c r="BP36" i="8"/>
  <c r="BQ36" i="8"/>
  <c r="HE32" i="3"/>
  <c r="HE34" i="3"/>
  <c r="FY32" i="3"/>
  <c r="JZ32" i="3"/>
  <c r="JZ34" i="3"/>
  <c r="BZ36" i="8"/>
  <c r="CD42" i="8"/>
  <c r="CE42" i="8"/>
  <c r="FL47" i="3"/>
  <c r="IH27" i="3"/>
  <c r="IF36" i="3"/>
  <c r="II36" i="3"/>
  <c r="BJ46" i="8"/>
  <c r="FW33" i="3"/>
  <c r="FW35" i="3"/>
  <c r="GJ32" i="3"/>
  <c r="AD32" i="8"/>
  <c r="R48" i="1"/>
  <c r="R50" i="1"/>
  <c r="R46" i="1"/>
  <c r="J32" i="8"/>
  <c r="L26" i="8"/>
  <c r="L27" i="8"/>
  <c r="L32" i="8"/>
  <c r="L30" i="8"/>
  <c r="L31" i="8"/>
  <c r="AS32" i="8"/>
  <c r="I29" i="3"/>
  <c r="P25" i="1"/>
  <c r="P44" i="1"/>
  <c r="V25" i="1"/>
  <c r="O18" i="3"/>
  <c r="CL38" i="3"/>
  <c r="CL34" i="3"/>
  <c r="CE38" i="3"/>
  <c r="I18" i="3"/>
  <c r="F48" i="1"/>
  <c r="F50" i="1"/>
  <c r="F46" i="1"/>
  <c r="CJ34" i="3"/>
  <c r="CJ38" i="3"/>
  <c r="H32" i="8"/>
  <c r="K18" i="3"/>
  <c r="R25" i="1"/>
  <c r="Y46" i="1"/>
  <c r="Y48" i="1"/>
  <c r="Y50" i="1"/>
  <c r="CH38" i="3"/>
  <c r="CH34" i="3"/>
  <c r="E46" i="1"/>
  <c r="AZ28" i="8"/>
  <c r="CD38" i="3"/>
  <c r="BW34" i="3"/>
  <c r="U48" i="1"/>
  <c r="U50" i="1"/>
  <c r="B25" i="1"/>
  <c r="W48" i="8"/>
  <c r="W20" i="8"/>
  <c r="AS30" i="8"/>
  <c r="AK34" i="3"/>
  <c r="D25" i="1"/>
  <c r="G25" i="1"/>
  <c r="C18" i="3"/>
  <c r="J25" i="1"/>
  <c r="V44" i="1"/>
  <c r="P32" i="8"/>
  <c r="R29" i="3"/>
  <c r="AC44" i="1"/>
  <c r="CL47" i="3"/>
  <c r="CM47" i="3"/>
  <c r="CN47" i="3"/>
  <c r="Q32" i="8"/>
  <c r="AD11" i="8"/>
  <c r="N19" i="8"/>
  <c r="AK12" i="8"/>
  <c r="X22" i="8"/>
  <c r="AG6" i="8"/>
  <c r="AG23" i="8"/>
  <c r="AY18" i="8"/>
  <c r="AY29" i="8"/>
  <c r="AY28" i="8"/>
  <c r="HS34" i="3"/>
  <c r="HS60" i="3"/>
  <c r="T14" i="8"/>
  <c r="T15" i="8"/>
  <c r="AB6" i="8"/>
  <c r="AB23" i="8"/>
  <c r="AN37" i="8"/>
  <c r="AO37" i="8"/>
  <c r="AP37" i="8"/>
  <c r="AQ37" i="8"/>
  <c r="AR37" i="8"/>
  <c r="AL36" i="8"/>
  <c r="BE6" i="8"/>
  <c r="BE23" i="8"/>
  <c r="BE29" i="8"/>
  <c r="BE28" i="8"/>
  <c r="BK12" i="8"/>
  <c r="BK29" i="8"/>
  <c r="BZ5" i="8"/>
  <c r="CF8" i="8"/>
  <c r="CF6" i="8"/>
  <c r="CF23" i="8"/>
  <c r="BY8" i="8"/>
  <c r="BY6" i="8"/>
  <c r="BY23" i="8"/>
  <c r="AT40" i="8"/>
  <c r="CK38" i="3"/>
  <c r="AI28" i="8"/>
  <c r="BK48" i="8"/>
  <c r="BJ16" i="8"/>
  <c r="FS32" i="3"/>
  <c r="FS34" i="3"/>
  <c r="FS47" i="3"/>
  <c r="FT47" i="3"/>
  <c r="AM6" i="8"/>
  <c r="AR29" i="8"/>
  <c r="AV12" i="8"/>
  <c r="BC42" i="8"/>
  <c r="AQ18" i="8"/>
  <c r="AQ28" i="8"/>
  <c r="BD6" i="8"/>
  <c r="BD23" i="8"/>
  <c r="BQ20" i="8"/>
  <c r="BQ21" i="8"/>
  <c r="BQ18" i="8"/>
  <c r="BT6" i="8"/>
  <c r="BT23" i="8"/>
  <c r="AS18" i="8"/>
  <c r="BI22" i="8"/>
  <c r="BI27" i="8"/>
  <c r="BI47" i="8"/>
  <c r="AR22" i="8"/>
  <c r="AL4" i="8"/>
  <c r="AR6" i="8"/>
  <c r="AR23" i="8"/>
  <c r="BE47" i="8"/>
  <c r="BG48" i="8"/>
  <c r="EZ34" i="3"/>
  <c r="BY21" i="8"/>
  <c r="CE13" i="8"/>
  <c r="CE15" i="8"/>
  <c r="BZ10" i="8"/>
  <c r="CE22" i="8"/>
  <c r="CE47" i="8"/>
  <c r="CB18" i="8"/>
  <c r="BD22" i="8"/>
  <c r="BB41" i="8"/>
  <c r="FD34" i="3"/>
  <c r="CE19" i="8"/>
  <c r="CE24" i="8"/>
  <c r="CE48" i="8"/>
  <c r="HM32" i="3"/>
  <c r="HM34" i="3"/>
  <c r="HM60" i="3"/>
  <c r="HM47" i="3"/>
  <c r="CD18" i="8"/>
  <c r="EM32" i="3"/>
  <c r="EM34" i="3"/>
  <c r="BW19" i="8"/>
  <c r="BW22" i="8"/>
  <c r="BY47" i="8"/>
  <c r="BY13" i="8"/>
  <c r="BY22" i="8"/>
  <c r="BY7" i="8"/>
  <c r="BY9" i="8"/>
  <c r="BY25" i="8"/>
  <c r="BR33" i="8"/>
  <c r="BU36" i="8"/>
  <c r="BR34" i="8"/>
  <c r="BV36" i="8"/>
  <c r="GO32" i="3"/>
  <c r="GD33" i="3"/>
  <c r="GD35" i="3"/>
  <c r="GD13" i="3"/>
  <c r="GD32" i="3"/>
  <c r="GD34" i="3"/>
  <c r="BJ38" i="8"/>
  <c r="BM42" i="8"/>
  <c r="BV13" i="8"/>
  <c r="BV47" i="8"/>
  <c r="BJ33" i="8"/>
  <c r="BK36" i="8"/>
  <c r="BJ35" i="8"/>
  <c r="BM36" i="8"/>
  <c r="BN37" i="8"/>
  <c r="BO37" i="8"/>
  <c r="FO33" i="3"/>
  <c r="FO35" i="3"/>
  <c r="JB47" i="3"/>
  <c r="JB32" i="3"/>
  <c r="JB34" i="3"/>
  <c r="GN47" i="3"/>
  <c r="GN32" i="3"/>
  <c r="GN34" i="3"/>
  <c r="BQ19" i="8"/>
  <c r="BJ19" i="8"/>
  <c r="BQ48" i="8"/>
  <c r="BF22" i="8"/>
  <c r="BO22" i="8"/>
  <c r="BO27" i="8"/>
  <c r="CC19" i="8"/>
  <c r="CF7" i="8"/>
  <c r="CF24" i="8"/>
  <c r="CF27" i="8"/>
  <c r="CF22" i="8"/>
  <c r="BR46" i="8"/>
  <c r="FV13" i="3"/>
  <c r="FV32" i="3"/>
  <c r="FV34" i="3"/>
  <c r="BK22" i="8"/>
  <c r="CG7" i="8"/>
  <c r="AC36" i="4"/>
  <c r="BY35" i="4"/>
  <c r="CW36" i="4"/>
  <c r="CG35" i="4"/>
  <c r="CG36" i="4"/>
  <c r="FB35" i="4"/>
  <c r="DN35" i="4"/>
  <c r="EY36" i="4"/>
  <c r="FD36" i="4"/>
  <c r="FE36" i="4"/>
  <c r="FD35" i="4"/>
  <c r="DF36" i="4"/>
  <c r="DE36" i="4"/>
  <c r="CV35" i="4"/>
  <c r="CO35" i="4" s="1"/>
  <c r="DD35" i="4"/>
  <c r="CW35" i="4"/>
  <c r="DL35" i="4"/>
  <c r="EB35" i="4"/>
  <c r="EU36" i="4"/>
  <c r="FE35" i="4"/>
  <c r="FT36" i="4"/>
  <c r="Q3" i="15" a="1"/>
  <c r="Q3" i="15" s="1"/>
  <c r="O3" i="15" a="1"/>
  <c r="O3" i="15" s="1"/>
  <c r="T3" i="15" s="1"/>
  <c r="M4" i="15"/>
  <c r="Q4" i="15" s="1" a="1"/>
  <c r="Q4" i="15" s="1"/>
  <c r="V4" i="15" s="1"/>
  <c r="R3" i="15" a="1"/>
  <c r="R3" i="15" s="1"/>
  <c r="W3" i="15" s="1"/>
  <c r="FY34" i="3"/>
  <c r="GF32" i="3"/>
  <c r="GF34" i="3"/>
  <c r="GO34" i="3"/>
  <c r="E15" i="4"/>
  <c r="F35" i="4"/>
  <c r="J13" i="4"/>
  <c r="J35" i="4"/>
  <c r="E16" i="4"/>
  <c r="F36" i="4"/>
  <c r="J36" i="4"/>
  <c r="G36" i="4"/>
  <c r="E36" i="4" s="1"/>
  <c r="I36" i="4"/>
  <c r="G35" i="4"/>
  <c r="I35" i="4"/>
  <c r="I13" i="4"/>
  <c r="K36" i="4"/>
  <c r="H36" i="4"/>
  <c r="H35" i="4"/>
  <c r="K13" i="4"/>
  <c r="K35" i="4"/>
  <c r="GA32" i="3"/>
  <c r="GA34" i="3"/>
  <c r="GC32" i="3"/>
  <c r="GC34" i="3"/>
  <c r="BN26" i="8"/>
  <c r="AX26" i="8"/>
  <c r="W47" i="8"/>
  <c r="EH36" i="4"/>
  <c r="EH35" i="4"/>
  <c r="EI35" i="4"/>
  <c r="EI36" i="4"/>
  <c r="EJ35" i="4"/>
  <c r="EG35" i="4"/>
  <c r="EV36" i="4"/>
  <c r="BU34" i="3"/>
  <c r="BU38" i="3"/>
  <c r="FK36" i="4"/>
  <c r="ET36" i="4"/>
  <c r="ES36" i="4" s="1"/>
  <c r="BV28" i="8"/>
  <c r="V14" i="8"/>
  <c r="FM47" i="3"/>
  <c r="FN47" i="3"/>
  <c r="GA47" i="3"/>
  <c r="BI34" i="3"/>
  <c r="BI38" i="3"/>
  <c r="Z29" i="8"/>
  <c r="AZ38" i="3"/>
  <c r="AZ34" i="3"/>
  <c r="G32" i="8"/>
  <c r="BY38" i="3"/>
  <c r="BY34" i="3"/>
  <c r="AM34" i="3"/>
  <c r="AM38" i="3"/>
  <c r="GG47" i="3"/>
  <c r="GH47" i="3"/>
  <c r="BJ36" i="8"/>
  <c r="W24" i="8"/>
  <c r="GE32" i="3"/>
  <c r="GE34" i="3"/>
  <c r="AS38" i="3"/>
  <c r="AS34" i="3"/>
  <c r="AP38" i="3"/>
  <c r="AP34" i="3"/>
  <c r="BK34" i="3"/>
  <c r="BK38" i="3"/>
  <c r="AB48" i="1"/>
  <c r="AB50" i="1"/>
  <c r="AB46" i="1"/>
  <c r="AW27" i="8"/>
  <c r="L46" i="1"/>
  <c r="L48" i="1"/>
  <c r="L50" i="1"/>
  <c r="K48" i="1"/>
  <c r="K50" i="1"/>
  <c r="K46" i="1"/>
  <c r="BW15" i="8"/>
  <c r="CF38" i="3"/>
  <c r="CF34" i="3"/>
  <c r="AV34" i="3"/>
  <c r="AV38" i="3"/>
  <c r="AQ31" i="8"/>
  <c r="F25" i="8"/>
  <c r="F32" i="8"/>
  <c r="BB32" i="8"/>
  <c r="AR34" i="3"/>
  <c r="AR38" i="3"/>
  <c r="CE25" i="8"/>
  <c r="EV35" i="4"/>
  <c r="BI26" i="8"/>
  <c r="BE30" i="8"/>
  <c r="BE31" i="8"/>
  <c r="V48" i="1"/>
  <c r="V50" i="1"/>
  <c r="V46" i="1"/>
  <c r="P48" i="1"/>
  <c r="P50" i="1"/>
  <c r="P46" i="1"/>
  <c r="BO26" i="8"/>
  <c r="BR36" i="8"/>
  <c r="BD27" i="8"/>
  <c r="BD26" i="8"/>
  <c r="BV15" i="8"/>
  <c r="AC48" i="1"/>
  <c r="AC50" i="1"/>
  <c r="AC46" i="1"/>
  <c r="FG36" i="4"/>
  <c r="FG35" i="4"/>
  <c r="FR36" i="4"/>
  <c r="EY35" i="4"/>
  <c r="FC35" i="4"/>
  <c r="FC36" i="4"/>
  <c r="FA36" i="4" s="1"/>
  <c r="EW35" i="4"/>
  <c r="EW36" i="4"/>
  <c r="EX35" i="4"/>
  <c r="DF35" i="4"/>
  <c r="DE35" i="4" s="1"/>
  <c r="FO36" i="4"/>
  <c r="FO35" i="4"/>
  <c r="FJ36" i="4"/>
  <c r="FK35" i="4"/>
  <c r="DN36" i="4"/>
  <c r="EX36" i="4"/>
  <c r="FS36" i="4"/>
  <c r="FJ35" i="4"/>
  <c r="FF35" i="4"/>
  <c r="DT35" i="4"/>
  <c r="FN36" i="4"/>
  <c r="FR35" i="4"/>
  <c r="FQ35" i="4"/>
  <c r="FF36" i="4"/>
  <c r="ET35" i="4"/>
  <c r="JS41" i="3"/>
  <c r="R4" i="15" a="1"/>
  <c r="R4" i="15" s="1"/>
  <c r="O4" i="15" a="1"/>
  <c r="O4" i="15" s="1"/>
  <c r="T4" i="15" s="1"/>
  <c r="AV5" i="15" a="1"/>
  <c r="AV5" i="15" s="1"/>
  <c r="E24" i="21" s="1"/>
  <c r="M6" i="15"/>
  <c r="AV6" i="15" s="1" a="1"/>
  <c r="AV6" i="15" s="1"/>
  <c r="F24" i="21" s="1"/>
  <c r="JZ41" i="3"/>
  <c r="R5" i="15" a="1"/>
  <c r="R5" i="15" s="1"/>
  <c r="E16" i="21" s="1"/>
  <c r="AU5" i="15" a="1"/>
  <c r="AU5" i="15" s="1"/>
  <c r="Q5" i="15" a="1"/>
  <c r="Q5" i="15" s="1"/>
  <c r="E10" i="21" s="1"/>
  <c r="E15" i="21"/>
  <c r="AK5" i="15" s="1"/>
  <c r="E21" i="21"/>
  <c r="AL5" i="15" s="1"/>
  <c r="JT41" i="3"/>
  <c r="KA41" i="3"/>
  <c r="M201" i="15"/>
  <c r="M180" i="15"/>
  <c r="M181" i="15" s="1"/>
  <c r="AU181" i="15" s="1" a="1"/>
  <c r="AU181" i="15" s="1"/>
  <c r="M124" i="15"/>
  <c r="Q124" i="15" s="1" a="1"/>
  <c r="Q124" i="15" s="1"/>
  <c r="M243" i="15"/>
  <c r="AV243" i="15" s="1" a="1"/>
  <c r="AV243" i="15" s="1"/>
  <c r="M313" i="15"/>
  <c r="AU313" i="15" s="1" a="1"/>
  <c r="AU313" i="15" s="1"/>
  <c r="JU41" i="3"/>
  <c r="KB41" i="3"/>
  <c r="F21" i="21"/>
  <c r="AL6" i="15" s="1"/>
  <c r="F9" i="21"/>
  <c r="AI6" i="15" s="1"/>
  <c r="F15" i="21"/>
  <c r="AK6" i="15" s="1"/>
  <c r="E9" i="21"/>
  <c r="AI5" i="15" s="1"/>
  <c r="M26" i="15"/>
  <c r="Q26" i="15" s="1" a="1"/>
  <c r="Q26" i="15" s="1"/>
  <c r="M19" i="15"/>
  <c r="AU19" i="15" s="1" a="1"/>
  <c r="AU19" i="15" s="1"/>
  <c r="M75" i="15"/>
  <c r="AU75" i="15" s="1" a="1"/>
  <c r="AU75" i="15" s="1"/>
  <c r="M33" i="15"/>
  <c r="R33" i="15" s="1" a="1"/>
  <c r="R33" i="15" s="1"/>
  <c r="M96" i="15"/>
  <c r="AV96" i="15" s="1" a="1"/>
  <c r="AV96" i="15" s="1"/>
  <c r="M236" i="15"/>
  <c r="M40" i="15"/>
  <c r="Q40" i="15" s="1" a="1"/>
  <c r="Q40" i="15" s="1"/>
  <c r="M117" i="15"/>
  <c r="M110" i="15"/>
  <c r="AU110" i="15" s="1" a="1"/>
  <c r="AU110" i="15" s="1"/>
  <c r="M285" i="15"/>
  <c r="M286" i="15" s="1"/>
  <c r="M47" i="15"/>
  <c r="AU47" i="15" s="1" a="1"/>
  <c r="AU47" i="15" s="1"/>
  <c r="M12" i="15"/>
  <c r="H12" i="15" s="1" a="1"/>
  <c r="H12" i="15" s="1"/>
  <c r="M348" i="15"/>
  <c r="M349" i="15" s="1"/>
  <c r="M292" i="15"/>
  <c r="M320" i="15"/>
  <c r="AV320" i="15" s="1" a="1"/>
  <c r="AV320" i="15" s="1"/>
  <c r="M222" i="15"/>
  <c r="M82" i="15"/>
  <c r="AU82" i="15" s="1" a="1"/>
  <c r="AU82" i="15" s="1"/>
  <c r="M61" i="15"/>
  <c r="AU61" i="15" s="1" a="1"/>
  <c r="AU61" i="15" s="1"/>
  <c r="M194" i="15"/>
  <c r="AV194" i="15" s="1" a="1"/>
  <c r="AV194" i="15" s="1"/>
  <c r="M54" i="15"/>
  <c r="M55" i="15" s="1"/>
  <c r="M138" i="15"/>
  <c r="R138" i="15" s="1" a="1"/>
  <c r="R138" i="15" s="1"/>
  <c r="M264" i="15"/>
  <c r="M265" i="15" s="1"/>
  <c r="AU180" i="15" a="1"/>
  <c r="AU180" i="15" s="1"/>
  <c r="M173" i="15"/>
  <c r="AU173" i="15" s="1" a="1"/>
  <c r="AU173" i="15" s="1"/>
  <c r="M89" i="15"/>
  <c r="AU89" i="15" s="1" a="1"/>
  <c r="AU89" i="15" s="1"/>
  <c r="M271" i="15"/>
  <c r="M257" i="15"/>
  <c r="R257" i="15" s="1" a="1"/>
  <c r="R257" i="15" s="1"/>
  <c r="M187" i="15"/>
  <c r="AU187" i="15" s="1" a="1"/>
  <c r="AU187" i="15" s="1"/>
  <c r="M131" i="15"/>
  <c r="M132" i="15" s="1"/>
  <c r="M278" i="15"/>
  <c r="AU278" i="15" s="1" a="1"/>
  <c r="AU278" i="15" s="1"/>
  <c r="M334" i="15"/>
  <c r="M335" i="15" s="1"/>
  <c r="AV335" i="15" s="1" a="1"/>
  <c r="AV335" i="15" s="1"/>
  <c r="M103" i="15"/>
  <c r="M215" i="15"/>
  <c r="I215" i="15" s="1" a="1"/>
  <c r="I215" i="15" s="1"/>
  <c r="M152" i="15"/>
  <c r="AU152" i="15" s="1" a="1"/>
  <c r="AU152" i="15" s="1"/>
  <c r="M145" i="15"/>
  <c r="Q145" i="15" s="1" a="1"/>
  <c r="Q145" i="15" s="1"/>
  <c r="M327" i="15"/>
  <c r="O327" i="15" s="1" a="1"/>
  <c r="O327" i="15" s="1"/>
  <c r="M159" i="15"/>
  <c r="M160" i="15" s="1"/>
  <c r="M161" i="15" s="1"/>
  <c r="R161" i="15" s="1" a="1"/>
  <c r="R161" i="15" s="1"/>
  <c r="M208" i="15"/>
  <c r="Q208" i="15" s="1" a="1"/>
  <c r="Q208" i="15" s="1"/>
  <c r="M341" i="15"/>
  <c r="M342" i="15" s="1"/>
  <c r="I342" i="15" s="1" a="1"/>
  <c r="I342" i="15" s="1"/>
  <c r="M306" i="15"/>
  <c r="M250" i="15"/>
  <c r="R250" i="15" s="1" a="1"/>
  <c r="R250" i="15" s="1"/>
  <c r="M166" i="15"/>
  <c r="AU166" i="15" s="1" a="1"/>
  <c r="AU166" i="15" s="1"/>
  <c r="M229" i="15"/>
  <c r="AV229" i="15" s="1" a="1"/>
  <c r="AV229" i="15" s="1"/>
  <c r="M355" i="15"/>
  <c r="AU355" i="15" s="1" a="1"/>
  <c r="AU355" i="15" s="1"/>
  <c r="M362" i="15"/>
  <c r="AU362" i="15" s="1" a="1"/>
  <c r="AU362" i="15" s="1"/>
  <c r="M299" i="15"/>
  <c r="M34" i="15"/>
  <c r="M62" i="15"/>
  <c r="Q62" i="15" s="1" a="1"/>
  <c r="Q62" i="15" s="1"/>
  <c r="G21" i="21"/>
  <c r="G15" i="21"/>
  <c r="AV12" i="15" a="1"/>
  <c r="AV12" i="15" s="1"/>
  <c r="Q33" i="15" a="1"/>
  <c r="Q33" i="15" s="1"/>
  <c r="AV33" i="15" a="1"/>
  <c r="AV33" i="15" s="1"/>
  <c r="AV54" i="15" a="1"/>
  <c r="AV54" i="15" s="1"/>
  <c r="AU33" i="15" a="1"/>
  <c r="AU33" i="15" s="1"/>
  <c r="Q12" i="15" a="1"/>
  <c r="Q12" i="15" s="1"/>
  <c r="R12" i="15" a="1"/>
  <c r="R12" i="15" s="1"/>
  <c r="AU12" i="15" a="1"/>
  <c r="AU12" i="15" s="1"/>
  <c r="R173" i="15" a="1"/>
  <c r="R173" i="15" s="1"/>
  <c r="AU54" i="15" a="1"/>
  <c r="AU54" i="15" s="1"/>
  <c r="O54" i="15" a="1"/>
  <c r="O54" i="15" s="1"/>
  <c r="R54" i="15" a="1"/>
  <c r="R54" i="15" s="1"/>
  <c r="Q54" i="15" a="1"/>
  <c r="Q54" i="15" s="1"/>
  <c r="M68" i="15"/>
  <c r="Q68" i="15" s="1" a="1"/>
  <c r="Q68" i="15" s="1"/>
  <c r="R55" i="15" a="1"/>
  <c r="R55" i="15" s="1"/>
  <c r="H9" i="21"/>
  <c r="G9" i="21"/>
  <c r="H15" i="21"/>
  <c r="H21" i="21"/>
  <c r="U43" i="21"/>
  <c r="N21" i="21"/>
  <c r="I15" i="21"/>
  <c r="M15" i="21"/>
  <c r="M21" i="21"/>
  <c r="I21" i="21"/>
  <c r="M9" i="21"/>
  <c r="M43" i="21"/>
  <c r="D13" i="21"/>
  <c r="N9" i="21"/>
  <c r="N15" i="21"/>
  <c r="J21" i="21"/>
  <c r="O9" i="21"/>
  <c r="J9" i="21"/>
  <c r="P43" i="21"/>
  <c r="O21" i="21"/>
  <c r="O15" i="21"/>
  <c r="J15" i="21"/>
  <c r="AK10" i="15" s="1"/>
  <c r="I9" i="21"/>
  <c r="P21" i="21"/>
  <c r="P15" i="21"/>
  <c r="D7" i="21"/>
  <c r="K15" i="21"/>
  <c r="K23" i="21" s="1"/>
  <c r="P6" i="21"/>
  <c r="P9" i="21"/>
  <c r="Q15" i="21"/>
  <c r="Q9" i="21"/>
  <c r="R43" i="21"/>
  <c r="R21" i="21"/>
  <c r="Q21" i="21"/>
  <c r="L13" i="21"/>
  <c r="Q43" i="21"/>
  <c r="R15" i="21"/>
  <c r="R9" i="21"/>
  <c r="L7" i="21"/>
  <c r="S15" i="21"/>
  <c r="S23" i="21" s="1"/>
  <c r="U21" i="21"/>
  <c r="V15" i="21"/>
  <c r="U9" i="21"/>
  <c r="V9" i="21"/>
  <c r="U15" i="21"/>
  <c r="V21" i="21"/>
  <c r="W21" i="21"/>
  <c r="W15" i="21"/>
  <c r="X21" i="21"/>
  <c r="X15" i="21"/>
  <c r="X9" i="21"/>
  <c r="W9" i="21"/>
  <c r="Z15" i="21"/>
  <c r="Z9" i="21"/>
  <c r="Z21" i="21"/>
  <c r="T7" i="21"/>
  <c r="T13" i="21"/>
  <c r="AA15" i="21"/>
  <c r="AA23" i="21" s="1"/>
  <c r="AC15" i="21"/>
  <c r="AD15" i="21"/>
  <c r="AD21" i="21"/>
  <c r="AD9" i="21"/>
  <c r="AE21" i="21"/>
  <c r="AE15" i="21"/>
  <c r="AG43" i="21"/>
  <c r="AF21" i="21"/>
  <c r="AF6" i="21"/>
  <c r="AF9" i="21"/>
  <c r="AG21" i="21"/>
  <c r="AG15" i="21"/>
  <c r="AF15" i="21"/>
  <c r="AG6" i="21"/>
  <c r="AH21" i="21"/>
  <c r="AB13" i="21"/>
  <c r="AG9" i="21"/>
  <c r="AH9" i="21"/>
  <c r="AH15" i="21"/>
  <c r="AB7" i="21"/>
  <c r="AI15" i="21"/>
  <c r="AK21" i="21"/>
  <c r="AL21" i="21"/>
  <c r="AK15" i="21"/>
  <c r="AK9" i="21"/>
  <c r="AL15" i="21"/>
  <c r="AL9" i="21"/>
  <c r="AM15" i="21"/>
  <c r="AM21" i="21"/>
  <c r="AM9" i="21"/>
  <c r="AN6" i="21"/>
  <c r="AN9" i="21"/>
  <c r="AN21" i="21"/>
  <c r="AO6" i="21"/>
  <c r="AO15" i="21"/>
  <c r="AN15" i="21"/>
  <c r="AP9" i="21"/>
  <c r="AP21" i="21"/>
  <c r="AO9" i="21"/>
  <c r="AQ15" i="21"/>
  <c r="AQ23" i="21" s="1"/>
  <c r="AJ7" i="21"/>
  <c r="AP15" i="21"/>
  <c r="AJ13" i="21"/>
  <c r="AS21" i="21"/>
  <c r="AT21" i="21"/>
  <c r="AS15" i="21"/>
  <c r="AT15" i="21"/>
  <c r="AS9" i="21"/>
  <c r="AU21" i="21"/>
  <c r="AV21" i="21"/>
  <c r="AU15" i="21"/>
  <c r="AV15" i="21"/>
  <c r="AV9" i="21"/>
  <c r="AU9" i="21"/>
  <c r="AW21" i="21"/>
  <c r="AX21" i="21"/>
  <c r="AW15" i="21"/>
  <c r="AX15" i="21"/>
  <c r="AX9" i="21"/>
  <c r="AW9" i="21"/>
  <c r="AR7" i="21"/>
  <c r="AY15" i="21"/>
  <c r="AY23" i="21" s="1"/>
  <c r="AR13" i="21"/>
  <c r="BA21" i="21"/>
  <c r="BB9" i="21"/>
  <c r="BA9" i="21"/>
  <c r="BB15" i="21"/>
  <c r="BA15" i="21"/>
  <c r="BC21" i="21"/>
  <c r="BC15" i="21"/>
  <c r="BC9" i="21"/>
  <c r="BD21" i="21"/>
  <c r="BD15" i="21"/>
  <c r="BE9" i="21"/>
  <c r="BE21" i="21"/>
  <c r="BE15" i="21"/>
  <c r="BD9" i="21"/>
  <c r="BF21" i="21"/>
  <c r="BF9" i="21"/>
  <c r="BF15" i="21"/>
  <c r="AZ7" i="21"/>
  <c r="BG15" i="21"/>
  <c r="BG23" i="21" s="1"/>
  <c r="AZ13" i="21"/>
  <c r="BI21" i="21"/>
  <c r="BJ21" i="21"/>
  <c r="BJ9" i="21"/>
  <c r="BI9" i="21"/>
  <c r="BI15" i="21"/>
  <c r="BJ15" i="21"/>
  <c r="BK15" i="21"/>
  <c r="BK21" i="21"/>
  <c r="BK9" i="21"/>
  <c r="BL21" i="21"/>
  <c r="BL9" i="21"/>
  <c r="BM21" i="21"/>
  <c r="BL15" i="21"/>
  <c r="BM15" i="21"/>
  <c r="BM9" i="21"/>
  <c r="BN21" i="21"/>
  <c r="BN9" i="21"/>
  <c r="BH7" i="21"/>
  <c r="BN15" i="21"/>
  <c r="BH13" i="21"/>
  <c r="BO15" i="21"/>
  <c r="BO23" i="21" s="1"/>
  <c r="BQ21" i="21"/>
  <c r="BR21" i="21"/>
  <c r="BQ15" i="21"/>
  <c r="BR9" i="21"/>
  <c r="BQ9" i="21"/>
  <c r="BS21" i="21"/>
  <c r="BT9" i="21"/>
  <c r="BS9" i="21"/>
  <c r="BT15" i="21"/>
  <c r="BS15" i="21"/>
  <c r="BU21" i="21"/>
  <c r="BU15" i="21"/>
  <c r="BV21" i="21"/>
  <c r="BV9" i="21"/>
  <c r="BV15" i="21"/>
  <c r="BU9" i="21"/>
  <c r="BP7" i="21"/>
  <c r="BW15" i="21"/>
  <c r="BY21" i="21"/>
  <c r="BZ21" i="21"/>
  <c r="BY15" i="21"/>
  <c r="BZ9" i="21"/>
  <c r="BY9" i="21"/>
  <c r="BZ15" i="21"/>
  <c r="CA21" i="21"/>
  <c r="CA15" i="21"/>
  <c r="CA9" i="21"/>
  <c r="CB9" i="21"/>
  <c r="CC15" i="21"/>
  <c r="CB15" i="21"/>
  <c r="CC21" i="21"/>
  <c r="CD21" i="21"/>
  <c r="CD9" i="21"/>
  <c r="CD15" i="21"/>
  <c r="BX13" i="21"/>
  <c r="CE15" i="21"/>
  <c r="CE23" i="21" s="1"/>
  <c r="CG21" i="21"/>
  <c r="CH21" i="21"/>
  <c r="CH15" i="21"/>
  <c r="CH9" i="21"/>
  <c r="CG15" i="21"/>
  <c r="CG9" i="21"/>
  <c r="CI15" i="21"/>
  <c r="CI9" i="21"/>
  <c r="CI21" i="21"/>
  <c r="CJ15" i="21"/>
  <c r="CJ21" i="21"/>
  <c r="CK21" i="21"/>
  <c r="CK9" i="21"/>
  <c r="CJ9" i="21"/>
  <c r="CL21" i="21"/>
  <c r="CL15" i="21"/>
  <c r="CK15" i="21"/>
  <c r="CF13" i="21"/>
  <c r="CF6" i="21"/>
  <c r="CM15" i="21"/>
  <c r="CL9" i="21"/>
  <c r="CF7" i="21"/>
  <c r="CO21" i="21"/>
  <c r="CP9" i="21"/>
  <c r="CO9" i="21"/>
  <c r="CO22" i="21"/>
  <c r="CP15" i="21"/>
  <c r="CP21" i="21"/>
  <c r="CQ21" i="21"/>
  <c r="CP22" i="21"/>
  <c r="CR21" i="21"/>
  <c r="CQ15" i="21"/>
  <c r="CR9" i="21"/>
  <c r="CQ9" i="21"/>
  <c r="CQ22" i="21"/>
  <c r="CR15" i="21"/>
  <c r="CS9" i="21"/>
  <c r="CS15" i="21"/>
  <c r="CS21" i="21"/>
  <c r="CR22" i="21"/>
  <c r="CN18" i="21"/>
  <c r="CT21" i="21"/>
  <c r="CS22" i="21"/>
  <c r="CT15" i="21"/>
  <c r="CN6" i="21"/>
  <c r="CT22" i="21"/>
  <c r="CT9" i="21"/>
  <c r="CN7" i="21"/>
  <c r="CU15" i="21"/>
  <c r="CU23" i="21" s="1"/>
  <c r="CN13" i="21"/>
  <c r="CW22" i="21"/>
  <c r="CX22" i="21"/>
  <c r="CY22" i="21"/>
  <c r="CZ22" i="21"/>
  <c r="DA22" i="21"/>
  <c r="CV6" i="21"/>
  <c r="CV18" i="21"/>
  <c r="CV7" i="21"/>
  <c r="CV10" i="21"/>
  <c r="DB22" i="21"/>
  <c r="DE21" i="21"/>
  <c r="CV13" i="21"/>
  <c r="DC22" i="21"/>
  <c r="CV12" i="21"/>
  <c r="DF21" i="21"/>
  <c r="DE9" i="21"/>
  <c r="DE15" i="21"/>
  <c r="DF15" i="21"/>
  <c r="DF9" i="21"/>
  <c r="DF23" i="21" s="1"/>
  <c r="DG21" i="21"/>
  <c r="DG9" i="21"/>
  <c r="DH21" i="21"/>
  <c r="DG15" i="21"/>
  <c r="DH15" i="21"/>
  <c r="DH9" i="21"/>
  <c r="DI21" i="21"/>
  <c r="DI9" i="21"/>
  <c r="DJ21" i="21"/>
  <c r="DJ15" i="21"/>
  <c r="DI15" i="21"/>
  <c r="DD13" i="21"/>
  <c r="DD15" i="21" s="1"/>
  <c r="DJ9" i="21"/>
  <c r="DK15" i="21"/>
  <c r="DK31" i="21" s="1"/>
  <c r="DD7" i="21"/>
  <c r="DD9" i="21" s="1"/>
  <c r="DM21" i="21"/>
  <c r="DM15" i="21"/>
  <c r="DM22" i="21"/>
  <c r="DN21" i="21"/>
  <c r="DN15" i="21"/>
  <c r="DM9" i="21"/>
  <c r="DN9" i="21"/>
  <c r="DO21" i="21"/>
  <c r="DN22" i="21"/>
  <c r="DO15" i="21"/>
  <c r="DO9" i="21"/>
  <c r="DO22" i="21"/>
  <c r="DP15" i="21"/>
  <c r="DP21" i="21"/>
  <c r="DP9" i="21"/>
  <c r="DP22" i="21"/>
  <c r="DQ21" i="21"/>
  <c r="DQ15" i="21"/>
  <c r="DR15" i="21"/>
  <c r="DR21" i="21"/>
  <c r="DL6" i="21"/>
  <c r="DQ22" i="21"/>
  <c r="DL18" i="21"/>
  <c r="DQ9" i="21"/>
  <c r="DR9" i="21"/>
  <c r="DL7" i="21"/>
  <c r="DR22" i="21"/>
  <c r="DU8" i="21"/>
  <c r="DL10" i="21"/>
  <c r="DS15" i="21"/>
  <c r="DS23" i="21" s="1"/>
  <c r="DL13" i="21"/>
  <c r="DU13" i="21"/>
  <c r="DT13" i="21" s="1"/>
  <c r="DS22" i="21"/>
  <c r="DL12" i="21"/>
  <c r="DU14" i="21"/>
  <c r="DU7" i="21"/>
  <c r="DV21" i="21"/>
  <c r="DU22" i="21"/>
  <c r="DV15" i="21"/>
  <c r="DW15" i="21"/>
  <c r="DV9" i="21"/>
  <c r="DV22" i="21"/>
  <c r="DW21" i="21"/>
  <c r="DW9" i="21"/>
  <c r="DW22" i="21"/>
  <c r="DX21" i="21"/>
  <c r="DX15" i="21"/>
  <c r="DY21" i="21"/>
  <c r="DX22" i="21"/>
  <c r="DX9" i="21"/>
  <c r="DY9" i="21"/>
  <c r="DY22" i="21"/>
  <c r="DT18" i="21"/>
  <c r="DZ15" i="21"/>
  <c r="DZ21" i="21"/>
  <c r="DY15" i="21"/>
  <c r="DZ9" i="21"/>
  <c r="DT10" i="21"/>
  <c r="DZ22" i="21"/>
  <c r="DT6" i="21"/>
  <c r="DT7" i="21"/>
  <c r="EA22" i="21"/>
  <c r="DT12" i="21"/>
  <c r="ED23" i="21"/>
  <c r="ED31" i="21"/>
  <c r="EB7" i="21"/>
  <c r="EB9" i="21" s="1"/>
  <c r="EB13" i="21"/>
  <c r="EB15" i="21" s="1"/>
  <c r="EK21" i="21"/>
  <c r="EK15" i="21"/>
  <c r="EK9" i="21"/>
  <c r="EL21" i="21"/>
  <c r="EL9" i="21"/>
  <c r="EM15" i="21"/>
  <c r="EM21" i="21"/>
  <c r="EL15" i="21"/>
  <c r="EN21" i="21"/>
  <c r="EM9" i="21"/>
  <c r="EN9" i="21"/>
  <c r="EO21" i="21"/>
  <c r="EN15" i="21"/>
  <c r="EO15" i="21"/>
  <c r="EO9" i="21"/>
  <c r="EP21" i="21"/>
  <c r="EP15" i="21"/>
  <c r="EQ15" i="21"/>
  <c r="EP9" i="21"/>
  <c r="EJ7" i="21"/>
  <c r="EJ13" i="21"/>
  <c r="ES6" i="21"/>
  <c r="ES15" i="21"/>
  <c r="ES12" i="21"/>
  <c r="ES21" i="21"/>
  <c r="ES18" i="21"/>
  <c r="ES22" i="21" s="1"/>
  <c r="ET18" i="21"/>
  <c r="ET21" i="21"/>
  <c r="ET12" i="21"/>
  <c r="ET6" i="21"/>
  <c r="ES9" i="21"/>
  <c r="ET9" i="21"/>
  <c r="EU21" i="21"/>
  <c r="EU18" i="21"/>
  <c r="EU12" i="21"/>
  <c r="EU15" i="21"/>
  <c r="EU6" i="21"/>
  <c r="ET15" i="21"/>
  <c r="EV21" i="21"/>
  <c r="EV18" i="21"/>
  <c r="EV6" i="21"/>
  <c r="EU9" i="21"/>
  <c r="EV12" i="21"/>
  <c r="EV15" i="21"/>
  <c r="EV9" i="21"/>
  <c r="EW21" i="21"/>
  <c r="EW6" i="21"/>
  <c r="EW12" i="21"/>
  <c r="EW15" i="21"/>
  <c r="EW18" i="21"/>
  <c r="EW9" i="21"/>
  <c r="EX21" i="21"/>
  <c r="EX12" i="21"/>
  <c r="EX15" i="21"/>
  <c r="EX18" i="21"/>
  <c r="EX6" i="21"/>
  <c r="ER13" i="21"/>
  <c r="ER10" i="21"/>
  <c r="EY12" i="21"/>
  <c r="EY22" i="21" s="1"/>
  <c r="EY15" i="21"/>
  <c r="EY23" i="21" s="1"/>
  <c r="EX9" i="21"/>
  <c r="EX23" i="21" s="1"/>
  <c r="ER7" i="21"/>
  <c r="FA18" i="21"/>
  <c r="FA6" i="21"/>
  <c r="FA21" i="21"/>
  <c r="FA15" i="21"/>
  <c r="FA12" i="21"/>
  <c r="FB18" i="21"/>
  <c r="FB12" i="21"/>
  <c r="FA9" i="21"/>
  <c r="FB6" i="21"/>
  <c r="FB21" i="21"/>
  <c r="FB9" i="21"/>
  <c r="FC15" i="21"/>
  <c r="FC31" i="21" s="1"/>
  <c r="FC12" i="21"/>
  <c r="FC18" i="21"/>
  <c r="FB15" i="21"/>
  <c r="FC6" i="21"/>
  <c r="FC21" i="21"/>
  <c r="FC9" i="21"/>
  <c r="FD18" i="21"/>
  <c r="FD21" i="21"/>
  <c r="FD6" i="21"/>
  <c r="FD12" i="21"/>
  <c r="FE18" i="21"/>
  <c r="FD9" i="21"/>
  <c r="FE6" i="21"/>
  <c r="FE12" i="21"/>
  <c r="FE15" i="21"/>
  <c r="FD15" i="21"/>
  <c r="FE21" i="21"/>
  <c r="FE9" i="21"/>
  <c r="FF18" i="21"/>
  <c r="FF12" i="21"/>
  <c r="FF15" i="21"/>
  <c r="FF6" i="21"/>
  <c r="FF21" i="21"/>
  <c r="FF9" i="21"/>
  <c r="EZ7" i="21"/>
  <c r="EZ10" i="21"/>
  <c r="EZ13" i="21"/>
  <c r="FG12" i="21"/>
  <c r="FG22" i="21" s="1"/>
  <c r="FG14" i="21"/>
  <c r="FG15" i="21" s="1"/>
  <c r="FI21" i="21"/>
  <c r="FJ21" i="21"/>
  <c r="FI22" i="21"/>
  <c r="FJ7" i="21"/>
  <c r="FJ9" i="21" s="1"/>
  <c r="FI15" i="21"/>
  <c r="FI9" i="21"/>
  <c r="FJ15" i="21"/>
  <c r="FK21" i="21"/>
  <c r="FJ22" i="21"/>
  <c r="FL7" i="21"/>
  <c r="FK15" i="21"/>
  <c r="FK9" i="21"/>
  <c r="FL14" i="21"/>
  <c r="FL8" i="21"/>
  <c r="FK22" i="21"/>
  <c r="FL13" i="21"/>
  <c r="FM21" i="21"/>
  <c r="FM15" i="21"/>
  <c r="FL22" i="21"/>
  <c r="FM22" i="21"/>
  <c r="FH18" i="21"/>
  <c r="FN15" i="21"/>
  <c r="FO13" i="21"/>
  <c r="FN21" i="21"/>
  <c r="FM9" i="21"/>
  <c r="FN9" i="21"/>
  <c r="FH10" i="21"/>
  <c r="FN22" i="21"/>
  <c r="FH6" i="21"/>
  <c r="FO14" i="21"/>
  <c r="FO15" i="21"/>
  <c r="FO23" i="21" s="1"/>
  <c r="FQ15" i="21"/>
  <c r="FQ21" i="21"/>
  <c r="FO22" i="21"/>
  <c r="FH12" i="21"/>
  <c r="FQ22" i="21"/>
  <c r="FR7" i="21"/>
  <c r="FR9" i="21" s="1"/>
  <c r="FQ9" i="21"/>
  <c r="FR21" i="21"/>
  <c r="FS15" i="21"/>
  <c r="FR15" i="21"/>
  <c r="FS21" i="21"/>
  <c r="FR22" i="21"/>
  <c r="FT15" i="21"/>
  <c r="FT21" i="21"/>
  <c r="FS22" i="21"/>
  <c r="FS9" i="21"/>
  <c r="FT9" i="21"/>
  <c r="FU15" i="21"/>
  <c r="FT22" i="21"/>
  <c r="FU21" i="21"/>
  <c r="FV21" i="21"/>
  <c r="FP18" i="21"/>
  <c r="FP6" i="21"/>
  <c r="FV15" i="21"/>
  <c r="FU9" i="21"/>
  <c r="FU22" i="21"/>
  <c r="FV9" i="21"/>
  <c r="FY13" i="21"/>
  <c r="FY8" i="21"/>
  <c r="FP10" i="21"/>
  <c r="FV22" i="21"/>
  <c r="FP13" i="21"/>
  <c r="FY7" i="21"/>
  <c r="FW15" i="21"/>
  <c r="FW23" i="21" s="1"/>
  <c r="FY14" i="21"/>
  <c r="FW22" i="21"/>
  <c r="FP12" i="21"/>
  <c r="FZ21" i="21"/>
  <c r="FY22" i="21"/>
  <c r="FZ9" i="21"/>
  <c r="GA21" i="21"/>
  <c r="FZ22" i="21"/>
  <c r="GA15" i="21"/>
  <c r="FZ15" i="21"/>
  <c r="GA9" i="21"/>
  <c r="GB21" i="21"/>
  <c r="GB15" i="21"/>
  <c r="GA22" i="21"/>
  <c r="GC21" i="21"/>
  <c r="GB9" i="21"/>
  <c r="GC15" i="21"/>
  <c r="GB22" i="21"/>
  <c r="GC9" i="21"/>
  <c r="GD21" i="21"/>
  <c r="GC22" i="21"/>
  <c r="FX18" i="21"/>
  <c r="GD15" i="21"/>
  <c r="FX6" i="21"/>
  <c r="GD9" i="21"/>
  <c r="GE13" i="21"/>
  <c r="GE15" i="21" s="1"/>
  <c r="FX10" i="21"/>
  <c r="GD22" i="21"/>
  <c r="GE22" i="21"/>
  <c r="FX12" i="21"/>
  <c r="GG15" i="21"/>
  <c r="GG21" i="21"/>
  <c r="GH21" i="21"/>
  <c r="GG22" i="21"/>
  <c r="GG9" i="21"/>
  <c r="GI21" i="21"/>
  <c r="GH9" i="21"/>
  <c r="GH15" i="21"/>
  <c r="GI15" i="21"/>
  <c r="GH22" i="21"/>
  <c r="GI9" i="21"/>
  <c r="GJ21" i="21"/>
  <c r="GI22" i="21"/>
  <c r="GK21" i="21"/>
  <c r="GJ22" i="21"/>
  <c r="GJ15" i="21"/>
  <c r="GK15" i="21"/>
  <c r="GJ9" i="21"/>
  <c r="GK9" i="21"/>
  <c r="GK22" i="21"/>
  <c r="GF18" i="21"/>
  <c r="GL15" i="21"/>
  <c r="GF6" i="21"/>
  <c r="GL21" i="21"/>
  <c r="GL9" i="21"/>
  <c r="GF7" i="21"/>
  <c r="GL22" i="21"/>
  <c r="GF10" i="21"/>
  <c r="GM15" i="21"/>
  <c r="GM23" i="21" s="1"/>
  <c r="GF13" i="21"/>
  <c r="GM22" i="21"/>
  <c r="GF12" i="21"/>
  <c r="GO21" i="21"/>
  <c r="GO22" i="21"/>
  <c r="GP21" i="21"/>
  <c r="GO9" i="21"/>
  <c r="GO15" i="21"/>
  <c r="GP15" i="21"/>
  <c r="GP9" i="21"/>
  <c r="GQ21" i="21"/>
  <c r="GP22" i="21"/>
  <c r="GQ22" i="21"/>
  <c r="GR15" i="21"/>
  <c r="GQ15" i="21"/>
  <c r="GR21" i="21"/>
  <c r="GQ9" i="21"/>
  <c r="GR9" i="21"/>
  <c r="GR22" i="21"/>
  <c r="GS21" i="21"/>
  <c r="GS15" i="21"/>
  <c r="GT21" i="21"/>
  <c r="GS9" i="21"/>
  <c r="GS22" i="21"/>
  <c r="GN18" i="21"/>
  <c r="GT9" i="21"/>
  <c r="GT22" i="21"/>
  <c r="GN13" i="21"/>
  <c r="GT15" i="21"/>
  <c r="GN6" i="21"/>
  <c r="GU15" i="21"/>
  <c r="GN7" i="21"/>
  <c r="GN10" i="21"/>
  <c r="GU22" i="21"/>
  <c r="GN12" i="21"/>
  <c r="GW21" i="21"/>
  <c r="GW15" i="21"/>
  <c r="GX21" i="21"/>
  <c r="GX15" i="21"/>
  <c r="GX9" i="21"/>
  <c r="GY15" i="21"/>
  <c r="GY21" i="21"/>
  <c r="GZ15" i="21"/>
  <c r="GY9" i="21"/>
  <c r="GZ21" i="21"/>
  <c r="GZ9" i="21"/>
  <c r="HA21" i="21"/>
  <c r="HA9" i="21"/>
  <c r="HA15" i="21"/>
  <c r="HB21" i="21"/>
  <c r="HB15" i="21"/>
  <c r="HB9" i="21"/>
  <c r="GV7" i="21"/>
  <c r="HE21" i="21"/>
  <c r="HF15" i="21"/>
  <c r="HF21" i="21"/>
  <c r="HE15" i="21"/>
  <c r="HE22" i="21"/>
  <c r="HE9" i="21"/>
  <c r="HF9" i="21"/>
  <c r="HG21" i="21"/>
  <c r="HF22" i="21"/>
  <c r="HG15" i="21"/>
  <c r="HG22" i="21"/>
  <c r="HH15" i="21"/>
  <c r="HH31" i="21" s="1"/>
  <c r="HG9" i="21"/>
  <c r="HH21" i="21"/>
  <c r="HH9" i="21"/>
  <c r="HI21" i="21"/>
  <c r="HH22" i="21"/>
  <c r="HI9" i="21"/>
  <c r="HK13" i="21"/>
  <c r="HJ15" i="21"/>
  <c r="HI15" i="21"/>
  <c r="HI22" i="21"/>
  <c r="HJ21" i="21"/>
  <c r="HJ9" i="21"/>
  <c r="HD7" i="21"/>
  <c r="HK14" i="21"/>
  <c r="HJ22" i="21"/>
  <c r="HM21" i="21"/>
  <c r="HK22" i="21"/>
  <c r="HN15" i="21"/>
  <c r="HM9" i="21"/>
  <c r="HN21" i="21"/>
  <c r="HM15" i="21"/>
  <c r="HN9" i="21"/>
  <c r="HO21" i="21"/>
  <c r="HO15" i="21"/>
  <c r="HO9" i="21"/>
  <c r="HP21" i="21"/>
  <c r="HP12" i="21"/>
  <c r="HP15" i="21"/>
  <c r="HP18" i="21"/>
  <c r="HP9" i="21"/>
  <c r="HQ21" i="21"/>
  <c r="HQ15" i="21"/>
  <c r="HR15" i="21"/>
  <c r="HQ9" i="21"/>
  <c r="HR21" i="21"/>
  <c r="HR9" i="21"/>
  <c r="HL7" i="21"/>
  <c r="HU21" i="21"/>
  <c r="HU22" i="21"/>
  <c r="HV15" i="21"/>
  <c r="HU15" i="21"/>
  <c r="HU9" i="21"/>
  <c r="HV21" i="21"/>
  <c r="HV9" i="21"/>
  <c r="HW15" i="21"/>
  <c r="HV22" i="21"/>
  <c r="HX13" i="21"/>
  <c r="HX8" i="21"/>
  <c r="HW21" i="21"/>
  <c r="HX7" i="21"/>
  <c r="HW22" i="21"/>
  <c r="HW9" i="21"/>
  <c r="HX14" i="21"/>
  <c r="HX15" i="21" s="1"/>
  <c r="HX22" i="21"/>
  <c r="HY21" i="21"/>
  <c r="HY9" i="21"/>
  <c r="IA13" i="21"/>
  <c r="HY15" i="21"/>
  <c r="HZ15" i="21"/>
  <c r="HZ21" i="21"/>
  <c r="HZ31" i="21" s="1"/>
  <c r="HY22" i="21"/>
  <c r="HT18" i="21"/>
  <c r="HT10" i="21"/>
  <c r="IA14" i="21"/>
  <c r="IA15" i="21" s="1"/>
  <c r="HZ22" i="21"/>
  <c r="HT6" i="21"/>
  <c r="HZ9" i="21"/>
  <c r="HZ23" i="21"/>
  <c r="IA22" i="21"/>
  <c r="HT12" i="21"/>
  <c r="IC21" i="21"/>
  <c r="IC15" i="21"/>
  <c r="ID15" i="21"/>
  <c r="ID21" i="21"/>
  <c r="ID9" i="21"/>
  <c r="IE21" i="21"/>
  <c r="IF21" i="21"/>
  <c r="IE9" i="21"/>
  <c r="IE15" i="21"/>
  <c r="IF15" i="21"/>
  <c r="IF9" i="21"/>
  <c r="IG21" i="21"/>
  <c r="IG15" i="21"/>
  <c r="IH15" i="21"/>
  <c r="IG9" i="21"/>
  <c r="IH21" i="21"/>
  <c r="IH9" i="21"/>
  <c r="IB7" i="21"/>
  <c r="IK22" i="21"/>
  <c r="IL23" i="21"/>
  <c r="IL22" i="21"/>
  <c r="IK23" i="21"/>
  <c r="IL31" i="21"/>
  <c r="IM23" i="21"/>
  <c r="IM22" i="21"/>
  <c r="IM31" i="21"/>
  <c r="IN22" i="21"/>
  <c r="IN31" i="21"/>
  <c r="IO22" i="21"/>
  <c r="IJ6" i="21"/>
  <c r="IJ18" i="21"/>
  <c r="IN23" i="21"/>
  <c r="IJ7" i="21"/>
  <c r="IP22" i="21"/>
  <c r="IJ9" i="21"/>
  <c r="IS21" i="21"/>
  <c r="IT21" i="21"/>
  <c r="IS9" i="21"/>
  <c r="IS22" i="21"/>
  <c r="IS15" i="21"/>
  <c r="IS23" i="21" s="1"/>
  <c r="IT15" i="21"/>
  <c r="IT9" i="21"/>
  <c r="IT22" i="21"/>
  <c r="IU21" i="21"/>
  <c r="IU9" i="21"/>
  <c r="IU22" i="21"/>
  <c r="IV21" i="21"/>
  <c r="IV15" i="21"/>
  <c r="IU15" i="21"/>
  <c r="NA48" i="21"/>
  <c r="MZ48" i="21"/>
  <c r="IV9" i="21"/>
  <c r="IW21" i="21"/>
  <c r="IV22" i="21"/>
  <c r="IW15" i="21"/>
  <c r="IW9" i="21"/>
  <c r="IR18" i="21"/>
  <c r="IX21" i="21"/>
  <c r="IW22" i="21"/>
  <c r="IX15" i="21"/>
  <c r="IX9" i="21"/>
  <c r="IR7" i="21"/>
  <c r="IX22" i="21"/>
  <c r="IR6" i="21"/>
  <c r="JB21" i="21"/>
  <c r="JB15" i="21"/>
  <c r="JB9" i="21"/>
  <c r="JC15" i="21"/>
  <c r="JC21" i="21"/>
  <c r="JC9" i="21"/>
  <c r="JD21" i="21"/>
  <c r="JD9" i="21"/>
  <c r="JD15" i="21"/>
  <c r="JI21" i="21"/>
  <c r="JJ21" i="21"/>
  <c r="JI9" i="21"/>
  <c r="JI22" i="21"/>
  <c r="JJ15" i="21"/>
  <c r="JI15" i="21"/>
  <c r="JJ9" i="21"/>
  <c r="JK15" i="21"/>
  <c r="JJ22" i="21"/>
  <c r="JK21" i="21"/>
  <c r="JK9" i="21"/>
  <c r="JL21" i="21"/>
  <c r="JK22" i="21"/>
  <c r="JL9" i="21"/>
  <c r="JM21" i="21"/>
  <c r="JL22" i="21"/>
  <c r="JL15" i="21"/>
  <c r="JM15" i="21"/>
  <c r="JN21" i="21"/>
  <c r="JM9" i="21"/>
  <c r="JM22" i="21"/>
  <c r="JN15" i="21"/>
  <c r="JH18" i="21"/>
  <c r="JN9" i="21"/>
  <c r="JH7" i="21"/>
  <c r="JN22" i="21"/>
  <c r="JH6" i="21"/>
  <c r="JQ21" i="21"/>
  <c r="JR21" i="21"/>
  <c r="JR15" i="21"/>
  <c r="JQ15" i="21"/>
  <c r="JQ9" i="21"/>
  <c r="JR9" i="21"/>
  <c r="JS21" i="21"/>
  <c r="JS15" i="21"/>
  <c r="JS9" i="21"/>
  <c r="JT21" i="21"/>
  <c r="JT9" i="21"/>
  <c r="JT15" i="21"/>
  <c r="IG19" i="4"/>
  <c r="LO19" i="4"/>
  <c r="ND20" i="4"/>
  <c r="JB15" i="4"/>
  <c r="JB35" i="4" s="1"/>
  <c r="LX19" i="4"/>
  <c r="NM11" i="4"/>
  <c r="NH11" i="4"/>
  <c r="MQ11" i="4"/>
  <c r="KJ20" i="4"/>
  <c r="MQ19" i="4"/>
  <c r="KS20" i="4"/>
  <c r="LD11" i="4"/>
  <c r="NH30" i="21"/>
  <c r="LN11" i="4"/>
  <c r="GM31" i="21"/>
  <c r="GS15" i="4"/>
  <c r="GS38" i="4" s="1"/>
  <c r="MD11" i="4"/>
  <c r="MM11" i="4"/>
  <c r="LP19" i="4"/>
  <c r="IX20" i="4"/>
  <c r="HB39" i="4"/>
  <c r="CH19" i="4"/>
  <c r="MD20" i="4"/>
  <c r="KI11" i="4"/>
  <c r="GX20" i="4"/>
  <c r="MV20" i="4"/>
  <c r="OV11" i="4"/>
  <c r="FD19" i="4"/>
  <c r="LG19" i="4"/>
  <c r="JZ20" i="4"/>
  <c r="IA20" i="4"/>
  <c r="V11" i="4"/>
  <c r="GH19" i="4"/>
  <c r="GQ20" i="4"/>
  <c r="GE19" i="4"/>
  <c r="JZ11" i="4"/>
  <c r="NN11" i="4"/>
  <c r="NW11" i="4"/>
  <c r="OD4" i="4"/>
  <c r="FO20" i="4"/>
  <c r="HR19" i="4"/>
  <c r="HR11" i="4"/>
  <c r="IA11" i="4"/>
  <c r="LG11" i="4"/>
  <c r="LP11" i="4"/>
  <c r="LY11" i="4"/>
  <c r="KL11" i="4"/>
  <c r="NS4" i="4"/>
  <c r="MJ30" i="21"/>
  <c r="J19" i="4"/>
  <c r="PC19" i="4"/>
  <c r="L11" i="4"/>
  <c r="HN19" i="4"/>
  <c r="EY19" i="4"/>
  <c r="GU19" i="4"/>
  <c r="HG15" i="4"/>
  <c r="HG35" i="4" s="1"/>
  <c r="MH11" i="4"/>
  <c r="JJ4" i="4"/>
  <c r="GX38" i="4"/>
  <c r="MH19" i="4"/>
  <c r="MQ4" i="4"/>
  <c r="NZ20" i="4"/>
  <c r="OK20" i="4"/>
  <c r="MZ11" i="4"/>
  <c r="GA20" i="4"/>
  <c r="HN11" i="4"/>
  <c r="KU11" i="4"/>
  <c r="KU22" i="4" s="1"/>
  <c r="MM16" i="4"/>
  <c r="MM20" i="4" s="1"/>
  <c r="PC11" i="4"/>
  <c r="FM16" i="4"/>
  <c r="FM36" i="4" s="1"/>
  <c r="FI36" i="4" s="1"/>
  <c r="KL20" i="4"/>
  <c r="BN31" i="8"/>
  <c r="BN30" i="8"/>
  <c r="M223" i="15"/>
  <c r="I223" i="15" s="1" a="1"/>
  <c r="I223" i="15" s="1"/>
  <c r="I222" i="15" a="1"/>
  <c r="I222" i="15" s="1"/>
  <c r="AV222" i="15" a="1"/>
  <c r="AV222" i="15" s="1"/>
  <c r="Q222" i="15" a="1"/>
  <c r="Q222" i="15" s="1"/>
  <c r="P28" i="8"/>
  <c r="P29" i="8"/>
  <c r="P30" i="8"/>
  <c r="P31" i="8"/>
  <c r="AE12" i="8"/>
  <c r="AD12" i="8"/>
  <c r="AE28" i="8"/>
  <c r="AF29" i="8"/>
  <c r="AF6" i="8"/>
  <c r="AF23" i="8"/>
  <c r="AF28" i="8"/>
  <c r="AD5" i="8"/>
  <c r="AD28" i="8"/>
  <c r="P26" i="8"/>
  <c r="P27" i="8"/>
  <c r="AY26" i="8"/>
  <c r="AY27" i="8"/>
  <c r="X47" i="8"/>
  <c r="X14" i="8"/>
  <c r="X29" i="8"/>
  <c r="O6" i="8"/>
  <c r="N5" i="8"/>
  <c r="BB16" i="8"/>
  <c r="BE22" i="8"/>
  <c r="BE18" i="8"/>
  <c r="BE48" i="8"/>
  <c r="BG42" i="8"/>
  <c r="BB38" i="8"/>
  <c r="BB39" i="8"/>
  <c r="BH42" i="8"/>
  <c r="BQ22" i="8"/>
  <c r="BQ12" i="8"/>
  <c r="BK42" i="8"/>
  <c r="BJ39" i="8"/>
  <c r="BL42" i="8"/>
  <c r="BJ40" i="8"/>
  <c r="BG26" i="8"/>
  <c r="BG27" i="8"/>
  <c r="BP7" i="8"/>
  <c r="BJ7" i="8"/>
  <c r="BJ4" i="8"/>
  <c r="BP22" i="8"/>
  <c r="BA12" i="8"/>
  <c r="BA22" i="8"/>
  <c r="BH47" i="8"/>
  <c r="BH22" i="8"/>
  <c r="BH27" i="8"/>
  <c r="BB10" i="8"/>
  <c r="BH12" i="8"/>
  <c r="AV334" i="15" a="1"/>
  <c r="AV334" i="15" s="1"/>
  <c r="V17" i="8"/>
  <c r="AL5" i="8"/>
  <c r="AO28" i="8"/>
  <c r="X24" i="8"/>
  <c r="X27" i="8"/>
  <c r="F11" i="8"/>
  <c r="AO29" i="8"/>
  <c r="BP6" i="8"/>
  <c r="BP23" i="8"/>
  <c r="BR15" i="8"/>
  <c r="AE27" i="8"/>
  <c r="AE26" i="8"/>
  <c r="BK27" i="8"/>
  <c r="BK26" i="8"/>
  <c r="AC28" i="8"/>
  <c r="AJ26" i="8"/>
  <c r="AJ27" i="8"/>
  <c r="AU28" i="8"/>
  <c r="X6" i="8"/>
  <c r="X23" i="8"/>
  <c r="X28" i="8"/>
  <c r="V5" i="8"/>
  <c r="BR39" i="8"/>
  <c r="BV42" i="8"/>
  <c r="BJ12" i="8"/>
  <c r="BI37" i="8"/>
  <c r="I34" i="15" a="1"/>
  <c r="I34" i="15" s="1"/>
  <c r="BJ10" i="8"/>
  <c r="V11" i="8"/>
  <c r="BT22" i="8"/>
  <c r="AU222" i="15" a="1"/>
  <c r="AU222" i="15" s="1"/>
  <c r="O12" i="8"/>
  <c r="N12" i="8"/>
  <c r="N11" i="8"/>
  <c r="AQ12" i="8"/>
  <c r="AQ22" i="8"/>
  <c r="AQ27" i="8"/>
  <c r="R222" i="15" a="1"/>
  <c r="R222" i="15" s="1"/>
  <c r="BG6" i="8"/>
  <c r="BG23" i="8"/>
  <c r="F4" i="8"/>
  <c r="CD28" i="8"/>
  <c r="CD29" i="8"/>
  <c r="P18" i="8"/>
  <c r="R42" i="8"/>
  <c r="N39" i="8"/>
  <c r="AA6" i="8"/>
  <c r="AA23" i="8"/>
  <c r="AA22" i="8"/>
  <c r="AA19" i="8"/>
  <c r="AA24" i="8"/>
  <c r="AA18" i="8"/>
  <c r="W42" i="8"/>
  <c r="V38" i="8"/>
  <c r="BC6" i="8"/>
  <c r="BB5" i="8"/>
  <c r="BC29" i="8"/>
  <c r="BO6" i="8"/>
  <c r="BO23" i="8"/>
  <c r="BO8" i="8"/>
  <c r="BN29" i="8"/>
  <c r="BN12" i="8"/>
  <c r="BQ29" i="8"/>
  <c r="BX20" i="8"/>
  <c r="BX29" i="8"/>
  <c r="BW20" i="8"/>
  <c r="BW18" i="8"/>
  <c r="AV278" i="15" a="1"/>
  <c r="AV278" i="15" s="1"/>
  <c r="R278" i="15" a="1"/>
  <c r="R278" i="15" s="1"/>
  <c r="BY31" i="8"/>
  <c r="V20" i="8"/>
  <c r="W32" i="8"/>
  <c r="AF26" i="8"/>
  <c r="AF27" i="8"/>
  <c r="AK22" i="8"/>
  <c r="BG28" i="8"/>
  <c r="P22" i="8"/>
  <c r="AC25" i="8"/>
  <c r="AC30" i="8"/>
  <c r="V9" i="8"/>
  <c r="V25" i="8"/>
  <c r="AC19" i="8"/>
  <c r="AC48" i="8"/>
  <c r="AC18" i="8"/>
  <c r="AM28" i="8"/>
  <c r="AL11" i="8"/>
  <c r="BM6" i="8"/>
  <c r="BM23" i="8"/>
  <c r="BM28" i="8"/>
  <c r="BJ5" i="8"/>
  <c r="CC42" i="8"/>
  <c r="BZ42" i="8"/>
  <c r="BZ40" i="8"/>
  <c r="G23" i="8"/>
  <c r="F6" i="8"/>
  <c r="F23" i="8"/>
  <c r="AE29" i="8"/>
  <c r="I22" i="8"/>
  <c r="I47" i="8"/>
  <c r="AK31" i="8"/>
  <c r="AK30" i="8"/>
  <c r="BD29" i="8"/>
  <c r="BD28" i="8"/>
  <c r="I187" i="15" a="1"/>
  <c r="I187" i="15" s="1"/>
  <c r="R201" i="15" a="1"/>
  <c r="R201" i="15" s="1"/>
  <c r="E35" i="4"/>
  <c r="DM35" i="4"/>
  <c r="BJ11" i="8"/>
  <c r="V7" i="8"/>
  <c r="BX28" i="8"/>
  <c r="AC13" i="8"/>
  <c r="AC12" i="8"/>
  <c r="BF18" i="8"/>
  <c r="BF28" i="8"/>
  <c r="BJ17" i="8"/>
  <c r="BM18" i="8"/>
  <c r="M76" i="15"/>
  <c r="H76" i="15" s="1" a="1"/>
  <c r="H76" i="15" s="1"/>
  <c r="BU29" i="8"/>
  <c r="F10" i="8"/>
  <c r="BQ30" i="8"/>
  <c r="I61" i="15" a="1"/>
  <c r="I61" i="15" s="1"/>
  <c r="BX21" i="8"/>
  <c r="R12" i="8"/>
  <c r="BP18" i="8"/>
  <c r="BP20" i="8"/>
  <c r="BP21" i="8"/>
  <c r="BR17" i="8"/>
  <c r="BY14" i="8"/>
  <c r="BY28" i="8"/>
  <c r="BY12" i="8"/>
  <c r="BY29" i="8"/>
  <c r="CC20" i="8"/>
  <c r="CC28" i="8"/>
  <c r="I28" i="8"/>
  <c r="I29" i="8"/>
  <c r="I30" i="8"/>
  <c r="I31" i="8"/>
  <c r="F17" i="8"/>
  <c r="G18" i="8"/>
  <c r="F18" i="8"/>
  <c r="Z28" i="8"/>
  <c r="W29" i="8"/>
  <c r="W12" i="8"/>
  <c r="V12" i="8"/>
  <c r="W28" i="8"/>
  <c r="AB29" i="8"/>
  <c r="AB12" i="8"/>
  <c r="H48" i="8"/>
  <c r="F16" i="8"/>
  <c r="H18" i="8"/>
  <c r="U7" i="8"/>
  <c r="U22" i="8"/>
  <c r="U6" i="8"/>
  <c r="U23" i="8"/>
  <c r="AV285" i="15" a="1"/>
  <c r="AV285" i="15" s="1"/>
  <c r="AV61" i="15" a="1"/>
  <c r="AV61" i="15" s="1"/>
  <c r="DM36" i="4"/>
  <c r="I26" i="8"/>
  <c r="I27" i="8"/>
  <c r="W26" i="8"/>
  <c r="BL30" i="8"/>
  <c r="AV4" i="15" a="1"/>
  <c r="AV4" i="15" s="1"/>
  <c r="AB28" i="8"/>
  <c r="T28" i="8"/>
  <c r="T29" i="8"/>
  <c r="BT13" i="8"/>
  <c r="BT12" i="8"/>
  <c r="BS7" i="8"/>
  <c r="BS6" i="8"/>
  <c r="BS37" i="8"/>
  <c r="BS22" i="8"/>
  <c r="Z6" i="8"/>
  <c r="Z23" i="8"/>
  <c r="Z31" i="8"/>
  <c r="BG29" i="8"/>
  <c r="F5" i="8"/>
  <c r="BU28" i="8"/>
  <c r="AG22" i="8"/>
  <c r="CE12" i="8"/>
  <c r="V28" i="8"/>
  <c r="AU3" i="15" a="1"/>
  <c r="AU3" i="15" s="1"/>
  <c r="CG9" i="8"/>
  <c r="CG25" i="8"/>
  <c r="H6" i="8"/>
  <c r="H23" i="8"/>
  <c r="H26" i="8"/>
  <c r="H27" i="8"/>
  <c r="BM22" i="8"/>
  <c r="AT10" i="8"/>
  <c r="JQ36" i="4"/>
  <c r="N14" i="8"/>
  <c r="T12" i="8"/>
  <c r="R18" i="8"/>
  <c r="F38" i="8"/>
  <c r="R22" i="8"/>
  <c r="CD15" i="8"/>
  <c r="AL39" i="8"/>
  <c r="AL40" i="8"/>
  <c r="AT39" i="8"/>
  <c r="AX28" i="8"/>
  <c r="AT17" i="8"/>
  <c r="CF42" i="8"/>
  <c r="IK36" i="4"/>
  <c r="BR11" i="8"/>
  <c r="AX42" i="8"/>
  <c r="BX42" i="8"/>
  <c r="AK35" i="4"/>
  <c r="AX12" i="8"/>
  <c r="H42" i="8"/>
  <c r="V40" i="8"/>
  <c r="V41" i="8"/>
  <c r="AD38" i="8"/>
  <c r="AH6" i="8"/>
  <c r="AH23" i="8"/>
  <c r="CA6" i="8"/>
  <c r="JY36" i="4"/>
  <c r="N10" i="8"/>
  <c r="R6" i="8"/>
  <c r="R23" i="8"/>
  <c r="BB11" i="8"/>
  <c r="V10" i="8"/>
  <c r="BW31" i="8"/>
  <c r="AW31" i="8"/>
  <c r="BV12" i="8"/>
  <c r="AD10" i="8"/>
  <c r="M42" i="8"/>
  <c r="AG18" i="8"/>
  <c r="AY42" i="8"/>
  <c r="IS36" i="4"/>
  <c r="MB30" i="21"/>
  <c r="FD11" i="4"/>
  <c r="HN4" i="4"/>
  <c r="GS36" i="4"/>
  <c r="GO36" i="4" s="1"/>
  <c r="LT30" i="21"/>
  <c r="AU265" i="15" a="1"/>
  <c r="AU265" i="15" s="1"/>
  <c r="R265" i="15" a="1"/>
  <c r="R265" i="15" s="1"/>
  <c r="Q265" i="15" a="1"/>
  <c r="Q265" i="15" s="1"/>
  <c r="AV265" i="15" a="1"/>
  <c r="AV265" i="15" s="1"/>
  <c r="M174" i="15"/>
  <c r="R174" i="15" s="1" a="1"/>
  <c r="R174" i="15" s="1"/>
  <c r="S37" i="8"/>
  <c r="N15" i="8"/>
  <c r="T25" i="8"/>
  <c r="BP28" i="8"/>
  <c r="BP29" i="8"/>
  <c r="BJ14" i="8"/>
  <c r="U15" i="8"/>
  <c r="CG31" i="8"/>
  <c r="CG30" i="8"/>
  <c r="AG31" i="8"/>
  <c r="AG30" i="8"/>
  <c r="Z20" i="8"/>
  <c r="Z32" i="8"/>
  <c r="Z48" i="8"/>
  <c r="BU21" i="8"/>
  <c r="BL26" i="8"/>
  <c r="BL27" i="8"/>
  <c r="BF30" i="8"/>
  <c r="BF31" i="8"/>
  <c r="CG14" i="8"/>
  <c r="CG15" i="8"/>
  <c r="CG12" i="8"/>
  <c r="BZ11" i="8"/>
  <c r="AZ6" i="8"/>
  <c r="AZ23" i="8"/>
  <c r="AZ29" i="8"/>
  <c r="AM12" i="8"/>
  <c r="AL12" i="8"/>
  <c r="AM22" i="8"/>
  <c r="AL10" i="8"/>
  <c r="AO18" i="8"/>
  <c r="AL16" i="8"/>
  <c r="AL22" i="8"/>
  <c r="AQ42" i="8"/>
  <c r="AL38" i="8"/>
  <c r="AU42" i="8"/>
  <c r="AT38" i="8"/>
  <c r="AS22" i="8"/>
  <c r="AS12" i="8"/>
  <c r="AO22" i="8"/>
  <c r="AO6" i="8"/>
  <c r="AO23" i="8"/>
  <c r="AV18" i="8"/>
  <c r="AV22" i="8"/>
  <c r="AT16" i="8"/>
  <c r="AT22" i="8"/>
  <c r="CG48" i="8"/>
  <c r="CG19" i="8"/>
  <c r="CG21" i="8"/>
  <c r="CG22" i="8"/>
  <c r="CC7" i="8"/>
  <c r="CC9" i="8"/>
  <c r="CC25" i="8"/>
  <c r="CC32" i="8"/>
  <c r="CC22" i="8"/>
  <c r="CC6" i="8"/>
  <c r="CC23" i="8"/>
  <c r="BZ4" i="8"/>
  <c r="AV313" i="15" a="1"/>
  <c r="AV313" i="15" s="1"/>
  <c r="CF26" i="8"/>
  <c r="AM23" i="8"/>
  <c r="AL6" i="8"/>
  <c r="AL23" i="8"/>
  <c r="BA27" i="8"/>
  <c r="BA26" i="8"/>
  <c r="BH30" i="8"/>
  <c r="BH31" i="8"/>
  <c r="J48" i="8"/>
  <c r="J18" i="8"/>
  <c r="F39" i="8"/>
  <c r="I42" i="8"/>
  <c r="S22" i="8"/>
  <c r="S6" i="8"/>
  <c r="S23" i="8"/>
  <c r="N4" i="8"/>
  <c r="N22" i="8"/>
  <c r="AA20" i="8"/>
  <c r="AA32" i="8"/>
  <c r="AA48" i="8"/>
  <c r="AV28" i="8"/>
  <c r="AV6" i="8"/>
  <c r="AV23" i="8"/>
  <c r="AV29" i="8"/>
  <c r="AT5" i="8"/>
  <c r="CE20" i="8"/>
  <c r="CE29" i="8"/>
  <c r="CE18" i="8"/>
  <c r="BZ17" i="8"/>
  <c r="BR8" i="8"/>
  <c r="BS9" i="8"/>
  <c r="AN31" i="8"/>
  <c r="AN30" i="8"/>
  <c r="BA28" i="8"/>
  <c r="BA29" i="8"/>
  <c r="BA6" i="8"/>
  <c r="BA23" i="8"/>
  <c r="AN22" i="8"/>
  <c r="AN12" i="8"/>
  <c r="AP18" i="8"/>
  <c r="AP22" i="8"/>
  <c r="AR42" i="8"/>
  <c r="AS42" i="8"/>
  <c r="AM42" i="8"/>
  <c r="AL42" i="8"/>
  <c r="AL41" i="8"/>
  <c r="AW42" i="8"/>
  <c r="AT11" i="8"/>
  <c r="AW29" i="8"/>
  <c r="AW28" i="8"/>
  <c r="AW12" i="8"/>
  <c r="AU6" i="8"/>
  <c r="AU22" i="8"/>
  <c r="BY42" i="8"/>
  <c r="BR40" i="8"/>
  <c r="BW42" i="8"/>
  <c r="BR38" i="8"/>
  <c r="BV19" i="8"/>
  <c r="BV48" i="8"/>
  <c r="BV22" i="8"/>
  <c r="BV18" i="8"/>
  <c r="BR16" i="8"/>
  <c r="BU47" i="8"/>
  <c r="BU13" i="8"/>
  <c r="BU12" i="8"/>
  <c r="BU7" i="8"/>
  <c r="BU22" i="8"/>
  <c r="BU6" i="8"/>
  <c r="BU23" i="8"/>
  <c r="BR4" i="8"/>
  <c r="BR22" i="8"/>
  <c r="CA19" i="8"/>
  <c r="CA21" i="8"/>
  <c r="BZ21" i="8"/>
  <c r="CA48" i="8"/>
  <c r="CA18" i="8"/>
  <c r="BZ18" i="8"/>
  <c r="BZ16" i="8"/>
  <c r="CA22" i="8"/>
  <c r="CE30" i="8"/>
  <c r="CE31" i="8"/>
  <c r="BW24" i="8"/>
  <c r="BW26" i="8"/>
  <c r="BW21" i="8"/>
  <c r="AP31" i="8"/>
  <c r="AP30" i="8"/>
  <c r="AB18" i="8"/>
  <c r="AB22" i="8"/>
  <c r="V16" i="8"/>
  <c r="AD4" i="8"/>
  <c r="AD22" i="8"/>
  <c r="AD27" i="8"/>
  <c r="AI22" i="8"/>
  <c r="Y42" i="8"/>
  <c r="V42" i="8"/>
  <c r="V39" i="8"/>
  <c r="AD40" i="8"/>
  <c r="AE42" i="8"/>
  <c r="AD41" i="8"/>
  <c r="AF42" i="8"/>
  <c r="AM29" i="8"/>
  <c r="AM18" i="8"/>
  <c r="AL18" i="8"/>
  <c r="AL17" i="8"/>
  <c r="AY31" i="8"/>
  <c r="AY30" i="8"/>
  <c r="BT28" i="8"/>
  <c r="BS29" i="8"/>
  <c r="BR5" i="8"/>
  <c r="M146" i="15"/>
  <c r="AV146" i="15" s="1" a="1"/>
  <c r="AV146" i="15" s="1"/>
  <c r="O173" i="15" a="1"/>
  <c r="O173" i="15" s="1"/>
  <c r="Q173" i="15" a="1"/>
  <c r="Q173" i="15" s="1"/>
  <c r="H264" i="15" a="1"/>
  <c r="H264" i="15" s="1"/>
  <c r="R264" i="15" a="1"/>
  <c r="R264" i="15" s="1"/>
  <c r="AV264" i="15" a="1"/>
  <c r="AV264" i="15" s="1"/>
  <c r="Q264" i="15" a="1"/>
  <c r="Q264" i="15" s="1"/>
  <c r="M237" i="15"/>
  <c r="Q237" i="15" s="1" a="1"/>
  <c r="Q237" i="15" s="1"/>
  <c r="AU236" i="15" a="1"/>
  <c r="AU236" i="15" s="1"/>
  <c r="R236" i="15" a="1"/>
  <c r="R236" i="15" s="1"/>
  <c r="AV236" i="15" a="1"/>
  <c r="AV236" i="15" s="1"/>
  <c r="Q236" i="15" a="1"/>
  <c r="Q236" i="15" s="1"/>
  <c r="BD30" i="8"/>
  <c r="BD31" i="8"/>
  <c r="BW28" i="8"/>
  <c r="BW29" i="8"/>
  <c r="BR6" i="8"/>
  <c r="BR23" i="8"/>
  <c r="BS23" i="8"/>
  <c r="Y30" i="8"/>
  <c r="Y31" i="8"/>
  <c r="V6" i="8"/>
  <c r="V23" i="8"/>
  <c r="V30" i="8"/>
  <c r="W23" i="8"/>
  <c r="AV173" i="15" a="1"/>
  <c r="AV173" i="15" s="1"/>
  <c r="M167" i="15"/>
  <c r="M168" i="15" s="1"/>
  <c r="Q166" i="15" a="1"/>
  <c r="Q166" i="15" s="1"/>
  <c r="AV166" i="15" a="1"/>
  <c r="AV166" i="15" s="1"/>
  <c r="AV152" i="15" a="1"/>
  <c r="AV152" i="15" s="1"/>
  <c r="M153" i="15"/>
  <c r="AV153" i="15" s="1" a="1"/>
  <c r="AV153" i="15" s="1"/>
  <c r="R152" i="15" a="1"/>
  <c r="R152" i="15" s="1"/>
  <c r="BJ13" i="8"/>
  <c r="BP15" i="8"/>
  <c r="BJ15" i="8"/>
  <c r="AX30" i="8"/>
  <c r="AX31" i="8"/>
  <c r="AV201" i="15" a="1"/>
  <c r="AV201" i="15" s="1"/>
  <c r="X26" i="8"/>
  <c r="BQ31" i="8"/>
  <c r="AJ6" i="8"/>
  <c r="AJ23" i="8"/>
  <c r="AJ28" i="8"/>
  <c r="BC28" i="8"/>
  <c r="BC18" i="8"/>
  <c r="BB18" i="8"/>
  <c r="BN18" i="8"/>
  <c r="BN28" i="8"/>
  <c r="BD42" i="8"/>
  <c r="BB42" i="8"/>
  <c r="FR14" i="4"/>
  <c r="FR13" i="4" s="1"/>
  <c r="FR4" i="4"/>
  <c r="CF9" i="8"/>
  <c r="CF25" i="8"/>
  <c r="CF30" i="8"/>
  <c r="M6" i="8"/>
  <c r="M23" i="8"/>
  <c r="H12" i="8"/>
  <c r="AX29" i="8"/>
  <c r="AN29" i="8"/>
  <c r="AN28" i="8"/>
  <c r="BB4" i="8"/>
  <c r="W27" i="8"/>
  <c r="BR42" i="8"/>
  <c r="BJ42" i="8"/>
  <c r="AD29" i="8"/>
  <c r="BQ13" i="8"/>
  <c r="BQ47" i="8"/>
  <c r="BT18" i="8"/>
  <c r="BT48" i="8"/>
  <c r="H299" i="15" a="1"/>
  <c r="H299" i="15" s="1"/>
  <c r="K299" i="15" s="1"/>
  <c r="AU201" i="15" a="1"/>
  <c r="AU201" i="15" s="1"/>
  <c r="BZ8" i="8"/>
  <c r="F40" i="8"/>
  <c r="CF14" i="8"/>
  <c r="CF12" i="8"/>
  <c r="I37" i="8"/>
  <c r="J37" i="8"/>
  <c r="K37" i="8"/>
  <c r="L37" i="8"/>
  <c r="M37" i="8"/>
  <c r="U28" i="8"/>
  <c r="U29" i="8"/>
  <c r="AE6" i="8"/>
  <c r="AS28" i="8"/>
  <c r="AS29" i="8"/>
  <c r="BL18" i="8"/>
  <c r="BL48" i="8"/>
  <c r="CB13" i="8"/>
  <c r="CB22" i="8"/>
  <c r="Q201" i="15" a="1"/>
  <c r="Q201" i="15" s="1"/>
  <c r="M202" i="15"/>
  <c r="AV202" i="15" s="1" a="1"/>
  <c r="AV202" i="15" s="1"/>
  <c r="P42" i="8"/>
  <c r="Y13" i="8"/>
  <c r="Y12" i="8"/>
  <c r="AR28" i="8"/>
  <c r="BH48" i="8"/>
  <c r="BH18" i="8"/>
  <c r="BK6" i="8"/>
  <c r="BX6" i="8"/>
  <c r="BX23" i="8"/>
  <c r="BX22" i="8"/>
  <c r="BX7" i="8"/>
  <c r="KG36" i="4"/>
  <c r="CA15" i="8"/>
  <c r="T18" i="8"/>
  <c r="MT18" i="4"/>
  <c r="CC30" i="8"/>
  <c r="AR30" i="8"/>
  <c r="AR31" i="8"/>
  <c r="F28" i="8"/>
  <c r="F29" i="8"/>
  <c r="F26" i="8"/>
  <c r="F27" i="8"/>
  <c r="F30" i="8"/>
  <c r="F31" i="8"/>
  <c r="CE26" i="8"/>
  <c r="CE27" i="8"/>
  <c r="AB31" i="8"/>
  <c r="AB30" i="8"/>
  <c r="CF32" i="8"/>
  <c r="BV30" i="8"/>
  <c r="BV31" i="8"/>
  <c r="BV32" i="8"/>
  <c r="AL31" i="8"/>
  <c r="AL30" i="8"/>
  <c r="M279" i="15"/>
  <c r="H279" i="15" s="1" a="1"/>
  <c r="H279" i="15" s="1"/>
  <c r="BY30" i="8"/>
  <c r="X32" i="8"/>
  <c r="CC24" i="8"/>
  <c r="CF28" i="8"/>
  <c r="BW27" i="8"/>
  <c r="BJ20" i="8"/>
  <c r="BQ28" i="8"/>
  <c r="BB29" i="8"/>
  <c r="CD9" i="8"/>
  <c r="CD25" i="8"/>
  <c r="CD24" i="8"/>
  <c r="M314" i="15"/>
  <c r="AU314" i="15" s="1" a="1"/>
  <c r="AU314" i="15" s="1"/>
  <c r="BY32" i="8"/>
  <c r="AD26" i="8"/>
  <c r="BZ19" i="8"/>
  <c r="BV29" i="8"/>
  <c r="BY24" i="8"/>
  <c r="BS24" i="8"/>
  <c r="V19" i="8"/>
  <c r="Z24" i="8"/>
  <c r="BW32" i="8"/>
  <c r="BW30" i="8"/>
  <c r="AI31" i="8"/>
  <c r="AI30" i="8"/>
  <c r="J26" i="8"/>
  <c r="J27" i="8"/>
  <c r="J28" i="8"/>
  <c r="J29" i="8"/>
  <c r="J30" i="8"/>
  <c r="J31" i="8"/>
  <c r="CA9" i="8"/>
  <c r="CA28" i="8"/>
  <c r="AH26" i="8"/>
  <c r="AH27" i="8"/>
  <c r="I180" i="15" a="1"/>
  <c r="I180" i="15" s="1"/>
  <c r="BT29" i="8"/>
  <c r="V29" i="8"/>
  <c r="BC26" i="8"/>
  <c r="BC27" i="8"/>
  <c r="H28" i="8"/>
  <c r="H29" i="8"/>
  <c r="H30" i="8"/>
  <c r="H31" i="8"/>
  <c r="AV180" i="15" a="1"/>
  <c r="AV180" i="15" s="1"/>
  <c r="AR27" i="8"/>
  <c r="AR26" i="8"/>
  <c r="CG24" i="8"/>
  <c r="BT9" i="8"/>
  <c r="CA29" i="8"/>
  <c r="R28" i="8"/>
  <c r="R29" i="8"/>
  <c r="BI31" i="8"/>
  <c r="Z30" i="8"/>
  <c r="G30" i="8"/>
  <c r="G31" i="8"/>
  <c r="G28" i="8"/>
  <c r="G29" i="8"/>
  <c r="G26" i="8"/>
  <c r="G27" i="8"/>
  <c r="K28" i="8"/>
  <c r="K29" i="8"/>
  <c r="K30" i="8"/>
  <c r="K31" i="8"/>
  <c r="K26" i="8"/>
  <c r="K27" i="8"/>
  <c r="CB24" i="8"/>
  <c r="CB9" i="8"/>
  <c r="BF26" i="8"/>
  <c r="BF27" i="8"/>
  <c r="Q28" i="8"/>
  <c r="Q29" i="8"/>
  <c r="Q30" i="8"/>
  <c r="Q31" i="8"/>
  <c r="Q26" i="8"/>
  <c r="Q27" i="8"/>
  <c r="F42" i="8"/>
  <c r="CA24" i="8"/>
  <c r="BH26" i="8"/>
  <c r="CC15" i="8"/>
  <c r="H278" i="15" a="1"/>
  <c r="H278" i="15" s="1"/>
  <c r="O334" i="15" a="1"/>
  <c r="O334" i="15" s="1"/>
  <c r="I55" i="15" a="1"/>
  <c r="I55" i="15" s="1"/>
  <c r="H61" i="15" a="1"/>
  <c r="H61" i="15" s="1"/>
  <c r="DZ19" i="4"/>
  <c r="EW20" i="4"/>
  <c r="FR20" i="4"/>
  <c r="EI20" i="4"/>
  <c r="GJ19" i="4"/>
  <c r="EY11" i="4"/>
  <c r="GX11" i="4"/>
  <c r="DQ20" i="4"/>
  <c r="FV11" i="4"/>
  <c r="FM11" i="4"/>
  <c r="JK11" i="4"/>
  <c r="JT11" i="4"/>
  <c r="FL20" i="4"/>
  <c r="LX11" i="4"/>
  <c r="CI11" i="4"/>
  <c r="HX19" i="4"/>
  <c r="HF20" i="4"/>
  <c r="GD20" i="4"/>
  <c r="GM19" i="4"/>
  <c r="FU20" i="4"/>
  <c r="HX20" i="4"/>
  <c r="GR38" i="4"/>
  <c r="GL11" i="4"/>
  <c r="I117" i="15" a="1"/>
  <c r="I117" i="15" s="1"/>
  <c r="GL19" i="4"/>
  <c r="FF19" i="4"/>
  <c r="DF20" i="4"/>
  <c r="EG19" i="4"/>
  <c r="KE19" i="4"/>
  <c r="PB19" i="4"/>
  <c r="ME35" i="4"/>
  <c r="OJ36" i="4"/>
  <c r="MW36" i="4"/>
  <c r="KX11" i="4"/>
  <c r="OS19" i="4"/>
  <c r="JH11" i="4"/>
  <c r="I4" i="4"/>
  <c r="NO35" i="4"/>
  <c r="IL19" i="4"/>
  <c r="JD20" i="4"/>
  <c r="KK19" i="4"/>
  <c r="OS11" i="4"/>
  <c r="HQ15" i="4"/>
  <c r="HQ35" i="4" s="1"/>
  <c r="JD19" i="4"/>
  <c r="IU20" i="4"/>
  <c r="KK20" i="4"/>
  <c r="OA20" i="4"/>
  <c r="JV19" i="4"/>
  <c r="EI11" i="4"/>
  <c r="ER11" i="4"/>
  <c r="FR11" i="4"/>
  <c r="GA11" i="4"/>
  <c r="JM20" i="4"/>
  <c r="IU11" i="4"/>
  <c r="NO36" i="4"/>
  <c r="PB11" i="4"/>
  <c r="I54" i="15" a="1"/>
  <c r="I54" i="15" s="1"/>
  <c r="I201" i="15" a="1"/>
  <c r="I201" i="15" s="1"/>
  <c r="GT19" i="4"/>
  <c r="FZ16" i="4"/>
  <c r="AW19" i="4"/>
  <c r="DH19" i="4"/>
  <c r="FO11" i="4"/>
  <c r="IL11" i="4"/>
  <c r="JD11" i="4"/>
  <c r="JM11" i="4"/>
  <c r="JV11" i="4"/>
  <c r="KE11" i="4"/>
  <c r="MI11" i="4"/>
  <c r="NT11" i="4"/>
  <c r="BR19" i="4"/>
  <c r="EG11" i="4"/>
  <c r="EP11" i="4"/>
  <c r="OZ36" i="4"/>
  <c r="CY20" i="4"/>
  <c r="LN4" i="4"/>
  <c r="DT19" i="4"/>
  <c r="GX4" i="4"/>
  <c r="CS20" i="4"/>
  <c r="DO19" i="4"/>
  <c r="DX20" i="4"/>
  <c r="FX20" i="4"/>
  <c r="EP19" i="4"/>
  <c r="DK19" i="4"/>
  <c r="BZ19" i="4"/>
  <c r="BB19" i="4"/>
  <c r="ED20" i="4"/>
  <c r="BT19" i="4"/>
  <c r="HZ11" i="4"/>
  <c r="FT20" i="4"/>
  <c r="GD11" i="4"/>
  <c r="KQ4" i="4"/>
  <c r="GB4" i="4"/>
  <c r="IU4" i="4"/>
  <c r="V94" i="32"/>
  <c r="V96" i="32"/>
  <c r="U94" i="32"/>
  <c r="S92" i="32"/>
  <c r="Y88" i="32"/>
  <c r="M88" i="32"/>
  <c r="M87" i="32"/>
  <c r="O269" i="32"/>
  <c r="O257" i="32"/>
  <c r="L322" i="32"/>
  <c r="N328" i="32"/>
  <c r="O333" i="32"/>
  <c r="O325" i="32"/>
  <c r="T89" i="32"/>
  <c r="U96" i="32"/>
  <c r="S94" i="32"/>
  <c r="X88" i="32"/>
  <c r="T88" i="32"/>
  <c r="O271" i="32"/>
  <c r="N259" i="32"/>
  <c r="O267" i="32"/>
  <c r="N327" i="32"/>
  <c r="N95" i="32"/>
  <c r="N90" i="32"/>
  <c r="T96" i="32"/>
  <c r="S96" i="32"/>
  <c r="Y92" i="32"/>
  <c r="M92" i="32"/>
  <c r="V88" i="32"/>
  <c r="W87" i="32"/>
  <c r="O272" i="32"/>
  <c r="L329" i="32"/>
  <c r="N325" i="32"/>
  <c r="N89" i="32"/>
  <c r="N97" i="32"/>
  <c r="V89" i="32"/>
  <c r="U89" i="32"/>
  <c r="Y94" i="32"/>
  <c r="M94" i="32"/>
  <c r="X92" i="32"/>
  <c r="U88" i="32"/>
  <c r="L328" i="32"/>
  <c r="X94" i="32"/>
  <c r="LL30" i="21"/>
  <c r="FE19" i="4"/>
  <c r="JM4" i="4"/>
  <c r="HZ20" i="4"/>
  <c r="II20" i="4"/>
  <c r="HZ19" i="4"/>
  <c r="BG19" i="4"/>
  <c r="GT11" i="4"/>
  <c r="MY20" i="4"/>
  <c r="NR19" i="4"/>
  <c r="DQ11" i="4"/>
  <c r="K4" i="4"/>
  <c r="DC19" i="4"/>
  <c r="DK11" i="4"/>
  <c r="HF11" i="4"/>
  <c r="HX11" i="4"/>
  <c r="IG11" i="4"/>
  <c r="GE11" i="4"/>
  <c r="E153" i="15"/>
  <c r="E363" i="15"/>
  <c r="L18" i="4"/>
  <c r="OC18" i="4"/>
  <c r="OL4" i="4"/>
  <c r="OX4" i="4"/>
  <c r="GX14" i="4"/>
  <c r="O180" i="15" s="1" a="1"/>
  <c r="O180" i="15" s="1"/>
  <c r="ML4" i="4"/>
  <c r="ML10" i="4"/>
  <c r="IZ4" i="4"/>
  <c r="NW18" i="4"/>
  <c r="JS4" i="4"/>
  <c r="PC35" i="4"/>
  <c r="OT36" i="4"/>
  <c r="OD35" i="4"/>
  <c r="LD30" i="21"/>
  <c r="OJ18" i="4"/>
  <c r="ND18" i="4"/>
  <c r="OT18" i="4"/>
  <c r="MV18" i="4"/>
  <c r="OT13" i="4"/>
  <c r="EZ35" i="4"/>
  <c r="ES35" i="4" s="1"/>
  <c r="MP36" i="4"/>
  <c r="GK35" i="4"/>
  <c r="EF19" i="4"/>
  <c r="EO20" i="4"/>
  <c r="BU11" i="4"/>
  <c r="CZ4" i="4"/>
  <c r="FJ4" i="4"/>
  <c r="HA10" i="4"/>
  <c r="LW4" i="4"/>
  <c r="BJ20" i="4"/>
  <c r="FW19" i="4"/>
  <c r="EZ4" i="4"/>
  <c r="KT11" i="4"/>
  <c r="OQ35" i="4"/>
  <c r="CR19" i="4"/>
  <c r="HC38" i="4"/>
  <c r="CF19" i="4"/>
  <c r="DN19" i="4"/>
  <c r="AG20" i="4"/>
  <c r="GK16" i="4"/>
  <c r="EV19" i="4"/>
  <c r="BD19" i="4"/>
  <c r="BW11" i="4"/>
  <c r="DF11" i="4"/>
  <c r="DO11" i="4"/>
  <c r="DX11" i="4"/>
  <c r="EW11" i="4"/>
  <c r="FF11" i="4"/>
  <c r="FX11" i="4"/>
  <c r="FN19" i="4"/>
  <c r="CB19" i="4"/>
  <c r="MV36" i="4"/>
  <c r="CQ19" i="4"/>
  <c r="AQ20" i="4"/>
  <c r="CQ11" i="4"/>
  <c r="CE11" i="4"/>
  <c r="OZ35" i="4"/>
  <c r="AM19" i="4"/>
  <c r="CE20" i="4"/>
  <c r="BH20" i="4"/>
  <c r="BO20" i="4"/>
  <c r="GN11" i="4"/>
  <c r="ER19" i="4"/>
  <c r="BD11" i="4"/>
  <c r="OH36" i="4"/>
  <c r="CL20" i="4"/>
  <c r="PB36" i="4"/>
  <c r="AI19" i="4"/>
  <c r="AO19" i="4"/>
  <c r="ND36" i="4"/>
  <c r="LX35" i="4"/>
  <c r="OB36" i="4"/>
  <c r="T19" i="4"/>
  <c r="NF11" i="4"/>
  <c r="AB19" i="4"/>
  <c r="AT20" i="4"/>
  <c r="AH11" i="4"/>
  <c r="AH20" i="4"/>
  <c r="H13" i="4"/>
  <c r="KJ4" i="4"/>
  <c r="KS4" i="4"/>
  <c r="IO4" i="4"/>
  <c r="KV30" i="21"/>
  <c r="OK36" i="4"/>
  <c r="LX36" i="4"/>
  <c r="MG35" i="4"/>
  <c r="NN35" i="4"/>
  <c r="OU35" i="4"/>
  <c r="LO36" i="4"/>
  <c r="NZ36" i="4"/>
  <c r="LF35" i="4"/>
  <c r="PB35" i="4"/>
  <c r="OS35" i="4"/>
  <c r="LP36" i="4"/>
  <c r="NB19" i="4"/>
  <c r="NK36" i="4"/>
  <c r="OE20" i="4"/>
  <c r="OE36" i="4"/>
  <c r="NM36" i="4"/>
  <c r="AP20" i="4"/>
  <c r="HS20" i="4"/>
  <c r="HJ11" i="4"/>
  <c r="LJ11" i="4"/>
  <c r="MR19" i="4"/>
  <c r="OE11" i="4"/>
  <c r="IY11" i="4"/>
  <c r="LI11" i="4"/>
  <c r="NG11" i="4"/>
  <c r="OI36" i="4"/>
  <c r="JR19" i="4"/>
  <c r="OI13" i="4"/>
  <c r="JM15" i="4"/>
  <c r="JM19" i="4" s="1"/>
  <c r="KA19" i="4"/>
  <c r="LJ35" i="4"/>
  <c r="KP11" i="4"/>
  <c r="NF20" i="4"/>
  <c r="NK19" i="4"/>
  <c r="X19" i="4"/>
  <c r="P11" i="4"/>
  <c r="BH11" i="4"/>
  <c r="CK11" i="4"/>
  <c r="DN11" i="4"/>
  <c r="EO11" i="4"/>
  <c r="FN11" i="4"/>
  <c r="FJ11" i="4"/>
  <c r="IR11" i="4"/>
  <c r="KC11" i="4"/>
  <c r="PC13" i="4"/>
  <c r="EM16" i="4"/>
  <c r="HA19" i="4"/>
  <c r="GR20" i="4"/>
  <c r="KA20" i="4"/>
  <c r="ME19" i="4"/>
  <c r="OE19" i="4"/>
  <c r="BX20" i="4"/>
  <c r="NX11" i="4"/>
  <c r="Q11" i="4"/>
  <c r="AQ11" i="4"/>
  <c r="AW11" i="4"/>
  <c r="AY11" i="4"/>
  <c r="CL11" i="4"/>
  <c r="DG20" i="4"/>
  <c r="HA20" i="4"/>
  <c r="IP11" i="4"/>
  <c r="KA11" i="4"/>
  <c r="IY19" i="4"/>
  <c r="MW20" i="4"/>
  <c r="ME20" i="4"/>
  <c r="NT36" i="4"/>
  <c r="MN19" i="4"/>
  <c r="MB11" i="4"/>
  <c r="E203" i="15"/>
  <c r="OI35" i="4"/>
  <c r="KP19" i="4"/>
  <c r="JR11" i="4"/>
  <c r="JR20" i="4"/>
  <c r="KJ11" i="4"/>
  <c r="LH20" i="4"/>
  <c r="NO11" i="4"/>
  <c r="MW11" i="4"/>
  <c r="MN11" i="4"/>
  <c r="I264" i="15" a="1"/>
  <c r="I264" i="15" s="1"/>
  <c r="KY11" i="4"/>
  <c r="KS11" i="4"/>
  <c r="MW19" i="4"/>
  <c r="OX13" i="4"/>
  <c r="AV19" i="4"/>
  <c r="NB4" i="4"/>
  <c r="E362" i="15"/>
  <c r="NZ35" i="4"/>
  <c r="LG36" i="4"/>
  <c r="G11" i="4"/>
  <c r="CK20" i="4"/>
  <c r="IP19" i="4"/>
  <c r="AB11" i="4"/>
  <c r="AG11" i="4"/>
  <c r="AM11" i="4"/>
  <c r="AU11" i="4"/>
  <c r="CF11" i="4"/>
  <c r="FM4" i="4"/>
  <c r="EF11" i="4"/>
  <c r="GS11" i="4"/>
  <c r="LN20" i="4"/>
  <c r="LN36" i="4"/>
  <c r="LM36" i="4" s="1"/>
  <c r="ON20" i="4"/>
  <c r="NE19" i="4"/>
  <c r="HP15" i="4"/>
  <c r="HP19" i="4" s="1"/>
  <c r="HP11" i="4"/>
  <c r="HP16" i="4"/>
  <c r="HP20" i="4" s="1"/>
  <c r="HP4" i="4"/>
  <c r="HY15" i="4"/>
  <c r="HY35" i="4" s="1"/>
  <c r="HY16" i="4"/>
  <c r="HB20" i="4"/>
  <c r="HB11" i="4"/>
  <c r="HK20" i="4"/>
  <c r="HK19" i="4"/>
  <c r="HK11" i="4"/>
  <c r="HT20" i="4"/>
  <c r="HT19" i="4"/>
  <c r="I208" i="15" a="1"/>
  <c r="I208" i="15" s="1"/>
  <c r="L208" i="15" s="1"/>
  <c r="ID19" i="4"/>
  <c r="ID11" i="4"/>
  <c r="ID20" i="4"/>
  <c r="JE16" i="4"/>
  <c r="JE20" i="4" s="1"/>
  <c r="JE15" i="4"/>
  <c r="JE19" i="4" s="1"/>
  <c r="JE11" i="4"/>
  <c r="JW4" i="4"/>
  <c r="JW11" i="4"/>
  <c r="IQ11" i="4"/>
  <c r="IQ20" i="4"/>
  <c r="IQ19" i="4"/>
  <c r="IZ20" i="4"/>
  <c r="IZ11" i="4"/>
  <c r="JJ11" i="4"/>
  <c r="JJ19" i="4"/>
  <c r="I236" i="15" a="1"/>
  <c r="I236" i="15" s="1"/>
  <c r="JS20" i="4"/>
  <c r="JS11" i="4"/>
  <c r="JS19" i="4"/>
  <c r="KB11" i="4"/>
  <c r="KB20" i="4"/>
  <c r="KB19" i="4"/>
  <c r="LB11" i="4"/>
  <c r="LK11" i="4"/>
  <c r="LT15" i="4"/>
  <c r="LT35" i="4" s="1"/>
  <c r="LM35" i="4" s="1"/>
  <c r="LT11" i="4"/>
  <c r="KH20" i="4"/>
  <c r="KH19" i="4"/>
  <c r="KQ20" i="4"/>
  <c r="KQ19" i="4"/>
  <c r="I265" i="15" a="1"/>
  <c r="I265" i="15" s="1"/>
  <c r="KZ19" i="4"/>
  <c r="LR11" i="4"/>
  <c r="MA11" i="4"/>
  <c r="NC11" i="4"/>
  <c r="NU20" i="4"/>
  <c r="NU19" i="4"/>
  <c r="MF11" i="4"/>
  <c r="NP20" i="4"/>
  <c r="NP11" i="4"/>
  <c r="OO16" i="4"/>
  <c r="OO6" i="4"/>
  <c r="OP11" i="4"/>
  <c r="OP4" i="4"/>
  <c r="OY4" i="4"/>
  <c r="LW36" i="4"/>
  <c r="Y19" i="4"/>
  <c r="BU19" i="4"/>
  <c r="CC20" i="4"/>
  <c r="CC19" i="4"/>
  <c r="CC11" i="4"/>
  <c r="CM20" i="4"/>
  <c r="CM19" i="4"/>
  <c r="CV20" i="4"/>
  <c r="CV11" i="4"/>
  <c r="CV19" i="4"/>
  <c r="CZ11" i="4"/>
  <c r="CZ20" i="4"/>
  <c r="CZ19" i="4"/>
  <c r="DI20" i="4"/>
  <c r="DI11" i="4"/>
  <c r="EZ11" i="4"/>
  <c r="EZ20" i="4"/>
  <c r="EZ19" i="4"/>
  <c r="I145" i="15" a="1"/>
  <c r="I145" i="15" s="1"/>
  <c r="FJ19" i="4"/>
  <c r="FJ20" i="4"/>
  <c r="GP39" i="4"/>
  <c r="GY16" i="4"/>
  <c r="R181" i="15" s="1" a="1"/>
  <c r="R181" i="15" s="1"/>
  <c r="HH15" i="4"/>
  <c r="HH19" i="4" s="1"/>
  <c r="HH16" i="4"/>
  <c r="HH36" i="4" s="1"/>
  <c r="HB19" i="4"/>
  <c r="KZ20" i="4"/>
  <c r="LZ20" i="4"/>
  <c r="LZ36" i="4"/>
  <c r="NG20" i="4"/>
  <c r="NG36" i="4"/>
  <c r="MU19" i="4"/>
  <c r="MU35" i="4"/>
  <c r="OX11" i="4"/>
  <c r="I257" i="15" a="1"/>
  <c r="I257" i="15" s="1"/>
  <c r="MV35" i="4"/>
  <c r="OY35" i="4"/>
  <c r="F20" i="4"/>
  <c r="I5" i="15" a="1"/>
  <c r="I5" i="15" s="1"/>
  <c r="F19" i="4"/>
  <c r="OX20" i="4"/>
  <c r="OX36" i="4"/>
  <c r="HV19" i="4"/>
  <c r="LQ20" i="4"/>
  <c r="ML19" i="4"/>
  <c r="OH19" i="4"/>
  <c r="GC20" i="4"/>
  <c r="BB11" i="4"/>
  <c r="NV35" i="4"/>
  <c r="AY19" i="4"/>
  <c r="BN19" i="4"/>
  <c r="MF19" i="4"/>
  <c r="OA11" i="4"/>
  <c r="OR11" i="4"/>
  <c r="MD36" i="4"/>
  <c r="NM35" i="4"/>
  <c r="AY20" i="4"/>
  <c r="EB11" i="4"/>
  <c r="HL19" i="4"/>
  <c r="GZ15" i="4"/>
  <c r="GZ38" i="4" s="1"/>
  <c r="LR20" i="4"/>
  <c r="MO19" i="4"/>
  <c r="BF19" i="4"/>
  <c r="DS19" i="4"/>
  <c r="GZ11" i="4"/>
  <c r="GQ11" i="4"/>
  <c r="GQ39" i="4"/>
  <c r="BN11" i="4"/>
  <c r="BR11" i="4"/>
  <c r="GC11" i="4"/>
  <c r="MX36" i="4"/>
  <c r="MS36" i="4" s="1"/>
  <c r="MP35" i="4"/>
  <c r="S20" i="4"/>
  <c r="LI19" i="4"/>
  <c r="MA20" i="4"/>
  <c r="NG19" i="4"/>
  <c r="OL35" i="4"/>
  <c r="OL13" i="4"/>
  <c r="P20" i="4"/>
  <c r="AG4" i="4"/>
  <c r="LY35" i="4"/>
  <c r="MY35" i="4"/>
  <c r="NB35" i="4"/>
  <c r="ME36" i="4"/>
  <c r="MH36" i="4"/>
  <c r="V20" i="4"/>
  <c r="BW19" i="4"/>
  <c r="X11" i="4"/>
  <c r="DC11" i="4"/>
  <c r="GH11" i="4"/>
  <c r="LJ20" i="4"/>
  <c r="E7" i="15"/>
  <c r="MH35" i="4"/>
  <c r="MN35" i="4"/>
  <c r="MW35" i="4"/>
  <c r="NW35" i="4"/>
  <c r="OL36" i="4"/>
  <c r="AF11" i="4"/>
  <c r="GI4" i="4"/>
  <c r="NU11" i="4"/>
  <c r="NZ13" i="4"/>
  <c r="PC36" i="4"/>
  <c r="PB13" i="4"/>
  <c r="AF20" i="4"/>
  <c r="MQ36" i="4"/>
  <c r="AA11" i="4"/>
  <c r="AY4" i="4"/>
  <c r="CQ4" i="4"/>
  <c r="GM4" i="4"/>
  <c r="CJ10" i="4"/>
  <c r="HO10" i="4"/>
  <c r="IV4" i="4"/>
  <c r="CJ4" i="4"/>
  <c r="ER10" i="4"/>
  <c r="IA18" i="4"/>
  <c r="MB10" i="4"/>
  <c r="MN18" i="4"/>
  <c r="JW18" i="4"/>
  <c r="KE4" i="4"/>
  <c r="EA4" i="4"/>
  <c r="NK4" i="4"/>
  <c r="AN4" i="4"/>
  <c r="CA4" i="4"/>
  <c r="MJ4" i="4"/>
  <c r="CA14" i="4"/>
  <c r="NT4" i="4"/>
  <c r="IL4" i="4"/>
  <c r="AI10" i="4"/>
  <c r="DR14" i="4"/>
  <c r="DR13" i="4" s="1"/>
  <c r="DR4" i="4"/>
  <c r="NU18" i="4"/>
  <c r="FV4" i="4"/>
  <c r="GR10" i="4"/>
  <c r="E235" i="15"/>
  <c r="FV10" i="4"/>
  <c r="NU10" i="4"/>
  <c r="OR10" i="4"/>
  <c r="JV4" i="4"/>
  <c r="MJ10" i="4"/>
  <c r="EU10" i="4"/>
  <c r="GR4" i="4"/>
  <c r="OR4" i="4"/>
  <c r="FD4" i="4"/>
  <c r="NC10" i="4"/>
  <c r="OI10" i="4"/>
  <c r="AM4" i="4"/>
  <c r="EU4" i="4"/>
  <c r="NU4" i="4"/>
  <c r="NC4" i="4"/>
  <c r="FM14" i="4"/>
  <c r="LV4" i="4"/>
  <c r="MU4" i="4"/>
  <c r="MU10" i="4"/>
  <c r="LN14" i="4"/>
  <c r="OS13" i="4"/>
  <c r="PA13" i="4"/>
  <c r="PA4" i="4"/>
  <c r="H152" i="15" a="1"/>
  <c r="H152" i="15" s="1"/>
  <c r="FR10" i="4"/>
  <c r="IV10" i="4"/>
  <c r="LF14" i="4"/>
  <c r="OB13" i="4"/>
  <c r="GI14" i="4"/>
  <c r="GI10" i="4"/>
  <c r="HS14" i="4"/>
  <c r="KY14" i="4"/>
  <c r="KY10" i="4"/>
  <c r="KY4" i="4"/>
  <c r="LA18" i="4"/>
  <c r="NG13" i="4"/>
  <c r="NP4" i="4"/>
  <c r="MT10" i="4"/>
  <c r="H313" i="15" a="1"/>
  <c r="H313" i="15" s="1"/>
  <c r="DK4" i="4"/>
  <c r="EZ14" i="4"/>
  <c r="EZ10" i="4"/>
  <c r="JE14" i="4"/>
  <c r="JE4" i="4"/>
  <c r="JN14" i="4"/>
  <c r="KS18" i="4"/>
  <c r="AF14" i="4"/>
  <c r="AF18" i="4" s="1"/>
  <c r="AF4" i="4"/>
  <c r="KL10" i="4"/>
  <c r="NC18" i="4"/>
  <c r="E343" i="15"/>
  <c r="NL10" i="4"/>
  <c r="PC18" i="4"/>
  <c r="OY10" i="4"/>
  <c r="E249" i="15"/>
  <c r="IB10" i="4"/>
  <c r="KO36" i="4"/>
  <c r="R285" i="15" a="1"/>
  <c r="R285" i="15" s="1"/>
  <c r="KY35" i="4"/>
  <c r="NR36" i="4"/>
  <c r="MA36" i="4"/>
  <c r="NV18" i="4"/>
  <c r="R306" i="15" a="1"/>
  <c r="R306" i="15" s="1"/>
  <c r="LO35" i="4"/>
  <c r="MQ35" i="4"/>
  <c r="OR35" i="4"/>
  <c r="NR13" i="4"/>
  <c r="ED13" i="4"/>
  <c r="ML36" i="4"/>
  <c r="LB35" i="4"/>
  <c r="ML13" i="4"/>
  <c r="NR20" i="4"/>
  <c r="OZ13" i="4"/>
  <c r="BR14" i="4"/>
  <c r="O61" i="15" s="1" a="1"/>
  <c r="O61" i="15" s="1"/>
  <c r="BR4" i="4"/>
  <c r="BR10" i="4"/>
  <c r="HH4" i="4"/>
  <c r="ET11" i="4"/>
  <c r="ET20" i="4"/>
  <c r="ET19" i="4"/>
  <c r="GK11" i="4"/>
  <c r="GK19" i="4"/>
  <c r="HL11" i="4"/>
  <c r="KP14" i="4"/>
  <c r="KP13" i="4" s="1"/>
  <c r="KP4" i="4"/>
  <c r="KP10" i="4"/>
  <c r="MU20" i="4"/>
  <c r="MU36" i="4"/>
  <c r="R11" i="4"/>
  <c r="R20" i="4"/>
  <c r="R19" i="4"/>
  <c r="BB14" i="4"/>
  <c r="FS20" i="4"/>
  <c r="FS11" i="4"/>
  <c r="FS19" i="4"/>
  <c r="HM6" i="4"/>
  <c r="HT11" i="4"/>
  <c r="FK20" i="4"/>
  <c r="FK19" i="4"/>
  <c r="KF14" i="4"/>
  <c r="KF4" i="4"/>
  <c r="LL15" i="4"/>
  <c r="LL35" i="4" s="1"/>
  <c r="LE35" i="4" s="1"/>
  <c r="LL11" i="4"/>
  <c r="MB19" i="4"/>
  <c r="E331" i="15"/>
  <c r="EJ14" i="4"/>
  <c r="EJ13" i="4" s="1"/>
  <c r="GB11" i="4"/>
  <c r="GB20" i="4"/>
  <c r="GB19" i="4"/>
  <c r="JP15" i="4"/>
  <c r="JP11" i="4"/>
  <c r="LJ14" i="4"/>
  <c r="LJ18" i="4" s="1"/>
  <c r="NJ4" i="4"/>
  <c r="NJ11" i="4"/>
  <c r="FC11" i="4"/>
  <c r="FC19" i="4"/>
  <c r="FC20" i="4"/>
  <c r="GU11" i="4"/>
  <c r="GU4" i="4"/>
  <c r="GU39" i="4"/>
  <c r="GU38" i="4"/>
  <c r="LC4" i="4"/>
  <c r="MI14" i="4"/>
  <c r="MI13" i="4" s="1"/>
  <c r="MI4" i="4"/>
  <c r="NV20" i="4"/>
  <c r="NV13" i="4"/>
  <c r="AF10" i="4"/>
  <c r="BC11" i="4"/>
  <c r="BC20" i="4"/>
  <c r="BK11" i="4"/>
  <c r="BK20" i="4"/>
  <c r="BS20" i="4"/>
  <c r="BS19" i="4"/>
  <c r="CA11" i="4"/>
  <c r="CA19" i="4"/>
  <c r="CA20" i="4"/>
  <c r="DC14" i="4"/>
  <c r="DC13" i="4" s="1"/>
  <c r="DC4" i="4"/>
  <c r="GN14" i="4"/>
  <c r="FB11" i="4"/>
  <c r="FA6" i="4"/>
  <c r="FK11" i="4"/>
  <c r="FT11" i="4"/>
  <c r="GV14" i="4"/>
  <c r="GV10" i="4"/>
  <c r="HF14" i="4"/>
  <c r="HF4" i="4"/>
  <c r="HF10" i="4"/>
  <c r="IJ15" i="4"/>
  <c r="IJ11" i="4"/>
  <c r="JD14" i="4"/>
  <c r="JD13" i="4" s="1"/>
  <c r="JD4" i="4"/>
  <c r="JN4" i="4"/>
  <c r="JN11" i="4"/>
  <c r="LQ14" i="4"/>
  <c r="LQ18" i="4" s="1"/>
  <c r="LQ10" i="4"/>
  <c r="KK11" i="4"/>
  <c r="KG6" i="4"/>
  <c r="LS19" i="4"/>
  <c r="LS11" i="4"/>
  <c r="LB10" i="4"/>
  <c r="NS10" i="4"/>
  <c r="OM4" i="4"/>
  <c r="OF15" i="4"/>
  <c r="OF35" i="4" s="1"/>
  <c r="NY6" i="4"/>
  <c r="OF11" i="4"/>
  <c r="OF4" i="4"/>
  <c r="ON11" i="4"/>
  <c r="ON15" i="4"/>
  <c r="P4" i="4"/>
  <c r="P14" i="4"/>
  <c r="P13" i="4" s="1"/>
  <c r="BH4" i="4"/>
  <c r="BH10" i="4"/>
  <c r="DL11" i="4"/>
  <c r="DL4" i="4"/>
  <c r="DV16" i="4"/>
  <c r="DV11" i="4"/>
  <c r="EN4" i="4"/>
  <c r="EN11" i="4"/>
  <c r="DR11" i="4"/>
  <c r="DR19" i="4"/>
  <c r="EJ20" i="4"/>
  <c r="EJ19" i="4"/>
  <c r="GA4" i="4"/>
  <c r="GA10" i="4"/>
  <c r="IB15" i="4"/>
  <c r="IB11" i="4"/>
  <c r="HG11" i="4"/>
  <c r="HO20" i="4"/>
  <c r="HO19" i="4"/>
  <c r="IE19" i="4"/>
  <c r="IX14" i="4"/>
  <c r="IX18" i="4" s="1"/>
  <c r="IT20" i="4"/>
  <c r="IT11" i="4"/>
  <c r="IT19" i="4"/>
  <c r="JC20" i="4"/>
  <c r="JU20" i="4"/>
  <c r="JU19" i="4"/>
  <c r="KD19" i="4"/>
  <c r="KD20" i="4"/>
  <c r="KD11" i="4"/>
  <c r="NM4" i="4"/>
  <c r="OE4" i="4"/>
  <c r="PD10" i="4"/>
  <c r="BJ11" i="4"/>
  <c r="DR20" i="4"/>
  <c r="EN16" i="4"/>
  <c r="EN20" i="4" s="1"/>
  <c r="HW11" i="4"/>
  <c r="NW20" i="4"/>
  <c r="NW13" i="4"/>
  <c r="KF11" i="4"/>
  <c r="NE35" i="4"/>
  <c r="NE36" i="4"/>
  <c r="NL18" i="4"/>
  <c r="BK19" i="4"/>
  <c r="HW20" i="4"/>
  <c r="LB20" i="4"/>
  <c r="OJ20" i="4"/>
  <c r="CJ18" i="4"/>
  <c r="CV14" i="4"/>
  <c r="BS4" i="4"/>
  <c r="BS11" i="4"/>
  <c r="CB4" i="4"/>
  <c r="CB11" i="4"/>
  <c r="CP19" i="4"/>
  <c r="CP11" i="4"/>
  <c r="DL19" i="4"/>
  <c r="DL20" i="4"/>
  <c r="EY14" i="4"/>
  <c r="EY10" i="4"/>
  <c r="EY4" i="4"/>
  <c r="OT35" i="4"/>
  <c r="V19" i="4"/>
  <c r="EA20" i="4"/>
  <c r="HO11" i="4"/>
  <c r="KM19" i="4"/>
  <c r="MD19" i="4"/>
  <c r="OA19" i="4"/>
  <c r="OB19" i="4"/>
  <c r="EE11" i="4"/>
  <c r="JC19" i="4"/>
  <c r="LH10" i="4"/>
  <c r="LJ36" i="4"/>
  <c r="OA35" i="4"/>
  <c r="LW19" i="4"/>
  <c r="MF20" i="4"/>
  <c r="BI6" i="4"/>
  <c r="JY6" i="4"/>
  <c r="ON14" i="4"/>
  <c r="ON10" i="4"/>
  <c r="ON4" i="4"/>
  <c r="OV14" i="4"/>
  <c r="OV4" i="4"/>
  <c r="NN18" i="4"/>
  <c r="LN19" i="4"/>
  <c r="V14" i="4"/>
  <c r="O19" i="15" s="1" a="1"/>
  <c r="O19" i="15" s="1"/>
  <c r="V4" i="4"/>
  <c r="T4" i="4"/>
  <c r="OR20" i="4"/>
  <c r="S11" i="4"/>
  <c r="OR19" i="4"/>
  <c r="JO14" i="4"/>
  <c r="JB16" i="4"/>
  <c r="MJ15" i="4"/>
  <c r="MJ35" i="4" s="1"/>
  <c r="MJ11" i="4"/>
  <c r="DD11" i="4"/>
  <c r="DD20" i="4"/>
  <c r="GL4" i="4"/>
  <c r="IM14" i="4"/>
  <c r="IM13" i="4" s="1"/>
  <c r="IM4" i="4"/>
  <c r="MT4" i="4"/>
  <c r="IE20" i="4"/>
  <c r="LQ19" i="4"/>
  <c r="IB4" i="4"/>
  <c r="DP14" i="4"/>
  <c r="HI11" i="4"/>
  <c r="LZ19" i="4"/>
  <c r="HS11" i="4"/>
  <c r="OX10" i="4"/>
  <c r="AD11" i="4"/>
  <c r="OM11" i="4"/>
  <c r="CO6" i="4"/>
  <c r="AT11" i="4"/>
  <c r="NO19" i="4"/>
  <c r="OY18" i="4"/>
  <c r="OJ11" i="4"/>
  <c r="HD13" i="21"/>
  <c r="GX31" i="21"/>
  <c r="GA23" i="21"/>
  <c r="AM23" i="21"/>
  <c r="AN6" i="15"/>
  <c r="AG6" i="15"/>
  <c r="AD6" i="15"/>
  <c r="G2" i="21"/>
  <c r="AK43" i="21"/>
  <c r="AJ43" i="21" s="1"/>
  <c r="AM6" i="15"/>
  <c r="E267" i="15"/>
  <c r="H20" i="4"/>
  <c r="F14" i="4"/>
  <c r="O5" i="15" s="1" a="1"/>
  <c r="O5" i="15" s="1"/>
  <c r="DI14" i="4"/>
  <c r="DI4" i="4"/>
  <c r="DA11" i="4"/>
  <c r="DE6" i="4"/>
  <c r="OK10" i="4"/>
  <c r="OK9" i="4" s="1"/>
  <c r="F10" i="4"/>
  <c r="GD18" i="4"/>
  <c r="G20" i="4"/>
  <c r="I10" i="4"/>
  <c r="MA19" i="4"/>
  <c r="MA35" i="4"/>
  <c r="KY20" i="4"/>
  <c r="LY20" i="4"/>
  <c r="LY36" i="4"/>
  <c r="MI20" i="4"/>
  <c r="MI36" i="4"/>
  <c r="MO20" i="4"/>
  <c r="MO36" i="4"/>
  <c r="NS35" i="4"/>
  <c r="OT19" i="4"/>
  <c r="PA20" i="4"/>
  <c r="PA36" i="4"/>
  <c r="OX18" i="4"/>
  <c r="LH19" i="4"/>
  <c r="LH35" i="4"/>
  <c r="LH13" i="4"/>
  <c r="G19" i="4"/>
  <c r="LC19" i="4"/>
  <c r="MN20" i="4"/>
  <c r="MN13" i="4"/>
  <c r="MV19" i="4"/>
  <c r="MV13" i="4"/>
  <c r="OJ19" i="4"/>
  <c r="OJ13" i="4"/>
  <c r="R4" i="4"/>
  <c r="CS4" i="4"/>
  <c r="CS10" i="4"/>
  <c r="ID14" i="4"/>
  <c r="ID18" i="4" s="1"/>
  <c r="GV11" i="4"/>
  <c r="HX10" i="4"/>
  <c r="JX14" i="4"/>
  <c r="LD14" i="4"/>
  <c r="LD4" i="4"/>
  <c r="LA19" i="4"/>
  <c r="LA13" i="4"/>
  <c r="KW16" i="4"/>
  <c r="KX36" i="4"/>
  <c r="KW36" i="4" s="1"/>
  <c r="LI20" i="4"/>
  <c r="LE16" i="4"/>
  <c r="LI36" i="4"/>
  <c r="Z4" i="4"/>
  <c r="Z10" i="4"/>
  <c r="Z14" i="4"/>
  <c r="Z11" i="4"/>
  <c r="U6" i="4"/>
  <c r="Z20" i="4"/>
  <c r="Z19" i="4"/>
  <c r="EA11" i="4"/>
  <c r="EJ11" i="4"/>
  <c r="EJ4" i="4"/>
  <c r="HD14" i="4"/>
  <c r="HN13" i="4"/>
  <c r="LP35" i="4"/>
  <c r="OJ35" i="4"/>
  <c r="LU15" i="4"/>
  <c r="KX20" i="4"/>
  <c r="NK20" i="4"/>
  <c r="IM11" i="4"/>
  <c r="IM19" i="4"/>
  <c r="IV20" i="4"/>
  <c r="IV11" i="4"/>
  <c r="AE19" i="4"/>
  <c r="AO4" i="4"/>
  <c r="AO14" i="4"/>
  <c r="NN20" i="4"/>
  <c r="NN13" i="4"/>
  <c r="IM20" i="4"/>
  <c r="AN19" i="4"/>
  <c r="AN11" i="4"/>
  <c r="AN20" i="4"/>
  <c r="AY14" i="4"/>
  <c r="BT11" i="4"/>
  <c r="ND4" i="4"/>
  <c r="NL4" i="4"/>
  <c r="NI6" i="4"/>
  <c r="NL11" i="4"/>
  <c r="O20" i="4"/>
  <c r="AG14" i="4"/>
  <c r="LS14" i="4"/>
  <c r="NM10" i="4"/>
  <c r="CN19" i="4"/>
  <c r="CN11" i="4"/>
  <c r="GT38" i="4"/>
  <c r="DV15" i="4"/>
  <c r="DU15" i="4" s="1"/>
  <c r="HW14" i="4"/>
  <c r="HW4" i="4"/>
  <c r="AM10" i="4"/>
  <c r="OG16" i="4"/>
  <c r="PD14" i="4"/>
  <c r="PD18" i="4" s="1"/>
  <c r="PD4" i="4"/>
  <c r="FH15" i="4"/>
  <c r="FH35" i="4" s="1"/>
  <c r="FA35" i="4" s="1"/>
  <c r="FH11" i="4"/>
  <c r="HA4" i="4"/>
  <c r="HA38" i="4"/>
  <c r="MB14" i="4"/>
  <c r="MB4" i="4"/>
  <c r="DV4" i="4"/>
  <c r="EE4" i="4"/>
  <c r="EE14" i="4"/>
  <c r="EE18" i="4" s="1"/>
  <c r="II11" i="4"/>
  <c r="MR14" i="4"/>
  <c r="MR13" i="4" s="1"/>
  <c r="MR4" i="4"/>
  <c r="LA20" i="4"/>
  <c r="KG21" i="21"/>
  <c r="KD15" i="21"/>
  <c r="JY21" i="21"/>
  <c r="KG15" i="21"/>
  <c r="JU15" i="21"/>
  <c r="PA19" i="4"/>
  <c r="KT19" i="4"/>
  <c r="LW20" i="4"/>
  <c r="LU16" i="4"/>
  <c r="OM19" i="4"/>
  <c r="OS20" i="4"/>
  <c r="OQ20" i="4"/>
  <c r="OQ13" i="4"/>
  <c r="JH19" i="4"/>
  <c r="OR13" i="4"/>
  <c r="OR18" i="4"/>
  <c r="OD20" i="4"/>
  <c r="OD13" i="4"/>
  <c r="LM16" i="4"/>
  <c r="OC19" i="4"/>
  <c r="OC13" i="4"/>
  <c r="JV9" i="21"/>
  <c r="JZ15" i="21"/>
  <c r="KC9" i="21"/>
  <c r="JP7" i="21"/>
  <c r="JU9" i="21"/>
  <c r="JV21" i="21"/>
  <c r="KB21" i="21"/>
  <c r="KC15" i="21"/>
  <c r="KA15" i="21"/>
  <c r="KA21" i="21"/>
  <c r="KH9" i="21"/>
  <c r="KC21" i="21"/>
  <c r="BT15" i="8"/>
  <c r="BT24" i="8"/>
  <c r="AC47" i="8"/>
  <c r="AC24" i="8"/>
  <c r="BC23" i="8"/>
  <c r="BB6" i="8"/>
  <c r="BB23" i="8"/>
  <c r="BP9" i="8"/>
  <c r="AF31" i="8"/>
  <c r="AF30" i="8"/>
  <c r="CC31" i="8"/>
  <c r="AL28" i="8"/>
  <c r="R26" i="8"/>
  <c r="R27" i="8"/>
  <c r="R30" i="8"/>
  <c r="R31" i="8"/>
  <c r="BM30" i="8"/>
  <c r="BM31" i="8"/>
  <c r="O23" i="8"/>
  <c r="N6" i="8"/>
  <c r="N23" i="8"/>
  <c r="N28" i="8"/>
  <c r="N29" i="8"/>
  <c r="AK27" i="8"/>
  <c r="AK26" i="8"/>
  <c r="BR14" i="8"/>
  <c r="BO29" i="8"/>
  <c r="BO32" i="8"/>
  <c r="BJ8" i="8"/>
  <c r="BJ28" i="8"/>
  <c r="BJ24" i="8"/>
  <c r="BM27" i="8"/>
  <c r="BM26" i="8"/>
  <c r="AG26" i="8"/>
  <c r="AG27" i="8"/>
  <c r="BY15" i="8"/>
  <c r="BO28" i="8"/>
  <c r="AA26" i="8"/>
  <c r="AA27" i="8"/>
  <c r="F22" i="8"/>
  <c r="AC32" i="8"/>
  <c r="BP24" i="8"/>
  <c r="V22" i="8"/>
  <c r="BR20" i="8"/>
  <c r="BR29" i="8"/>
  <c r="BO31" i="8"/>
  <c r="BO30" i="8"/>
  <c r="BG30" i="8"/>
  <c r="BG31" i="8"/>
  <c r="X30" i="8"/>
  <c r="X31" i="8"/>
  <c r="BB22" i="8"/>
  <c r="BB27" i="8"/>
  <c r="AQ26" i="8"/>
  <c r="BZ6" i="8"/>
  <c r="BZ23" i="8"/>
  <c r="CA23" i="8"/>
  <c r="N7" i="8"/>
  <c r="N24" i="8"/>
  <c r="U24" i="8"/>
  <c r="U9" i="8"/>
  <c r="CC29" i="8"/>
  <c r="AA30" i="8"/>
  <c r="AA31" i="8"/>
  <c r="CC21" i="8"/>
  <c r="CE21" i="8"/>
  <c r="N42" i="8"/>
  <c r="AD42" i="8"/>
  <c r="AH31" i="8"/>
  <c r="AH30" i="8"/>
  <c r="AC31" i="8"/>
  <c r="BB28" i="8"/>
  <c r="BJ22" i="8"/>
  <c r="BE27" i="8"/>
  <c r="BE26" i="8"/>
  <c r="BJ27" i="8"/>
  <c r="BJ26" i="8"/>
  <c r="BZ13" i="8"/>
  <c r="CB15" i="8"/>
  <c r="CG32" i="8"/>
  <c r="BP37" i="8"/>
  <c r="BR7" i="8"/>
  <c r="BU24" i="8"/>
  <c r="BU9" i="8"/>
  <c r="BU25" i="8"/>
  <c r="BV21" i="8"/>
  <c r="BV24" i="8"/>
  <c r="AP27" i="8"/>
  <c r="AP26" i="8"/>
  <c r="BZ7" i="8"/>
  <c r="BZ24" i="8"/>
  <c r="CG28" i="8"/>
  <c r="AJ30" i="8"/>
  <c r="AJ31" i="8"/>
  <c r="AB26" i="8"/>
  <c r="AB27" i="8"/>
  <c r="BS25" i="8"/>
  <c r="BR9" i="8"/>
  <c r="BR25" i="8"/>
  <c r="AV30" i="8"/>
  <c r="AV31" i="8"/>
  <c r="AO30" i="8"/>
  <c r="AO31" i="8"/>
  <c r="CG29" i="8"/>
  <c r="T26" i="8"/>
  <c r="T27" i="8"/>
  <c r="T32" i="8"/>
  <c r="T30" i="8"/>
  <c r="T31" i="8"/>
  <c r="BX9" i="8"/>
  <c r="BX25" i="8"/>
  <c r="BX24" i="8"/>
  <c r="Y24" i="8"/>
  <c r="Y47" i="8"/>
  <c r="V13" i="8"/>
  <c r="Y14" i="8"/>
  <c r="BU15" i="8"/>
  <c r="BR13" i="8"/>
  <c r="BR28" i="8"/>
  <c r="AO27" i="8"/>
  <c r="AO26" i="8"/>
  <c r="BR19" i="8"/>
  <c r="BZ20" i="8"/>
  <c r="CF31" i="8"/>
  <c r="BZ14" i="8"/>
  <c r="BZ28" i="8"/>
  <c r="CF29" i="8"/>
  <c r="M28" i="8"/>
  <c r="M29" i="8"/>
  <c r="M26" i="8"/>
  <c r="M27" i="8"/>
  <c r="M30" i="8"/>
  <c r="M31" i="8"/>
  <c r="AT42" i="8"/>
  <c r="AN27" i="8"/>
  <c r="AN26" i="8"/>
  <c r="CF15" i="8"/>
  <c r="T37" i="8"/>
  <c r="W31" i="8"/>
  <c r="W30" i="8"/>
  <c r="BA30" i="8"/>
  <c r="BA31" i="8"/>
  <c r="AM30" i="8"/>
  <c r="AM31" i="8"/>
  <c r="AS27" i="8"/>
  <c r="AS26" i="8"/>
  <c r="AM27" i="8"/>
  <c r="AM26" i="8"/>
  <c r="AU174" i="15" a="1"/>
  <c r="AU174" i="15" s="1"/>
  <c r="H174" i="15" a="1"/>
  <c r="H174" i="15" s="1"/>
  <c r="V24" i="8"/>
  <c r="V27" i="8"/>
  <c r="BJ6" i="8"/>
  <c r="BJ23" i="8"/>
  <c r="BK23" i="8"/>
  <c r="AE23" i="8"/>
  <c r="AD6" i="8"/>
  <c r="AD23" i="8"/>
  <c r="BQ15" i="8"/>
  <c r="BQ32" i="8"/>
  <c r="BQ24" i="8"/>
  <c r="V31" i="8"/>
  <c r="AU26" i="8"/>
  <c r="AU27" i="8"/>
  <c r="AA28" i="8"/>
  <c r="AA29" i="8"/>
  <c r="AL29" i="8"/>
  <c r="BB26" i="8"/>
  <c r="AI27" i="8"/>
  <c r="AI26" i="8"/>
  <c r="AT6" i="8"/>
  <c r="AT23" i="8"/>
  <c r="AU23" i="8"/>
  <c r="CE32" i="8"/>
  <c r="CE28" i="8"/>
  <c r="AT27" i="8"/>
  <c r="AT26" i="8"/>
  <c r="BZ15" i="8"/>
  <c r="CA37" i="8"/>
  <c r="CB37" i="8"/>
  <c r="CC37" i="8"/>
  <c r="CD37" i="8"/>
  <c r="CE37" i="8"/>
  <c r="CF37" i="8"/>
  <c r="AT28" i="8"/>
  <c r="AT29" i="8"/>
  <c r="S28" i="8"/>
  <c r="S29" i="8"/>
  <c r="S30" i="8"/>
  <c r="S31" i="8"/>
  <c r="S26" i="8"/>
  <c r="S27" i="8"/>
  <c r="BZ22" i="8"/>
  <c r="AV26" i="8"/>
  <c r="AV27" i="8"/>
  <c r="AZ30" i="8"/>
  <c r="AZ31" i="8"/>
  <c r="V26" i="8"/>
  <c r="CB25" i="8"/>
  <c r="CG26" i="8"/>
  <c r="CG27" i="8"/>
  <c r="BS26" i="8"/>
  <c r="BS27" i="8"/>
  <c r="CD31" i="8"/>
  <c r="CD32" i="8"/>
  <c r="CD30" i="8"/>
  <c r="CB27" i="8"/>
  <c r="CB26" i="8"/>
  <c r="BJ29" i="8"/>
  <c r="AL27" i="8"/>
  <c r="AL26" i="8"/>
  <c r="BY26" i="8"/>
  <c r="BY27" i="8"/>
  <c r="CA27" i="8"/>
  <c r="CA26" i="8"/>
  <c r="BZ9" i="8"/>
  <c r="BZ25" i="8"/>
  <c r="CA25" i="8"/>
  <c r="Z27" i="8"/>
  <c r="Z26" i="8"/>
  <c r="BT25" i="8"/>
  <c r="BT37" i="8"/>
  <c r="BU37" i="8"/>
  <c r="BV37" i="8"/>
  <c r="BW37" i="8"/>
  <c r="BX37" i="8"/>
  <c r="CD26" i="8"/>
  <c r="CD27" i="8"/>
  <c r="CC26" i="8"/>
  <c r="CC27" i="8"/>
  <c r="NO20" i="4"/>
  <c r="OW16" i="4"/>
  <c r="OA13" i="4"/>
  <c r="NF35" i="4"/>
  <c r="NF19" i="4"/>
  <c r="PB20" i="4"/>
  <c r="NY16" i="4"/>
  <c r="OA36" i="4"/>
  <c r="NA16" i="4"/>
  <c r="NC20" i="4"/>
  <c r="NC36" i="4"/>
  <c r="NT35" i="4"/>
  <c r="MT19" i="4"/>
  <c r="OP13" i="4"/>
  <c r="OP36" i="4"/>
  <c r="OO36" i="4" s="1"/>
  <c r="OE13" i="4"/>
  <c r="NK13" i="4"/>
  <c r="NK35" i="4"/>
  <c r="NQ15" i="4"/>
  <c r="NC13" i="4"/>
  <c r="NT13" i="4"/>
  <c r="NC19" i="4"/>
  <c r="OE35" i="4"/>
  <c r="OX19" i="4"/>
  <c r="OX35" i="4"/>
  <c r="MI35" i="4"/>
  <c r="NB36" i="4"/>
  <c r="NA36" i="4"/>
  <c r="LJ19" i="4"/>
  <c r="NU36" i="4"/>
  <c r="NC35" i="4"/>
  <c r="LK19" i="4"/>
  <c r="LK35" i="4"/>
  <c r="OP35" i="4"/>
  <c r="OP19" i="4"/>
  <c r="OP20" i="4"/>
  <c r="LK20" i="4"/>
  <c r="LK36" i="4"/>
  <c r="OY19" i="4"/>
  <c r="OY13" i="4"/>
  <c r="OY20" i="4"/>
  <c r="OY36" i="4"/>
  <c r="OW36" i="4"/>
  <c r="MT35" i="4"/>
  <c r="Q313" i="15" a="1"/>
  <c r="Q313" i="15" s="1"/>
  <c r="NU35" i="4"/>
  <c r="NU13" i="4"/>
  <c r="MT20" i="4"/>
  <c r="MT36" i="4"/>
  <c r="R313" i="15" a="1"/>
  <c r="R313" i="15" s="1"/>
  <c r="OM13" i="4"/>
  <c r="OU13" i="4"/>
  <c r="OU18" i="4"/>
  <c r="MU18" i="4"/>
  <c r="MU13" i="4"/>
  <c r="ME18" i="4"/>
  <c r="ME13" i="4"/>
  <c r="PA18" i="4"/>
  <c r="OS18" i="4"/>
  <c r="OB18" i="4"/>
  <c r="NS13" i="4"/>
  <c r="NQ16" i="4"/>
  <c r="LI13" i="4"/>
  <c r="LE36" i="4"/>
  <c r="LU36" i="4"/>
  <c r="NI16" i="4"/>
  <c r="NO13" i="4"/>
  <c r="OH13" i="4"/>
  <c r="NS36" i="4"/>
  <c r="MW13" i="4"/>
  <c r="MW18" i="4"/>
  <c r="LS20" i="4"/>
  <c r="LS36" i="4"/>
  <c r="NJ36" i="4"/>
  <c r="R327" i="15" a="1"/>
  <c r="R327" i="15" s="1"/>
  <c r="OE18" i="4"/>
  <c r="NE13" i="4"/>
  <c r="NE18" i="4"/>
  <c r="LS35" i="4"/>
  <c r="NJ35" i="4"/>
  <c r="NJ19" i="4"/>
  <c r="MT13" i="4"/>
  <c r="O313" i="15" a="1"/>
  <c r="O313" i="15" s="1"/>
  <c r="NO18" i="4"/>
  <c r="NF13" i="4"/>
  <c r="NF18" i="4"/>
  <c r="MY13" i="4"/>
  <c r="H2" i="21"/>
  <c r="AK7" i="15"/>
  <c r="AD7" i="15"/>
  <c r="AN7" i="15"/>
  <c r="AI7" i="15"/>
  <c r="AF7" i="15"/>
  <c r="AM7" i="15"/>
  <c r="AD8" i="15"/>
  <c r="AG7" i="15"/>
  <c r="AF8" i="15"/>
  <c r="OK13" i="4"/>
  <c r="OK18" i="4"/>
  <c r="NL19" i="4"/>
  <c r="NL13" i="4"/>
  <c r="NL35" i="4"/>
  <c r="NM13" i="4"/>
  <c r="NM18" i="4"/>
  <c r="LR19" i="4"/>
  <c r="LR13" i="4"/>
  <c r="LR35" i="4"/>
  <c r="ND19" i="4"/>
  <c r="ND13" i="4"/>
  <c r="ND35" i="4"/>
  <c r="NB13" i="4"/>
  <c r="OM20" i="4"/>
  <c r="OM36" i="4"/>
  <c r="OG36" i="4" s="1"/>
  <c r="NL20" i="4"/>
  <c r="NL36" i="4"/>
  <c r="KH21" i="21"/>
  <c r="JU21" i="21"/>
  <c r="JX7" i="21"/>
  <c r="JZ21" i="21"/>
  <c r="KG9" i="21"/>
  <c r="JY15" i="21"/>
  <c r="KB9" i="21"/>
  <c r="JZ9" i="21"/>
  <c r="KD21" i="21"/>
  <c r="KD23" i="21" s="1"/>
  <c r="JV15" i="21"/>
  <c r="KD9" i="21"/>
  <c r="BZ27" i="8"/>
  <c r="BZ26" i="8"/>
  <c r="BP26" i="8"/>
  <c r="BP27" i="8"/>
  <c r="O28" i="8"/>
  <c r="O29" i="8"/>
  <c r="O30" i="8"/>
  <c r="O31" i="8"/>
  <c r="O26" i="8"/>
  <c r="O27" i="8"/>
  <c r="BB31" i="8"/>
  <c r="BB30" i="8"/>
  <c r="BJ9" i="8"/>
  <c r="BJ25" i="8"/>
  <c r="BJ32" i="8"/>
  <c r="BP25" i="8"/>
  <c r="BC30" i="8"/>
  <c r="BC31" i="8"/>
  <c r="U37" i="8"/>
  <c r="N9" i="8"/>
  <c r="N25" i="8"/>
  <c r="U25" i="8"/>
  <c r="AC26" i="8"/>
  <c r="AC27" i="8"/>
  <c r="BT26" i="8"/>
  <c r="BT27" i="8"/>
  <c r="BZ29" i="8"/>
  <c r="BQ26" i="8"/>
  <c r="BQ27" i="8"/>
  <c r="Y26" i="8"/>
  <c r="Y27" i="8"/>
  <c r="AU30" i="8"/>
  <c r="AU31" i="8"/>
  <c r="BX26" i="8"/>
  <c r="BX27" i="8"/>
  <c r="BR30" i="8"/>
  <c r="BR32" i="8"/>
  <c r="BR31" i="8"/>
  <c r="BV27" i="8"/>
  <c r="BV26" i="8"/>
  <c r="AT31" i="8"/>
  <c r="AT30" i="8"/>
  <c r="BX32" i="8"/>
  <c r="BX31" i="8"/>
  <c r="BX30" i="8"/>
  <c r="BS31" i="8"/>
  <c r="BS32" i="8"/>
  <c r="BS30" i="8"/>
  <c r="AD30" i="8"/>
  <c r="AD31" i="8"/>
  <c r="BK30" i="8"/>
  <c r="BK31" i="8"/>
  <c r="BU31" i="8"/>
  <c r="BU32" i="8"/>
  <c r="BU30" i="8"/>
  <c r="AE31" i="8"/>
  <c r="AE30" i="8"/>
  <c r="BJ30" i="8"/>
  <c r="BJ31" i="8"/>
  <c r="BU27" i="8"/>
  <c r="BU26" i="8"/>
  <c r="Y32" i="8"/>
  <c r="V32" i="8"/>
  <c r="Y29" i="8"/>
  <c r="Y28" i="8"/>
  <c r="BR24" i="8"/>
  <c r="CA32" i="8"/>
  <c r="CA30" i="8"/>
  <c r="CA31" i="8"/>
  <c r="BT32" i="8"/>
  <c r="BT30" i="8"/>
  <c r="BT31" i="8"/>
  <c r="BZ31" i="8"/>
  <c r="BZ30" i="8"/>
  <c r="BZ32" i="8"/>
  <c r="CB32" i="8"/>
  <c r="CB30" i="8"/>
  <c r="CB31" i="8"/>
  <c r="NI36" i="4"/>
  <c r="NQ36" i="4"/>
  <c r="I2" i="21"/>
  <c r="J2" i="21" s="1"/>
  <c r="AD9" i="15"/>
  <c r="KB15" i="21"/>
  <c r="KA9" i="21"/>
  <c r="N32" i="8"/>
  <c r="N30" i="8"/>
  <c r="N31" i="8"/>
  <c r="N26" i="8"/>
  <c r="N27" i="8"/>
  <c r="BP31" i="8"/>
  <c r="BP30" i="8"/>
  <c r="BP32" i="8"/>
  <c r="U32" i="8"/>
  <c r="U30" i="8"/>
  <c r="U31" i="8"/>
  <c r="U26" i="8"/>
  <c r="U27" i="8"/>
  <c r="BR26" i="8"/>
  <c r="BR27" i="8"/>
  <c r="AM9" i="15"/>
  <c r="AF9" i="15"/>
  <c r="AN10" i="15"/>
  <c r="K2" i="21"/>
  <c r="M2" i="21" s="1"/>
  <c r="AI11" i="15"/>
  <c r="KH15" i="21"/>
  <c r="JY9" i="21"/>
  <c r="KI21" i="21"/>
  <c r="KI15" i="21"/>
  <c r="KJ15" i="21"/>
  <c r="KJ21" i="21"/>
  <c r="KJ9" i="21"/>
  <c r="KI9" i="21"/>
  <c r="KK9" i="21"/>
  <c r="KK21" i="21"/>
  <c r="KL21" i="21"/>
  <c r="KL15" i="21"/>
  <c r="KK15" i="21"/>
  <c r="KL9" i="21"/>
  <c r="KF7" i="21"/>
  <c r="KO21" i="21"/>
  <c r="KO15" i="21"/>
  <c r="KO22" i="21"/>
  <c r="KO9" i="21"/>
  <c r="KP9" i="21"/>
  <c r="KP15" i="21"/>
  <c r="KP21" i="21"/>
  <c r="KQ9" i="21"/>
  <c r="KP22" i="21"/>
  <c r="KQ21" i="21"/>
  <c r="KR21" i="21"/>
  <c r="KQ22" i="21"/>
  <c r="KR15" i="21"/>
  <c r="KQ15" i="21"/>
  <c r="KS21" i="21"/>
  <c r="KR22" i="21"/>
  <c r="KS15" i="21"/>
  <c r="KS9" i="21"/>
  <c r="KR9" i="21"/>
  <c r="KS22" i="21"/>
  <c r="KN18" i="21"/>
  <c r="KU13" i="21"/>
  <c r="KT21" i="21"/>
  <c r="KT22" i="21"/>
  <c r="KT9" i="21"/>
  <c r="KN7" i="21"/>
  <c r="KN6" i="21"/>
  <c r="KU14" i="21"/>
  <c r="KT15" i="21"/>
  <c r="KN10" i="21"/>
  <c r="KU22" i="21"/>
  <c r="KN12" i="21"/>
  <c r="KW21" i="21"/>
  <c r="KX9" i="21"/>
  <c r="KX21" i="21"/>
  <c r="KW9" i="21"/>
  <c r="KW22" i="21"/>
  <c r="KX15" i="21"/>
  <c r="KW15" i="21"/>
  <c r="KY21" i="21"/>
  <c r="KX22" i="21"/>
  <c r="KZ21" i="21"/>
  <c r="KY9" i="21"/>
  <c r="KZ15" i="21"/>
  <c r="KY22" i="21"/>
  <c r="KZ9" i="21"/>
  <c r="KY15" i="21"/>
  <c r="LA21" i="21"/>
  <c r="LA9" i="21"/>
  <c r="KZ22" i="21"/>
  <c r="KV18" i="21"/>
  <c r="LB21" i="21"/>
  <c r="LA15" i="21"/>
  <c r="LA22" i="21"/>
  <c r="LB15" i="21"/>
  <c r="LB22" i="21"/>
  <c r="LB9" i="21"/>
  <c r="KV7" i="21"/>
  <c r="KV6" i="21"/>
  <c r="LE21" i="21"/>
  <c r="LE22" i="21"/>
  <c r="LE9" i="21"/>
  <c r="LE15" i="21"/>
  <c r="LF15" i="21"/>
  <c r="LF21" i="21"/>
  <c r="LG21" i="21"/>
  <c r="LF22" i="21"/>
  <c r="LG15" i="21"/>
  <c r="LG9" i="21"/>
  <c r="LH21" i="21"/>
  <c r="LG22" i="21"/>
  <c r="LH9" i="21"/>
  <c r="LH15" i="21"/>
  <c r="LI21" i="21"/>
  <c r="LI15" i="21"/>
  <c r="LH22" i="21"/>
  <c r="LI9" i="21"/>
  <c r="LJ21" i="21"/>
  <c r="LJ15" i="21"/>
  <c r="LI22" i="21"/>
  <c r="LD18" i="21"/>
  <c r="LJ9" i="21"/>
  <c r="LJ23" i="21" s="1"/>
  <c r="LJ22" i="21"/>
  <c r="LD6" i="21"/>
  <c r="LD7" i="21"/>
  <c r="LM21" i="21"/>
  <c r="LN21" i="21"/>
  <c r="LM22" i="21"/>
  <c r="LM9" i="21"/>
  <c r="LN15" i="21"/>
  <c r="LM15" i="21"/>
  <c r="LN9" i="21"/>
  <c r="LO21" i="21"/>
  <c r="LO15" i="21"/>
  <c r="LN22" i="21"/>
  <c r="LO22" i="21"/>
  <c r="LP21" i="21"/>
  <c r="LO9" i="21"/>
  <c r="LP15" i="21"/>
  <c r="LP9" i="21"/>
  <c r="LQ21" i="21"/>
  <c r="LP22" i="21"/>
  <c r="LQ15" i="21"/>
  <c r="LL18" i="21"/>
  <c r="LR21" i="21"/>
  <c r="LQ22" i="21"/>
  <c r="LR15" i="21"/>
  <c r="LQ9" i="21"/>
  <c r="LR9" i="21"/>
  <c r="LR22" i="21"/>
  <c r="LL7" i="21"/>
  <c r="LL6" i="21"/>
  <c r="LU21" i="21"/>
  <c r="LV15" i="21"/>
  <c r="LV21" i="21"/>
  <c r="LU9" i="21"/>
  <c r="LU15" i="21"/>
  <c r="LV9" i="21"/>
  <c r="LU22" i="21"/>
  <c r="LV22" i="21"/>
  <c r="LW9" i="21"/>
  <c r="LX21" i="21"/>
  <c r="LW21" i="21"/>
  <c r="LW15" i="21"/>
  <c r="LW22" i="21"/>
  <c r="LX15" i="21"/>
  <c r="LY21" i="21"/>
  <c r="LX22" i="21"/>
  <c r="LX9" i="21"/>
  <c r="LY9" i="21"/>
  <c r="LY15" i="21"/>
  <c r="LZ21" i="21"/>
  <c r="LZ15" i="21"/>
  <c r="LT18" i="21"/>
  <c r="LY22" i="21"/>
  <c r="LT7" i="21"/>
  <c r="LT6" i="21"/>
  <c r="LZ9" i="21"/>
  <c r="LZ22" i="21"/>
  <c r="MC21" i="21"/>
  <c r="MD21" i="21"/>
  <c r="MD9" i="21"/>
  <c r="MD15" i="21"/>
  <c r="MC15" i="21"/>
  <c r="ME21" i="21"/>
  <c r="ME15" i="21"/>
  <c r="MF21" i="21"/>
  <c r="MF9" i="21"/>
  <c r="ME9" i="21"/>
  <c r="MG15" i="21"/>
  <c r="MG21" i="21"/>
  <c r="MF15" i="21"/>
  <c r="MH21" i="21"/>
  <c r="MH9" i="21"/>
  <c r="MG9" i="21"/>
  <c r="MB7" i="21"/>
  <c r="MH15" i="21"/>
  <c r="MK21" i="21"/>
  <c r="ML13" i="21"/>
  <c r="ML8" i="21"/>
  <c r="ML7" i="21"/>
  <c r="MK15" i="21"/>
  <c r="MK9" i="21"/>
  <c r="ML14" i="21"/>
  <c r="ML15" i="21" s="1"/>
  <c r="MK22" i="21"/>
  <c r="MM15" i="21"/>
  <c r="ML22" i="21"/>
  <c r="MM21" i="21"/>
  <c r="MN21" i="21"/>
  <c r="MM9" i="21"/>
  <c r="MN15" i="21"/>
  <c r="MM22" i="21"/>
  <c r="MN9" i="21"/>
  <c r="MN22" i="21"/>
  <c r="MO15" i="21"/>
  <c r="MO21" i="21"/>
  <c r="MO9" i="21"/>
  <c r="MJ18" i="21"/>
  <c r="MP21" i="21"/>
  <c r="MO22" i="21"/>
  <c r="MP9" i="21"/>
  <c r="MP15" i="21"/>
  <c r="MP22" i="21"/>
  <c r="MJ6" i="21"/>
  <c r="MS21" i="21"/>
  <c r="MT15" i="21"/>
  <c r="MS22" i="21"/>
  <c r="MT9" i="21"/>
  <c r="MT21" i="21"/>
  <c r="MS15" i="21"/>
  <c r="MS9" i="21"/>
  <c r="MT22" i="21"/>
  <c r="MU15" i="21"/>
  <c r="MU21" i="21"/>
  <c r="MV15" i="21"/>
  <c r="MV9" i="21"/>
  <c r="MW13" i="21"/>
  <c r="MW8" i="21"/>
  <c r="MW9" i="21" s="1"/>
  <c r="MU22" i="21"/>
  <c r="MU9" i="21"/>
  <c r="MV21" i="21"/>
  <c r="MV22" i="21"/>
  <c r="MW7" i="21"/>
  <c r="MR7" i="21" s="1"/>
  <c r="MW14" i="21"/>
  <c r="MW15" i="21" s="1"/>
  <c r="MX21" i="21"/>
  <c r="MR18" i="21"/>
  <c r="MW22" i="21"/>
  <c r="MX15" i="21"/>
  <c r="MX9" i="21"/>
  <c r="MX22" i="21"/>
  <c r="NA8" i="21"/>
  <c r="NA9" i="21" s="1"/>
  <c r="MR6" i="21"/>
  <c r="NA14" i="21"/>
  <c r="NA15" i="21" s="1"/>
  <c r="NA22" i="21"/>
  <c r="NB21" i="21"/>
  <c r="NB9" i="21"/>
  <c r="NB15" i="21"/>
  <c r="NC21" i="21"/>
  <c r="NC15" i="21"/>
  <c r="NC9" i="21"/>
  <c r="NB22" i="21"/>
  <c r="ND21" i="21"/>
  <c r="NC22" i="21"/>
  <c r="ND9" i="21"/>
  <c r="ND22" i="21"/>
  <c r="ND15" i="21"/>
  <c r="NE21" i="21"/>
  <c r="NE15" i="21"/>
  <c r="MZ18" i="21"/>
  <c r="NF21" i="21"/>
  <c r="NE22" i="21"/>
  <c r="NE9" i="21"/>
  <c r="NF9" i="21"/>
  <c r="NF15" i="21"/>
  <c r="MZ7" i="21"/>
  <c r="NF22" i="21"/>
  <c r="MZ6" i="21"/>
  <c r="NI21" i="21"/>
  <c r="NJ21" i="21"/>
  <c r="NJ43" i="21"/>
  <c r="NI22" i="21"/>
  <c r="NJ15" i="21"/>
  <c r="NI15" i="21"/>
  <c r="NI9" i="21"/>
  <c r="NK21" i="21"/>
  <c r="NJ9" i="21"/>
  <c r="NI43" i="21"/>
  <c r="NJ22" i="21"/>
  <c r="NK9" i="21"/>
  <c r="NK15" i="21"/>
  <c r="NK43" i="21"/>
  <c r="NL21" i="21"/>
  <c r="NK22" i="21"/>
  <c r="NL15" i="21"/>
  <c r="NL43" i="21"/>
  <c r="NM21" i="21"/>
  <c r="NL9" i="21"/>
  <c r="NM9" i="21"/>
  <c r="NL22" i="21"/>
  <c r="NM15" i="21"/>
  <c r="NH18" i="21"/>
  <c r="NM22" i="21"/>
  <c r="NN21" i="21"/>
  <c r="NN15" i="21"/>
  <c r="NN43" i="21"/>
  <c r="NN9" i="21"/>
  <c r="NH7" i="21"/>
  <c r="NQ21" i="21"/>
  <c r="NN22" i="21"/>
  <c r="NH6" i="21"/>
  <c r="NQ9" i="21"/>
  <c r="NQ15" i="21"/>
  <c r="R229" i="15" l="1" a="1"/>
  <c r="R229" i="15" s="1"/>
  <c r="R47" i="15" a="1"/>
  <c r="R47" i="15" s="1"/>
  <c r="AU145" i="15" a="1"/>
  <c r="AU145" i="15" s="1"/>
  <c r="O47" i="15" a="1"/>
  <c r="O47" i="15" s="1"/>
  <c r="AV145" i="15" a="1"/>
  <c r="AV145" i="15" s="1"/>
  <c r="O194" i="15" a="1"/>
  <c r="O194" i="15" s="1"/>
  <c r="AV47" i="15" a="1"/>
  <c r="AV47" i="15" s="1"/>
  <c r="I75" i="15" a="1"/>
  <c r="I75" i="15" s="1"/>
  <c r="AV75" i="15" a="1"/>
  <c r="AV75" i="15" s="1"/>
  <c r="AU229" i="15" a="1"/>
  <c r="AU229" i="15" s="1"/>
  <c r="M48" i="15"/>
  <c r="O48" i="15" s="1" a="1"/>
  <c r="O48" i="15" s="1"/>
  <c r="R145" i="15" a="1"/>
  <c r="R145" i="15" s="1"/>
  <c r="Q75" i="15" a="1"/>
  <c r="Q75" i="15" s="1"/>
  <c r="I229" i="15" a="1"/>
  <c r="I229" i="15" s="1"/>
  <c r="L229" i="15" s="1"/>
  <c r="AU257" i="15" a="1"/>
  <c r="AU257" i="15" s="1"/>
  <c r="I47" i="15" a="1"/>
  <c r="I47" i="15" s="1"/>
  <c r="R75" i="15" a="1"/>
  <c r="R75" i="15" s="1"/>
  <c r="Q47" i="15" a="1"/>
  <c r="Q47" i="15" s="1"/>
  <c r="Q194" i="15" a="1"/>
  <c r="Q194" i="15" s="1"/>
  <c r="R180" i="15" a="1"/>
  <c r="R180" i="15" s="1"/>
  <c r="I334" i="15" a="1"/>
  <c r="I334" i="15" s="1"/>
  <c r="I166" i="15" a="1"/>
  <c r="I166" i="15" s="1"/>
  <c r="L166" i="15" s="1"/>
  <c r="R160" i="15" a="1"/>
  <c r="R160" i="15" s="1"/>
  <c r="I341" i="15" a="1"/>
  <c r="I341" i="15" s="1"/>
  <c r="I152" i="15" a="1"/>
  <c r="I152" i="15" s="1"/>
  <c r="L152" i="15" s="1"/>
  <c r="AU208" i="15" a="1"/>
  <c r="AU208" i="15" s="1"/>
  <c r="I96" i="15" a="1"/>
  <c r="I96" i="15" s="1"/>
  <c r="L96" i="15" s="1"/>
  <c r="Q96" i="15" a="1"/>
  <c r="Q96" i="15" s="1"/>
  <c r="I6" i="15" a="1"/>
  <c r="I6" i="15" s="1"/>
  <c r="I62" i="15" a="1"/>
  <c r="I62" i="15" s="1"/>
  <c r="V62" i="15" s="1"/>
  <c r="M63" i="15"/>
  <c r="Q334" i="15" a="1"/>
  <c r="Q334" i="15" s="1"/>
  <c r="AU160" i="15" a="1"/>
  <c r="AU160" i="15" s="1"/>
  <c r="R96" i="15" a="1"/>
  <c r="R96" i="15" s="1"/>
  <c r="M97" i="15"/>
  <c r="M98" i="15" s="1"/>
  <c r="M99" i="15" s="1"/>
  <c r="AU99" i="15" s="1" a="1"/>
  <c r="AU99" i="15" s="1"/>
  <c r="H159" i="15" a="1"/>
  <c r="H159" i="15" s="1"/>
  <c r="O341" i="15" a="1"/>
  <c r="O341" i="15" s="1"/>
  <c r="I362" i="15" a="1"/>
  <c r="I362" i="15" s="1"/>
  <c r="L362" i="15" s="1"/>
  <c r="J362" i="15" s="1"/>
  <c r="M182" i="15"/>
  <c r="I182" i="15" s="1" a="1"/>
  <c r="I182" i="15" s="1"/>
  <c r="O160" i="15" a="1"/>
  <c r="O160" i="15" s="1"/>
  <c r="R131" i="15" a="1"/>
  <c r="R131" i="15" s="1"/>
  <c r="AU348" i="15" a="1"/>
  <c r="AU348" i="15" s="1"/>
  <c r="AU96" i="15" a="1"/>
  <c r="AU96" i="15" s="1"/>
  <c r="I348" i="15" a="1"/>
  <c r="I348" i="15" s="1"/>
  <c r="O320" i="15" a="1"/>
  <c r="O320" i="15" s="1"/>
  <c r="I131" i="15" a="1"/>
  <c r="I131" i="15" s="1"/>
  <c r="W131" i="15" s="1"/>
  <c r="Q348" i="15" a="1"/>
  <c r="Q348" i="15" s="1"/>
  <c r="R362" i="15" a="1"/>
  <c r="R362" i="15" s="1"/>
  <c r="Q180" i="15" a="1"/>
  <c r="Q180" i="15" s="1"/>
  <c r="AV348" i="15" a="1"/>
  <c r="AV348" i="15" s="1"/>
  <c r="Q362" i="15" a="1"/>
  <c r="Q362" i="15" s="1"/>
  <c r="R166" i="15" a="1"/>
  <c r="R166" i="15" s="1"/>
  <c r="M321" i="15"/>
  <c r="O321" i="15" s="1" a="1"/>
  <c r="O321" i="15" s="1"/>
  <c r="AU334" i="15" a="1"/>
  <c r="AU334" i="15" s="1"/>
  <c r="H362" i="15" a="1"/>
  <c r="H362" i="15" s="1"/>
  <c r="K362" i="15" s="1"/>
  <c r="Q6" i="15" a="1"/>
  <c r="Q6" i="15" s="1"/>
  <c r="O314" i="15" a="1"/>
  <c r="O314" i="15" s="1"/>
  <c r="O348" i="15" a="1"/>
  <c r="O348" i="15" s="1"/>
  <c r="R341" i="15" a="1"/>
  <c r="R341" i="15" s="1"/>
  <c r="W341" i="15" s="1"/>
  <c r="O362" i="15" a="1"/>
  <c r="O362" i="15" s="1"/>
  <c r="AV62" i="15" a="1"/>
  <c r="AV62" i="15" s="1"/>
  <c r="R334" i="15" a="1"/>
  <c r="R334" i="15" s="1"/>
  <c r="P334" i="15" s="1"/>
  <c r="N334" i="15" s="1"/>
  <c r="Q159" i="15" a="1"/>
  <c r="Q159" i="15" s="1"/>
  <c r="O43" i="21"/>
  <c r="L35" i="21"/>
  <c r="N2" i="21"/>
  <c r="KN22" i="21"/>
  <c r="FP7" i="21"/>
  <c r="M24" i="21"/>
  <c r="AM11" i="15"/>
  <c r="AG12" i="15"/>
  <c r="AD12" i="15"/>
  <c r="GU31" i="21"/>
  <c r="GU23" i="21"/>
  <c r="FX13" i="21"/>
  <c r="EB30" i="21"/>
  <c r="JY23" i="21"/>
  <c r="EV31" i="21"/>
  <c r="GN43" i="21"/>
  <c r="HT43" i="21"/>
  <c r="MR43" i="21"/>
  <c r="KU15" i="21"/>
  <c r="HX9" i="21"/>
  <c r="FP30" i="21"/>
  <c r="AF43" i="21"/>
  <c r="MJ43" i="21"/>
  <c r="MZ43" i="21"/>
  <c r="HT30" i="21"/>
  <c r="KF30" i="21"/>
  <c r="IP23" i="21"/>
  <c r="IP31" i="21"/>
  <c r="IJ21" i="21"/>
  <c r="AM8" i="15"/>
  <c r="AG10" i="15"/>
  <c r="AE10" i="15" s="1"/>
  <c r="AL11" i="15"/>
  <c r="AM10" i="15"/>
  <c r="AN12" i="15"/>
  <c r="AI9" i="15"/>
  <c r="AN9" i="15"/>
  <c r="AD11" i="15"/>
  <c r="AI13" i="15"/>
  <c r="AG9" i="15"/>
  <c r="AE9" i="15" s="1"/>
  <c r="AF10" i="15"/>
  <c r="AF11" i="15"/>
  <c r="AN8" i="15"/>
  <c r="AG8" i="15"/>
  <c r="AD10" i="15"/>
  <c r="AF12" i="15"/>
  <c r="AM12" i="15"/>
  <c r="HG31" i="21"/>
  <c r="GH31" i="21"/>
  <c r="M25" i="21"/>
  <c r="MZ41" i="21"/>
  <c r="BT23" i="21"/>
  <c r="AL8" i="15"/>
  <c r="M16" i="21"/>
  <c r="GX23" i="21"/>
  <c r="JE23" i="21"/>
  <c r="AL9" i="15"/>
  <c r="X23" i="21"/>
  <c r="EU31" i="21"/>
  <c r="DT22" i="21"/>
  <c r="CQ31" i="21"/>
  <c r="CJ23" i="21"/>
  <c r="BJ23" i="21"/>
  <c r="AL12" i="15"/>
  <c r="AI8" i="15"/>
  <c r="IO31" i="21"/>
  <c r="GN22" i="21"/>
  <c r="AL10" i="15"/>
  <c r="AK12" i="15"/>
  <c r="M5" i="21"/>
  <c r="JF31" i="21"/>
  <c r="FL15" i="21"/>
  <c r="AK13" i="15"/>
  <c r="AK9" i="15"/>
  <c r="OV30" i="21"/>
  <c r="OV19" i="4"/>
  <c r="I23" i="4"/>
  <c r="OV13" i="4"/>
  <c r="OO15" i="4"/>
  <c r="JW22" i="4"/>
  <c r="R76" i="15" a="1"/>
  <c r="R76" i="15" s="1"/>
  <c r="AV257" i="15" a="1"/>
  <c r="AV257" i="15" s="1"/>
  <c r="M315" i="15"/>
  <c r="I315" i="15" s="1" a="1"/>
  <c r="I315" i="15" s="1"/>
  <c r="AV314" i="15" a="1"/>
  <c r="AV314" i="15" s="1"/>
  <c r="AV208" i="15" a="1"/>
  <c r="AV208" i="15" s="1"/>
  <c r="I314" i="15" a="1"/>
  <c r="I314" i="15" s="1"/>
  <c r="L314" i="15" s="1"/>
  <c r="AU250" i="15" a="1"/>
  <c r="AU250" i="15" s="1"/>
  <c r="R208" i="15" a="1"/>
  <c r="R208" i="15" s="1"/>
  <c r="AU161" i="15" a="1"/>
  <c r="AU161" i="15" s="1"/>
  <c r="R279" i="15" a="1"/>
  <c r="R279" i="15" s="1"/>
  <c r="I202" i="15" a="1"/>
  <c r="I202" i="15" s="1"/>
  <c r="L202" i="15" s="1"/>
  <c r="AV215" i="15" a="1"/>
  <c r="AV215" i="15" s="1"/>
  <c r="R202" i="15" a="1"/>
  <c r="R202" i="15" s="1"/>
  <c r="P202" i="15" s="1"/>
  <c r="N202" i="15" s="1"/>
  <c r="Q279" i="15" a="1"/>
  <c r="Q279" i="15" s="1"/>
  <c r="R223" i="15" a="1"/>
  <c r="R223" i="15" s="1"/>
  <c r="W223" i="15" s="1"/>
  <c r="O215" i="15" a="1"/>
  <c r="O215" i="15" s="1"/>
  <c r="H62" i="15" a="1"/>
  <c r="H62" i="15" s="1"/>
  <c r="Q152" i="15" a="1"/>
  <c r="Q152" i="15" s="1"/>
  <c r="P152" i="15" s="1"/>
  <c r="M209" i="15"/>
  <c r="AU209" i="15" s="1" a="1"/>
  <c r="AU209" i="15" s="1"/>
  <c r="Q250" i="15" a="1"/>
  <c r="Q250" i="15" s="1"/>
  <c r="R348" i="15" a="1"/>
  <c r="R348" i="15" s="1"/>
  <c r="P348" i="15" s="1"/>
  <c r="N348" i="15" s="1"/>
  <c r="AU285" i="15" a="1"/>
  <c r="AU285" i="15" s="1"/>
  <c r="M111" i="15"/>
  <c r="Q89" i="15" a="1"/>
  <c r="Q89" i="15" s="1"/>
  <c r="R314" i="15" a="1"/>
  <c r="R314" i="15" s="1"/>
  <c r="O237" i="15" a="1"/>
  <c r="O237" i="15" s="1"/>
  <c r="M322" i="15"/>
  <c r="AU322" i="15" s="1" a="1"/>
  <c r="AU322" i="15" s="1"/>
  <c r="Q202" i="15" a="1"/>
  <c r="Q202" i="15" s="1"/>
  <c r="M175" i="15"/>
  <c r="AU175" i="15" s="1" a="1"/>
  <c r="AU175" i="15" s="1"/>
  <c r="H166" i="15" a="1"/>
  <c r="H166" i="15" s="1"/>
  <c r="K166" i="15" s="1"/>
  <c r="Q61" i="15" a="1"/>
  <c r="Q61" i="15" s="1"/>
  <c r="Q278" i="15" a="1"/>
  <c r="Q278" i="15" s="1"/>
  <c r="P278" i="15" s="1"/>
  <c r="Q257" i="15" a="1"/>
  <c r="Q257" i="15" s="1"/>
  <c r="AV19" i="15" a="1"/>
  <c r="AV19" i="15" s="1"/>
  <c r="M258" i="15"/>
  <c r="Q161" i="15" a="1"/>
  <c r="Q161" i="15" s="1"/>
  <c r="M251" i="15"/>
  <c r="AU251" i="15" s="1" a="1"/>
  <c r="AU251" i="15" s="1"/>
  <c r="AV250" i="15" a="1"/>
  <c r="AV250" i="15" s="1"/>
  <c r="R82" i="15" a="1"/>
  <c r="R82" i="15" s="1"/>
  <c r="AU202" i="15" a="1"/>
  <c r="AU202" i="15" s="1"/>
  <c r="M203" i="15"/>
  <c r="M204" i="15" s="1"/>
  <c r="M77" i="15"/>
  <c r="AV77" i="15" s="1" a="1"/>
  <c r="AV77" i="15" s="1"/>
  <c r="AV223" i="15" a="1"/>
  <c r="AV223" i="15" s="1"/>
  <c r="O202" i="15" a="1"/>
  <c r="O202" i="15" s="1"/>
  <c r="I349" i="15" a="1"/>
  <c r="I349" i="15" s="1"/>
  <c r="L349" i="15" s="1"/>
  <c r="AU349" i="15" a="1"/>
  <c r="AU349" i="15" s="1"/>
  <c r="Q349" i="15" a="1"/>
  <c r="Q349" i="15" s="1"/>
  <c r="AV349" i="15" a="1"/>
  <c r="AV349" i="15" s="1"/>
  <c r="M350" i="15"/>
  <c r="AU350" i="15" s="1" a="1"/>
  <c r="AU350" i="15" s="1"/>
  <c r="R349" i="15" a="1"/>
  <c r="R349" i="15" s="1"/>
  <c r="O349" i="15" a="1"/>
  <c r="O349" i="15" s="1"/>
  <c r="AU279" i="15" a="1"/>
  <c r="AU279" i="15" s="1"/>
  <c r="Q174" i="15" a="1"/>
  <c r="Q174" i="15" s="1"/>
  <c r="Q111" i="15" a="1"/>
  <c r="Q111" i="15" s="1"/>
  <c r="AV110" i="15" a="1"/>
  <c r="AV110" i="15" s="1"/>
  <c r="R89" i="15" a="1"/>
  <c r="R89" i="15" s="1"/>
  <c r="Q82" i="15" a="1"/>
  <c r="Q82" i="15" s="1"/>
  <c r="AU315" i="15" a="1"/>
  <c r="AU315" i="15" s="1"/>
  <c r="I174" i="15" a="1"/>
  <c r="I174" i="15" s="1"/>
  <c r="L174" i="15" s="1"/>
  <c r="H243" i="15" a="1"/>
  <c r="H243" i="15" s="1"/>
  <c r="K243" i="15" s="1"/>
  <c r="I110" i="15" a="1"/>
  <c r="I110" i="15" s="1"/>
  <c r="L110" i="15" s="1"/>
  <c r="AV174" i="15" a="1"/>
  <c r="AV174" i="15" s="1"/>
  <c r="I243" i="15" a="1"/>
  <c r="I243" i="15" s="1"/>
  <c r="AV82" i="15" a="1"/>
  <c r="AV82" i="15" s="1"/>
  <c r="M83" i="15"/>
  <c r="AT83" i="15" s="1" a="1"/>
  <c r="AT83" i="15" s="1"/>
  <c r="Q167" i="15" a="1"/>
  <c r="Q167" i="15" s="1"/>
  <c r="R61" i="15" a="1"/>
  <c r="R61" i="15" s="1"/>
  <c r="Q285" i="15" a="1"/>
  <c r="Q285" i="15" s="1"/>
  <c r="AV159" i="15" a="1"/>
  <c r="AV159" i="15" s="1"/>
  <c r="AU243" i="15" a="1"/>
  <c r="AU243" i="15" s="1"/>
  <c r="AU167" i="15" a="1"/>
  <c r="AU167" i="15" s="1"/>
  <c r="Q76" i="15" a="1"/>
  <c r="Q76" i="15" s="1"/>
  <c r="R110" i="15" a="1"/>
  <c r="R110" i="15" s="1"/>
  <c r="AU131" i="15" a="1"/>
  <c r="AU131" i="15" s="1"/>
  <c r="AV89" i="15" a="1"/>
  <c r="AV89" i="15" s="1"/>
  <c r="AV99" i="15" a="1"/>
  <c r="AV99" i="15" s="1"/>
  <c r="Q327" i="15" a="1"/>
  <c r="Q327" i="15" s="1"/>
  <c r="P327" i="15" s="1"/>
  <c r="N327" i="15" s="1"/>
  <c r="Q320" i="15" a="1"/>
  <c r="Q320" i="15" s="1"/>
  <c r="H355" i="15" a="1"/>
  <c r="H355" i="15" s="1"/>
  <c r="K355" i="15" s="1"/>
  <c r="H321" i="15" a="1"/>
  <c r="H321" i="15" s="1"/>
  <c r="K321" i="15" s="1"/>
  <c r="M224" i="15"/>
  <c r="AU224" i="15" s="1" a="1"/>
  <c r="AU224" i="15" s="1"/>
  <c r="AV209" i="15" a="1"/>
  <c r="AV209" i="15" s="1"/>
  <c r="M188" i="15"/>
  <c r="AU188" i="15" s="1" a="1"/>
  <c r="AU188" i="15" s="1"/>
  <c r="R243" i="15" a="1"/>
  <c r="R243" i="15" s="1"/>
  <c r="O335" i="15" a="1"/>
  <c r="O335" i="15" s="1"/>
  <c r="I321" i="15" a="1"/>
  <c r="I321" i="15" s="1"/>
  <c r="L321" i="15" s="1"/>
  <c r="Q223" i="15" a="1"/>
  <c r="Q223" i="15" s="1"/>
  <c r="P223" i="15" s="1"/>
  <c r="AU40" i="15" a="1"/>
  <c r="AU40" i="15" s="1"/>
  <c r="R187" i="15" a="1"/>
  <c r="R187" i="15" s="1"/>
  <c r="W187" i="15" s="1"/>
  <c r="O355" i="15" a="1"/>
  <c r="O355" i="15" s="1"/>
  <c r="AV187" i="15" a="1"/>
  <c r="AV187" i="15" s="1"/>
  <c r="Q243" i="15" a="1"/>
  <c r="Q243" i="15" s="1"/>
  <c r="R355" i="15" a="1"/>
  <c r="R355" i="15" s="1"/>
  <c r="Q321" i="15" a="1"/>
  <c r="Q321" i="15" s="1"/>
  <c r="AU321" i="15" a="1"/>
  <c r="AU321" i="15" s="1"/>
  <c r="M154" i="15"/>
  <c r="AT154" i="15" s="1" a="1"/>
  <c r="AT154" i="15" s="1"/>
  <c r="Q209" i="15" a="1"/>
  <c r="Q209" i="15" s="1"/>
  <c r="O187" i="15" a="1"/>
  <c r="O187" i="15" s="1"/>
  <c r="H187" i="15" a="1"/>
  <c r="H187" i="15" s="1"/>
  <c r="K187" i="15" s="1"/>
  <c r="AV124" i="15" a="1"/>
  <c r="AV124" i="15" s="1"/>
  <c r="AV40" i="15" a="1"/>
  <c r="AV40" i="15" s="1"/>
  <c r="I237" i="15" a="1"/>
  <c r="I237" i="15" s="1"/>
  <c r="L237" i="15" s="1"/>
  <c r="R153" i="15" a="1"/>
  <c r="R153" i="15" s="1"/>
  <c r="M356" i="15"/>
  <c r="AV356" i="15" s="1" a="1"/>
  <c r="AV356" i="15" s="1"/>
  <c r="I355" i="15" a="1"/>
  <c r="I355" i="15" s="1"/>
  <c r="R40" i="15" a="1"/>
  <c r="R40" i="15" s="1"/>
  <c r="R6" i="15" a="1"/>
  <c r="R6" i="15" s="1"/>
  <c r="F16" i="21" s="1"/>
  <c r="R335" i="15" a="1"/>
  <c r="R335" i="15" s="1"/>
  <c r="Q355" i="15" a="1"/>
  <c r="Q355" i="15" s="1"/>
  <c r="Q314" i="15" a="1"/>
  <c r="Q314" i="15" s="1"/>
  <c r="AV237" i="15" a="1"/>
  <c r="AV237" i="15" s="1"/>
  <c r="I40" i="15" a="1"/>
  <c r="I40" i="15" s="1"/>
  <c r="V40" i="15" s="1"/>
  <c r="M41" i="15"/>
  <c r="Q131" i="15" a="1"/>
  <c r="Q131" i="15" s="1"/>
  <c r="P131" i="15" s="1"/>
  <c r="AV131" i="15" a="1"/>
  <c r="AV131" i="15" s="1"/>
  <c r="R320" i="15" a="1"/>
  <c r="R320" i="15" s="1"/>
  <c r="R168" i="15" a="1"/>
  <c r="R168" i="15" s="1"/>
  <c r="Q168" i="15" a="1"/>
  <c r="Q168" i="15" s="1"/>
  <c r="AU168" i="15" a="1"/>
  <c r="AU168" i="15" s="1"/>
  <c r="I168" i="15" a="1"/>
  <c r="I168" i="15" s="1"/>
  <c r="L168" i="15" s="1"/>
  <c r="H168" i="15" a="1"/>
  <c r="H168" i="15" s="1"/>
  <c r="K168" i="15" s="1"/>
  <c r="AV168" i="15" a="1"/>
  <c r="AV168" i="15" s="1"/>
  <c r="M169" i="15"/>
  <c r="H169" i="15" s="1" a="1"/>
  <c r="H169" i="15" s="1"/>
  <c r="K169" i="15" s="1"/>
  <c r="R132" i="15" a="1"/>
  <c r="R132" i="15" s="1"/>
  <c r="M133" i="15"/>
  <c r="O133" i="15" s="1" a="1"/>
  <c r="O133" i="15" s="1"/>
  <c r="H132" i="15" a="1"/>
  <c r="H132" i="15" s="1"/>
  <c r="K132" i="15" s="1"/>
  <c r="O132" i="15" a="1"/>
  <c r="O132" i="15" s="1"/>
  <c r="AU4" i="15" a="1"/>
  <c r="AU4" i="15" s="1"/>
  <c r="H26" i="15" a="1"/>
  <c r="H26" i="15" s="1"/>
  <c r="H201" i="15" a="1"/>
  <c r="H201" i="15" s="1"/>
  <c r="K201" i="15" s="1"/>
  <c r="H209" i="15" a="1"/>
  <c r="H209" i="15" s="1"/>
  <c r="H215" i="15" a="1"/>
  <c r="H215" i="15" s="1"/>
  <c r="K215" i="15" s="1"/>
  <c r="H223" i="15" a="1"/>
  <c r="H223" i="15" s="1"/>
  <c r="K223" i="15" s="1"/>
  <c r="H334" i="15" a="1"/>
  <c r="H334" i="15" s="1"/>
  <c r="Q315" i="15" a="1"/>
  <c r="Q315" i="15" s="1"/>
  <c r="AV63" i="15" a="1"/>
  <c r="AV63" i="15" s="1"/>
  <c r="H167" i="15" a="1"/>
  <c r="H167" i="15" s="1"/>
  <c r="K167" i="15" s="1"/>
  <c r="I76" i="15" a="1"/>
  <c r="I76" i="15" s="1"/>
  <c r="AU223" i="15" a="1"/>
  <c r="AU223" i="15" s="1"/>
  <c r="I209" i="15" a="1"/>
  <c r="I209" i="15" s="1"/>
  <c r="L209" i="15" s="1"/>
  <c r="AU264" i="15" a="1"/>
  <c r="AU264" i="15" s="1"/>
  <c r="M90" i="15"/>
  <c r="R322" i="15" a="1"/>
  <c r="R322" i="15" s="1"/>
  <c r="I322" i="15" a="1"/>
  <c r="I322" i="15" s="1"/>
  <c r="L322" i="15" s="1"/>
  <c r="M363" i="15"/>
  <c r="I363" i="15" s="1" a="1"/>
  <c r="I363" i="15" s="1"/>
  <c r="O315" i="15" a="1"/>
  <c r="O315" i="15" s="1"/>
  <c r="O322" i="15" a="1"/>
  <c r="O322" i="15" s="1"/>
  <c r="AV167" i="15" a="1"/>
  <c r="AV167" i="15" s="1"/>
  <c r="I153" i="15" a="1"/>
  <c r="I153" i="15" s="1"/>
  <c r="L153" i="15" s="1"/>
  <c r="AV321" i="15" a="1"/>
  <c r="AV321" i="15" s="1"/>
  <c r="AV355" i="15" a="1"/>
  <c r="AV355" i="15" s="1"/>
  <c r="R315" i="15" a="1"/>
  <c r="R315" i="15" s="1"/>
  <c r="AV322" i="15" a="1"/>
  <c r="AV322" i="15" s="1"/>
  <c r="R342" i="15" a="1"/>
  <c r="R342" i="15" s="1"/>
  <c r="W342" i="15" s="1"/>
  <c r="AU63" i="15" a="1"/>
  <c r="AU63" i="15" s="1"/>
  <c r="R167" i="15" a="1"/>
  <c r="R167" i="15" s="1"/>
  <c r="P167" i="15" s="1"/>
  <c r="O167" i="15" a="1"/>
  <c r="O167" i="15" s="1"/>
  <c r="Q342" i="15" a="1"/>
  <c r="Q342" i="15" s="1"/>
  <c r="V342" i="15" s="1"/>
  <c r="AV315" i="15" a="1"/>
  <c r="AV315" i="15" s="1"/>
  <c r="M183" i="15"/>
  <c r="O63" i="15" a="1"/>
  <c r="O63" i="15" s="1"/>
  <c r="M343" i="15"/>
  <c r="R321" i="15" a="1"/>
  <c r="R321" i="15" s="1"/>
  <c r="W321" i="15" s="1"/>
  <c r="H315" i="15" a="1"/>
  <c r="H315" i="15" s="1"/>
  <c r="K315" i="15" s="1"/>
  <c r="M64" i="15"/>
  <c r="H64" i="15" s="1" a="1"/>
  <c r="H64" i="15" s="1"/>
  <c r="AU342" i="15" a="1"/>
  <c r="AU342" i="15" s="1"/>
  <c r="Q153" i="15" a="1"/>
  <c r="Q153" i="15" s="1"/>
  <c r="H342" i="15" a="1"/>
  <c r="H342" i="15" s="1"/>
  <c r="K342" i="15" s="1"/>
  <c r="H314" i="15" a="1"/>
  <c r="H314" i="15" s="1"/>
  <c r="K314" i="15" s="1"/>
  <c r="M316" i="15"/>
  <c r="M317" i="15" s="1"/>
  <c r="AV342" i="15" a="1"/>
  <c r="AV342" i="15" s="1"/>
  <c r="AV188" i="15" a="1"/>
  <c r="AV188" i="15" s="1"/>
  <c r="AV292" i="15" a="1"/>
  <c r="AV292" i="15" s="1"/>
  <c r="Q292" i="15" a="1"/>
  <c r="Q292" i="15" s="1"/>
  <c r="AU292" i="15" a="1"/>
  <c r="AU292" i="15" s="1"/>
  <c r="O279" i="15" a="1"/>
  <c r="O279" i="15" s="1"/>
  <c r="T279" i="15" s="1"/>
  <c r="M78" i="15"/>
  <c r="I78" i="15" s="1" a="1"/>
  <c r="I78" i="15" s="1"/>
  <c r="R292" i="15" a="1"/>
  <c r="R292" i="15" s="1"/>
  <c r="AU237" i="15" a="1"/>
  <c r="AU237" i="15" s="1"/>
  <c r="M238" i="15"/>
  <c r="AT238" i="15" s="1" a="1"/>
  <c r="AT238" i="15" s="1"/>
  <c r="AU306" i="15" a="1"/>
  <c r="AU306" i="15" s="1"/>
  <c r="M307" i="15"/>
  <c r="AV306" i="15" a="1"/>
  <c r="AV306" i="15" s="1"/>
  <c r="Q306" i="15" a="1"/>
  <c r="Q306" i="15" s="1"/>
  <c r="O306" i="15" a="1"/>
  <c r="O306" i="15" s="1"/>
  <c r="H306" i="15" a="1"/>
  <c r="H306" i="15" s="1"/>
  <c r="K306" i="15" s="1"/>
  <c r="O103" i="15" a="1"/>
  <c r="O103" i="15" s="1"/>
  <c r="M104" i="15"/>
  <c r="AU104" i="15" s="1" a="1"/>
  <c r="AU104" i="15" s="1"/>
  <c r="R103" i="15" a="1"/>
  <c r="R103" i="15" s="1"/>
  <c r="I103" i="15" a="1"/>
  <c r="I103" i="15" s="1"/>
  <c r="AV103" i="15" a="1"/>
  <c r="AV103" i="15" s="1"/>
  <c r="Q103" i="15" a="1"/>
  <c r="Q103" i="15" s="1"/>
  <c r="H251" i="15" a="1"/>
  <c r="H251" i="15" s="1"/>
  <c r="K251" i="15" s="1"/>
  <c r="M293" i="15"/>
  <c r="M56" i="15"/>
  <c r="Q55" i="15" a="1"/>
  <c r="Q55" i="15" s="1"/>
  <c r="AV55" i="15" a="1"/>
  <c r="AV55" i="15" s="1"/>
  <c r="AU55" i="15" a="1"/>
  <c r="AU55" i="15" s="1"/>
  <c r="AU34" i="15" a="1"/>
  <c r="AU34" i="15" s="1"/>
  <c r="M35" i="15"/>
  <c r="O35" i="15" s="1" a="1"/>
  <c r="O35" i="15" s="1"/>
  <c r="Q34" i="15" a="1"/>
  <c r="Q34" i="15" s="1"/>
  <c r="R34" i="15" a="1"/>
  <c r="R34" i="15" s="1"/>
  <c r="H34" i="15" a="1"/>
  <c r="H34" i="15" s="1"/>
  <c r="K34" i="15" s="1"/>
  <c r="AV34" i="15" a="1"/>
  <c r="AV34" i="15" s="1"/>
  <c r="AV161" i="15" a="1"/>
  <c r="AV161" i="15" s="1"/>
  <c r="I161" i="15" a="1"/>
  <c r="I161" i="15" s="1"/>
  <c r="L161" i="15" s="1"/>
  <c r="M162" i="15"/>
  <c r="H162" i="15" s="1" a="1"/>
  <c r="H162" i="15" s="1"/>
  <c r="K162" i="15" s="1"/>
  <c r="AV286" i="15" a="1"/>
  <c r="AV286" i="15" s="1"/>
  <c r="I286" i="15" a="1"/>
  <c r="I286" i="15" s="1"/>
  <c r="L286" i="15" s="1"/>
  <c r="Q286" i="15" a="1"/>
  <c r="Q286" i="15" s="1"/>
  <c r="Q322" i="15" a="1"/>
  <c r="Q322" i="15" s="1"/>
  <c r="H322" i="15" a="1"/>
  <c r="H322" i="15" s="1"/>
  <c r="K322" i="15" s="1"/>
  <c r="AV182" i="15" a="1"/>
  <c r="AV182" i="15" s="1"/>
  <c r="H182" i="15" a="1"/>
  <c r="H182" i="15" s="1"/>
  <c r="K182" i="15" s="1"/>
  <c r="AU182" i="15" a="1"/>
  <c r="AU182" i="15" s="1"/>
  <c r="AV279" i="15" a="1"/>
  <c r="AV279" i="15" s="1"/>
  <c r="M280" i="15"/>
  <c r="I279" i="15" a="1"/>
  <c r="I279" i="15" s="1"/>
  <c r="L279" i="15" s="1"/>
  <c r="M336" i="15"/>
  <c r="AS336" i="15" s="1" a="1"/>
  <c r="AS336" i="15" s="1"/>
  <c r="Q335" i="15" a="1"/>
  <c r="Q335" i="15" s="1"/>
  <c r="AU335" i="15" a="1"/>
  <c r="AU335" i="15" s="1"/>
  <c r="AU103" i="15" a="1"/>
  <c r="AU103" i="15" s="1"/>
  <c r="AV117" i="15" a="1"/>
  <c r="AV117" i="15" s="1"/>
  <c r="AU117" i="15" a="1"/>
  <c r="AU117" i="15" s="1"/>
  <c r="AU26" i="15" a="1"/>
  <c r="AU26" i="15" s="1"/>
  <c r="AV26" i="15" a="1"/>
  <c r="AV26" i="15" s="1"/>
  <c r="R26" i="15" a="1"/>
  <c r="R26" i="15" s="1"/>
  <c r="M27" i="15"/>
  <c r="H27" i="15" s="1" a="1"/>
  <c r="H27" i="15" s="1"/>
  <c r="M323" i="15"/>
  <c r="AS323" i="15" s="1" a="1"/>
  <c r="AS323" i="15" s="1"/>
  <c r="I41" i="15" a="1"/>
  <c r="I41" i="15" s="1"/>
  <c r="AV76" i="15" a="1"/>
  <c r="AV76" i="15" s="1"/>
  <c r="R169" i="15" a="1"/>
  <c r="R169" i="15" s="1"/>
  <c r="O342" i="15" a="1"/>
  <c r="O342" i="15" s="1"/>
  <c r="M7" i="15"/>
  <c r="H33" i="15" a="1"/>
  <c r="H33" i="15" s="1"/>
  <c r="K33" i="15" s="1"/>
  <c r="H47" i="15" a="1"/>
  <c r="H47" i="15" s="1"/>
  <c r="H55" i="15" a="1"/>
  <c r="H55" i="15" s="1"/>
  <c r="K55" i="15" s="1"/>
  <c r="O96" i="15" a="1"/>
  <c r="O96" i="15" s="1"/>
  <c r="H124" i="15" a="1"/>
  <c r="H124" i="15" s="1"/>
  <c r="H138" i="15" a="1"/>
  <c r="H138" i="15" s="1"/>
  <c r="K138" i="15" s="1"/>
  <c r="H202" i="15" a="1"/>
  <c r="H202" i="15" s="1"/>
  <c r="K202" i="15" s="1"/>
  <c r="H285" i="15" a="1"/>
  <c r="H285" i="15" s="1"/>
  <c r="K285" i="15" s="1"/>
  <c r="H335" i="15" a="1"/>
  <c r="H335" i="15" s="1"/>
  <c r="K335" i="15" s="1"/>
  <c r="H341" i="15" a="1"/>
  <c r="H341" i="15" s="1"/>
  <c r="K341" i="15" s="1"/>
  <c r="Q41" i="15" a="1"/>
  <c r="Q41" i="15" s="1"/>
  <c r="AU76" i="15" a="1"/>
  <c r="AU76" i="15" s="1"/>
  <c r="AU153" i="15" a="1"/>
  <c r="AU153" i="15" s="1"/>
  <c r="M13" i="15"/>
  <c r="AV13" i="15" s="1" a="1"/>
  <c r="AV13" i="15" s="1"/>
  <c r="N24" i="21" s="1"/>
  <c r="AU6" i="15" a="1"/>
  <c r="AU6" i="15" s="1"/>
  <c r="H56" i="15" a="1"/>
  <c r="H56" i="15" s="1"/>
  <c r="K56" i="15" s="1"/>
  <c r="O229" i="15" a="1"/>
  <c r="O229" i="15" s="1"/>
  <c r="H286" i="15" a="1"/>
  <c r="H286" i="15" s="1"/>
  <c r="K286" i="15" s="1"/>
  <c r="H40" i="15" a="1"/>
  <c r="H40" i="15" s="1"/>
  <c r="O76" i="15" a="1"/>
  <c r="O76" i="15" s="1"/>
  <c r="T76" i="15" s="1"/>
  <c r="H250" i="15" a="1"/>
  <c r="H250" i="15" s="1"/>
  <c r="K250" i="15" s="1"/>
  <c r="H41" i="15" a="1"/>
  <c r="H41" i="15" s="1"/>
  <c r="H181" i="15" a="1"/>
  <c r="H181" i="15" s="1"/>
  <c r="K181" i="15" s="1"/>
  <c r="O223" i="15" a="1"/>
  <c r="O223" i="15" s="1"/>
  <c r="O41" i="15" a="1"/>
  <c r="O41" i="15" s="1"/>
  <c r="R41" i="15" a="1"/>
  <c r="R41" i="15" s="1"/>
  <c r="H75" i="15" a="1"/>
  <c r="H75" i="15" s="1"/>
  <c r="K75" i="15" s="1"/>
  <c r="H265" i="15" a="1"/>
  <c r="H265" i="15" s="1"/>
  <c r="K265" i="15" s="1"/>
  <c r="H5" i="15" a="1"/>
  <c r="H5" i="15" s="1"/>
  <c r="K5" i="15" s="1"/>
  <c r="O117" i="15" a="1"/>
  <c r="O117" i="15" s="1"/>
  <c r="H89" i="15" a="1"/>
  <c r="H89" i="15" s="1"/>
  <c r="K89" i="15" s="1"/>
  <c r="O131" i="15" a="1"/>
  <c r="O131" i="15" s="1"/>
  <c r="I181" i="15" a="1"/>
  <c r="I181" i="15" s="1"/>
  <c r="H6" i="15" a="1"/>
  <c r="H6" i="15" s="1"/>
  <c r="F5" i="21" s="1"/>
  <c r="O110" i="15" a="1"/>
  <c r="O110" i="15" s="1"/>
  <c r="H208" i="15" a="1"/>
  <c r="H208" i="15" s="1"/>
  <c r="K208" i="15" s="1"/>
  <c r="J208" i="15" s="1"/>
  <c r="H222" i="15" a="1"/>
  <c r="H222" i="15" s="1"/>
  <c r="K222" i="15" s="1"/>
  <c r="H257" i="15" a="1"/>
  <c r="H257" i="15" s="1"/>
  <c r="K257" i="15" s="1"/>
  <c r="EK15" i="4"/>
  <c r="EM35" i="4"/>
  <c r="EK35" i="4" s="1"/>
  <c r="AL11" i="4"/>
  <c r="H4" i="4"/>
  <c r="AL20" i="4"/>
  <c r="I89" i="15" a="1"/>
  <c r="I89" i="15" s="1"/>
  <c r="L89" i="15" s="1"/>
  <c r="AE11" i="4"/>
  <c r="DM6" i="4"/>
  <c r="GG6" i="4"/>
  <c r="CT11" i="4"/>
  <c r="I97" i="15" a="1"/>
  <c r="I97" i="15" s="1"/>
  <c r="L182" i="15"/>
  <c r="OL20" i="4"/>
  <c r="AZ19" i="4"/>
  <c r="Y20" i="4"/>
  <c r="DY20" i="4"/>
  <c r="Q20" i="4"/>
  <c r="Q22" i="4" s="1"/>
  <c r="K11" i="4"/>
  <c r="I68" i="15" a="1"/>
  <c r="I68" i="15" s="1"/>
  <c r="I33" i="15" a="1"/>
  <c r="I33" i="15" s="1"/>
  <c r="CM11" i="4"/>
  <c r="GR11" i="4"/>
  <c r="EH19" i="4"/>
  <c r="HJ19" i="4"/>
  <c r="HJ22" i="4" s="1"/>
  <c r="BP20" i="4"/>
  <c r="BP17" i="4" s="1"/>
  <c r="AZ11" i="4"/>
  <c r="CX20" i="4"/>
  <c r="CT19" i="4"/>
  <c r="EQ19" i="4"/>
  <c r="K19" i="4"/>
  <c r="HD19" i="4"/>
  <c r="MM4" i="4"/>
  <c r="NN4" i="4"/>
  <c r="FM19" i="4"/>
  <c r="FG4" i="4"/>
  <c r="FP4" i="4"/>
  <c r="FE11" i="4"/>
  <c r="FW11" i="4"/>
  <c r="FQ11" i="4" s="1"/>
  <c r="JK4" i="4"/>
  <c r="KH4" i="4"/>
  <c r="LI4" i="4"/>
  <c r="BP4" i="4"/>
  <c r="BZ4" i="4"/>
  <c r="CY4" i="4"/>
  <c r="DZ4" i="4"/>
  <c r="KR20" i="4"/>
  <c r="KO20" i="4" s="1"/>
  <c r="L265" i="15"/>
  <c r="AV11" i="4"/>
  <c r="AS11" i="4" s="1"/>
  <c r="KI20" i="4"/>
  <c r="L34" i="15"/>
  <c r="DD4" i="4"/>
  <c r="DN4" i="4"/>
  <c r="DW4" i="4"/>
  <c r="FE4" i="4"/>
  <c r="FW4" i="4"/>
  <c r="GK36" i="4"/>
  <c r="GG36" i="4" s="1"/>
  <c r="HG19" i="4"/>
  <c r="L4" i="4"/>
  <c r="Q4" i="4"/>
  <c r="E28" i="15"/>
  <c r="E32" i="15"/>
  <c r="E96" i="15"/>
  <c r="E328" i="15"/>
  <c r="E271" i="15"/>
  <c r="E346" i="15"/>
  <c r="E133" i="15"/>
  <c r="G4" i="4"/>
  <c r="CR11" i="4"/>
  <c r="KH11" i="4"/>
  <c r="KQ11" i="4"/>
  <c r="HP36" i="4"/>
  <c r="E5" i="15"/>
  <c r="E14" i="15"/>
  <c r="E118" i="15"/>
  <c r="E20" i="15"/>
  <c r="E124" i="15"/>
  <c r="E188" i="15"/>
  <c r="E252" i="15"/>
  <c r="E353" i="15"/>
  <c r="E210" i="15"/>
  <c r="E88" i="15"/>
  <c r="E152" i="15"/>
  <c r="E127" i="15"/>
  <c r="E42" i="15"/>
  <c r="E193" i="15"/>
  <c r="E303" i="15"/>
  <c r="E6" i="4"/>
  <c r="AR4" i="4"/>
  <c r="BW4" i="4"/>
  <c r="CF4" i="4"/>
  <c r="GH4" i="4"/>
  <c r="IA4" i="4"/>
  <c r="GE22" i="4"/>
  <c r="PB22" i="4"/>
  <c r="E34" i="15"/>
  <c r="E8" i="15"/>
  <c r="E136" i="15"/>
  <c r="E191" i="15"/>
  <c r="E77" i="15"/>
  <c r="MY11" i="4"/>
  <c r="E294" i="15"/>
  <c r="E76" i="15"/>
  <c r="E180" i="15"/>
  <c r="E308" i="15"/>
  <c r="E144" i="15"/>
  <c r="E176" i="15"/>
  <c r="E312" i="15"/>
  <c r="E29" i="15"/>
  <c r="E93" i="15"/>
  <c r="E173" i="15"/>
  <c r="E273" i="15"/>
  <c r="NZ4" i="4"/>
  <c r="OS4" i="4"/>
  <c r="E279" i="15"/>
  <c r="E226" i="15"/>
  <c r="E55" i="15"/>
  <c r="E345" i="15"/>
  <c r="E291" i="15"/>
  <c r="FI6" i="4"/>
  <c r="ND11" i="4"/>
  <c r="ND22" i="4" s="1"/>
  <c r="NR4" i="4"/>
  <c r="NV11" i="4"/>
  <c r="MM36" i="4"/>
  <c r="E350" i="15"/>
  <c r="E138" i="15"/>
  <c r="E237" i="15"/>
  <c r="E287" i="15"/>
  <c r="E327" i="15"/>
  <c r="E50" i="15"/>
  <c r="E130" i="15"/>
  <c r="E178" i="15"/>
  <c r="E234" i="15"/>
  <c r="E266" i="15"/>
  <c r="E322" i="15"/>
  <c r="E354" i="15"/>
  <c r="E359" i="15"/>
  <c r="E79" i="15"/>
  <c r="E149" i="15"/>
  <c r="E27" i="15"/>
  <c r="E75" i="15"/>
  <c r="E107" i="15"/>
  <c r="E139" i="15"/>
  <c r="E171" i="15"/>
  <c r="E299" i="15"/>
  <c r="BO11" i="4"/>
  <c r="BO22" i="4" s="1"/>
  <c r="BQ6" i="4"/>
  <c r="CX11" i="4"/>
  <c r="DG11" i="4"/>
  <c r="DY11" i="4"/>
  <c r="EH11" i="4"/>
  <c r="EC11" i="4" s="1"/>
  <c r="EQ11" i="4"/>
  <c r="LA4" i="4"/>
  <c r="BJ4" i="4"/>
  <c r="DZ11" i="4"/>
  <c r="GJ11" i="4"/>
  <c r="LE6" i="4"/>
  <c r="LQ11" i="4"/>
  <c r="LZ11" i="4"/>
  <c r="LZ22" i="4" s="1"/>
  <c r="KM11" i="4"/>
  <c r="MK6" i="4"/>
  <c r="NK11" i="4"/>
  <c r="MD22" i="4"/>
  <c r="L342" i="15"/>
  <c r="AC6" i="4"/>
  <c r="AX11" i="4"/>
  <c r="BT4" i="4"/>
  <c r="CL4" i="4"/>
  <c r="HE6" i="4"/>
  <c r="HH11" i="4"/>
  <c r="HY11" i="4"/>
  <c r="BC4" i="4"/>
  <c r="HH35" i="4"/>
  <c r="E334" i="15"/>
  <c r="E297" i="15"/>
  <c r="AJ4" i="4"/>
  <c r="AQ4" i="4"/>
  <c r="CN4" i="4"/>
  <c r="GO6" i="4"/>
  <c r="IX4" i="4"/>
  <c r="KM4" i="4"/>
  <c r="IU10" i="4"/>
  <c r="IU9" i="4" s="1"/>
  <c r="GH14" i="4"/>
  <c r="GH18" i="4" s="1"/>
  <c r="EP4" i="4"/>
  <c r="DF4" i="4"/>
  <c r="BM10" i="4"/>
  <c r="BV18" i="4"/>
  <c r="CE18" i="4"/>
  <c r="CB10" i="4"/>
  <c r="CB9" i="4" s="1"/>
  <c r="FJ10" i="4"/>
  <c r="GB10" i="4"/>
  <c r="GB9" i="4" s="1"/>
  <c r="JC18" i="4"/>
  <c r="JC17" i="4" s="1"/>
  <c r="KS10" i="4"/>
  <c r="KS23" i="4" s="1"/>
  <c r="OF10" i="4"/>
  <c r="AQ14" i="4"/>
  <c r="CZ10" i="4"/>
  <c r="CZ9" i="4" s="1"/>
  <c r="II4" i="4"/>
  <c r="BV10" i="4"/>
  <c r="JG4" i="4"/>
  <c r="CE10" i="4"/>
  <c r="CE9" i="4" s="1"/>
  <c r="JC10" i="4"/>
  <c r="JC9" i="4" s="1"/>
  <c r="EO4" i="4"/>
  <c r="BV4" i="4"/>
  <c r="CE4" i="4"/>
  <c r="CN14" i="4"/>
  <c r="CN18" i="4" s="1"/>
  <c r="CN17" i="4" s="1"/>
  <c r="DI10" i="4"/>
  <c r="MM14" i="4"/>
  <c r="MM18" i="4" s="1"/>
  <c r="H145" i="15" a="1"/>
  <c r="H145" i="15" s="1"/>
  <c r="LO4" i="4"/>
  <c r="OP10" i="4"/>
  <c r="KM14" i="4"/>
  <c r="DI18" i="4"/>
  <c r="DD14" i="4"/>
  <c r="DD13" i="4" s="1"/>
  <c r="LY10" i="4"/>
  <c r="MN10" i="4"/>
  <c r="MN9" i="4" s="1"/>
  <c r="AB10" i="4"/>
  <c r="AB9" i="4" s="1"/>
  <c r="BN10" i="4"/>
  <c r="BN9" i="4" s="1"/>
  <c r="K313" i="15"/>
  <c r="AX10" i="4"/>
  <c r="HI10" i="4"/>
  <c r="HR10" i="4"/>
  <c r="HR9" i="4" s="1"/>
  <c r="IJ18" i="4"/>
  <c r="JH10" i="4"/>
  <c r="JH9" i="4" s="1"/>
  <c r="JD10" i="4"/>
  <c r="LV10" i="4"/>
  <c r="CV10" i="4"/>
  <c r="CV9" i="4" s="1"/>
  <c r="EM10" i="4"/>
  <c r="AX4" i="4"/>
  <c r="O82" i="15" a="1"/>
  <c r="O82" i="15" s="1"/>
  <c r="O4" i="4"/>
  <c r="BN4" i="4"/>
  <c r="K76" i="15"/>
  <c r="EG4" i="4"/>
  <c r="FX4" i="4"/>
  <c r="CP4" i="4"/>
  <c r="JL10" i="4"/>
  <c r="JL23" i="4" s="1"/>
  <c r="FX10" i="4"/>
  <c r="BW14" i="4"/>
  <c r="DO4" i="4"/>
  <c r="IA10" i="4"/>
  <c r="IA9" i="4" s="1"/>
  <c r="DX4" i="4"/>
  <c r="LY14" i="4"/>
  <c r="LY18" i="4" s="1"/>
  <c r="LY17" i="4" s="1"/>
  <c r="CP10" i="4"/>
  <c r="CP9" i="4" s="1"/>
  <c r="MG18" i="4"/>
  <c r="OA10" i="4"/>
  <c r="OA23" i="4" s="1"/>
  <c r="AN10" i="4"/>
  <c r="DJ10" i="4"/>
  <c r="DS10" i="4"/>
  <c r="DS23" i="4" s="1"/>
  <c r="V10" i="4"/>
  <c r="V9" i="4" s="1"/>
  <c r="BB10" i="4"/>
  <c r="P10" i="4"/>
  <c r="AY10" i="4"/>
  <c r="AY9" i="4" s="1"/>
  <c r="J10" i="4"/>
  <c r="FP14" i="4"/>
  <c r="FP18" i="4" s="1"/>
  <c r="BP10" i="4"/>
  <c r="BP23" i="4" s="1"/>
  <c r="ME10" i="4"/>
  <c r="ME23" i="4" s="1"/>
  <c r="GQ10" i="4"/>
  <c r="FP10" i="4"/>
  <c r="IL10" i="4"/>
  <c r="IL9" i="4" s="1"/>
  <c r="GQ4" i="4"/>
  <c r="MN4" i="4"/>
  <c r="LZ10" i="4"/>
  <c r="K174" i="15"/>
  <c r="NO4" i="4"/>
  <c r="MW10" i="4"/>
  <c r="MW23" i="4" s="1"/>
  <c r="BZ14" i="4"/>
  <c r="FZ4" i="4"/>
  <c r="JV10" i="4"/>
  <c r="JV23" i="4" s="1"/>
  <c r="CT10" i="4"/>
  <c r="GE10" i="4"/>
  <c r="GE9" i="4" s="1"/>
  <c r="NR18" i="4"/>
  <c r="EV10" i="4"/>
  <c r="LJ10" i="4"/>
  <c r="LJ23" i="4" s="1"/>
  <c r="LS10" i="4"/>
  <c r="LS9" i="4" s="1"/>
  <c r="IJ4" i="4"/>
  <c r="CV18" i="4"/>
  <c r="CR4" i="4"/>
  <c r="LG10" i="4"/>
  <c r="LG9" i="4" s="1"/>
  <c r="JD18" i="4"/>
  <c r="JD17" i="4" s="1"/>
  <c r="LE5" i="4"/>
  <c r="LE14" i="4" s="1"/>
  <c r="IJ10" i="4"/>
  <c r="IJ9" i="4" s="1"/>
  <c r="FZ10" i="4"/>
  <c r="FZ9" i="4" s="1"/>
  <c r="OA4" i="4"/>
  <c r="BD10" i="4"/>
  <c r="BD23" i="4" s="1"/>
  <c r="Q14" i="4"/>
  <c r="Q18" i="4" s="1"/>
  <c r="GH10" i="4"/>
  <c r="LY4" i="4"/>
  <c r="CI4" i="4"/>
  <c r="H292" i="15" a="1"/>
  <c r="H292" i="15" s="1"/>
  <c r="K292" i="15" s="1"/>
  <c r="FH10" i="4"/>
  <c r="FH9" i="4" s="1"/>
  <c r="ML18" i="4"/>
  <c r="ML23" i="4" s="1"/>
  <c r="ND10" i="4"/>
  <c r="ND23" i="4" s="1"/>
  <c r="OZ10" i="4"/>
  <c r="LP4" i="4"/>
  <c r="E160" i="15"/>
  <c r="E169" i="15"/>
  <c r="E134" i="15"/>
  <c r="KB18" i="4"/>
  <c r="KB17" i="4" s="1"/>
  <c r="KU10" i="4"/>
  <c r="KU9" i="4" s="1"/>
  <c r="LD10" i="4"/>
  <c r="LW10" i="4"/>
  <c r="MQ10" i="4"/>
  <c r="MQ9" i="4" s="1"/>
  <c r="NJ10" i="4"/>
  <c r="E105" i="15"/>
  <c r="FM10" i="4"/>
  <c r="FM9" i="4" s="1"/>
  <c r="MY10" i="4"/>
  <c r="AA18" i="4"/>
  <c r="BF10" i="4"/>
  <c r="DF10" i="4"/>
  <c r="DF9" i="4" s="1"/>
  <c r="DO10" i="4"/>
  <c r="DO9" i="4" s="1"/>
  <c r="DX10" i="4"/>
  <c r="DX9" i="4" s="1"/>
  <c r="EG10" i="4"/>
  <c r="EP10" i="4"/>
  <c r="EP9" i="4" s="1"/>
  <c r="FB18" i="4"/>
  <c r="II10" i="4"/>
  <c r="II9" i="4" s="1"/>
  <c r="IO10" i="4"/>
  <c r="JG10" i="4"/>
  <c r="E186" i="15"/>
  <c r="E31" i="15"/>
  <c r="E81" i="15"/>
  <c r="E43" i="15"/>
  <c r="E211" i="15"/>
  <c r="AP10" i="4"/>
  <c r="AR10" i="4"/>
  <c r="BL10" i="4"/>
  <c r="BU10" i="4"/>
  <c r="BU9" i="4" s="1"/>
  <c r="BZ10" i="4"/>
  <c r="CI10" i="4"/>
  <c r="CI9" i="4" s="1"/>
  <c r="CR10" i="4"/>
  <c r="DK10" i="4"/>
  <c r="DK9" i="4" s="1"/>
  <c r="EM18" i="4"/>
  <c r="EM23" i="4" s="1"/>
  <c r="DP10" i="4"/>
  <c r="DY10" i="4"/>
  <c r="EH10" i="4"/>
  <c r="EQ10" i="4"/>
  <c r="LK18" i="4"/>
  <c r="LV18" i="4"/>
  <c r="LV23" i="4" s="1"/>
  <c r="O292" i="15" a="1"/>
  <c r="O292" i="15" s="1"/>
  <c r="DS4" i="4"/>
  <c r="HL18" i="4"/>
  <c r="HL17" i="4" s="1"/>
  <c r="CC4" i="4"/>
  <c r="BL4" i="4"/>
  <c r="MO4" i="4"/>
  <c r="DJ14" i="4"/>
  <c r="DJ13" i="4" s="1"/>
  <c r="AR18" i="4"/>
  <c r="DT18" i="4"/>
  <c r="DT17" i="4" s="1"/>
  <c r="CH10" i="4"/>
  <c r="CH9" i="4" s="1"/>
  <c r="KC4" i="4"/>
  <c r="GY10" i="4"/>
  <c r="KH14" i="4"/>
  <c r="KH13" i="4" s="1"/>
  <c r="DK14" i="4"/>
  <c r="DK13" i="4" s="1"/>
  <c r="KQ18" i="4"/>
  <c r="KQ17" i="4" s="1"/>
  <c r="GP10" i="4"/>
  <c r="GP23" i="4" s="1"/>
  <c r="E278" i="15"/>
  <c r="E56" i="15"/>
  <c r="E120" i="15"/>
  <c r="E288" i="15"/>
  <c r="E352" i="15"/>
  <c r="MQ18" i="4"/>
  <c r="KH10" i="4"/>
  <c r="OJ10" i="4"/>
  <c r="OJ9" i="4" s="1"/>
  <c r="O89" i="15" a="1"/>
  <c r="O89" i="15" s="1"/>
  <c r="NS18" i="4"/>
  <c r="NS23" i="4" s="1"/>
  <c r="GT18" i="4"/>
  <c r="GT17" i="4" s="1"/>
  <c r="K279" i="15"/>
  <c r="CM4" i="4"/>
  <c r="FK4" i="4"/>
  <c r="BY5" i="4"/>
  <c r="JO18" i="4"/>
  <c r="BL14" i="4"/>
  <c r="O56" i="15" s="1" a="1"/>
  <c r="O56" i="15" s="1"/>
  <c r="DA10" i="4"/>
  <c r="DA9" i="4" s="1"/>
  <c r="FB4" i="4"/>
  <c r="O10" i="4"/>
  <c r="JP10" i="4"/>
  <c r="O222" i="15" a="1"/>
  <c r="O222" i="15" s="1"/>
  <c r="DB10" i="4"/>
  <c r="JT10" i="4"/>
  <c r="JT9" i="4" s="1"/>
  <c r="KR10" i="4"/>
  <c r="AP14" i="4"/>
  <c r="DB4" i="4"/>
  <c r="BO17" i="4"/>
  <c r="O12" i="15" a="1"/>
  <c r="O12" i="15" s="1"/>
  <c r="M4" i="21" s="1"/>
  <c r="M6" i="21" s="1"/>
  <c r="H349" i="15" a="1"/>
  <c r="H349" i="15" s="1"/>
  <c r="K349" i="15" s="1"/>
  <c r="E236" i="15"/>
  <c r="E364" i="15"/>
  <c r="E119" i="15"/>
  <c r="FW10" i="4"/>
  <c r="GN10" i="4"/>
  <c r="GN9" i="4" s="1"/>
  <c r="KZ4" i="4"/>
  <c r="CU4" i="4"/>
  <c r="EB10" i="4"/>
  <c r="EB9" i="4" s="1"/>
  <c r="BC10" i="4"/>
  <c r="BC23" i="4" s="1"/>
  <c r="AB4" i="4"/>
  <c r="N4" i="4"/>
  <c r="MY4" i="4"/>
  <c r="HV10" i="4"/>
  <c r="LN10" i="4"/>
  <c r="LN9" i="4" s="1"/>
  <c r="HK10" i="4"/>
  <c r="HK9" i="4" s="1"/>
  <c r="EB4" i="4"/>
  <c r="DT4" i="4"/>
  <c r="AL10" i="4"/>
  <c r="IW10" i="4"/>
  <c r="IW23" i="4" s="1"/>
  <c r="JO10" i="4"/>
  <c r="JX10" i="4"/>
  <c r="NP10" i="4"/>
  <c r="CX10" i="4"/>
  <c r="DG10" i="4"/>
  <c r="JB4" i="4"/>
  <c r="FT4" i="4"/>
  <c r="JI5" i="4"/>
  <c r="JI14" i="4" s="1"/>
  <c r="K152" i="15"/>
  <c r="J152" i="15" s="1"/>
  <c r="LN18" i="4"/>
  <c r="FM18" i="4"/>
  <c r="NZ18" i="4"/>
  <c r="NZ17" i="4" s="1"/>
  <c r="DT10" i="4"/>
  <c r="DT9" i="4" s="1"/>
  <c r="EL4" i="4"/>
  <c r="ED10" i="4"/>
  <c r="ED9" i="4" s="1"/>
  <c r="FL10" i="4"/>
  <c r="LR4" i="4"/>
  <c r="KR4" i="4"/>
  <c r="IX10" i="4"/>
  <c r="H327" i="15" a="1"/>
  <c r="H327" i="15" s="1"/>
  <c r="K327" i="15" s="1"/>
  <c r="LS4" i="4"/>
  <c r="IS5" i="4"/>
  <c r="IS14" i="4" s="1"/>
  <c r="ID10" i="4"/>
  <c r="ID9" i="4" s="1"/>
  <c r="CW5" i="4"/>
  <c r="CW14" i="4" s="1"/>
  <c r="DJ4" i="4"/>
  <c r="CD4" i="4"/>
  <c r="GS10" i="4"/>
  <c r="GS9" i="4" s="1"/>
  <c r="JU10" i="4"/>
  <c r="CM10" i="4"/>
  <c r="JL4" i="4"/>
  <c r="GN18" i="4"/>
  <c r="LJ4" i="4"/>
  <c r="FE10" i="4"/>
  <c r="ED4" i="4"/>
  <c r="AV10" i="4"/>
  <c r="HL10" i="4"/>
  <c r="HL9" i="4" s="1"/>
  <c r="EL10" i="4"/>
  <c r="BK10" i="4"/>
  <c r="BK9" i="4" s="1"/>
  <c r="OQ18" i="4"/>
  <c r="OQ17" i="4" s="1"/>
  <c r="BD4" i="4"/>
  <c r="K61" i="15"/>
  <c r="E104" i="15"/>
  <c r="E92" i="15"/>
  <c r="E41" i="15"/>
  <c r="E145" i="15"/>
  <c r="DH18" i="4"/>
  <c r="EI10" i="4"/>
  <c r="EI9" i="4" s="1"/>
  <c r="KA10" i="4"/>
  <c r="KA9" i="4" s="1"/>
  <c r="KN10" i="4"/>
  <c r="MO10" i="4"/>
  <c r="NZ10" i="4"/>
  <c r="NZ9" i="4" s="1"/>
  <c r="OQ10" i="4"/>
  <c r="OQ9" i="4" s="1"/>
  <c r="KZ10" i="4"/>
  <c r="GS4" i="4"/>
  <c r="NJ18" i="4"/>
  <c r="NJ17" i="4" s="1"/>
  <c r="BO10" i="4"/>
  <c r="AY18" i="4"/>
  <c r="DA4" i="4"/>
  <c r="P18" i="4"/>
  <c r="HT4" i="4"/>
  <c r="FB10" i="4"/>
  <c r="FB9" i="4" s="1"/>
  <c r="L10" i="4"/>
  <c r="L23" i="4" s="1"/>
  <c r="ED18" i="4"/>
  <c r="AI4" i="4"/>
  <c r="JT4" i="4"/>
  <c r="T10" i="4"/>
  <c r="T23" i="4" s="1"/>
  <c r="AO10" i="4"/>
  <c r="AQ10" i="4"/>
  <c r="AW10" i="4"/>
  <c r="AW9" i="4" s="1"/>
  <c r="BE10" i="4"/>
  <c r="DP4" i="4"/>
  <c r="FD10" i="4"/>
  <c r="FD9" i="4" s="1"/>
  <c r="K159" i="15"/>
  <c r="K62" i="15"/>
  <c r="E201" i="15"/>
  <c r="E313" i="15"/>
  <c r="E64" i="15"/>
  <c r="E143" i="15"/>
  <c r="E241" i="15"/>
  <c r="E106" i="15"/>
  <c r="E154" i="15"/>
  <c r="E250" i="15"/>
  <c r="E197" i="15"/>
  <c r="E305" i="15"/>
  <c r="E177" i="15"/>
  <c r="E59" i="15"/>
  <c r="E123" i="15"/>
  <c r="E155" i="15"/>
  <c r="E219" i="15"/>
  <c r="E251" i="15"/>
  <c r="E283" i="15"/>
  <c r="E315" i="15"/>
  <c r="E347" i="15"/>
  <c r="E51" i="15"/>
  <c r="GF10" i="4"/>
  <c r="HH10" i="4"/>
  <c r="HQ10" i="4"/>
  <c r="KM10" i="4"/>
  <c r="KM9" i="4" s="1"/>
  <c r="LF10" i="4"/>
  <c r="EA10" i="4"/>
  <c r="EA9" i="4" s="1"/>
  <c r="EJ10" i="4"/>
  <c r="E132" i="15"/>
  <c r="E292" i="15"/>
  <c r="M5" i="4"/>
  <c r="CQ10" i="4"/>
  <c r="CQ23" i="4" s="1"/>
  <c r="HO18" i="4"/>
  <c r="HO23" i="4" s="1"/>
  <c r="HV4" i="4"/>
  <c r="IT4" i="4"/>
  <c r="JC4" i="4"/>
  <c r="JU4" i="4"/>
  <c r="KD4" i="4"/>
  <c r="MG13" i="4"/>
  <c r="NF4" i="4"/>
  <c r="X18" i="4"/>
  <c r="X17" i="4" s="1"/>
  <c r="E82" i="15"/>
  <c r="E101" i="15"/>
  <c r="E261" i="15"/>
  <c r="E62" i="15"/>
  <c r="E174" i="15"/>
  <c r="E309" i="15"/>
  <c r="Y10" i="4"/>
  <c r="Y9" i="4" s="1"/>
  <c r="CD10" i="4"/>
  <c r="JK10" i="4"/>
  <c r="JK9" i="4" s="1"/>
  <c r="LI10" i="4"/>
  <c r="LI9" i="4" s="1"/>
  <c r="LR10" i="4"/>
  <c r="LR9" i="4" s="1"/>
  <c r="MJ18" i="4"/>
  <c r="MJ23" i="4" s="1"/>
  <c r="E277" i="15"/>
  <c r="CN10" i="4"/>
  <c r="CN9" i="4" s="1"/>
  <c r="DV10" i="4"/>
  <c r="EE10" i="4"/>
  <c r="EE23" i="4" s="1"/>
  <c r="EV4" i="4"/>
  <c r="OD10" i="4"/>
  <c r="E117" i="15"/>
  <c r="E325" i="15"/>
  <c r="AP4" i="4"/>
  <c r="BF4" i="4"/>
  <c r="BW10" i="4"/>
  <c r="BW9" i="4" s="1"/>
  <c r="FT10" i="4"/>
  <c r="FT9" i="4" s="1"/>
  <c r="HD10" i="4"/>
  <c r="HW10" i="4"/>
  <c r="IF10" i="4"/>
  <c r="NA5" i="4"/>
  <c r="NA14" i="4" s="1"/>
  <c r="NI5" i="4"/>
  <c r="NI14" i="4" s="1"/>
  <c r="OG5" i="4"/>
  <c r="OG14" i="4" s="1"/>
  <c r="E342" i="15"/>
  <c r="IM10" i="4"/>
  <c r="IM9" i="4" s="1"/>
  <c r="JE10" i="4"/>
  <c r="JE9" i="4" s="1"/>
  <c r="AM9" i="4"/>
  <c r="GS35" i="4"/>
  <c r="GS19" i="4"/>
  <c r="Q188" i="15" a="1"/>
  <c r="Q188" i="15" s="1"/>
  <c r="EN18" i="4"/>
  <c r="EN17" i="4" s="1"/>
  <c r="ON30" i="21"/>
  <c r="FR18" i="4"/>
  <c r="FR23" i="4" s="1"/>
  <c r="O152" i="15" a="1"/>
  <c r="O152" i="15" s="1"/>
  <c r="T152" i="15" s="1"/>
  <c r="JB18" i="4"/>
  <c r="N18" i="4"/>
  <c r="HN18" i="4"/>
  <c r="W257" i="15"/>
  <c r="M40" i="21"/>
  <c r="O34" i="15" a="1"/>
  <c r="O34" i="15" s="1"/>
  <c r="LM15" i="4"/>
  <c r="HF13" i="4"/>
  <c r="KF35" i="4"/>
  <c r="JY35" i="4" s="1"/>
  <c r="OV22" i="4"/>
  <c r="FM35" i="4"/>
  <c r="CP18" i="4"/>
  <c r="CP17" i="4" s="1"/>
  <c r="EU18" i="4"/>
  <c r="EU23" i="4" s="1"/>
  <c r="NP18" i="4"/>
  <c r="HF18" i="4"/>
  <c r="HF23" i="4" s="1"/>
  <c r="LJ13" i="4"/>
  <c r="LT19" i="4"/>
  <c r="LT22" i="4" s="1"/>
  <c r="JG18" i="4"/>
  <c r="IO18" i="4"/>
  <c r="O285" i="15" a="1"/>
  <c r="O285" i="15" s="1"/>
  <c r="AM18" i="4"/>
  <c r="AM23" i="4" s="1"/>
  <c r="KF13" i="4"/>
  <c r="JW17" i="4"/>
  <c r="NM17" i="4"/>
  <c r="NF23" i="4"/>
  <c r="FK22" i="4"/>
  <c r="II18" i="4"/>
  <c r="II17" i="4" s="1"/>
  <c r="AN13" i="4"/>
  <c r="KF19" i="4"/>
  <c r="JY19" i="4" s="1"/>
  <c r="R188" i="15" a="1"/>
  <c r="R188" i="15" s="1"/>
  <c r="HG36" i="4"/>
  <c r="HG20" i="4"/>
  <c r="HG22" i="4" s="1"/>
  <c r="HD13" i="4"/>
  <c r="FZ19" i="4"/>
  <c r="GW6" i="4"/>
  <c r="LM6" i="4"/>
  <c r="O11" i="4"/>
  <c r="O22" i="4" s="1"/>
  <c r="LZ4" i="4"/>
  <c r="JL13" i="4"/>
  <c r="F4" i="4"/>
  <c r="DJ11" i="4"/>
  <c r="OG6" i="4"/>
  <c r="CX4" i="4"/>
  <c r="AR11" i="4"/>
  <c r="F11" i="4"/>
  <c r="E11" i="4" s="1"/>
  <c r="AR20" i="4"/>
  <c r="MX11" i="4"/>
  <c r="MS16" i="4"/>
  <c r="I159" i="15" a="1"/>
  <c r="I159" i="15" s="1"/>
  <c r="L159" i="15" s="1"/>
  <c r="LQ4" i="4"/>
  <c r="FG11" i="4"/>
  <c r="BL11" i="4"/>
  <c r="EX20" i="4"/>
  <c r="EX22" i="4" s="1"/>
  <c r="L20" i="4"/>
  <c r="L22" i="4" s="1"/>
  <c r="E244" i="15"/>
  <c r="E276" i="15"/>
  <c r="E13" i="15"/>
  <c r="E341" i="15"/>
  <c r="E168" i="15"/>
  <c r="CS11" i="4"/>
  <c r="CS9" i="4" s="1"/>
  <c r="KR11" i="4"/>
  <c r="JL20" i="4"/>
  <c r="DU6" i="4"/>
  <c r="JU11" i="4"/>
  <c r="BX11" i="4"/>
  <c r="BQ11" i="4" s="1"/>
  <c r="AX20" i="4"/>
  <c r="GF4" i="4"/>
  <c r="AP11" i="4"/>
  <c r="AP22" i="4" s="1"/>
  <c r="MO11" i="4"/>
  <c r="IO11" i="4"/>
  <c r="FG19" i="4"/>
  <c r="FG17" i="4" s="1"/>
  <c r="I278" i="15" a="1"/>
  <c r="I278" i="15" s="1"/>
  <c r="L278" i="15" s="1"/>
  <c r="IH20" i="4"/>
  <c r="MG11" i="4"/>
  <c r="I19" i="4"/>
  <c r="I17" i="4" s="1"/>
  <c r="E221" i="15"/>
  <c r="E335" i="15"/>
  <c r="AK6" i="4"/>
  <c r="IX17" i="4"/>
  <c r="HU6" i="4"/>
  <c r="FQ6" i="4"/>
  <c r="AX19" i="4"/>
  <c r="I11" i="4"/>
  <c r="HV11" i="4"/>
  <c r="I167" i="15" a="1"/>
  <c r="I167" i="15" s="1"/>
  <c r="L167" i="15" s="1"/>
  <c r="GI20" i="4"/>
  <c r="BL20" i="4"/>
  <c r="EB19" i="4"/>
  <c r="L187" i="15"/>
  <c r="IO20" i="4"/>
  <c r="MX15" i="4"/>
  <c r="JE36" i="4"/>
  <c r="DG4" i="4"/>
  <c r="HD4" i="4"/>
  <c r="MK16" i="4"/>
  <c r="CW6" i="4"/>
  <c r="IC6" i="4"/>
  <c r="CQ17" i="4"/>
  <c r="KM20" i="4"/>
  <c r="BF11" i="4"/>
  <c r="KZ11" i="4"/>
  <c r="KZ22" i="4" s="1"/>
  <c r="FP11" i="4"/>
  <c r="FI11" i="4" s="1"/>
  <c r="EX11" i="4"/>
  <c r="IH11" i="4"/>
  <c r="GI11" i="4"/>
  <c r="GG11" i="4" s="1"/>
  <c r="HD11" i="4"/>
  <c r="L215" i="15"/>
  <c r="LF11" i="4"/>
  <c r="JG11" i="4"/>
  <c r="I250" i="15" a="1"/>
  <c r="I250" i="15" s="1"/>
  <c r="L250" i="15" s="1"/>
  <c r="MX4" i="4"/>
  <c r="KV11" i="4"/>
  <c r="NT20" i="4"/>
  <c r="NT22" i="4" s="1"/>
  <c r="HG13" i="4"/>
  <c r="AT22" i="4"/>
  <c r="DY4" i="4"/>
  <c r="DM20" i="4"/>
  <c r="JC11" i="4"/>
  <c r="IE11" i="4"/>
  <c r="FJ9" i="4"/>
  <c r="HD35" i="4"/>
  <c r="OI4" i="4"/>
  <c r="W20" i="4"/>
  <c r="W22" i="4" s="1"/>
  <c r="ES6" i="4"/>
  <c r="GY11" i="4"/>
  <c r="MR11" i="4"/>
  <c r="LH11" i="4"/>
  <c r="LH9" i="4" s="1"/>
  <c r="AI11" i="4"/>
  <c r="AI22" i="4" s="1"/>
  <c r="DB11" i="4"/>
  <c r="GP19" i="4"/>
  <c r="LO11" i="4"/>
  <c r="LM11" i="4" s="1"/>
  <c r="I82" i="15" a="1"/>
  <c r="I82" i="15" s="1"/>
  <c r="L82" i="15" s="1"/>
  <c r="KW6" i="4"/>
  <c r="IX11" i="4"/>
  <c r="E356" i="15"/>
  <c r="E126" i="15"/>
  <c r="E198" i="15"/>
  <c r="E230" i="15"/>
  <c r="E333" i="15"/>
  <c r="W4" i="4"/>
  <c r="AE4" i="4"/>
  <c r="AZ4" i="4"/>
  <c r="BO4" i="4"/>
  <c r="BX4" i="4"/>
  <c r="CH4" i="4"/>
  <c r="L315" i="15"/>
  <c r="OF19" i="4"/>
  <c r="R307" i="15" a="1"/>
  <c r="R307" i="15" s="1"/>
  <c r="MN22" i="4"/>
  <c r="DS11" i="4"/>
  <c r="JA6" i="4"/>
  <c r="DJ20" i="4"/>
  <c r="AV4" i="4"/>
  <c r="LH4" i="4"/>
  <c r="EL20" i="4"/>
  <c r="EV11" i="4"/>
  <c r="EV9" i="4" s="1"/>
  <c r="NQ6" i="4"/>
  <c r="DB20" i="4"/>
  <c r="I124" i="15" a="1"/>
  <c r="I124" i="15" s="1"/>
  <c r="L124" i="15" s="1"/>
  <c r="E73" i="15"/>
  <c r="GV4" i="4"/>
  <c r="PC4" i="4"/>
  <c r="JL11" i="4"/>
  <c r="EL11" i="4"/>
  <c r="L236" i="15"/>
  <c r="L201" i="15"/>
  <c r="I173" i="15" a="1"/>
  <c r="I173" i="15" s="1"/>
  <c r="W173" i="15" s="1"/>
  <c r="JG20" i="4"/>
  <c r="LF19" i="4"/>
  <c r="E300" i="15"/>
  <c r="E332" i="15"/>
  <c r="E10" i="15"/>
  <c r="E229" i="15"/>
  <c r="E89" i="15"/>
  <c r="E200" i="15"/>
  <c r="IH4" i="4"/>
  <c r="NY15" i="4"/>
  <c r="GR22" i="4"/>
  <c r="E98" i="15"/>
  <c r="E159" i="15"/>
  <c r="E215" i="15"/>
  <c r="E225" i="15"/>
  <c r="E272" i="15"/>
  <c r="E304" i="15"/>
  <c r="E336" i="15"/>
  <c r="AS6" i="4"/>
  <c r="IP4" i="4"/>
  <c r="JQ6" i="4"/>
  <c r="BN22" i="4"/>
  <c r="HK22" i="4"/>
  <c r="E262" i="15"/>
  <c r="FF4" i="4"/>
  <c r="E49" i="15"/>
  <c r="E69" i="15"/>
  <c r="E349" i="15"/>
  <c r="E280" i="15"/>
  <c r="E109" i="15"/>
  <c r="GG15" i="4"/>
  <c r="IL22" i="4"/>
  <c r="E66" i="15"/>
  <c r="FM20" i="4"/>
  <c r="FI20" i="4" s="1"/>
  <c r="E135" i="15"/>
  <c r="E231" i="15"/>
  <c r="E47" i="15"/>
  <c r="OK4" i="4"/>
  <c r="GZ19" i="4"/>
  <c r="FI16" i="4"/>
  <c r="CN22" i="4"/>
  <c r="ON9" i="4"/>
  <c r="IU22" i="4"/>
  <c r="LW11" i="4"/>
  <c r="LW22" i="4" s="1"/>
  <c r="MH4" i="4"/>
  <c r="NS11" i="4"/>
  <c r="E68" i="15"/>
  <c r="E108" i="15"/>
  <c r="E85" i="15"/>
  <c r="E48" i="15"/>
  <c r="E264" i="15"/>
  <c r="E281" i="15"/>
  <c r="E74" i="15"/>
  <c r="E146" i="15"/>
  <c r="E242" i="15"/>
  <c r="E274" i="15"/>
  <c r="E330" i="15"/>
  <c r="E95" i="15"/>
  <c r="E175" i="15"/>
  <c r="E83" i="15"/>
  <c r="E115" i="15"/>
  <c r="E147" i="15"/>
  <c r="E243" i="15"/>
  <c r="E275" i="15"/>
  <c r="E307" i="15"/>
  <c r="E339" i="15"/>
  <c r="E35" i="15"/>
  <c r="J4" i="4"/>
  <c r="FY6" i="4"/>
  <c r="FV36" i="4"/>
  <c r="FQ36" i="4" s="1"/>
  <c r="HH20" i="4"/>
  <c r="E84" i="15"/>
  <c r="E181" i="15"/>
  <c r="E285" i="15"/>
  <c r="E253" i="15"/>
  <c r="E38" i="15"/>
  <c r="E70" i="15"/>
  <c r="E110" i="15"/>
  <c r="E150" i="15"/>
  <c r="E182" i="15"/>
  <c r="E161" i="15"/>
  <c r="E265" i="15"/>
  <c r="E306" i="15"/>
  <c r="E239" i="15"/>
  <c r="E216" i="15"/>
  <c r="E25" i="15"/>
  <c r="E125" i="15"/>
  <c r="E217" i="15"/>
  <c r="E58" i="15"/>
  <c r="KC20" i="4"/>
  <c r="KC22" i="4" s="1"/>
  <c r="AW4" i="4"/>
  <c r="CY11" i="4"/>
  <c r="HK4" i="4"/>
  <c r="HQ11" i="4"/>
  <c r="NG17" i="4"/>
  <c r="JE35" i="4"/>
  <c r="JA35" i="4" s="1"/>
  <c r="JM35" i="4"/>
  <c r="EJ22" i="4"/>
  <c r="KP9" i="4"/>
  <c r="E114" i="15"/>
  <c r="E317" i="15"/>
  <c r="E192" i="15"/>
  <c r="E344" i="15"/>
  <c r="JT20" i="4"/>
  <c r="EM4" i="4"/>
  <c r="EM11" i="4"/>
  <c r="EM9" i="4" s="1"/>
  <c r="KT4" i="4"/>
  <c r="HE16" i="4"/>
  <c r="E348" i="15"/>
  <c r="E17" i="15"/>
  <c r="E46" i="15"/>
  <c r="E78" i="15"/>
  <c r="E158" i="15"/>
  <c r="E254" i="15"/>
  <c r="E102" i="15"/>
  <c r="E269" i="15"/>
  <c r="E40" i="15"/>
  <c r="E224" i="15"/>
  <c r="E129" i="15"/>
  <c r="BD22" i="4"/>
  <c r="E196" i="15"/>
  <c r="E189" i="15"/>
  <c r="E357" i="15"/>
  <c r="E183" i="15"/>
  <c r="E286" i="15"/>
  <c r="E318" i="15"/>
  <c r="E53" i="15"/>
  <c r="E263" i="15"/>
  <c r="E39" i="15"/>
  <c r="E103" i="15"/>
  <c r="E97" i="15"/>
  <c r="E72" i="15"/>
  <c r="E256" i="15"/>
  <c r="E320" i="15"/>
  <c r="E282" i="15"/>
  <c r="E90" i="15"/>
  <c r="E33" i="15"/>
  <c r="E245" i="15"/>
  <c r="E6" i="15"/>
  <c r="IS6" i="4"/>
  <c r="JI6" i="4"/>
  <c r="OH17" i="4"/>
  <c r="JI15" i="4"/>
  <c r="LY9" i="4"/>
  <c r="E140" i="15"/>
  <c r="E172" i="15"/>
  <c r="E24" i="15"/>
  <c r="E337" i="15"/>
  <c r="E57" i="15"/>
  <c r="T11" i="4"/>
  <c r="T22" i="4" s="1"/>
  <c r="AO11" i="4"/>
  <c r="AO22" i="4" s="1"/>
  <c r="BB22" i="4"/>
  <c r="GY4" i="4"/>
  <c r="PB17" i="4"/>
  <c r="HY19" i="4"/>
  <c r="FX9" i="4"/>
  <c r="E12" i="15"/>
  <c r="E44" i="15"/>
  <c r="E116" i="15"/>
  <c r="E137" i="15"/>
  <c r="E205" i="15"/>
  <c r="E30" i="15"/>
  <c r="E94" i="15"/>
  <c r="E142" i="15"/>
  <c r="E238" i="15"/>
  <c r="E358" i="15"/>
  <c r="E365" i="15"/>
  <c r="E247" i="15"/>
  <c r="E209" i="15"/>
  <c r="E329" i="15"/>
  <c r="E112" i="15"/>
  <c r="E208" i="15"/>
  <c r="E240" i="15"/>
  <c r="E18" i="15"/>
  <c r="E194" i="15"/>
  <c r="E290" i="15"/>
  <c r="E338" i="15"/>
  <c r="E151" i="15"/>
  <c r="E45" i="15"/>
  <c r="E111" i="15"/>
  <c r="E91" i="15"/>
  <c r="E187" i="15"/>
  <c r="BB9" i="4"/>
  <c r="BN17" i="4"/>
  <c r="HR4" i="4"/>
  <c r="MP11" i="4"/>
  <c r="MP22" i="4" s="1"/>
  <c r="JM13" i="4"/>
  <c r="BR9" i="4"/>
  <c r="E340" i="15"/>
  <c r="E319" i="15"/>
  <c r="E87" i="15"/>
  <c r="E141" i="15"/>
  <c r="BG11" i="4"/>
  <c r="BG22" i="4" s="1"/>
  <c r="BP11" i="4"/>
  <c r="BZ11" i="4"/>
  <c r="HS4" i="4"/>
  <c r="JB11" i="4"/>
  <c r="NR11" i="4"/>
  <c r="OB11" i="4"/>
  <c r="OB22" i="4" s="1"/>
  <c r="MD13" i="4"/>
  <c r="MD18" i="4"/>
  <c r="MD17" i="4" s="1"/>
  <c r="O299" i="15" a="1"/>
  <c r="O299" i="15" s="1"/>
  <c r="T299" i="15" s="1"/>
  <c r="HB14" i="4"/>
  <c r="HB4" i="4"/>
  <c r="HB10" i="4"/>
  <c r="GC18" i="4"/>
  <c r="GC17" i="4" s="1"/>
  <c r="FV18" i="4"/>
  <c r="FV23" i="4" s="1"/>
  <c r="CU18" i="4"/>
  <c r="MO18" i="4"/>
  <c r="KP18" i="4"/>
  <c r="KP23" i="4" s="1"/>
  <c r="LV13" i="4"/>
  <c r="AK5" i="4"/>
  <c r="HC4" i="4"/>
  <c r="HC10" i="4"/>
  <c r="OH4" i="4"/>
  <c r="GC4" i="4"/>
  <c r="NE10" i="4"/>
  <c r="NE23" i="4" s="1"/>
  <c r="CK10" i="4"/>
  <c r="CK9" i="4" s="1"/>
  <c r="FC4" i="4"/>
  <c r="IH14" i="4"/>
  <c r="IH18" i="4" s="1"/>
  <c r="BB4" i="4"/>
  <c r="AU4" i="4"/>
  <c r="GY14" i="4"/>
  <c r="GY18" i="4" s="1"/>
  <c r="NG10" i="4"/>
  <c r="NG9" i="4" s="1"/>
  <c r="CK4" i="4"/>
  <c r="FW14" i="4"/>
  <c r="H194" i="15" a="1"/>
  <c r="H194" i="15" s="1"/>
  <c r="KK10" i="4"/>
  <c r="KK9" i="4" s="1"/>
  <c r="BJ10" i="4"/>
  <c r="BJ9" i="4" s="1"/>
  <c r="GE4" i="4"/>
  <c r="BS10" i="4"/>
  <c r="BS9" i="4" s="1"/>
  <c r="AA4" i="4"/>
  <c r="LO10" i="4"/>
  <c r="X13" i="4"/>
  <c r="H320" i="15" a="1"/>
  <c r="H320" i="15" s="1"/>
  <c r="K320" i="15" s="1"/>
  <c r="LI18" i="4"/>
  <c r="Q10" i="4"/>
  <c r="Q9" i="4" s="1"/>
  <c r="FG10" i="4"/>
  <c r="HU5" i="4"/>
  <c r="HU14" i="4" s="1"/>
  <c r="NE4" i="4"/>
  <c r="OD18" i="4"/>
  <c r="HN10" i="4"/>
  <c r="HN9" i="4" s="1"/>
  <c r="IE4" i="4"/>
  <c r="FO18" i="4"/>
  <c r="FO17" i="4" s="1"/>
  <c r="OQ4" i="4"/>
  <c r="N10" i="4"/>
  <c r="PC10" i="4"/>
  <c r="LX13" i="4"/>
  <c r="CF10" i="4"/>
  <c r="CF9" i="4" s="1"/>
  <c r="LX4" i="4"/>
  <c r="KB4" i="4"/>
  <c r="JF4" i="4"/>
  <c r="LO18" i="4"/>
  <c r="LO17" i="4" s="1"/>
  <c r="DR10" i="4"/>
  <c r="DR9" i="4" s="1"/>
  <c r="DZ10" i="4"/>
  <c r="KT14" i="4"/>
  <c r="KT13" i="4" s="1"/>
  <c r="H10" i="4"/>
  <c r="LL4" i="4"/>
  <c r="KK4" i="4"/>
  <c r="EK5" i="4"/>
  <c r="EK14" i="4" s="1"/>
  <c r="LL13" i="4"/>
  <c r="HL4" i="4"/>
  <c r="LG4" i="4"/>
  <c r="MM10" i="4"/>
  <c r="MM9" i="4" s="1"/>
  <c r="IQ4" i="4"/>
  <c r="EN10" i="4"/>
  <c r="EN9" i="4" s="1"/>
  <c r="AJ10" i="4"/>
  <c r="AJ23" i="4" s="1"/>
  <c r="MD4" i="4"/>
  <c r="FO10" i="4"/>
  <c r="FO9" i="4" s="1"/>
  <c r="OH10" i="4"/>
  <c r="LX10" i="4"/>
  <c r="LX9" i="4" s="1"/>
  <c r="MP4" i="4"/>
  <c r="KX4" i="4"/>
  <c r="E16" i="15"/>
  <c r="CU10" i="4"/>
  <c r="CT14" i="4"/>
  <c r="DU5" i="4"/>
  <c r="DU14" i="4" s="1"/>
  <c r="DZ14" i="4"/>
  <c r="DZ18" i="4" s="1"/>
  <c r="DZ17" i="4" s="1"/>
  <c r="AZ10" i="4"/>
  <c r="AZ9" i="4" s="1"/>
  <c r="MK5" i="4"/>
  <c r="MK14" i="4" s="1"/>
  <c r="JK18" i="4"/>
  <c r="EI4" i="4"/>
  <c r="IQ10" i="4"/>
  <c r="IQ9" i="4" s="1"/>
  <c r="IE10" i="4"/>
  <c r="FD18" i="4"/>
  <c r="MD10" i="4"/>
  <c r="MD9" i="4" s="1"/>
  <c r="GF18" i="4"/>
  <c r="DH10" i="4"/>
  <c r="ET4" i="4"/>
  <c r="AH4" i="4"/>
  <c r="FL4" i="4"/>
  <c r="MG4" i="4"/>
  <c r="H173" i="15" a="1"/>
  <c r="H173" i="15" s="1"/>
  <c r="K173" i="15" s="1"/>
  <c r="E268" i="15"/>
  <c r="E321" i="15"/>
  <c r="X10" i="4"/>
  <c r="X9" i="4" s="1"/>
  <c r="CM18" i="4"/>
  <c r="CM17" i="4" s="1"/>
  <c r="AC5" i="4"/>
  <c r="H18" i="4"/>
  <c r="H23" i="4" s="1"/>
  <c r="DE5" i="4"/>
  <c r="DE14" i="4" s="1"/>
  <c r="GN4" i="4"/>
  <c r="U5" i="4"/>
  <c r="H237" i="15" a="1"/>
  <c r="H237" i="15" s="1"/>
  <c r="K237" i="15" s="1"/>
  <c r="FL18" i="4"/>
  <c r="FL17" i="4" s="1"/>
  <c r="NN10" i="4"/>
  <c r="NN23" i="4" s="1"/>
  <c r="HG4" i="4"/>
  <c r="BT10" i="4"/>
  <c r="BT9" i="4" s="1"/>
  <c r="KX10" i="4"/>
  <c r="KX9" i="4" s="1"/>
  <c r="KQ10" i="4"/>
  <c r="K334" i="15"/>
  <c r="O236" i="15" a="1"/>
  <c r="O236" i="15" s="1"/>
  <c r="AT10" i="4"/>
  <c r="AT9" i="4" s="1"/>
  <c r="MG10" i="4"/>
  <c r="EJ18" i="4"/>
  <c r="EJ17" i="4" s="1"/>
  <c r="JF10" i="4"/>
  <c r="LP10" i="4"/>
  <c r="LP9" i="4" s="1"/>
  <c r="IZ10" i="4"/>
  <c r="IZ9" i="4" s="1"/>
  <c r="JS10" i="4"/>
  <c r="JS9" i="4" s="1"/>
  <c r="FO4" i="4"/>
  <c r="IN10" i="4"/>
  <c r="HY4" i="4"/>
  <c r="EF4" i="4"/>
  <c r="X4" i="4"/>
  <c r="LG18" i="4"/>
  <c r="KB10" i="4"/>
  <c r="KB9" i="4" s="1"/>
  <c r="IF13" i="4"/>
  <c r="IF18" i="4"/>
  <c r="FU14" i="4"/>
  <c r="FU13" i="4" s="1"/>
  <c r="FU4" i="4"/>
  <c r="FQ5" i="4"/>
  <c r="FQ14" i="4" s="1"/>
  <c r="FU10" i="4"/>
  <c r="FU9" i="4" s="1"/>
  <c r="KC10" i="4"/>
  <c r="JM18" i="4"/>
  <c r="JM17" i="4" s="1"/>
  <c r="JM10" i="4"/>
  <c r="JM9" i="4" s="1"/>
  <c r="PB4" i="4"/>
  <c r="OW5" i="4"/>
  <c r="OW14" i="4" s="1"/>
  <c r="JN10" i="4"/>
  <c r="JN9" i="4" s="1"/>
  <c r="IY18" i="4"/>
  <c r="IY17" i="4" s="1"/>
  <c r="IY10" i="4"/>
  <c r="IY9" i="4" s="1"/>
  <c r="LL10" i="4"/>
  <c r="LL18" i="4"/>
  <c r="HP10" i="4"/>
  <c r="OV10" i="4"/>
  <c r="OV9" i="4" s="1"/>
  <c r="KC18" i="4"/>
  <c r="E248" i="15"/>
  <c r="AA10" i="4"/>
  <c r="AA9" i="4" s="1"/>
  <c r="AG10" i="4"/>
  <c r="AG9" i="4" s="1"/>
  <c r="AN18" i="4"/>
  <c r="AN17" i="4" s="1"/>
  <c r="BI5" i="4"/>
  <c r="CC10" i="4"/>
  <c r="CC9" i="4" s="1"/>
  <c r="CV13" i="4"/>
  <c r="DP13" i="4"/>
  <c r="E36" i="15"/>
  <c r="E190" i="15"/>
  <c r="E222" i="15"/>
  <c r="E293" i="15"/>
  <c r="E80" i="15"/>
  <c r="E301" i="15"/>
  <c r="AH10" i="4"/>
  <c r="MI10" i="4"/>
  <c r="MI9" i="4" s="1"/>
  <c r="MR10" i="4"/>
  <c r="NB10" i="4"/>
  <c r="NB23" i="4" s="1"/>
  <c r="EH18" i="4"/>
  <c r="KT10" i="4"/>
  <c r="KT9" i="4" s="1"/>
  <c r="E257" i="15"/>
  <c r="E167" i="15"/>
  <c r="E54" i="15"/>
  <c r="E166" i="15"/>
  <c r="E199" i="15"/>
  <c r="GG5" i="4"/>
  <c r="GG14" i="4" s="1"/>
  <c r="FC10" i="4"/>
  <c r="FC9" i="4" s="1"/>
  <c r="FK10" i="4"/>
  <c r="FK9" i="4" s="1"/>
  <c r="GB18" i="4"/>
  <c r="GB17" i="4" s="1"/>
  <c r="HO4" i="4"/>
  <c r="LM5" i="4"/>
  <c r="LM14" i="4" s="1"/>
  <c r="GI18" i="4"/>
  <c r="GI23" i="4" s="1"/>
  <c r="OX23" i="4"/>
  <c r="CD18" i="4"/>
  <c r="E185" i="15"/>
  <c r="E63" i="15"/>
  <c r="E26" i="15"/>
  <c r="E122" i="15"/>
  <c r="E162" i="15"/>
  <c r="E202" i="15"/>
  <c r="E258" i="15"/>
  <c r="E314" i="15"/>
  <c r="E298" i="15"/>
  <c r="E61" i="15"/>
  <c r="E223" i="15"/>
  <c r="E19" i="15"/>
  <c r="E67" i="15"/>
  <c r="E99" i="15"/>
  <c r="E131" i="15"/>
  <c r="E195" i="15"/>
  <c r="E227" i="15"/>
  <c r="E259" i="15"/>
  <c r="E323" i="15"/>
  <c r="E355" i="15"/>
  <c r="DC10" i="4"/>
  <c r="DC9" i="4" s="1"/>
  <c r="IX13" i="4"/>
  <c r="GI13" i="4"/>
  <c r="CA10" i="4"/>
  <c r="DD10" i="4"/>
  <c r="DD9" i="4" s="1"/>
  <c r="EF10" i="4"/>
  <c r="EO10" i="4"/>
  <c r="EO9" i="4" s="1"/>
  <c r="IG14" i="4"/>
  <c r="IG4" i="4"/>
  <c r="ID13" i="4"/>
  <c r="OV18" i="4"/>
  <c r="OV17" i="4" s="1"/>
  <c r="FX18" i="4"/>
  <c r="FX13" i="4"/>
  <c r="HK18" i="4"/>
  <c r="HK17" i="4" s="1"/>
  <c r="E310" i="15"/>
  <c r="W14" i="4"/>
  <c r="W13" i="4" s="1"/>
  <c r="W10" i="4"/>
  <c r="AE14" i="4"/>
  <c r="AE13" i="4" s="1"/>
  <c r="AE10" i="4"/>
  <c r="AL14" i="4"/>
  <c r="AL4" i="4"/>
  <c r="BG4" i="4"/>
  <c r="BG14" i="4"/>
  <c r="BG10" i="4"/>
  <c r="BA5" i="4"/>
  <c r="BQ5" i="4"/>
  <c r="BX10" i="4"/>
  <c r="BX23" i="4" s="1"/>
  <c r="CH14" i="4"/>
  <c r="CH13" i="4" s="1"/>
  <c r="CG5" i="4"/>
  <c r="HZ14" i="4"/>
  <c r="HZ4" i="4"/>
  <c r="HZ10" i="4"/>
  <c r="HZ9" i="4" s="1"/>
  <c r="OE10" i="4"/>
  <c r="OE23" i="4" s="1"/>
  <c r="BJ18" i="4"/>
  <c r="BJ17" i="4" s="1"/>
  <c r="H54" i="15" a="1"/>
  <c r="H54" i="15" s="1"/>
  <c r="K54" i="15" s="1"/>
  <c r="FH14" i="4"/>
  <c r="FH18" i="4" s="1"/>
  <c r="FH4" i="4"/>
  <c r="H188" i="15" a="1"/>
  <c r="H188" i="15" s="1"/>
  <c r="HG10" i="4"/>
  <c r="HG9" i="4" s="1"/>
  <c r="FC18" i="4"/>
  <c r="FC17" i="4" s="1"/>
  <c r="K10" i="4"/>
  <c r="K9" i="4" s="1"/>
  <c r="E5" i="4"/>
  <c r="GW5" i="4"/>
  <c r="GW14" i="4" s="1"/>
  <c r="HA14" i="4"/>
  <c r="HA13" i="4" s="1"/>
  <c r="HI14" i="4"/>
  <c r="HI13" i="4" s="1"/>
  <c r="HI4" i="4"/>
  <c r="LZ14" i="4"/>
  <c r="LU5" i="4"/>
  <c r="LU14" i="4" s="1"/>
  <c r="MH14" i="4"/>
  <c r="MH18" i="4" s="1"/>
  <c r="MC5" i="4"/>
  <c r="MC14" i="4" s="1"/>
  <c r="NR10" i="4"/>
  <c r="NR9" i="4" s="1"/>
  <c r="NQ5" i="4"/>
  <c r="NQ14" i="4" s="1"/>
  <c r="NK10" i="4"/>
  <c r="NK18" i="4"/>
  <c r="NK17" i="4" s="1"/>
  <c r="OB10" i="4"/>
  <c r="OB4" i="4"/>
  <c r="OO5" i="4"/>
  <c r="OO14" i="4" s="1"/>
  <c r="AQ13" i="4"/>
  <c r="GX10" i="4"/>
  <c r="GX9" i="4" s="1"/>
  <c r="H180" i="15" a="1"/>
  <c r="H180" i="15" s="1"/>
  <c r="GX18" i="4"/>
  <c r="GX17" i="4" s="1"/>
  <c r="IG10" i="4"/>
  <c r="HG18" i="4"/>
  <c r="HG17" i="4" s="1"/>
  <c r="LA10" i="4"/>
  <c r="KW5" i="4"/>
  <c r="KW14" i="4" s="1"/>
  <c r="MA10" i="4"/>
  <c r="MA9" i="4" s="1"/>
  <c r="MA14" i="4"/>
  <c r="MA4" i="4"/>
  <c r="KJ10" i="4"/>
  <c r="KJ18" i="4"/>
  <c r="LC18" i="4"/>
  <c r="LC10" i="4"/>
  <c r="OU4" i="4"/>
  <c r="OU10" i="4"/>
  <c r="OU23" i="4" s="1"/>
  <c r="FS10" i="4"/>
  <c r="H153" i="15" a="1"/>
  <c r="H153" i="15" s="1"/>
  <c r="K153" i="15" s="1"/>
  <c r="LB14" i="4"/>
  <c r="LB4" i="4"/>
  <c r="HR18" i="4"/>
  <c r="HR17" i="4" s="1"/>
  <c r="HR13" i="4"/>
  <c r="L180" i="15"/>
  <c r="H131" i="15" a="1"/>
  <c r="H131" i="15" s="1"/>
  <c r="K131" i="15" s="1"/>
  <c r="ET10" i="4"/>
  <c r="IM18" i="4"/>
  <c r="JO13" i="4"/>
  <c r="FM13" i="4"/>
  <c r="IP10" i="4"/>
  <c r="IP9" i="4" s="1"/>
  <c r="FY5" i="4"/>
  <c r="FY14" i="4" s="1"/>
  <c r="GC10" i="4"/>
  <c r="GC9" i="4" s="1"/>
  <c r="KU14" i="4"/>
  <c r="KU4" i="4"/>
  <c r="AO13" i="4"/>
  <c r="OY23" i="4"/>
  <c r="OM10" i="4"/>
  <c r="OM9" i="4" s="1"/>
  <c r="IK5" i="4"/>
  <c r="IK14" i="4" s="1"/>
  <c r="HY10" i="4"/>
  <c r="CY14" i="4"/>
  <c r="CY13" i="4" s="1"/>
  <c r="CY10" i="4"/>
  <c r="DH13" i="4"/>
  <c r="DQ14" i="4"/>
  <c r="DQ10" i="4"/>
  <c r="DM5" i="4"/>
  <c r="DM14" i="4" s="1"/>
  <c r="EC5" i="4"/>
  <c r="EC14" i="4" s="1"/>
  <c r="EI14" i="4"/>
  <c r="EI18" i="4" s="1"/>
  <c r="EI17" i="4" s="1"/>
  <c r="ER14" i="4"/>
  <c r="ER4" i="4"/>
  <c r="EW10" i="4"/>
  <c r="EW23" i="4" s="1"/>
  <c r="EW4" i="4"/>
  <c r="FA5" i="4"/>
  <c r="FA14" i="4" s="1"/>
  <c r="GM18" i="4"/>
  <c r="GM17" i="4" s="1"/>
  <c r="GM10" i="4"/>
  <c r="GM9" i="4" s="1"/>
  <c r="KF10" i="4"/>
  <c r="KF9" i="4" s="1"/>
  <c r="AO18" i="4"/>
  <c r="GC13" i="4"/>
  <c r="DP18" i="4"/>
  <c r="CT4" i="4"/>
  <c r="EG18" i="4"/>
  <c r="EG17" i="4" s="1"/>
  <c r="EG13" i="4"/>
  <c r="CO5" i="4"/>
  <c r="CO14" i="4" s="1"/>
  <c r="IP14" i="4"/>
  <c r="HY18" i="4"/>
  <c r="ET18" i="4"/>
  <c r="E11" i="15"/>
  <c r="GD4" i="4"/>
  <c r="GD10" i="4"/>
  <c r="GD23" i="4" s="1"/>
  <c r="JP14" i="4"/>
  <c r="JP13" i="4" s="1"/>
  <c r="JP4" i="4"/>
  <c r="JZ14" i="4"/>
  <c r="JZ18" i="4" s="1"/>
  <c r="JZ17" i="4" s="1"/>
  <c r="JZ4" i="4"/>
  <c r="JZ10" i="4"/>
  <c r="JZ9" i="4" s="1"/>
  <c r="IT18" i="4"/>
  <c r="IT17" i="4" s="1"/>
  <c r="IT10" i="4"/>
  <c r="H229" i="15" a="1"/>
  <c r="H229" i="15" s="1"/>
  <c r="JB10" i="4"/>
  <c r="H236" i="15" a="1"/>
  <c r="H236" i="15" s="1"/>
  <c r="K236" i="15" s="1"/>
  <c r="JJ18" i="4"/>
  <c r="JJ17" i="4" s="1"/>
  <c r="JJ10" i="4"/>
  <c r="JJ9" i="4" s="1"/>
  <c r="ES5" i="4"/>
  <c r="ES14" i="4" s="1"/>
  <c r="KG5" i="4"/>
  <c r="KG14" i="4" s="1"/>
  <c r="GL18" i="4"/>
  <c r="LN13" i="4"/>
  <c r="OO13" i="4"/>
  <c r="K209" i="15"/>
  <c r="P96" i="15"/>
  <c r="E164" i="15"/>
  <c r="E184" i="15"/>
  <c r="E296" i="15"/>
  <c r="DQ4" i="4"/>
  <c r="GL10" i="4"/>
  <c r="NT10" i="4"/>
  <c r="NT23" i="4" s="1"/>
  <c r="H161" i="15" a="1"/>
  <c r="H161" i="15" s="1"/>
  <c r="K161" i="15" s="1"/>
  <c r="K264" i="15"/>
  <c r="E128" i="15"/>
  <c r="FS4" i="4"/>
  <c r="HT10" i="4"/>
  <c r="HT9" i="4" s="1"/>
  <c r="E148" i="15"/>
  <c r="E367" i="15"/>
  <c r="KD10" i="4"/>
  <c r="KD9" i="4" s="1"/>
  <c r="MX10" i="4"/>
  <c r="CC18" i="4"/>
  <c r="CC17" i="4" s="1"/>
  <c r="JP9" i="4"/>
  <c r="E15" i="15"/>
  <c r="E232" i="15"/>
  <c r="E360" i="15"/>
  <c r="HP18" i="4"/>
  <c r="JW10" i="4"/>
  <c r="JW23" i="4" s="1"/>
  <c r="KE10" i="4"/>
  <c r="KE9" i="4" s="1"/>
  <c r="MP10" i="4"/>
  <c r="F18" i="4"/>
  <c r="F17" i="4" s="1"/>
  <c r="MH10" i="4"/>
  <c r="MH9" i="4" s="1"/>
  <c r="OF30" i="21"/>
  <c r="NX30" i="21"/>
  <c r="N477" i="32"/>
  <c r="O477" i="32"/>
  <c r="V468" i="32"/>
  <c r="O467" i="32"/>
  <c r="N467" i="32"/>
  <c r="M482" i="32"/>
  <c r="N96" i="32"/>
  <c r="M96" i="32"/>
  <c r="S90" i="32"/>
  <c r="X89" i="32"/>
  <c r="N265" i="32"/>
  <c r="O270" i="32"/>
  <c r="O261" i="32"/>
  <c r="N257" i="32"/>
  <c r="M487" i="32"/>
  <c r="O469" i="32"/>
  <c r="O465" i="32"/>
  <c r="Y96" i="32"/>
  <c r="M91" i="32"/>
  <c r="O329" i="32"/>
  <c r="O472" i="32"/>
  <c r="W91" i="32"/>
  <c r="N91" i="32"/>
  <c r="S91" i="32"/>
  <c r="T91" i="32"/>
  <c r="Y90" i="32"/>
  <c r="M90" i="32"/>
  <c r="O255" i="32"/>
  <c r="O324" i="32"/>
  <c r="L481" i="32"/>
  <c r="X91" i="32"/>
  <c r="Y91" i="32"/>
  <c r="N92" i="32"/>
  <c r="M98" i="32"/>
  <c r="X96" i="32"/>
  <c r="X90" i="32"/>
  <c r="T90" i="32"/>
  <c r="O268" i="32"/>
  <c r="O323" i="32"/>
  <c r="L330" i="32"/>
  <c r="N326" i="32"/>
  <c r="M480" i="32"/>
  <c r="T98" i="32"/>
  <c r="W90" i="32"/>
  <c r="N323" i="32"/>
  <c r="N473" i="32"/>
  <c r="U467" i="32"/>
  <c r="V467" i="32" s="1"/>
  <c r="V90" i="32"/>
  <c r="N254" i="32"/>
  <c r="O322" i="32"/>
  <c r="L484" i="32"/>
  <c r="M490" i="32"/>
  <c r="O266" i="32"/>
  <c r="O473" i="32"/>
  <c r="NF17" i="4"/>
  <c r="KA14" i="4"/>
  <c r="EQ4" i="4"/>
  <c r="IH10" i="4"/>
  <c r="EF18" i="4"/>
  <c r="EF17" i="4" s="1"/>
  <c r="Y4" i="4"/>
  <c r="E295" i="15"/>
  <c r="AU19" i="4"/>
  <c r="AU20" i="4"/>
  <c r="DA20" i="4"/>
  <c r="DA19" i="4"/>
  <c r="CW19" i="4" s="1"/>
  <c r="DI19" i="4"/>
  <c r="DI17" i="4" s="1"/>
  <c r="FF14" i="4"/>
  <c r="FF10" i="4"/>
  <c r="FF9" i="4" s="1"/>
  <c r="FN10" i="4"/>
  <c r="FN4" i="4"/>
  <c r="FI5" i="4"/>
  <c r="FI14" i="4" s="1"/>
  <c r="GJ14" i="4"/>
  <c r="GJ13" i="4" s="1"/>
  <c r="GJ10" i="4"/>
  <c r="GJ9" i="4" s="1"/>
  <c r="GJ4" i="4"/>
  <c r="HC11" i="4"/>
  <c r="HC19" i="4"/>
  <c r="HC20" i="4"/>
  <c r="LK10" i="4"/>
  <c r="LK4" i="4"/>
  <c r="LT14" i="4"/>
  <c r="LT18" i="4" s="1"/>
  <c r="LT4" i="4"/>
  <c r="LT10" i="4"/>
  <c r="LT9" i="4" s="1"/>
  <c r="KN15" i="4"/>
  <c r="KN11" i="4"/>
  <c r="KV15" i="4"/>
  <c r="KV13" i="4" s="1"/>
  <c r="KO6" i="4"/>
  <c r="LD35" i="4"/>
  <c r="KW35" i="4" s="1"/>
  <c r="LD19" i="4"/>
  <c r="LD22" i="4" s="1"/>
  <c r="LU6" i="4"/>
  <c r="LV11" i="4"/>
  <c r="NH14" i="4"/>
  <c r="NH18" i="4" s="1"/>
  <c r="NA18" i="4" s="1"/>
  <c r="NH10" i="4"/>
  <c r="NH4" i="4"/>
  <c r="MC6" i="4"/>
  <c r="ME11" i="4"/>
  <c r="MV11" i="4"/>
  <c r="MV22" i="4" s="1"/>
  <c r="MS6" i="4"/>
  <c r="NE11" i="4"/>
  <c r="NE22" i="4" s="1"/>
  <c r="NA6" i="4"/>
  <c r="OT4" i="4"/>
  <c r="OT10" i="4"/>
  <c r="OT23" i="4" s="1"/>
  <c r="PB10" i="4"/>
  <c r="PB23" i="4" s="1"/>
  <c r="DN18" i="4"/>
  <c r="DN17" i="4" s="1"/>
  <c r="H103" i="15" a="1"/>
  <c r="H103" i="15" s="1"/>
  <c r="K103" i="15" s="1"/>
  <c r="JH14" i="4"/>
  <c r="JH18" i="4" s="1"/>
  <c r="JH4" i="4"/>
  <c r="JO4" i="4"/>
  <c r="JO11" i="4"/>
  <c r="MZ14" i="4"/>
  <c r="MZ18" i="4" s="1"/>
  <c r="MZ4" i="4"/>
  <c r="MZ10" i="4"/>
  <c r="OC10" i="4"/>
  <c r="OC23" i="4" s="1"/>
  <c r="OC4" i="4"/>
  <c r="HC9" i="4"/>
  <c r="NS19" i="4"/>
  <c r="NS20" i="4"/>
  <c r="EK6" i="4"/>
  <c r="JY5" i="4"/>
  <c r="JY14" i="4" s="1"/>
  <c r="KL9" i="4"/>
  <c r="KN4" i="4"/>
  <c r="Y14" i="4"/>
  <c r="Y18" i="4" s="1"/>
  <c r="AJ20" i="4"/>
  <c r="AJ11" i="4"/>
  <c r="AJ19" i="4"/>
  <c r="AT14" i="4"/>
  <c r="AS14" i="4" s="1"/>
  <c r="AS5" i="4"/>
  <c r="AT4" i="4"/>
  <c r="BE20" i="4"/>
  <c r="BA20" i="4" s="1"/>
  <c r="BE19" i="4"/>
  <c r="BA19" i="4" s="1"/>
  <c r="BE11" i="4"/>
  <c r="BM19" i="4"/>
  <c r="BM11" i="4"/>
  <c r="BM20" i="4"/>
  <c r="BV20" i="4"/>
  <c r="BV11" i="4"/>
  <c r="BV9" i="4" s="1"/>
  <c r="BV19" i="4"/>
  <c r="DH11" i="4"/>
  <c r="DH22" i="4" s="1"/>
  <c r="DH4" i="4"/>
  <c r="GU14" i="4"/>
  <c r="GU10" i="4"/>
  <c r="GU9" i="4" s="1"/>
  <c r="IR14" i="4"/>
  <c r="IR18" i="4" s="1"/>
  <c r="IR10" i="4"/>
  <c r="IR4" i="4"/>
  <c r="NX35" i="4"/>
  <c r="NQ35" i="4" s="1"/>
  <c r="NX19" i="4"/>
  <c r="NX22" i="4" s="1"/>
  <c r="I320" i="15" a="1"/>
  <c r="I320" i="15" s="1"/>
  <c r="NB11" i="4"/>
  <c r="S14" i="4"/>
  <c r="S4" i="4"/>
  <c r="N19" i="4"/>
  <c r="I12" i="15" a="1"/>
  <c r="I12" i="15" s="1"/>
  <c r="W12" i="15" s="1"/>
  <c r="N11" i="4"/>
  <c r="N20" i="4"/>
  <c r="CD19" i="4"/>
  <c r="BY19" i="4" s="1"/>
  <c r="CD11" i="4"/>
  <c r="DW18" i="4"/>
  <c r="DW10" i="4"/>
  <c r="EX14" i="4"/>
  <c r="EX10" i="4"/>
  <c r="EX9" i="4" s="1"/>
  <c r="EX4" i="4"/>
  <c r="GK14" i="4"/>
  <c r="GK18" i="4" s="1"/>
  <c r="GK4" i="4"/>
  <c r="FP35" i="4"/>
  <c r="FI15" i="4"/>
  <c r="FP19" i="4"/>
  <c r="FI19" i="4" s="1"/>
  <c r="JR14" i="4"/>
  <c r="JR10" i="4"/>
  <c r="JR9" i="4" s="1"/>
  <c r="JR4" i="4"/>
  <c r="IN11" i="4"/>
  <c r="IN4" i="4"/>
  <c r="O208" i="15" a="1"/>
  <c r="O208" i="15" s="1"/>
  <c r="DC18" i="4"/>
  <c r="DN10" i="4"/>
  <c r="DN9" i="4" s="1"/>
  <c r="JX4" i="4"/>
  <c r="IK6" i="4"/>
  <c r="KM22" i="4"/>
  <c r="GV9" i="4"/>
  <c r="KN14" i="4"/>
  <c r="HJ4" i="4"/>
  <c r="S10" i="4"/>
  <c r="S9" i="4" s="1"/>
  <c r="Q182" i="15" a="1"/>
  <c r="Q182" i="15" s="1"/>
  <c r="IW11" i="4"/>
  <c r="E9" i="15"/>
  <c r="J20" i="4"/>
  <c r="J11" i="4"/>
  <c r="GF20" i="4"/>
  <c r="GF11" i="4"/>
  <c r="GF9" i="4" s="1"/>
  <c r="IF20" i="4"/>
  <c r="IF19" i="4"/>
  <c r="KI14" i="4"/>
  <c r="KI10" i="4"/>
  <c r="KI9" i="4" s="1"/>
  <c r="KI4" i="4"/>
  <c r="MT11" i="4"/>
  <c r="MT22" i="4" s="1"/>
  <c r="I313" i="15" a="1"/>
  <c r="I313" i="15" s="1"/>
  <c r="L313" i="15" s="1"/>
  <c r="KO5" i="4"/>
  <c r="KO14" i="4" s="1"/>
  <c r="JX15" i="4"/>
  <c r="JX19" i="4" s="1"/>
  <c r="KV10" i="4"/>
  <c r="KV9" i="4" s="1"/>
  <c r="EC6" i="4"/>
  <c r="G10" i="4"/>
  <c r="G9" i="4" s="1"/>
  <c r="G14" i="4"/>
  <c r="G13" i="4" s="1"/>
  <c r="I26" i="15" a="1"/>
  <c r="I26" i="15" s="1"/>
  <c r="AD20" i="4"/>
  <c r="AC20" i="4" s="1"/>
  <c r="AD19" i="4"/>
  <c r="CL18" i="4"/>
  <c r="CL10" i="4"/>
  <c r="CL9" i="4" s="1"/>
  <c r="DL14" i="4"/>
  <c r="DL10" i="4"/>
  <c r="DL9" i="4" s="1"/>
  <c r="DW19" i="4"/>
  <c r="DW11" i="4"/>
  <c r="DW20" i="4"/>
  <c r="FB20" i="4"/>
  <c r="FB19" i="4"/>
  <c r="GP11" i="4"/>
  <c r="GP38" i="4"/>
  <c r="GP4" i="4"/>
  <c r="IF4" i="4"/>
  <c r="IF11" i="4"/>
  <c r="IL13" i="4"/>
  <c r="IL18" i="4"/>
  <c r="IN19" i="4"/>
  <c r="IN20" i="4"/>
  <c r="IK20" i="4" s="1"/>
  <c r="IW20" i="4"/>
  <c r="IW19" i="4"/>
  <c r="JF20" i="4"/>
  <c r="JF19" i="4"/>
  <c r="JO20" i="4"/>
  <c r="JO19" i="4"/>
  <c r="NV10" i="4"/>
  <c r="NV23" i="4" s="1"/>
  <c r="NV4" i="4"/>
  <c r="FC13" i="4"/>
  <c r="GT4" i="4"/>
  <c r="JQ5" i="4"/>
  <c r="JQ14" i="4" s="1"/>
  <c r="IC5" i="4"/>
  <c r="IC14" i="4" s="1"/>
  <c r="G22" i="4"/>
  <c r="JX11" i="4"/>
  <c r="JX9" i="4" s="1"/>
  <c r="DR22" i="4"/>
  <c r="KV4" i="4"/>
  <c r="JA5" i="4"/>
  <c r="JA14" i="4" s="1"/>
  <c r="AH18" i="4"/>
  <c r="CJ23" i="4"/>
  <c r="BU14" i="4"/>
  <c r="BU18" i="4" s="1"/>
  <c r="BU4" i="4"/>
  <c r="MV4" i="4"/>
  <c r="MV10" i="4"/>
  <c r="MV23" i="4" s="1"/>
  <c r="NW10" i="4"/>
  <c r="NW9" i="4" s="1"/>
  <c r="NW4" i="4"/>
  <c r="OU11" i="4"/>
  <c r="OO11" i="4" s="1"/>
  <c r="OU19" i="4"/>
  <c r="OU20" i="4"/>
  <c r="JP19" i="4"/>
  <c r="JI19" i="4" s="1"/>
  <c r="HY36" i="4"/>
  <c r="HU36" i="4" s="1"/>
  <c r="I335" i="15" a="1"/>
  <c r="I335" i="15" s="1"/>
  <c r="L335" i="15" s="1"/>
  <c r="IW4" i="4"/>
  <c r="HE5" i="4"/>
  <c r="HE14" i="4" s="1"/>
  <c r="M6" i="4"/>
  <c r="EH4" i="4"/>
  <c r="JF11" i="4"/>
  <c r="MS5" i="4"/>
  <c r="MS14" i="4" s="1"/>
  <c r="HD22" i="4"/>
  <c r="HS10" i="4"/>
  <c r="HS9" i="4" s="1"/>
  <c r="CD20" i="4"/>
  <c r="BY20" i="4" s="1"/>
  <c r="BE14" i="4"/>
  <c r="BE4" i="4"/>
  <c r="BM4" i="4"/>
  <c r="BM14" i="4"/>
  <c r="CU19" i="4"/>
  <c r="CO19" i="4" s="1"/>
  <c r="CU20" i="4"/>
  <c r="CO20" i="4" s="1"/>
  <c r="CU11" i="4"/>
  <c r="DF13" i="4"/>
  <c r="DF18" i="4"/>
  <c r="DF17" i="4" s="1"/>
  <c r="DP19" i="4"/>
  <c r="DP11" i="4"/>
  <c r="EU20" i="4"/>
  <c r="EU19" i="4"/>
  <c r="EU11" i="4"/>
  <c r="I132" i="15" a="1"/>
  <c r="I132" i="15" s="1"/>
  <c r="L132" i="15" s="1"/>
  <c r="HX14" i="4"/>
  <c r="HX13" i="4" s="1"/>
  <c r="HX4" i="4"/>
  <c r="HI20" i="4"/>
  <c r="HI19" i="4"/>
  <c r="LC20" i="4"/>
  <c r="LC11" i="4"/>
  <c r="LV20" i="4"/>
  <c r="LU20" i="4" s="1"/>
  <c r="I292" i="15" a="1"/>
  <c r="I292" i="15" s="1"/>
  <c r="L292" i="15" s="1"/>
  <c r="LV19" i="4"/>
  <c r="LU19" i="4" s="1"/>
  <c r="MF14" i="4"/>
  <c r="MF13" i="4" s="1"/>
  <c r="MF4" i="4"/>
  <c r="MF10" i="4"/>
  <c r="MF9" i="4" s="1"/>
  <c r="OZ11" i="4"/>
  <c r="OZ9" i="4" s="1"/>
  <c r="OW6" i="4"/>
  <c r="OZ4" i="4"/>
  <c r="OL18" i="4"/>
  <c r="OL10" i="4"/>
  <c r="GZ35" i="4"/>
  <c r="AU18" i="4"/>
  <c r="Z22" i="4"/>
  <c r="HJ10" i="4"/>
  <c r="HJ9" i="4" s="1"/>
  <c r="HX9" i="4"/>
  <c r="GO5" i="4"/>
  <c r="GO14" i="4" s="1"/>
  <c r="KA4" i="4"/>
  <c r="NY5" i="4"/>
  <c r="NY14" i="4" s="1"/>
  <c r="AU10" i="4"/>
  <c r="AU9" i="4" s="1"/>
  <c r="GK10" i="4"/>
  <c r="GK9" i="4" s="1"/>
  <c r="GT10" i="4"/>
  <c r="NK22" i="4"/>
  <c r="E157" i="15"/>
  <c r="AA19" i="4"/>
  <c r="AA20" i="4"/>
  <c r="AD14" i="4"/>
  <c r="AD4" i="4"/>
  <c r="AD10" i="4"/>
  <c r="AD9" i="4" s="1"/>
  <c r="GZ10" i="4"/>
  <c r="GZ9" i="4" s="1"/>
  <c r="GZ4" i="4"/>
  <c r="GZ14" i="4"/>
  <c r="HQ14" i="4"/>
  <c r="HQ13" i="4" s="1"/>
  <c r="HQ4" i="4"/>
  <c r="HM5" i="4"/>
  <c r="HM14" i="4" s="1"/>
  <c r="HO9" i="4"/>
  <c r="PD11" i="4"/>
  <c r="PD9" i="4" s="1"/>
  <c r="L61" i="15"/>
  <c r="E204" i="15"/>
  <c r="E206" i="15"/>
  <c r="E37" i="15"/>
  <c r="E351" i="15"/>
  <c r="E71" i="15"/>
  <c r="EA22" i="4"/>
  <c r="FO22" i="4"/>
  <c r="JI36" i="4"/>
  <c r="LQ22" i="4"/>
  <c r="NR22" i="4"/>
  <c r="OP23" i="4"/>
  <c r="K278" i="15"/>
  <c r="JZ22" i="4"/>
  <c r="E52" i="15"/>
  <c r="E284" i="15"/>
  <c r="E361" i="15"/>
  <c r="E246" i="15"/>
  <c r="HS22" i="4"/>
  <c r="E60" i="15"/>
  <c r="E100" i="15"/>
  <c r="E324" i="15"/>
  <c r="E170" i="15"/>
  <c r="E270" i="15"/>
  <c r="E302" i="15"/>
  <c r="E218" i="15"/>
  <c r="LA11" i="4"/>
  <c r="LA22" i="4" s="1"/>
  <c r="ML11" i="4"/>
  <c r="JM22" i="4"/>
  <c r="KK22" i="4"/>
  <c r="L223" i="15"/>
  <c r="HR22" i="4"/>
  <c r="P75" i="15"/>
  <c r="E156" i="15"/>
  <c r="E212" i="15"/>
  <c r="E311" i="15"/>
  <c r="E213" i="15"/>
  <c r="E233" i="15"/>
  <c r="E165" i="15"/>
  <c r="OS10" i="4"/>
  <c r="OS23" i="4" s="1"/>
  <c r="CZ22" i="4"/>
  <c r="JE22" i="4"/>
  <c r="E220" i="15"/>
  <c r="E326" i="15"/>
  <c r="E207" i="15"/>
  <c r="OD11" i="4"/>
  <c r="OD22" i="4" s="1"/>
  <c r="E65" i="15"/>
  <c r="E255" i="15"/>
  <c r="E121" i="15"/>
  <c r="OL11" i="4"/>
  <c r="OG11" i="4" s="1"/>
  <c r="MU31" i="21"/>
  <c r="MT31" i="21"/>
  <c r="JV31" i="21"/>
  <c r="GL23" i="21"/>
  <c r="FE23" i="21"/>
  <c r="FD22" i="21"/>
  <c r="EX31" i="21"/>
  <c r="EY31" i="21" s="1"/>
  <c r="FA31" i="21" s="1"/>
  <c r="CS23" i="21"/>
  <c r="AX23" i="21"/>
  <c r="CI31" i="21"/>
  <c r="EE23" i="21"/>
  <c r="AX31" i="21"/>
  <c r="AY31" i="21" s="1"/>
  <c r="BA31" i="21" s="1"/>
  <c r="DE23" i="21"/>
  <c r="CT31" i="21"/>
  <c r="CU31" i="21" s="1"/>
  <c r="CW31" i="21" s="1"/>
  <c r="G31" i="21"/>
  <c r="LV23" i="21"/>
  <c r="KS31" i="21"/>
  <c r="KC31" i="21"/>
  <c r="KD31" i="21" s="1"/>
  <c r="EN31" i="21"/>
  <c r="CO23" i="21"/>
  <c r="HO31" i="21"/>
  <c r="ID23" i="21"/>
  <c r="MO31" i="21"/>
  <c r="MH23" i="21"/>
  <c r="CR31" i="21"/>
  <c r="JE31" i="21"/>
  <c r="EZ21" i="21"/>
  <c r="FB22" i="21"/>
  <c r="EU23" i="21"/>
  <c r="ES23" i="21"/>
  <c r="EH23" i="21"/>
  <c r="LF23" i="21"/>
  <c r="NK31" i="21"/>
  <c r="MP31" i="21"/>
  <c r="FR31" i="21"/>
  <c r="ID31" i="21"/>
  <c r="DK23" i="21"/>
  <c r="GJ31" i="21"/>
  <c r="EX22" i="21"/>
  <c r="ER12" i="21"/>
  <c r="ET31" i="21"/>
  <c r="DW23" i="21"/>
  <c r="BI23" i="21"/>
  <c r="AW23" i="21"/>
  <c r="J31" i="21"/>
  <c r="CY31" i="21"/>
  <c r="BJ31" i="21"/>
  <c r="EV23" i="21"/>
  <c r="HO23" i="21"/>
  <c r="HV31" i="21"/>
  <c r="GY23" i="21"/>
  <c r="EO23" i="21"/>
  <c r="DO31" i="21"/>
  <c r="MM23" i="21"/>
  <c r="CS31" i="21"/>
  <c r="FK23" i="21"/>
  <c r="DZ23" i="21"/>
  <c r="DR31" i="21"/>
  <c r="DS31" i="21" s="1"/>
  <c r="CL31" i="21"/>
  <c r="AB15" i="21"/>
  <c r="KR23" i="21"/>
  <c r="CL23" i="21"/>
  <c r="IU31" i="21"/>
  <c r="DI23" i="21"/>
  <c r="DF31" i="21"/>
  <c r="DB23" i="21"/>
  <c r="NE23" i="21"/>
  <c r="ND31" i="21"/>
  <c r="NE31" i="21" s="1"/>
  <c r="MG31" i="21"/>
  <c r="KW23" i="21"/>
  <c r="P23" i="21"/>
  <c r="JN31" i="21"/>
  <c r="HM23" i="21"/>
  <c r="FV23" i="21"/>
  <c r="EU22" i="21"/>
  <c r="EP31" i="21"/>
  <c r="DP23" i="21"/>
  <c r="CA23" i="21"/>
  <c r="BF23" i="21"/>
  <c r="BF31" i="21"/>
  <c r="BG31" i="21" s="1"/>
  <c r="AT31" i="21"/>
  <c r="CX31" i="21"/>
  <c r="CX23" i="21"/>
  <c r="MC23" i="21"/>
  <c r="LQ23" i="21"/>
  <c r="LQ31" i="21"/>
  <c r="JX21" i="21"/>
  <c r="Q31" i="21"/>
  <c r="AH31" i="21"/>
  <c r="AI31" i="21" s="1"/>
  <c r="AK31" i="21" s="1"/>
  <c r="Y31" i="21"/>
  <c r="IR21" i="21"/>
  <c r="DX23" i="21"/>
  <c r="DX31" i="21"/>
  <c r="DQ23" i="21"/>
  <c r="CV9" i="21"/>
  <c r="X31" i="21"/>
  <c r="M23" i="21"/>
  <c r="DR23" i="21"/>
  <c r="EQ31" i="21"/>
  <c r="ES31" i="21" s="1"/>
  <c r="EQ23" i="21"/>
  <c r="EI23" i="21"/>
  <c r="CF21" i="21"/>
  <c r="BP9" i="21"/>
  <c r="BD23" i="21"/>
  <c r="AV23" i="21"/>
  <c r="AR21" i="21"/>
  <c r="AI23" i="21"/>
  <c r="W31" i="21"/>
  <c r="MB9" i="21"/>
  <c r="KY31" i="21"/>
  <c r="KC23" i="21"/>
  <c r="IW31" i="21"/>
  <c r="FD23" i="21"/>
  <c r="ER18" i="21"/>
  <c r="AJ21" i="21"/>
  <c r="DQ31" i="21"/>
  <c r="BV23" i="21"/>
  <c r="BV31" i="21"/>
  <c r="BW31" i="21" s="1"/>
  <c r="BY31" i="21" s="1"/>
  <c r="AM31" i="21"/>
  <c r="AE31" i="21"/>
  <c r="AE23" i="21"/>
  <c r="LF31" i="21"/>
  <c r="LD21" i="21"/>
  <c r="LA31" i="21"/>
  <c r="AT23" i="21"/>
  <c r="AK23" i="21"/>
  <c r="JN23" i="21"/>
  <c r="IW23" i="21"/>
  <c r="JD23" i="21"/>
  <c r="HG23" i="21"/>
  <c r="GB23" i="21"/>
  <c r="FI23" i="21"/>
  <c r="FB23" i="21"/>
  <c r="FB31" i="21"/>
  <c r="EZ12" i="21"/>
  <c r="CY23" i="21"/>
  <c r="Q23" i="21"/>
  <c r="BL31" i="21"/>
  <c r="BL23" i="21"/>
  <c r="CW23" i="21"/>
  <c r="EG31" i="21"/>
  <c r="EG23" i="21"/>
  <c r="MN31" i="21"/>
  <c r="LV31" i="21"/>
  <c r="LT21" i="21"/>
  <c r="LR23" i="21"/>
  <c r="LR31" i="21"/>
  <c r="LM23" i="21"/>
  <c r="KO23" i="21"/>
  <c r="JC23" i="21"/>
  <c r="CI23" i="21"/>
  <c r="BT31" i="21"/>
  <c r="BD31" i="21"/>
  <c r="F23" i="21"/>
  <c r="IC23" i="21"/>
  <c r="HJ23" i="21"/>
  <c r="GK23" i="21"/>
  <c r="ER9" i="21"/>
  <c r="BC23" i="21"/>
  <c r="AZ9" i="21"/>
  <c r="MP23" i="21"/>
  <c r="KX31" i="21"/>
  <c r="CJ31" i="21"/>
  <c r="U23" i="21"/>
  <c r="JC31" i="21"/>
  <c r="HA23" i="21"/>
  <c r="HA31" i="21"/>
  <c r="GN21" i="21"/>
  <c r="DY23" i="21"/>
  <c r="DI31" i="21"/>
  <c r="DH23" i="21"/>
  <c r="KA31" i="21"/>
  <c r="IG31" i="21"/>
  <c r="IF23" i="21"/>
  <c r="GN9" i="21"/>
  <c r="GJ23" i="21"/>
  <c r="FK31" i="21"/>
  <c r="EO31" i="21"/>
  <c r="DO23" i="21"/>
  <c r="BH9" i="21"/>
  <c r="N31" i="21"/>
  <c r="H31" i="21"/>
  <c r="Y23" i="21"/>
  <c r="EF31" i="21"/>
  <c r="GR23" i="21"/>
  <c r="GP23" i="21"/>
  <c r="BU23" i="21"/>
  <c r="BN23" i="21"/>
  <c r="AZ21" i="21"/>
  <c r="NJ31" i="21"/>
  <c r="NF31" i="21"/>
  <c r="MX23" i="21"/>
  <c r="LL21" i="21"/>
  <c r="LB23" i="21"/>
  <c r="KQ23" i="21"/>
  <c r="KL23" i="21"/>
  <c r="KH31" i="21"/>
  <c r="KB23" i="21"/>
  <c r="JT23" i="21"/>
  <c r="JR23" i="21"/>
  <c r="JJ31" i="21"/>
  <c r="JB23" i="21"/>
  <c r="IX31" i="21"/>
  <c r="IR9" i="21"/>
  <c r="HR23" i="21"/>
  <c r="FR23" i="21"/>
  <c r="FP21" i="21"/>
  <c r="EN23" i="21"/>
  <c r="EL23" i="21"/>
  <c r="DM23" i="21"/>
  <c r="CK31" i="21"/>
  <c r="CF15" i="21"/>
  <c r="BS23" i="21"/>
  <c r="BP21" i="21"/>
  <c r="BA23" i="21"/>
  <c r="AL23" i="21"/>
  <c r="AH23" i="21"/>
  <c r="AF31" i="21"/>
  <c r="W23" i="21"/>
  <c r="DA31" i="21"/>
  <c r="JM31" i="21"/>
  <c r="IU23" i="21"/>
  <c r="HR31" i="21"/>
  <c r="HH23" i="21"/>
  <c r="GG23" i="21"/>
  <c r="GD31" i="21"/>
  <c r="GE31" i="21" s="1"/>
  <c r="GG31" i="21" s="1"/>
  <c r="GC23" i="21"/>
  <c r="GA31" i="21"/>
  <c r="FU23" i="21"/>
  <c r="FQ23" i="21"/>
  <c r="FC23" i="21"/>
  <c r="ET22" i="21"/>
  <c r="CK23" i="21"/>
  <c r="BM23" i="21"/>
  <c r="LY23" i="21"/>
  <c r="LO23" i="21"/>
  <c r="KX23" i="21"/>
  <c r="KK31" i="21"/>
  <c r="KL31" i="21" s="1"/>
  <c r="HU23" i="21"/>
  <c r="FZ23" i="21"/>
  <c r="ER15" i="21"/>
  <c r="EV22" i="21"/>
  <c r="DY31" i="21"/>
  <c r="CP23" i="21"/>
  <c r="BY23" i="21"/>
  <c r="EC23" i="21"/>
  <c r="LQ23" i="4"/>
  <c r="LQ17" i="4"/>
  <c r="EE13" i="4"/>
  <c r="I9" i="4"/>
  <c r="O264" i="15" a="1"/>
  <c r="O264" i="15" s="1"/>
  <c r="T264" i="15" s="1"/>
  <c r="GT13" i="4"/>
  <c r="AH13" i="4"/>
  <c r="GR18" i="4"/>
  <c r="GR23" i="4" s="1"/>
  <c r="ET13" i="4"/>
  <c r="LP18" i="4"/>
  <c r="LP17" i="4" s="1"/>
  <c r="MU9" i="4"/>
  <c r="KE18" i="4"/>
  <c r="KE17" i="4" s="1"/>
  <c r="FE22" i="4"/>
  <c r="KX22" i="4"/>
  <c r="NZ22" i="4"/>
  <c r="O97" i="15" a="1"/>
  <c r="O97" i="15" s="1"/>
  <c r="LL19" i="4"/>
  <c r="KF18" i="4"/>
  <c r="LQ13" i="4"/>
  <c r="IQ18" i="4"/>
  <c r="GK20" i="4"/>
  <c r="GK22" i="4" s="1"/>
  <c r="GG16" i="4"/>
  <c r="NO22" i="4"/>
  <c r="DR18" i="4"/>
  <c r="CI18" i="4"/>
  <c r="CI17" i="4" s="1"/>
  <c r="JK13" i="4"/>
  <c r="MQ13" i="4"/>
  <c r="CP22" i="4"/>
  <c r="BS22" i="4"/>
  <c r="IR35" i="4"/>
  <c r="IK35" i="4" s="1"/>
  <c r="EE20" i="4"/>
  <c r="EE17" i="4" s="1"/>
  <c r="KB22" i="4"/>
  <c r="BT22" i="4"/>
  <c r="DX22" i="4"/>
  <c r="FR9" i="4"/>
  <c r="JX18" i="4"/>
  <c r="JX23" i="4" s="1"/>
  <c r="DG18" i="4"/>
  <c r="CI13" i="4"/>
  <c r="JK20" i="4"/>
  <c r="JK22" i="4" s="1"/>
  <c r="IK15" i="4"/>
  <c r="KZ18" i="4"/>
  <c r="LG13" i="4"/>
  <c r="BH17" i="4"/>
  <c r="LX18" i="4"/>
  <c r="LK13" i="4"/>
  <c r="AA13" i="4"/>
  <c r="CE13" i="4"/>
  <c r="LE15" i="4"/>
  <c r="EE36" i="4"/>
  <c r="EC36" i="4" s="1"/>
  <c r="NH19" i="4"/>
  <c r="NH22" i="4" s="1"/>
  <c r="DA18" i="4"/>
  <c r="IR19" i="4"/>
  <c r="IR22" i="4" s="1"/>
  <c r="IN18" i="4"/>
  <c r="BV13" i="4"/>
  <c r="DV36" i="4"/>
  <c r="DU36" i="4" s="1"/>
  <c r="KC13" i="4"/>
  <c r="V223" i="15"/>
  <c r="PD35" i="4"/>
  <c r="OW35" i="4" s="1"/>
  <c r="IV22" i="4"/>
  <c r="IB9" i="4"/>
  <c r="IV18" i="4"/>
  <c r="IV23" i="4" s="1"/>
  <c r="BR22" i="4"/>
  <c r="NB17" i="4"/>
  <c r="R237" i="15" a="1"/>
  <c r="R237" i="15" s="1"/>
  <c r="PD19" i="4"/>
  <c r="NF9" i="4"/>
  <c r="MZ35" i="4"/>
  <c r="LH23" i="4"/>
  <c r="NC17" i="4"/>
  <c r="CR18" i="4"/>
  <c r="OR23" i="4"/>
  <c r="MW17" i="4"/>
  <c r="NM23" i="4"/>
  <c r="MY17" i="4"/>
  <c r="OM17" i="4"/>
  <c r="HI9" i="4"/>
  <c r="OJ22" i="4"/>
  <c r="DI9" i="4"/>
  <c r="LQ9" i="4"/>
  <c r="MS20" i="4"/>
  <c r="NU23" i="4"/>
  <c r="FV9" i="4"/>
  <c r="OP9" i="4"/>
  <c r="ID17" i="4"/>
  <c r="JB19" i="4"/>
  <c r="GR9" i="4"/>
  <c r="JI16" i="4"/>
  <c r="JT22" i="4"/>
  <c r="O13" i="4"/>
  <c r="O18" i="4"/>
  <c r="O13" i="15" a="1"/>
  <c r="O13" i="15" s="1"/>
  <c r="N4" i="21" s="1"/>
  <c r="NP35" i="4"/>
  <c r="NI35" i="4" s="1"/>
  <c r="NI15" i="4"/>
  <c r="NP19" i="4"/>
  <c r="AL22" i="4"/>
  <c r="AE22" i="4"/>
  <c r="LF13" i="4"/>
  <c r="LF18" i="4"/>
  <c r="KR18" i="4"/>
  <c r="AW18" i="4"/>
  <c r="AW23" i="4" s="1"/>
  <c r="O286" i="15" a="1"/>
  <c r="O286" i="15" s="1"/>
  <c r="V75" i="15"/>
  <c r="Q110" i="15" a="1"/>
  <c r="Q110" i="15" s="1"/>
  <c r="DU16" i="4"/>
  <c r="EN13" i="4"/>
  <c r="JU18" i="4"/>
  <c r="JU17" i="4" s="1"/>
  <c r="FR22" i="4"/>
  <c r="OP17" i="4"/>
  <c r="OP22" i="4"/>
  <c r="DV13" i="4"/>
  <c r="CS23" i="4"/>
  <c r="DV20" i="4"/>
  <c r="EN36" i="4"/>
  <c r="OB17" i="4"/>
  <c r="NP13" i="4"/>
  <c r="NI13" i="4" s="1"/>
  <c r="FM22" i="4"/>
  <c r="IZ19" i="4"/>
  <c r="CN13" i="4"/>
  <c r="FB13" i="4"/>
  <c r="FP13" i="4"/>
  <c r="MC15" i="4"/>
  <c r="MJ19" i="4"/>
  <c r="GV18" i="4"/>
  <c r="GV23" i="4" s="1"/>
  <c r="BR13" i="4"/>
  <c r="BR18" i="4"/>
  <c r="LO13" i="4"/>
  <c r="NL9" i="4"/>
  <c r="EZ18" i="4"/>
  <c r="EZ13" i="4"/>
  <c r="OR9" i="4"/>
  <c r="CA18" i="4"/>
  <c r="CA17" i="4" s="1"/>
  <c r="CA13" i="4"/>
  <c r="KE22" i="4"/>
  <c r="DV19" i="4"/>
  <c r="DV35" i="4"/>
  <c r="DU35" i="4" s="1"/>
  <c r="J23" i="4"/>
  <c r="MT23" i="4"/>
  <c r="MT17" i="4"/>
  <c r="CZ13" i="4"/>
  <c r="CZ18" i="4"/>
  <c r="GO16" i="4"/>
  <c r="IU13" i="4"/>
  <c r="IU18" i="4"/>
  <c r="IU17" i="4" s="1"/>
  <c r="NL22" i="4"/>
  <c r="AV18" i="4"/>
  <c r="CC13" i="4"/>
  <c r="GS20" i="4"/>
  <c r="GO20" i="4" s="1"/>
  <c r="HD18" i="4"/>
  <c r="HD17" i="4" s="1"/>
  <c r="KM13" i="4"/>
  <c r="KM18" i="4"/>
  <c r="KM23" i="4" s="1"/>
  <c r="F13" i="4"/>
  <c r="E14" i="4"/>
  <c r="ON18" i="4"/>
  <c r="ON13" i="4"/>
  <c r="OG13" i="4" s="1"/>
  <c r="BC17" i="4"/>
  <c r="BC22" i="4"/>
  <c r="NL17" i="4"/>
  <c r="OG15" i="4"/>
  <c r="ON19" i="4"/>
  <c r="ON35" i="4"/>
  <c r="OG35" i="4" s="1"/>
  <c r="JN18" i="4"/>
  <c r="JN13" i="4"/>
  <c r="BX17" i="4"/>
  <c r="AB17" i="4"/>
  <c r="AB22" i="4"/>
  <c r="L75" i="15"/>
  <c r="W75" i="15"/>
  <c r="BV23" i="4"/>
  <c r="OK17" i="4"/>
  <c r="OK21" i="4" s="1"/>
  <c r="OK23" i="4"/>
  <c r="AQ18" i="4"/>
  <c r="NY19" i="4"/>
  <c r="AV13" i="4"/>
  <c r="MU23" i="4"/>
  <c r="MU17" i="4"/>
  <c r="GS39" i="4"/>
  <c r="AN22" i="4"/>
  <c r="DY18" i="4"/>
  <c r="HE15" i="4"/>
  <c r="CB22" i="4"/>
  <c r="NA20" i="4"/>
  <c r="O278" i="15" a="1"/>
  <c r="O278" i="15" s="1"/>
  <c r="T278" i="15" s="1"/>
  <c r="EO18" i="4"/>
  <c r="EO17" i="4" s="1"/>
  <c r="JB13" i="4"/>
  <c r="JB20" i="4"/>
  <c r="JA20" i="4" s="1"/>
  <c r="JB36" i="4"/>
  <c r="JA16" i="4"/>
  <c r="GH9" i="4"/>
  <c r="GY36" i="4"/>
  <c r="GY39" i="4"/>
  <c r="GY20" i="4"/>
  <c r="EM19" i="4"/>
  <c r="EK19" i="4" s="1"/>
  <c r="NC22" i="4"/>
  <c r="GX13" i="4"/>
  <c r="NV22" i="4"/>
  <c r="EZ9" i="4"/>
  <c r="I22" i="4"/>
  <c r="JJ22" i="4"/>
  <c r="MY22" i="4"/>
  <c r="OZ17" i="4"/>
  <c r="AF9" i="4"/>
  <c r="AY13" i="4"/>
  <c r="JP35" i="4"/>
  <c r="JI35" i="4" s="1"/>
  <c r="MA22" i="4"/>
  <c r="NO9" i="4"/>
  <c r="CD13" i="4"/>
  <c r="T9" i="4"/>
  <c r="MI18" i="4"/>
  <c r="HQ19" i="4"/>
  <c r="BC9" i="4"/>
  <c r="CM22" i="4"/>
  <c r="OE17" i="4"/>
  <c r="AF13" i="4"/>
  <c r="II22" i="4"/>
  <c r="MJ9" i="4"/>
  <c r="CI22" i="4"/>
  <c r="EY9" i="4"/>
  <c r="LU35" i="4"/>
  <c r="HA22" i="4"/>
  <c r="E19" i="4"/>
  <c r="CC22" i="4"/>
  <c r="ED22" i="4"/>
  <c r="DO22" i="4"/>
  <c r="CY22" i="4"/>
  <c r="JV22" i="4"/>
  <c r="HT22" i="4"/>
  <c r="KY22" i="4"/>
  <c r="CR22" i="4"/>
  <c r="HO22" i="4"/>
  <c r="R18" i="4"/>
  <c r="R10" i="4"/>
  <c r="CV17" i="4"/>
  <c r="OG20" i="4"/>
  <c r="OM22" i="4"/>
  <c r="HU16" i="4"/>
  <c r="HY13" i="4"/>
  <c r="HY20" i="4"/>
  <c r="HU20" i="4" s="1"/>
  <c r="CF22" i="4"/>
  <c r="MW22" i="4"/>
  <c r="DG22" i="4"/>
  <c r="OW20" i="4"/>
  <c r="OY22" i="4"/>
  <c r="OY17" i="4"/>
  <c r="H316" i="15" a="1"/>
  <c r="H316" i="15" s="1"/>
  <c r="K316" i="15" s="1"/>
  <c r="KY9" i="4"/>
  <c r="ME17" i="4"/>
  <c r="AT146" i="15" a="1"/>
  <c r="AT146" i="15" s="1"/>
  <c r="AR146" i="15" a="1"/>
  <c r="AR146" i="15" s="1"/>
  <c r="AS146" i="15" a="1"/>
  <c r="AS146" i="15" s="1"/>
  <c r="I146" i="15" a="1"/>
  <c r="I146" i="15" s="1"/>
  <c r="L146" i="15" s="1"/>
  <c r="H146" i="15" a="1"/>
  <c r="H146" i="15" s="1"/>
  <c r="K146" i="15" s="1"/>
  <c r="M147" i="15"/>
  <c r="R146" i="15" a="1"/>
  <c r="R146" i="15" s="1"/>
  <c r="AU146" i="15" a="1"/>
  <c r="AU146" i="15" s="1"/>
  <c r="Q146" i="15" a="1"/>
  <c r="Q146" i="15" s="1"/>
  <c r="MB18" i="4"/>
  <c r="MB17" i="4" s="1"/>
  <c r="MB13" i="4"/>
  <c r="LS18" i="4"/>
  <c r="LS13" i="4"/>
  <c r="Z13" i="4"/>
  <c r="Z18" i="4"/>
  <c r="Z17" i="4" s="1"/>
  <c r="DZ9" i="4"/>
  <c r="AW13" i="4"/>
  <c r="OC17" i="4"/>
  <c r="AT350" i="15" a="1"/>
  <c r="AT350" i="15" s="1"/>
  <c r="AR350" i="15" a="1"/>
  <c r="AR350" i="15" s="1"/>
  <c r="AS350" i="15" a="1"/>
  <c r="AS350" i="15" s="1"/>
  <c r="I350" i="15" a="1"/>
  <c r="I350" i="15" s="1"/>
  <c r="L350" i="15" s="1"/>
  <c r="M351" i="15"/>
  <c r="O350" i="15" a="1"/>
  <c r="O350" i="15" s="1"/>
  <c r="R350" i="15" a="1"/>
  <c r="R350" i="15" s="1"/>
  <c r="Q350" i="15" a="1"/>
  <c r="Q350" i="15" s="1"/>
  <c r="H350" i="15" a="1"/>
  <c r="H350" i="15" s="1"/>
  <c r="K350" i="15" s="1"/>
  <c r="AV350" i="15" a="1"/>
  <c r="AV350" i="15" s="1"/>
  <c r="AT48" i="15" a="1"/>
  <c r="AT48" i="15" s="1"/>
  <c r="AS48" i="15" a="1"/>
  <c r="AS48" i="15" s="1"/>
  <c r="AR48" i="15" a="1"/>
  <c r="AR48" i="15" s="1"/>
  <c r="AV48" i="15" a="1"/>
  <c r="AV48" i="15" s="1"/>
  <c r="R48" i="15" a="1"/>
  <c r="R48" i="15" s="1"/>
  <c r="M49" i="15"/>
  <c r="AU48" i="15" a="1"/>
  <c r="AU48" i="15" s="1"/>
  <c r="I48" i="15" a="1"/>
  <c r="I48" i="15" s="1"/>
  <c r="L48" i="15" s="1"/>
  <c r="H48" i="15" a="1"/>
  <c r="H48" i="15" s="1"/>
  <c r="T48" i="15" s="1"/>
  <c r="Q48" i="15" a="1"/>
  <c r="Q48" i="15" s="1"/>
  <c r="AT203" i="15" a="1"/>
  <c r="AT203" i="15" s="1"/>
  <c r="AS203" i="15" a="1"/>
  <c r="AS203" i="15" s="1"/>
  <c r="AR203" i="15" a="1"/>
  <c r="AR203" i="15" s="1"/>
  <c r="NC9" i="4"/>
  <c r="NC23" i="4"/>
  <c r="AY22" i="4"/>
  <c r="FJ22" i="4"/>
  <c r="KT22" i="4"/>
  <c r="HA9" i="4"/>
  <c r="BB18" i="4"/>
  <c r="BB13" i="4"/>
  <c r="AR138" i="15" a="1"/>
  <c r="AR138" i="15" s="1"/>
  <c r="AT138" i="15" a="1"/>
  <c r="AT138" i="15" s="1"/>
  <c r="AS138" i="15" a="1"/>
  <c r="AS138" i="15" s="1"/>
  <c r="I138" i="15" a="1"/>
  <c r="I138" i="15" s="1"/>
  <c r="L138" i="15" s="1"/>
  <c r="AU138" i="15" a="1"/>
  <c r="AU138" i="15" s="1"/>
  <c r="AV138" i="15" a="1"/>
  <c r="AV138" i="15" s="1"/>
  <c r="O138" i="15" a="1"/>
  <c r="O138" i="15" s="1"/>
  <c r="M139" i="15"/>
  <c r="Q138" i="15" a="1"/>
  <c r="Q138" i="15" s="1"/>
  <c r="P138" i="15" s="1"/>
  <c r="AS316" i="15" a="1"/>
  <c r="AS316" i="15" s="1"/>
  <c r="AT316" i="15" a="1"/>
  <c r="AT316" i="15" s="1"/>
  <c r="AR316" i="15" a="1"/>
  <c r="AR316" i="15" s="1"/>
  <c r="AT169" i="15" a="1"/>
  <c r="AT169" i="15" s="1"/>
  <c r="AS169" i="15" a="1"/>
  <c r="AS169" i="15" s="1"/>
  <c r="AR169" i="15" a="1"/>
  <c r="AR169" i="15" s="1"/>
  <c r="AR78" i="15" a="1"/>
  <c r="AR78" i="15" s="1"/>
  <c r="AT168" i="15" a="1"/>
  <c r="AT168" i="15" s="1"/>
  <c r="AS168" i="15" a="1"/>
  <c r="AS168" i="15" s="1"/>
  <c r="AR168" i="15" a="1"/>
  <c r="AR168" i="15" s="1"/>
  <c r="JY11" i="4"/>
  <c r="NT9" i="4"/>
  <c r="NY35" i="4"/>
  <c r="MT9" i="4"/>
  <c r="AT153" i="15" a="1"/>
  <c r="AT153" i="15" s="1"/>
  <c r="AS153" i="15" a="1"/>
  <c r="AS153" i="15" s="1"/>
  <c r="AR153" i="15" a="1"/>
  <c r="AR153" i="15" s="1"/>
  <c r="AT293" i="15" a="1"/>
  <c r="AT293" i="15" s="1"/>
  <c r="AS293" i="15" a="1"/>
  <c r="AS293" i="15" s="1"/>
  <c r="AR293" i="15" a="1"/>
  <c r="AR293" i="15" s="1"/>
  <c r="AT174" i="15" a="1"/>
  <c r="AT174" i="15" s="1"/>
  <c r="AR174" i="15" a="1"/>
  <c r="AR174" i="15" s="1"/>
  <c r="AS174" i="15" a="1"/>
  <c r="AS174" i="15" s="1"/>
  <c r="AT215" i="15" a="1"/>
  <c r="AT215" i="15" s="1"/>
  <c r="AS215" i="15" a="1"/>
  <c r="AS215" i="15" s="1"/>
  <c r="AR215" i="15" a="1"/>
  <c r="AR215" i="15" s="1"/>
  <c r="M216" i="15"/>
  <c r="AU215" i="15" a="1"/>
  <c r="AU215" i="15" s="1"/>
  <c r="R215" i="15" a="1"/>
  <c r="R215" i="15" s="1"/>
  <c r="AT265" i="15" a="1"/>
  <c r="AT265" i="15" s="1"/>
  <c r="AS265" i="15" a="1"/>
  <c r="AS265" i="15" s="1"/>
  <c r="AR265" i="15" a="1"/>
  <c r="AR265" i="15" s="1"/>
  <c r="M266" i="15"/>
  <c r="O265" i="15" a="1"/>
  <c r="O265" i="15" s="1"/>
  <c r="AR320" i="15" a="1"/>
  <c r="AR320" i="15" s="1"/>
  <c r="AS320" i="15" a="1"/>
  <c r="AS320" i="15" s="1"/>
  <c r="AT320" i="15" a="1"/>
  <c r="AT320" i="15" s="1"/>
  <c r="AU320" i="15" a="1"/>
  <c r="AU320" i="15" s="1"/>
  <c r="FF22" i="4"/>
  <c r="HH22" i="4"/>
  <c r="OX22" i="4"/>
  <c r="AT64" i="15" a="1"/>
  <c r="AT64" i="15" s="1"/>
  <c r="AS64" i="15" a="1"/>
  <c r="AS64" i="15" s="1"/>
  <c r="AR64" i="15" a="1"/>
  <c r="AR64" i="15" s="1"/>
  <c r="AT343" i="15" a="1"/>
  <c r="AT343" i="15" s="1"/>
  <c r="AR343" i="15" a="1"/>
  <c r="AR343" i="15" s="1"/>
  <c r="AS343" i="15" a="1"/>
  <c r="AS343" i="15" s="1"/>
  <c r="CK22" i="4"/>
  <c r="AH22" i="4"/>
  <c r="AR321" i="15" a="1"/>
  <c r="AR321" i="15" s="1"/>
  <c r="AS321" i="15" a="1"/>
  <c r="AS321" i="15" s="1"/>
  <c r="AT321" i="15" a="1"/>
  <c r="AT321" i="15" s="1"/>
  <c r="AT98" i="15" a="1"/>
  <c r="AT98" i="15" s="1"/>
  <c r="AU98" i="15" a="1"/>
  <c r="AU98" i="15" s="1"/>
  <c r="Q215" i="15" a="1"/>
  <c r="Q215" i="15" s="1"/>
  <c r="V215" i="15" s="1"/>
  <c r="AU97" i="15" a="1"/>
  <c r="AU97" i="15" s="1"/>
  <c r="AT341" i="15" a="1"/>
  <c r="AT341" i="15" s="1"/>
  <c r="AR341" i="15" a="1"/>
  <c r="AR341" i="15" s="1"/>
  <c r="AS341" i="15" a="1"/>
  <c r="AS341" i="15" s="1"/>
  <c r="AV341" i="15" a="1"/>
  <c r="AV341" i="15" s="1"/>
  <c r="Q341" i="15" a="1"/>
  <c r="Q341" i="15" s="1"/>
  <c r="V341" i="15" s="1"/>
  <c r="AU341" i="15" a="1"/>
  <c r="AU341" i="15" s="1"/>
  <c r="AT56" i="15" a="1"/>
  <c r="AT56" i="15" s="1"/>
  <c r="AS56" i="15" a="1"/>
  <c r="AS56" i="15" s="1"/>
  <c r="AR56" i="15" a="1"/>
  <c r="AR56" i="15" s="1"/>
  <c r="AU56" i="15" a="1"/>
  <c r="AU56" i="15" s="1"/>
  <c r="M57" i="15"/>
  <c r="Q56" i="15" a="1"/>
  <c r="Q56" i="15" s="1"/>
  <c r="I56" i="15" a="1"/>
  <c r="I56" i="15" s="1"/>
  <c r="AS315" i="15" a="1"/>
  <c r="AS315" i="15" s="1"/>
  <c r="AT315" i="15" a="1"/>
  <c r="AT315" i="15" s="1"/>
  <c r="AR315" i="15" a="1"/>
  <c r="AR315" i="15" s="1"/>
  <c r="OX17" i="4"/>
  <c r="DT23" i="4"/>
  <c r="HF9" i="4"/>
  <c r="W180" i="15"/>
  <c r="AT63" i="15" a="1"/>
  <c r="AT63" i="15" s="1"/>
  <c r="AS63" i="15" a="1"/>
  <c r="AS63" i="15" s="1"/>
  <c r="AR63" i="15" a="1"/>
  <c r="AR63" i="15" s="1"/>
  <c r="AT237" i="15" a="1"/>
  <c r="AT237" i="15" s="1"/>
  <c r="AS237" i="15" a="1"/>
  <c r="AS237" i="15" s="1"/>
  <c r="AR237" i="15" a="1"/>
  <c r="AR237" i="15" s="1"/>
  <c r="AT335" i="15" a="1"/>
  <c r="AT335" i="15" s="1"/>
  <c r="AR335" i="15" a="1"/>
  <c r="AR335" i="15" s="1"/>
  <c r="AS335" i="15" a="1"/>
  <c r="AS335" i="15" s="1"/>
  <c r="AT111" i="15" a="1"/>
  <c r="AT111" i="15" s="1"/>
  <c r="AS111" i="15" a="1"/>
  <c r="AS111" i="15" s="1"/>
  <c r="AR111" i="15" a="1"/>
  <c r="AR111" i="15" s="1"/>
  <c r="H111" i="15" a="1"/>
  <c r="H111" i="15" s="1"/>
  <c r="K111" i="15" s="1"/>
  <c r="I111" i="15" a="1"/>
  <c r="I111" i="15" s="1"/>
  <c r="L111" i="15" s="1"/>
  <c r="M112" i="15"/>
  <c r="R111" i="15" a="1"/>
  <c r="R111" i="15" s="1"/>
  <c r="O111" i="15" a="1"/>
  <c r="O111" i="15" s="1"/>
  <c r="AT299" i="15" a="1"/>
  <c r="AT299" i="15" s="1"/>
  <c r="AS299" i="15" a="1"/>
  <c r="AS299" i="15" s="1"/>
  <c r="AR299" i="15" a="1"/>
  <c r="AR299" i="15" s="1"/>
  <c r="AV299" i="15" a="1"/>
  <c r="AV299" i="15" s="1"/>
  <c r="AU299" i="15" a="1"/>
  <c r="AU299" i="15" s="1"/>
  <c r="M300" i="15"/>
  <c r="I299" i="15" a="1"/>
  <c r="I299" i="15" s="1"/>
  <c r="L299" i="15" s="1"/>
  <c r="J299" i="15" s="1"/>
  <c r="R299" i="15" a="1"/>
  <c r="R299" i="15" s="1"/>
  <c r="AT271" i="15" a="1"/>
  <c r="AT271" i="15" s="1"/>
  <c r="AS271" i="15" a="1"/>
  <c r="AS271" i="15" s="1"/>
  <c r="AR271" i="15" a="1"/>
  <c r="AR271" i="15" s="1"/>
  <c r="H271" i="15" a="1"/>
  <c r="H271" i="15" s="1"/>
  <c r="K271" i="15" s="1"/>
  <c r="Q271" i="15" a="1"/>
  <c r="Q271" i="15" s="1"/>
  <c r="R271" i="15" a="1"/>
  <c r="R271" i="15" s="1"/>
  <c r="AU271" i="15" a="1"/>
  <c r="AU271" i="15" s="1"/>
  <c r="M272" i="15"/>
  <c r="O272" i="15" s="1" a="1"/>
  <c r="O272" i="15" s="1"/>
  <c r="AV271" i="15" a="1"/>
  <c r="AV271" i="15" s="1"/>
  <c r="I271" i="15" a="1"/>
  <c r="I271" i="15" s="1"/>
  <c r="L271" i="15" s="1"/>
  <c r="AT13" i="15" a="1"/>
  <c r="AT13" i="15" s="1"/>
  <c r="N38" i="21" s="1"/>
  <c r="AR13" i="15" a="1"/>
  <c r="AR13" i="15" s="1"/>
  <c r="N34" i="21" s="1"/>
  <c r="M14" i="15"/>
  <c r="AT183" i="15" a="1"/>
  <c r="AT183" i="15" s="1"/>
  <c r="AS183" i="15" a="1"/>
  <c r="AS183" i="15" s="1"/>
  <c r="AR183" i="15" a="1"/>
  <c r="AR183" i="15" s="1"/>
  <c r="AT280" i="15" a="1"/>
  <c r="AT280" i="15" s="1"/>
  <c r="AS280" i="15" a="1"/>
  <c r="AS280" i="15" s="1"/>
  <c r="AR280" i="15" a="1"/>
  <c r="AR280" i="15" s="1"/>
  <c r="BK22" i="4"/>
  <c r="OO35" i="4"/>
  <c r="AR251" i="15" a="1"/>
  <c r="AR251" i="15" s="1"/>
  <c r="AT342" i="15" a="1"/>
  <c r="AT342" i="15" s="1"/>
  <c r="AR342" i="15" a="1"/>
  <c r="AR342" i="15" s="1"/>
  <c r="AS342" i="15" a="1"/>
  <c r="AS342" i="15" s="1"/>
  <c r="AT182" i="15" a="1"/>
  <c r="AT182" i="15" s="1"/>
  <c r="AS182" i="15" a="1"/>
  <c r="AS182" i="15" s="1"/>
  <c r="AR182" i="15" a="1"/>
  <c r="AR182" i="15" s="1"/>
  <c r="AS99" i="15" a="1"/>
  <c r="AS99" i="15" s="1"/>
  <c r="AT62" i="15" a="1"/>
  <c r="AT62" i="15" s="1"/>
  <c r="AS62" i="15" a="1"/>
  <c r="AS62" i="15" s="1"/>
  <c r="AR62" i="15" a="1"/>
  <c r="AR62" i="15" s="1"/>
  <c r="AU62" i="15" a="1"/>
  <c r="AU62" i="15" s="1"/>
  <c r="R62" i="15" a="1"/>
  <c r="R62" i="15" s="1"/>
  <c r="AT160" i="15" a="1"/>
  <c r="AT160" i="15" s="1"/>
  <c r="AS160" i="15" a="1"/>
  <c r="AS160" i="15" s="1"/>
  <c r="AR160" i="15" a="1"/>
  <c r="AR160" i="15" s="1"/>
  <c r="I160" i="15" a="1"/>
  <c r="I160" i="15" s="1"/>
  <c r="W160" i="15" s="1"/>
  <c r="AV160" i="15" a="1"/>
  <c r="AV160" i="15" s="1"/>
  <c r="Q160" i="15" a="1"/>
  <c r="Q160" i="15" s="1"/>
  <c r="P160" i="15" s="1"/>
  <c r="N160" i="15" s="1"/>
  <c r="H160" i="15" a="1"/>
  <c r="H160" i="15" s="1"/>
  <c r="T160" i="15" s="1"/>
  <c r="AT132" i="15" a="1"/>
  <c r="AT132" i="15" s="1"/>
  <c r="AR132" i="15" a="1"/>
  <c r="AR132" i="15" s="1"/>
  <c r="AS132" i="15" a="1"/>
  <c r="AS132" i="15" s="1"/>
  <c r="AU132" i="15" a="1"/>
  <c r="AU132" i="15" s="1"/>
  <c r="AV132" i="15" a="1"/>
  <c r="AV132" i="15" s="1"/>
  <c r="Q132" i="15" a="1"/>
  <c r="Q132" i="15" s="1"/>
  <c r="P132" i="15" s="1"/>
  <c r="N132" i="15" s="1"/>
  <c r="AS194" i="15" a="1"/>
  <c r="AS194" i="15" s="1"/>
  <c r="AR194" i="15" a="1"/>
  <c r="AR194" i="15" s="1"/>
  <c r="AT194" i="15" a="1"/>
  <c r="AT194" i="15" s="1"/>
  <c r="AU194" i="15" a="1"/>
  <c r="AU194" i="15" s="1"/>
  <c r="R194" i="15" a="1"/>
  <c r="R194" i="15" s="1"/>
  <c r="I194" i="15" a="1"/>
  <c r="I194" i="15" s="1"/>
  <c r="V194" i="15" s="1"/>
  <c r="M195" i="15"/>
  <c r="O195" i="15" s="1" a="1"/>
  <c r="O195" i="15" s="1"/>
  <c r="LL9" i="4"/>
  <c r="X22" i="4"/>
  <c r="H63" i="15" a="1"/>
  <c r="H63" i="15" s="1"/>
  <c r="AR336" i="15" a="1"/>
  <c r="AR336" i="15" s="1"/>
  <c r="AT327" i="15" a="1"/>
  <c r="AT327" i="15" s="1"/>
  <c r="AR327" i="15" a="1"/>
  <c r="AR327" i="15" s="1"/>
  <c r="AS327" i="15" a="1"/>
  <c r="AS327" i="15" s="1"/>
  <c r="M328" i="15"/>
  <c r="AV327" i="15" a="1"/>
  <c r="AV327" i="15" s="1"/>
  <c r="AU327" i="15" a="1"/>
  <c r="AU327" i="15" s="1"/>
  <c r="I327" i="15" a="1"/>
  <c r="I327" i="15" s="1"/>
  <c r="L327" i="15" s="1"/>
  <c r="LJ22" i="4"/>
  <c r="AS322" i="15" a="1"/>
  <c r="AS322" i="15" s="1"/>
  <c r="AT322" i="15" a="1"/>
  <c r="AT322" i="15" s="1"/>
  <c r="AR322" i="15" a="1"/>
  <c r="AR322" i="15" s="1"/>
  <c r="MK36" i="4"/>
  <c r="IZ22" i="4"/>
  <c r="AF17" i="4"/>
  <c r="EL22" i="4"/>
  <c r="HL22" i="4"/>
  <c r="EZ22" i="4"/>
  <c r="CV22" i="4"/>
  <c r="NU17" i="4"/>
  <c r="KQ22" i="4"/>
  <c r="LK22" i="4"/>
  <c r="JS22" i="4"/>
  <c r="IQ17" i="4"/>
  <c r="HB9" i="4"/>
  <c r="O161" i="15" a="1"/>
  <c r="O161" i="15" s="1"/>
  <c r="AT363" i="15" a="1"/>
  <c r="AT363" i="15" s="1"/>
  <c r="AR363" i="15" a="1"/>
  <c r="AR363" i="15" s="1"/>
  <c r="M364" i="15"/>
  <c r="AV363" i="15" a="1"/>
  <c r="AV363" i="15" s="1"/>
  <c r="AR104" i="15" a="1"/>
  <c r="AR104" i="15" s="1"/>
  <c r="AT229" i="15" a="1"/>
  <c r="AT229" i="15" s="1"/>
  <c r="AS229" i="15" a="1"/>
  <c r="AS229" i="15" s="1"/>
  <c r="AR229" i="15" a="1"/>
  <c r="AR229" i="15" s="1"/>
  <c r="M230" i="15"/>
  <c r="AT286" i="15" a="1"/>
  <c r="AT286" i="15" s="1"/>
  <c r="AS286" i="15" a="1"/>
  <c r="AS286" i="15" s="1"/>
  <c r="AR286" i="15" a="1"/>
  <c r="AR286" i="15" s="1"/>
  <c r="R286" i="15" a="1"/>
  <c r="R286" i="15" s="1"/>
  <c r="AU286" i="15" a="1"/>
  <c r="AU286" i="15" s="1"/>
  <c r="M287" i="15"/>
  <c r="AT181" i="15" a="1"/>
  <c r="AT181" i="15" s="1"/>
  <c r="AS181" i="15" a="1"/>
  <c r="AS181" i="15" s="1"/>
  <c r="AR181" i="15" a="1"/>
  <c r="AR181" i="15" s="1"/>
  <c r="AV181" i="15" a="1"/>
  <c r="AV181" i="15" s="1"/>
  <c r="M36" i="4"/>
  <c r="MC35" i="4"/>
  <c r="NY36" i="4"/>
  <c r="LS22" i="4"/>
  <c r="AT161" i="15" a="1"/>
  <c r="AT161" i="15" s="1"/>
  <c r="AS161" i="15" a="1"/>
  <c r="AS161" i="15" s="1"/>
  <c r="AR161" i="15" a="1"/>
  <c r="AR161" i="15" s="1"/>
  <c r="AT41" i="15" a="1"/>
  <c r="AT41" i="15" s="1"/>
  <c r="AS41" i="15" a="1"/>
  <c r="AS41" i="15" s="1"/>
  <c r="AR41" i="15" a="1"/>
  <c r="AR41" i="15" s="1"/>
  <c r="Q299" i="15" a="1"/>
  <c r="Q299" i="15" s="1"/>
  <c r="AT209" i="15" a="1"/>
  <c r="AT209" i="15" s="1"/>
  <c r="AS209" i="15" a="1"/>
  <c r="AS209" i="15" s="1"/>
  <c r="AR209" i="15" a="1"/>
  <c r="AR209" i="15" s="1"/>
  <c r="M210" i="15"/>
  <c r="AT68" i="15" a="1"/>
  <c r="AT68" i="15" s="1"/>
  <c r="AS68" i="15" a="1"/>
  <c r="AS68" i="15" s="1"/>
  <c r="AR68" i="15" a="1"/>
  <c r="AR68" i="15" s="1"/>
  <c r="AV68" i="15" a="1"/>
  <c r="AV68" i="15" s="1"/>
  <c r="R68" i="15" a="1"/>
  <c r="R68" i="15" s="1"/>
  <c r="M69" i="15"/>
  <c r="AU68" i="15" a="1"/>
  <c r="AU68" i="15" s="1"/>
  <c r="H117" i="15" a="1"/>
  <c r="H117" i="15" s="1"/>
  <c r="AT279" i="15" a="1"/>
  <c r="AT279" i="15" s="1"/>
  <c r="AS279" i="15" a="1"/>
  <c r="AS279" i="15" s="1"/>
  <c r="AR279" i="15" a="1"/>
  <c r="AR279" i="15" s="1"/>
  <c r="AR202" i="15" a="1"/>
  <c r="AR202" i="15" s="1"/>
  <c r="AT202" i="15" a="1"/>
  <c r="AT202" i="15" s="1"/>
  <c r="AS202" i="15" a="1"/>
  <c r="AS202" i="15" s="1"/>
  <c r="AT167" i="15" a="1"/>
  <c r="AT167" i="15" s="1"/>
  <c r="AS167" i="15" a="1"/>
  <c r="AS167" i="15" s="1"/>
  <c r="AR167" i="15" a="1"/>
  <c r="AR167" i="15" s="1"/>
  <c r="P173" i="15"/>
  <c r="N173" i="15" s="1"/>
  <c r="AT188" i="15" a="1"/>
  <c r="AT188" i="15" s="1"/>
  <c r="AS188" i="15" a="1"/>
  <c r="AS188" i="15" s="1"/>
  <c r="AR188" i="15" a="1"/>
  <c r="AR188" i="15" s="1"/>
  <c r="P12" i="15"/>
  <c r="AV362" i="15" a="1"/>
  <c r="AV362" i="15" s="1"/>
  <c r="AT90" i="15" a="1"/>
  <c r="AT90" i="15" s="1"/>
  <c r="AS90" i="15" a="1"/>
  <c r="AS90" i="15" s="1"/>
  <c r="AR90" i="15" a="1"/>
  <c r="AR90" i="15" s="1"/>
  <c r="AT166" i="15" a="1"/>
  <c r="AT166" i="15" s="1"/>
  <c r="AS166" i="15" a="1"/>
  <c r="AS166" i="15" s="1"/>
  <c r="AR166" i="15" a="1"/>
  <c r="AR166" i="15" s="1"/>
  <c r="AT131" i="15" a="1"/>
  <c r="AT131" i="15" s="1"/>
  <c r="AR131" i="15" a="1"/>
  <c r="AR131" i="15" s="1"/>
  <c r="AS131" i="15" a="1"/>
  <c r="AS131" i="15" s="1"/>
  <c r="AT89" i="15" a="1"/>
  <c r="AT89" i="15" s="1"/>
  <c r="AS89" i="15" a="1"/>
  <c r="AS89" i="15" s="1"/>
  <c r="AR89" i="15" a="1"/>
  <c r="AR89" i="15" s="1"/>
  <c r="AT292" i="15" a="1"/>
  <c r="AT292" i="15" s="1"/>
  <c r="AS292" i="15" a="1"/>
  <c r="AS292" i="15" s="1"/>
  <c r="AR292" i="15" a="1"/>
  <c r="AR292" i="15" s="1"/>
  <c r="AT285" i="15" a="1"/>
  <c r="AT285" i="15" s="1"/>
  <c r="AS285" i="15" a="1"/>
  <c r="AS285" i="15" s="1"/>
  <c r="I285" i="15" a="1"/>
  <c r="I285" i="15" s="1"/>
  <c r="L285" i="15" s="1"/>
  <c r="AR285" i="15" a="1"/>
  <c r="AR285" i="15" s="1"/>
  <c r="AT33" i="15" a="1"/>
  <c r="AT33" i="15" s="1"/>
  <c r="AS33" i="15" a="1"/>
  <c r="AS33" i="15" s="1"/>
  <c r="AR33" i="15" a="1"/>
  <c r="AR33" i="15" s="1"/>
  <c r="R7" i="15" a="1"/>
  <c r="R7" i="15" s="1"/>
  <c r="G16" i="21" s="1"/>
  <c r="AT6" i="15" a="1"/>
  <c r="AT6" i="15" s="1"/>
  <c r="F38" i="21" s="1"/>
  <c r="AS6" i="15" a="1"/>
  <c r="AS6" i="15" s="1"/>
  <c r="F36" i="21" s="1"/>
  <c r="AR6" i="15" a="1"/>
  <c r="AR6" i="15" s="1"/>
  <c r="F34" i="21" s="1"/>
  <c r="GP17" i="4"/>
  <c r="AT76" i="15" a="1"/>
  <c r="AT76" i="15" s="1"/>
  <c r="AS76" i="15" a="1"/>
  <c r="AS76" i="15" s="1"/>
  <c r="AR76" i="15" a="1"/>
  <c r="AR76" i="15" s="1"/>
  <c r="R117" i="15" a="1"/>
  <c r="R117" i="15" s="1"/>
  <c r="LF17" i="4"/>
  <c r="Q19" i="15" a="1"/>
  <c r="Q19" i="15" s="1"/>
  <c r="AT349" i="15" a="1"/>
  <c r="AT349" i="15" s="1"/>
  <c r="AR349" i="15" a="1"/>
  <c r="AR349" i="15" s="1"/>
  <c r="AS349" i="15" a="1"/>
  <c r="AS349" i="15" s="1"/>
  <c r="AR250" i="15" a="1"/>
  <c r="AR250" i="15" s="1"/>
  <c r="AS250" i="15" a="1"/>
  <c r="AS250" i="15" s="1"/>
  <c r="AT250" i="15" a="1"/>
  <c r="AT250" i="15" s="1"/>
  <c r="AT145" i="15" a="1"/>
  <c r="AT145" i="15" s="1"/>
  <c r="AS145" i="15" a="1"/>
  <c r="AS145" i="15" s="1"/>
  <c r="AR145" i="15" a="1"/>
  <c r="AR145" i="15" s="1"/>
  <c r="AT187" i="15" a="1"/>
  <c r="AT187" i="15" s="1"/>
  <c r="AS187" i="15" a="1"/>
  <c r="AS187" i="15" s="1"/>
  <c r="AR187" i="15" a="1"/>
  <c r="AR187" i="15" s="1"/>
  <c r="AT55" i="15" a="1"/>
  <c r="AT55" i="15" s="1"/>
  <c r="AS55" i="15" a="1"/>
  <c r="AS55" i="15" s="1"/>
  <c r="AR55" i="15" a="1"/>
  <c r="AR55" i="15" s="1"/>
  <c r="AS348" i="15" a="1"/>
  <c r="AS348" i="15" s="1"/>
  <c r="AT348" i="15" a="1"/>
  <c r="AT348" i="15" s="1"/>
  <c r="AR348" i="15" a="1"/>
  <c r="AR348" i="15" s="1"/>
  <c r="H348" i="15" a="1"/>
  <c r="H348" i="15" s="1"/>
  <c r="K348" i="15" s="1"/>
  <c r="AT110" i="15" a="1"/>
  <c r="AT110" i="15" s="1"/>
  <c r="AS110" i="15" a="1"/>
  <c r="AS110" i="15" s="1"/>
  <c r="AR110" i="15" a="1"/>
  <c r="AR110" i="15" s="1"/>
  <c r="H110" i="15" a="1"/>
  <c r="H110" i="15" s="1"/>
  <c r="K110" i="15" s="1"/>
  <c r="AT75" i="15" a="1"/>
  <c r="AT75" i="15" s="1"/>
  <c r="AS75" i="15" a="1"/>
  <c r="AS75" i="15" s="1"/>
  <c r="AR75" i="15" a="1"/>
  <c r="AR75" i="15" s="1"/>
  <c r="AR313" i="15" a="1"/>
  <c r="AR313" i="15" s="1"/>
  <c r="AS313" i="15" a="1"/>
  <c r="AS313" i="15" s="1"/>
  <c r="AT313" i="15" a="1"/>
  <c r="AT313" i="15" s="1"/>
  <c r="AU7" i="15" a="1"/>
  <c r="AU7" i="15" s="1"/>
  <c r="G25" i="21" s="1"/>
  <c r="AS307" i="15" a="1"/>
  <c r="AS307" i="15" s="1"/>
  <c r="AT307" i="15" a="1"/>
  <c r="AT307" i="15" s="1"/>
  <c r="AR307" i="15" a="1"/>
  <c r="AR307" i="15" s="1"/>
  <c r="Q117" i="15" a="1"/>
  <c r="Q117" i="15" s="1"/>
  <c r="V117" i="15" s="1"/>
  <c r="R19" i="15" a="1"/>
  <c r="R19" i="15" s="1"/>
  <c r="AR306" i="15" a="1"/>
  <c r="AR306" i="15" s="1"/>
  <c r="AS306" i="15" a="1"/>
  <c r="AS306" i="15" s="1"/>
  <c r="AT306" i="15" a="1"/>
  <c r="AT306" i="15" s="1"/>
  <c r="AT152" i="15" a="1"/>
  <c r="AT152" i="15" s="1"/>
  <c r="AS152" i="15" a="1"/>
  <c r="AS152" i="15" s="1"/>
  <c r="AR152" i="15" a="1"/>
  <c r="AR152" i="15" s="1"/>
  <c r="AT173" i="15" a="1"/>
  <c r="AT173" i="15" s="1"/>
  <c r="AS173" i="15" a="1"/>
  <c r="AS173" i="15" s="1"/>
  <c r="AR173" i="15" a="1"/>
  <c r="AR173" i="15" s="1"/>
  <c r="AT54" i="15" a="1"/>
  <c r="AT54" i="15" s="1"/>
  <c r="AS54" i="15" a="1"/>
  <c r="AS54" i="15" s="1"/>
  <c r="AR54" i="15" a="1"/>
  <c r="AR54" i="15" s="1"/>
  <c r="AT243" i="15" a="1"/>
  <c r="AT243" i="15" s="1"/>
  <c r="AS243" i="15" a="1"/>
  <c r="AS243" i="15" s="1"/>
  <c r="AR243" i="15" a="1"/>
  <c r="AR243" i="15" s="1"/>
  <c r="AT117" i="15" a="1"/>
  <c r="AT117" i="15" s="1"/>
  <c r="AS117" i="15" a="1"/>
  <c r="AS117" i="15" s="1"/>
  <c r="AR117" i="15" a="1"/>
  <c r="AR117" i="15" s="1"/>
  <c r="AT19" i="15" a="1"/>
  <c r="AT19" i="15" s="1"/>
  <c r="AS19" i="15" a="1"/>
  <c r="AS19" i="15" s="1"/>
  <c r="AR19" i="15" a="1"/>
  <c r="AR19" i="15" s="1"/>
  <c r="I19" i="15" a="1"/>
  <c r="I19" i="15" s="1"/>
  <c r="AT124" i="15" a="1"/>
  <c r="AT124" i="15" s="1"/>
  <c r="AR124" i="15" a="1"/>
  <c r="AR124" i="15" s="1"/>
  <c r="AS124" i="15" a="1"/>
  <c r="AS124" i="15" s="1"/>
  <c r="M35" i="4"/>
  <c r="EC35" i="4"/>
  <c r="AS314" i="15" a="1"/>
  <c r="AS314" i="15" s="1"/>
  <c r="AT314" i="15" a="1"/>
  <c r="AT314" i="15" s="1"/>
  <c r="AR314" i="15" a="1"/>
  <c r="AR314" i="15" s="1"/>
  <c r="AU124" i="15" a="1"/>
  <c r="AU124" i="15" s="1"/>
  <c r="M118" i="15"/>
  <c r="AT223" i="15" a="1"/>
  <c r="AT223" i="15" s="1"/>
  <c r="AS223" i="15" a="1"/>
  <c r="AS223" i="15" s="1"/>
  <c r="AR223" i="15" a="1"/>
  <c r="AR223" i="15" s="1"/>
  <c r="Q187" i="15" a="1"/>
  <c r="Q187" i="15" s="1"/>
  <c r="AU159" i="15" a="1"/>
  <c r="AU159" i="15" s="1"/>
  <c r="I306" i="15" a="1"/>
  <c r="I306" i="15" s="1"/>
  <c r="AT208" i="15" a="1"/>
  <c r="AT208" i="15" s="1"/>
  <c r="AS208" i="15" a="1"/>
  <c r="AS208" i="15" s="1"/>
  <c r="AR208" i="15" a="1"/>
  <c r="AR208" i="15" s="1"/>
  <c r="AT103" i="15" a="1"/>
  <c r="AT103" i="15" s="1"/>
  <c r="AS103" i="15" a="1"/>
  <c r="AS103" i="15" s="1"/>
  <c r="AR103" i="15" a="1"/>
  <c r="AR103" i="15" s="1"/>
  <c r="R124" i="15" a="1"/>
  <c r="R124" i="15" s="1"/>
  <c r="AT61" i="15" a="1"/>
  <c r="AT61" i="15" s="1"/>
  <c r="AS61" i="15" a="1"/>
  <c r="AS61" i="15" s="1"/>
  <c r="AR61" i="15" a="1"/>
  <c r="AR61" i="15" s="1"/>
  <c r="AT12" i="15" a="1"/>
  <c r="AT12" i="15" s="1"/>
  <c r="M38" i="21" s="1"/>
  <c r="AS12" i="15" a="1"/>
  <c r="AS12" i="15" s="1"/>
  <c r="M36" i="21" s="1"/>
  <c r="AR12" i="15" a="1"/>
  <c r="AR12" i="15" s="1"/>
  <c r="M34" i="21" s="1"/>
  <c r="AT40" i="15" a="1"/>
  <c r="AT40" i="15" s="1"/>
  <c r="AS40" i="15" a="1"/>
  <c r="AS40" i="15" s="1"/>
  <c r="AR40" i="15" a="1"/>
  <c r="AR40" i="15" s="1"/>
  <c r="AT4" i="15" a="1"/>
  <c r="AT4" i="15" s="1"/>
  <c r="AS4" i="15" a="1"/>
  <c r="AS4" i="15" s="1"/>
  <c r="AR4" i="15" a="1"/>
  <c r="AR4" i="15" s="1"/>
  <c r="P22" i="4"/>
  <c r="CH22" i="4"/>
  <c r="M20" i="15"/>
  <c r="AT34" i="15" a="1"/>
  <c r="AT34" i="15" s="1"/>
  <c r="AS34" i="15" a="1"/>
  <c r="AS34" i="15" s="1"/>
  <c r="AR34" i="15" a="1"/>
  <c r="AR34" i="15" s="1"/>
  <c r="AS362" i="15" a="1"/>
  <c r="AS362" i="15" s="1"/>
  <c r="AT362" i="15" a="1"/>
  <c r="AT362" i="15" s="1"/>
  <c r="AR362" i="15" a="1"/>
  <c r="AR362" i="15" s="1"/>
  <c r="AT334" i="15" a="1"/>
  <c r="AT334" i="15" s="1"/>
  <c r="AR334" i="15" a="1"/>
  <c r="AR334" i="15" s="1"/>
  <c r="AS334" i="15" a="1"/>
  <c r="AS334" i="15" s="1"/>
  <c r="AT82" i="15" a="1"/>
  <c r="AT82" i="15" s="1"/>
  <c r="AS82" i="15" a="1"/>
  <c r="AS82" i="15" s="1"/>
  <c r="AR82" i="15" a="1"/>
  <c r="AR82" i="15" s="1"/>
  <c r="H82" i="15" a="1"/>
  <c r="H82" i="15" s="1"/>
  <c r="K82" i="15" s="1"/>
  <c r="AT47" i="15" a="1"/>
  <c r="AT47" i="15" s="1"/>
  <c r="AS47" i="15" a="1"/>
  <c r="AS47" i="15" s="1"/>
  <c r="AR47" i="15" a="1"/>
  <c r="AR47" i="15" s="1"/>
  <c r="AT236" i="15" a="1"/>
  <c r="AT236" i="15" s="1"/>
  <c r="AS236" i="15" a="1"/>
  <c r="AS236" i="15" s="1"/>
  <c r="AR236" i="15" a="1"/>
  <c r="AR236" i="15" s="1"/>
  <c r="AT26" i="15" a="1"/>
  <c r="AT26" i="15" s="1"/>
  <c r="AS26" i="15" a="1"/>
  <c r="AS26" i="15" s="1"/>
  <c r="AR26" i="15" a="1"/>
  <c r="AR26" i="15" s="1"/>
  <c r="M125" i="15"/>
  <c r="R125" i="15" s="1" a="1"/>
  <c r="R125" i="15" s="1"/>
  <c r="AT180" i="15" a="1"/>
  <c r="AT180" i="15" s="1"/>
  <c r="AS180" i="15" a="1"/>
  <c r="AS180" i="15" s="1"/>
  <c r="AR180" i="15" a="1"/>
  <c r="AR180" i="15" s="1"/>
  <c r="AT7" i="15" a="1"/>
  <c r="AT7" i="15" s="1"/>
  <c r="G38" i="21" s="1"/>
  <c r="AS7" i="15" a="1"/>
  <c r="AS7" i="15" s="1"/>
  <c r="G36" i="21" s="1"/>
  <c r="AR7" i="15" a="1"/>
  <c r="AR7" i="15" s="1"/>
  <c r="G34" i="21" s="1"/>
  <c r="AT5" i="15" a="1"/>
  <c r="AT5" i="15" s="1"/>
  <c r="E38" i="21" s="1"/>
  <c r="AS5" i="15" a="1"/>
  <c r="AS5" i="15" s="1"/>
  <c r="E36" i="21" s="1"/>
  <c r="AR5" i="15" a="1"/>
  <c r="AR5" i="15" s="1"/>
  <c r="E34" i="21" s="1"/>
  <c r="BI36" i="4"/>
  <c r="H19" i="15" a="1"/>
  <c r="H19" i="15" s="1"/>
  <c r="AS258" i="15" a="1"/>
  <c r="AS258" i="15" s="1"/>
  <c r="AR258" i="15" a="1"/>
  <c r="AR258" i="15" s="1"/>
  <c r="AT258" i="15" a="1"/>
  <c r="AT258" i="15" s="1"/>
  <c r="AS355" i="15" a="1"/>
  <c r="AS355" i="15" s="1"/>
  <c r="AT355" i="15" a="1"/>
  <c r="AT355" i="15" s="1"/>
  <c r="AR355" i="15" a="1"/>
  <c r="AR355" i="15" s="1"/>
  <c r="AT159" i="15" a="1"/>
  <c r="AT159" i="15" s="1"/>
  <c r="AS159" i="15" a="1"/>
  <c r="AS159" i="15" s="1"/>
  <c r="AR159" i="15" a="1"/>
  <c r="AR159" i="15" s="1"/>
  <c r="AT278" i="15" a="1"/>
  <c r="AT278" i="15" s="1"/>
  <c r="AS278" i="15" a="1"/>
  <c r="AS278" i="15" s="1"/>
  <c r="AR278" i="15" a="1"/>
  <c r="AR278" i="15" s="1"/>
  <c r="AT257" i="15" a="1"/>
  <c r="AT257" i="15" s="1"/>
  <c r="AS257" i="15" a="1"/>
  <c r="AS257" i="15" s="1"/>
  <c r="AR257" i="15" a="1"/>
  <c r="AR257" i="15" s="1"/>
  <c r="AT264" i="15" a="1"/>
  <c r="AT264" i="15" s="1"/>
  <c r="AS264" i="15" a="1"/>
  <c r="AS264" i="15" s="1"/>
  <c r="AR264" i="15" a="1"/>
  <c r="AR264" i="15" s="1"/>
  <c r="AT222" i="15" a="1"/>
  <c r="AT222" i="15" s="1"/>
  <c r="AS222" i="15" a="1"/>
  <c r="AS222" i="15" s="1"/>
  <c r="AR222" i="15" a="1"/>
  <c r="AR222" i="15" s="1"/>
  <c r="AT96" i="15" a="1"/>
  <c r="AT96" i="15" s="1"/>
  <c r="AS96" i="15" a="1"/>
  <c r="AS96" i="15" s="1"/>
  <c r="AR96" i="15" a="1"/>
  <c r="AR96" i="15" s="1"/>
  <c r="M244" i="15"/>
  <c r="AT201" i="15" a="1"/>
  <c r="AT201" i="15" s="1"/>
  <c r="AS201" i="15" a="1"/>
  <c r="AS201" i="15" s="1"/>
  <c r="AR201" i="15" a="1"/>
  <c r="AR201" i="15" s="1"/>
  <c r="AT3" i="15" a="1"/>
  <c r="AT3" i="15" s="1"/>
  <c r="AS3" i="15" a="1"/>
  <c r="AS3" i="15" s="1"/>
  <c r="AR3" i="15" a="1"/>
  <c r="AR3" i="15" s="1"/>
  <c r="AS36" i="4"/>
  <c r="BZ22" i="4"/>
  <c r="GS18" i="4"/>
  <c r="DV18" i="4"/>
  <c r="K22" i="4"/>
  <c r="CJ17" i="4"/>
  <c r="H68" i="15" a="1"/>
  <c r="H68" i="15" s="1"/>
  <c r="CF17" i="4"/>
  <c r="H96" i="15" a="1"/>
  <c r="H96" i="15" s="1"/>
  <c r="H363" i="15" a="1"/>
  <c r="H363" i="15" s="1"/>
  <c r="OC11" i="4"/>
  <c r="OC22" i="4" s="1"/>
  <c r="MH22" i="4"/>
  <c r="HP22" i="4"/>
  <c r="EY22" i="4"/>
  <c r="IA17" i="4"/>
  <c r="IA22" i="4"/>
  <c r="LP22" i="4"/>
  <c r="OF18" i="4"/>
  <c r="OF23" i="4" s="1"/>
  <c r="OF13" i="4"/>
  <c r="NY13" i="4" s="1"/>
  <c r="CB13" i="4"/>
  <c r="CB18" i="4"/>
  <c r="O75" i="15" a="1"/>
  <c r="O75" i="15" s="1"/>
  <c r="CH18" i="4"/>
  <c r="CE22" i="4"/>
  <c r="DX13" i="4"/>
  <c r="O112" i="15" a="1"/>
  <c r="O112" i="15" s="1"/>
  <c r="DX18" i="4"/>
  <c r="EB13" i="4"/>
  <c r="EB18" i="4"/>
  <c r="GN35" i="4"/>
  <c r="GG35" i="4" s="1"/>
  <c r="GN13" i="4"/>
  <c r="GN19" i="4"/>
  <c r="GG19" i="4" s="1"/>
  <c r="GD17" i="4"/>
  <c r="GD22" i="4"/>
  <c r="GI22" i="4"/>
  <c r="IE18" i="4"/>
  <c r="IE17" i="4" s="1"/>
  <c r="O209" i="15" a="1"/>
  <c r="O209" i="15" s="1"/>
  <c r="JS18" i="4"/>
  <c r="JS13" i="4"/>
  <c r="JL17" i="4"/>
  <c r="KW19" i="4"/>
  <c r="MF18" i="4"/>
  <c r="MX18" i="4"/>
  <c r="MX13" i="4"/>
  <c r="MM35" i="4"/>
  <c r="MK35" i="4" s="1"/>
  <c r="Q307" i="15" a="1"/>
  <c r="Q307" i="15" s="1"/>
  <c r="MM19" i="4"/>
  <c r="MM22" i="4" s="1"/>
  <c r="MK15" i="4"/>
  <c r="FT13" i="4"/>
  <c r="FT18" i="4"/>
  <c r="BH23" i="4"/>
  <c r="BH9" i="4"/>
  <c r="GJ18" i="4"/>
  <c r="GJ17" i="4" s="1"/>
  <c r="LR22" i="4"/>
  <c r="EY18" i="4"/>
  <c r="EY23" i="4" s="1"/>
  <c r="EY13" i="4"/>
  <c r="EG22" i="4"/>
  <c r="EC19" i="4"/>
  <c r="OH23" i="4"/>
  <c r="Z9" i="4"/>
  <c r="LD13" i="4"/>
  <c r="LD18" i="4"/>
  <c r="DI13" i="4"/>
  <c r="OX9" i="4"/>
  <c r="FK18" i="4"/>
  <c r="O146" i="15" a="1"/>
  <c r="O146" i="15" s="1"/>
  <c r="OA22" i="4"/>
  <c r="OA17" i="4"/>
  <c r="GT22" i="4"/>
  <c r="GI9" i="4"/>
  <c r="NO17" i="4"/>
  <c r="NO23" i="4"/>
  <c r="AH9" i="4"/>
  <c r="O68" i="15" a="1"/>
  <c r="O68" i="15" s="1"/>
  <c r="BZ13" i="4"/>
  <c r="BY14" i="4"/>
  <c r="BZ18" i="4"/>
  <c r="HH18" i="4"/>
  <c r="HH13" i="4"/>
  <c r="LL23" i="4"/>
  <c r="OQ22" i="4"/>
  <c r="LK9" i="4"/>
  <c r="MR18" i="4"/>
  <c r="MR17" i="4" s="1"/>
  <c r="GL17" i="4"/>
  <c r="IM22" i="4"/>
  <c r="MV17" i="4"/>
  <c r="BO23" i="4"/>
  <c r="HS18" i="4"/>
  <c r="HS13" i="4"/>
  <c r="MF22" i="4"/>
  <c r="HP35" i="4"/>
  <c r="HM35" i="4" s="1"/>
  <c r="HP13" i="4"/>
  <c r="HM15" i="4"/>
  <c r="EF22" i="4"/>
  <c r="EF9" i="4"/>
  <c r="MY9" i="4"/>
  <c r="MY23" i="4"/>
  <c r="ET17" i="4"/>
  <c r="ET22" i="4"/>
  <c r="NT17" i="4"/>
  <c r="EK16" i="4"/>
  <c r="EM20" i="4"/>
  <c r="EK20" i="4" s="1"/>
  <c r="EM36" i="4"/>
  <c r="DN22" i="4"/>
  <c r="IY22" i="4"/>
  <c r="IS11" i="4"/>
  <c r="ER22" i="4"/>
  <c r="AK19" i="4"/>
  <c r="AM22" i="4"/>
  <c r="LM20" i="4"/>
  <c r="OS17" i="4"/>
  <c r="DE20" i="4"/>
  <c r="EN22" i="4"/>
  <c r="OF22" i="4"/>
  <c r="ER9" i="4"/>
  <c r="ID22" i="4"/>
  <c r="EI22" i="4"/>
  <c r="NY20" i="4"/>
  <c r="MJ13" i="4"/>
  <c r="KD22" i="4"/>
  <c r="W9" i="4"/>
  <c r="MK20" i="4"/>
  <c r="PA22" i="4"/>
  <c r="LJ17" i="4"/>
  <c r="KS17" i="4"/>
  <c r="NF22" i="4"/>
  <c r="CE17" i="4"/>
  <c r="MO22" i="4"/>
  <c r="FB22" i="4"/>
  <c r="AS20" i="4"/>
  <c r="AG22" i="4"/>
  <c r="OK22" i="4"/>
  <c r="LI22" i="4"/>
  <c r="NG22" i="4"/>
  <c r="Y22" i="4"/>
  <c r="OE22" i="4"/>
  <c r="GU22" i="4"/>
  <c r="HV22" i="4"/>
  <c r="JH22" i="4"/>
  <c r="EM13" i="4"/>
  <c r="FA20" i="4"/>
  <c r="IU23" i="4"/>
  <c r="FL22" i="4"/>
  <c r="DZ22" i="4"/>
  <c r="NA19" i="4"/>
  <c r="FC22" i="4"/>
  <c r="GB22" i="4"/>
  <c r="AZ22" i="4"/>
  <c r="HX22" i="4"/>
  <c r="BT17" i="4"/>
  <c r="K23" i="4"/>
  <c r="NM22" i="4"/>
  <c r="OL17" i="4"/>
  <c r="IX23" i="4"/>
  <c r="AG18" i="4"/>
  <c r="AG13" i="4"/>
  <c r="HN17" i="4"/>
  <c r="EP13" i="4"/>
  <c r="EP18" i="4"/>
  <c r="CA9" i="4"/>
  <c r="CA22" i="4"/>
  <c r="JN22" i="4"/>
  <c r="OS22" i="4"/>
  <c r="PD13" i="4"/>
  <c r="OW13" i="4" s="1"/>
  <c r="CW11" i="4"/>
  <c r="IS20" i="4"/>
  <c r="HU15" i="4"/>
  <c r="IB19" i="4"/>
  <c r="IB35" i="4"/>
  <c r="HU35" i="4" s="1"/>
  <c r="NV17" i="4"/>
  <c r="OI23" i="4"/>
  <c r="OI9" i="4"/>
  <c r="BK13" i="4"/>
  <c r="OJ17" i="4"/>
  <c r="NW22" i="4"/>
  <c r="NW17" i="4"/>
  <c r="PC17" i="4"/>
  <c r="PC22" i="4"/>
  <c r="FT22" i="4"/>
  <c r="LB9" i="4"/>
  <c r="LB22" i="4"/>
  <c r="FG23" i="4"/>
  <c r="OO20" i="4"/>
  <c r="CK18" i="4"/>
  <c r="CK13" i="4"/>
  <c r="GF13" i="4"/>
  <c r="GF19" i="4"/>
  <c r="FY15" i="4"/>
  <c r="GF35" i="4"/>
  <c r="FY35" i="4" s="1"/>
  <c r="BU22" i="4"/>
  <c r="MH13" i="4"/>
  <c r="MG36" i="4"/>
  <c r="MC36" i="4" s="1"/>
  <c r="MC16" i="4"/>
  <c r="MG20" i="4"/>
  <c r="IJ19" i="4"/>
  <c r="IJ35" i="4"/>
  <c r="IC35" i="4" s="1"/>
  <c r="IJ13" i="4"/>
  <c r="MN17" i="4"/>
  <c r="H9" i="4"/>
  <c r="H22" i="4"/>
  <c r="OR22" i="4"/>
  <c r="OR17" i="4"/>
  <c r="V18" i="4"/>
  <c r="V13" i="4"/>
  <c r="JE13" i="4"/>
  <c r="JE18" i="4"/>
  <c r="KY13" i="4"/>
  <c r="KY18" i="4"/>
  <c r="CX22" i="4"/>
  <c r="CL22" i="4"/>
  <c r="CG20" i="4"/>
  <c r="AK20" i="4"/>
  <c r="AQ22" i="4"/>
  <c r="KL13" i="4"/>
  <c r="KL18" i="4"/>
  <c r="PD23" i="4"/>
  <c r="HM19" i="4"/>
  <c r="HN22" i="4"/>
  <c r="NE17" i="4"/>
  <c r="IC15" i="4"/>
  <c r="LD9" i="4"/>
  <c r="GQ22" i="4"/>
  <c r="GQ9" i="4"/>
  <c r="HE11" i="4"/>
  <c r="FJ13" i="4"/>
  <c r="FJ18" i="4"/>
  <c r="FJ23" i="4" s="1"/>
  <c r="O145" i="15" a="1"/>
  <c r="O145" i="15" s="1"/>
  <c r="T145" i="15" s="1"/>
  <c r="FS13" i="4"/>
  <c r="FS18" i="4"/>
  <c r="O153" i="15" a="1"/>
  <c r="O153" i="15" s="1"/>
  <c r="O159" i="15" a="1"/>
  <c r="O159" i="15" s="1"/>
  <c r="T159" i="15" s="1"/>
  <c r="FZ18" i="4"/>
  <c r="GE13" i="4"/>
  <c r="GE18" i="4"/>
  <c r="FV13" i="4"/>
  <c r="FQ16" i="4"/>
  <c r="FV20" i="4"/>
  <c r="HJ13" i="4"/>
  <c r="HJ18" i="4"/>
  <c r="HV18" i="4"/>
  <c r="O201" i="15" a="1"/>
  <c r="O201" i="15" s="1"/>
  <c r="HV13" i="4"/>
  <c r="IB18" i="4"/>
  <c r="IB13" i="4"/>
  <c r="GZ39" i="4"/>
  <c r="GZ20" i="4"/>
  <c r="GZ36" i="4"/>
  <c r="R182" i="15" a="1"/>
  <c r="R182" i="15" s="1"/>
  <c r="GW16" i="4"/>
  <c r="HQ20" i="4"/>
  <c r="HQ36" i="4"/>
  <c r="HM36" i="4" s="1"/>
  <c r="IT22" i="4"/>
  <c r="FS22" i="4"/>
  <c r="M19" i="4"/>
  <c r="R22" i="4"/>
  <c r="KJ22" i="4"/>
  <c r="AW22" i="4"/>
  <c r="JR22" i="4"/>
  <c r="HZ22" i="4"/>
  <c r="GA9" i="4"/>
  <c r="GA22" i="4"/>
  <c r="GM22" i="4"/>
  <c r="DB13" i="4"/>
  <c r="DB18" i="4"/>
  <c r="DO13" i="4"/>
  <c r="DO18" i="4"/>
  <c r="EA13" i="4"/>
  <c r="EA18" i="4"/>
  <c r="EA17" i="4" s="1"/>
  <c r="DD22" i="4"/>
  <c r="EV18" i="4"/>
  <c r="EV17" i="4" s="1"/>
  <c r="EV13" i="4"/>
  <c r="LH17" i="4"/>
  <c r="NU22" i="4"/>
  <c r="NU9" i="4"/>
  <c r="DB22" i="4"/>
  <c r="DM11" i="4"/>
  <c r="NN22" i="4"/>
  <c r="NI11" i="4"/>
  <c r="NN9" i="4"/>
  <c r="V22" i="4"/>
  <c r="U11" i="4"/>
  <c r="FD22" i="4"/>
  <c r="AC19" i="4"/>
  <c r="CJ22" i="4"/>
  <c r="CG11" i="4"/>
  <c r="CJ9" i="4"/>
  <c r="OI17" i="4"/>
  <c r="HF22" i="4"/>
  <c r="HE35" i="4"/>
  <c r="PA9" i="4"/>
  <c r="GC22" i="4"/>
  <c r="DS17" i="4"/>
  <c r="DF22" i="4"/>
  <c r="LX22" i="4"/>
  <c r="MU22" i="4"/>
  <c r="HW9" i="4"/>
  <c r="K17" i="4"/>
  <c r="OI22" i="4"/>
  <c r="JP22" i="4"/>
  <c r="LY22" i="4"/>
  <c r="AZ17" i="4"/>
  <c r="AZ21" i="4" s="1"/>
  <c r="JC22" i="4"/>
  <c r="NL23" i="4"/>
  <c r="HM16" i="4"/>
  <c r="EB22" i="4"/>
  <c r="EG9" i="4"/>
  <c r="IX22" i="4"/>
  <c r="HW22" i="4"/>
  <c r="CX18" i="4"/>
  <c r="FX22" i="4"/>
  <c r="DK22" i="4"/>
  <c r="GJ22" i="4"/>
  <c r="NS9" i="4"/>
  <c r="GH22" i="4"/>
  <c r="GS13" i="4"/>
  <c r="AF22" i="4"/>
  <c r="CS17" i="4"/>
  <c r="DC22" i="4"/>
  <c r="HB22" i="4"/>
  <c r="CQ22" i="4"/>
  <c r="P265" i="15"/>
  <c r="KL22" i="4"/>
  <c r="IH31" i="21"/>
  <c r="IH23" i="21"/>
  <c r="IE31" i="21"/>
  <c r="IE23" i="21"/>
  <c r="IB21" i="21"/>
  <c r="FN23" i="21"/>
  <c r="FN31" i="21"/>
  <c r="FO31" i="21" s="1"/>
  <c r="FQ31" i="21" s="1"/>
  <c r="FM23" i="21"/>
  <c r="FH7" i="21"/>
  <c r="DN23" i="21"/>
  <c r="DL9" i="21"/>
  <c r="DN31" i="21"/>
  <c r="BH21" i="21"/>
  <c r="BK31" i="21"/>
  <c r="BB23" i="21"/>
  <c r="BB31" i="21"/>
  <c r="NB23" i="21"/>
  <c r="NB31" i="21"/>
  <c r="MF23" i="21"/>
  <c r="MF31" i="21"/>
  <c r="MB21" i="21"/>
  <c r="LZ23" i="21"/>
  <c r="JU23" i="21"/>
  <c r="JU31" i="21"/>
  <c r="GT31" i="21"/>
  <c r="CD23" i="21"/>
  <c r="BW23" i="21"/>
  <c r="NH21" i="21"/>
  <c r="ND23" i="21"/>
  <c r="MH31" i="21"/>
  <c r="JS23" i="21"/>
  <c r="JP9" i="21"/>
  <c r="JS31" i="21"/>
  <c r="JQ23" i="21"/>
  <c r="JP21" i="21"/>
  <c r="JD31" i="21"/>
  <c r="HL9" i="21"/>
  <c r="HF23" i="21"/>
  <c r="HF31" i="21"/>
  <c r="HD9" i="21"/>
  <c r="HB31" i="21"/>
  <c r="HB23" i="21"/>
  <c r="GV9" i="21"/>
  <c r="GY31" i="21"/>
  <c r="GV21" i="21"/>
  <c r="FY9" i="21"/>
  <c r="FX9" i="21" s="1"/>
  <c r="FX7" i="21"/>
  <c r="FT23" i="21"/>
  <c r="FP9" i="21"/>
  <c r="FT31" i="21"/>
  <c r="FF22" i="21"/>
  <c r="CM23" i="21"/>
  <c r="CM31" i="21"/>
  <c r="CO31" i="21" s="1"/>
  <c r="AJ9" i="21"/>
  <c r="AG31" i="21"/>
  <c r="AC23" i="21"/>
  <c r="AC31" i="21"/>
  <c r="D21" i="21"/>
  <c r="NL23" i="21"/>
  <c r="LW31" i="21"/>
  <c r="LW23" i="21"/>
  <c r="LU23" i="21"/>
  <c r="HL21" i="21"/>
  <c r="HP31" i="21"/>
  <c r="AN23" i="21"/>
  <c r="AN31" i="21"/>
  <c r="O31" i="21"/>
  <c r="O23" i="21"/>
  <c r="HW31" i="21"/>
  <c r="HW23" i="21"/>
  <c r="GF22" i="21"/>
  <c r="EZ9" i="21"/>
  <c r="FA23" i="21"/>
  <c r="CT23" i="21"/>
  <c r="CN21" i="21"/>
  <c r="CN9" i="21"/>
  <c r="CQ23" i="21"/>
  <c r="AO31" i="21"/>
  <c r="AO23" i="21"/>
  <c r="KY23" i="21"/>
  <c r="GT23" i="21"/>
  <c r="GI23" i="21"/>
  <c r="GI31" i="21"/>
  <c r="AU31" i="21"/>
  <c r="AU23" i="21"/>
  <c r="AR9" i="21"/>
  <c r="AR15" i="21"/>
  <c r="AS23" i="21"/>
  <c r="I23" i="21"/>
  <c r="HT22" i="21"/>
  <c r="EJ15" i="21"/>
  <c r="EJ21" i="21"/>
  <c r="DL21" i="21"/>
  <c r="DJ23" i="21"/>
  <c r="DJ31" i="21"/>
  <c r="DG31" i="21"/>
  <c r="DG23" i="21"/>
  <c r="LG31" i="21"/>
  <c r="LG23" i="21"/>
  <c r="KJ23" i="21"/>
  <c r="IA23" i="21"/>
  <c r="EM23" i="21"/>
  <c r="EM31" i="21"/>
  <c r="BE31" i="21"/>
  <c r="Z31" i="21"/>
  <c r="V31" i="21"/>
  <c r="T21" i="21"/>
  <c r="V23" i="21"/>
  <c r="R23" i="21"/>
  <c r="R31" i="21"/>
  <c r="S31" i="21" s="1"/>
  <c r="U31" i="21" s="1"/>
  <c r="NN31" i="21"/>
  <c r="NM31" i="21"/>
  <c r="ML9" i="21"/>
  <c r="MD23" i="21"/>
  <c r="LP31" i="21"/>
  <c r="LJ31" i="21"/>
  <c r="KS23" i="21"/>
  <c r="KF21" i="21"/>
  <c r="JX9" i="21"/>
  <c r="AK11" i="15"/>
  <c r="AJ11" i="15" s="1"/>
  <c r="AH11" i="15" s="1"/>
  <c r="AI12" i="15"/>
  <c r="AO12" i="15" s="1"/>
  <c r="KB31" i="21"/>
  <c r="AK8" i="15"/>
  <c r="BI31" i="21"/>
  <c r="T9" i="21"/>
  <c r="CG23" i="21"/>
  <c r="GC31" i="21"/>
  <c r="FD31" i="21"/>
  <c r="CV21" i="21"/>
  <c r="JK31" i="21"/>
  <c r="HT7" i="21"/>
  <c r="HE23" i="21"/>
  <c r="GZ23" i="21"/>
  <c r="GB31" i="21"/>
  <c r="FX22" i="21"/>
  <c r="FS31" i="21"/>
  <c r="FH22" i="21"/>
  <c r="FE31" i="21"/>
  <c r="FF31" i="21" s="1"/>
  <c r="FG31" i="21" s="1"/>
  <c r="FI31" i="21" s="1"/>
  <c r="EW22" i="21"/>
  <c r="DZ31" i="21"/>
  <c r="DU9" i="21"/>
  <c r="DT9" i="21" s="1"/>
  <c r="CR23" i="21"/>
  <c r="BZ31" i="21"/>
  <c r="BM31" i="21"/>
  <c r="BE23" i="21"/>
  <c r="AV31" i="21"/>
  <c r="AF23" i="21"/>
  <c r="T15" i="21"/>
  <c r="L15" i="21"/>
  <c r="L21" i="21"/>
  <c r="DC23" i="21"/>
  <c r="AI10" i="15"/>
  <c r="JV23" i="21"/>
  <c r="JZ31" i="21"/>
  <c r="AL7" i="15"/>
  <c r="AJ7" i="15" s="1"/>
  <c r="JT31" i="21"/>
  <c r="DD21" i="21"/>
  <c r="CP31" i="21"/>
  <c r="GH23" i="21"/>
  <c r="BX15" i="21"/>
  <c r="EW23" i="21"/>
  <c r="IO23" i="21"/>
  <c r="IG23" i="21"/>
  <c r="IA31" i="21"/>
  <c r="IC31" i="21" s="1"/>
  <c r="HQ31" i="21"/>
  <c r="HD22" i="21"/>
  <c r="GO23" i="21"/>
  <c r="GL31" i="21"/>
  <c r="GK31" i="21"/>
  <c r="FP22" i="21"/>
  <c r="FC22" i="21"/>
  <c r="EZ18" i="21"/>
  <c r="EW31" i="21"/>
  <c r="DL22" i="21"/>
  <c r="CV22" i="21"/>
  <c r="CH31" i="21"/>
  <c r="BU31" i="21"/>
  <c r="I31" i="21"/>
  <c r="H23" i="21"/>
  <c r="KV21" i="21"/>
  <c r="KT31" i="21"/>
  <c r="KU31" i="21" s="1"/>
  <c r="KW31" i="21" s="1"/>
  <c r="KH23" i="21"/>
  <c r="KA23" i="21"/>
  <c r="JR31" i="21"/>
  <c r="BK23" i="21"/>
  <c r="GF9" i="21"/>
  <c r="JL31" i="21"/>
  <c r="IF31" i="21"/>
  <c r="HQ23" i="21"/>
  <c r="HK15" i="21"/>
  <c r="GR31" i="21"/>
  <c r="GF21" i="21"/>
  <c r="EP23" i="21"/>
  <c r="DC31" i="21"/>
  <c r="DE31" i="21" s="1"/>
  <c r="BH15" i="21"/>
  <c r="AP23" i="21"/>
  <c r="P31" i="21"/>
  <c r="D15" i="21"/>
  <c r="DA23" i="21"/>
  <c r="NF23" i="21"/>
  <c r="MT23" i="21"/>
  <c r="MO23" i="21"/>
  <c r="KN9" i="21"/>
  <c r="KQ31" i="21"/>
  <c r="KG23" i="21"/>
  <c r="L9" i="21"/>
  <c r="DH31" i="21"/>
  <c r="IB9" i="21"/>
  <c r="G23" i="21"/>
  <c r="JI23" i="21"/>
  <c r="IT31" i="21"/>
  <c r="HY23" i="21"/>
  <c r="HN23" i="21"/>
  <c r="HI31" i="21"/>
  <c r="GQ23" i="21"/>
  <c r="FL9" i="21"/>
  <c r="EK23" i="21"/>
  <c r="DV23" i="21"/>
  <c r="DL15" i="21"/>
  <c r="BS31" i="21"/>
  <c r="BN31" i="21"/>
  <c r="BO31" i="21" s="1"/>
  <c r="BQ31" i="21" s="1"/>
  <c r="BC31" i="21"/>
  <c r="K31" i="21"/>
  <c r="M31" i="21" s="1"/>
  <c r="N23" i="21"/>
  <c r="CZ23" i="21"/>
  <c r="EF23" i="21"/>
  <c r="NI23" i="21"/>
  <c r="MZ9" i="21"/>
  <c r="ME23" i="21"/>
  <c r="LX23" i="21"/>
  <c r="LB31" i="21"/>
  <c r="JZ23" i="21"/>
  <c r="GN15" i="21"/>
  <c r="GF15" i="21"/>
  <c r="AB9" i="21"/>
  <c r="D9" i="21"/>
  <c r="JH9" i="21"/>
  <c r="IV31" i="21"/>
  <c r="HT13" i="21"/>
  <c r="GW31" i="21"/>
  <c r="FE22" i="21"/>
  <c r="EJ9" i="21"/>
  <c r="EL31" i="21"/>
  <c r="BQ23" i="21"/>
  <c r="AL31" i="21"/>
  <c r="AG23" i="21"/>
  <c r="AD31" i="21"/>
  <c r="E23" i="21"/>
  <c r="CV15" i="21"/>
  <c r="NM23" i="21"/>
  <c r="NJ23" i="21"/>
  <c r="MV31" i="21"/>
  <c r="MS23" i="21"/>
  <c r="ME31" i="21"/>
  <c r="LN31" i="21"/>
  <c r="LI23" i="21"/>
  <c r="KP23" i="21"/>
  <c r="KN21" i="21"/>
  <c r="AJ15" i="21"/>
  <c r="AW31" i="21"/>
  <c r="Z23" i="21"/>
  <c r="HP23" i="21"/>
  <c r="HJ31" i="21"/>
  <c r="GS23" i="21"/>
  <c r="GD23" i="21"/>
  <c r="FF23" i="21"/>
  <c r="FA22" i="21"/>
  <c r="ET23" i="21"/>
  <c r="ER6" i="21"/>
  <c r="EE31" i="21"/>
  <c r="CF9" i="21"/>
  <c r="AS31" i="21"/>
  <c r="AB21" i="21"/>
  <c r="EH31" i="21"/>
  <c r="EI31" i="21" s="1"/>
  <c r="EK31" i="21" s="1"/>
  <c r="LL9" i="21"/>
  <c r="LD9" i="21"/>
  <c r="LE23" i="21"/>
  <c r="LA23" i="21"/>
  <c r="KV9" i="21"/>
  <c r="KI31" i="21"/>
  <c r="KJ31" i="21" s="1"/>
  <c r="IT23" i="21"/>
  <c r="HD21" i="21"/>
  <c r="GW23" i="21"/>
  <c r="FU31" i="21"/>
  <c r="FV31" i="21" s="1"/>
  <c r="FW31" i="21" s="1"/>
  <c r="DP31" i="21"/>
  <c r="CN15" i="21"/>
  <c r="CA31" i="21"/>
  <c r="AZ15" i="21"/>
  <c r="KU23" i="21"/>
  <c r="HD15" i="21"/>
  <c r="HK23" i="21"/>
  <c r="GE23" i="21"/>
  <c r="HT15" i="21"/>
  <c r="FH15" i="21"/>
  <c r="EZ15" i="21"/>
  <c r="FG23" i="21"/>
  <c r="HT9" i="21"/>
  <c r="FJ23" i="21"/>
  <c r="FJ31" i="21"/>
  <c r="LN23" i="21"/>
  <c r="KT23" i="21"/>
  <c r="KP31" i="21"/>
  <c r="KK23" i="21"/>
  <c r="GZ31" i="21"/>
  <c r="IX23" i="21"/>
  <c r="JL23" i="21"/>
  <c r="JM23" i="21"/>
  <c r="HN31" i="21"/>
  <c r="CH23" i="21"/>
  <c r="CD31" i="21"/>
  <c r="CE31" i="21" s="1"/>
  <c r="CG31" i="21" s="1"/>
  <c r="BZ23" i="21"/>
  <c r="AP31" i="21"/>
  <c r="AQ31" i="21" s="1"/>
  <c r="AD23" i="21"/>
  <c r="J23" i="21"/>
  <c r="NL31" i="21"/>
  <c r="MU23" i="21"/>
  <c r="MJ7" i="21"/>
  <c r="MN23" i="21"/>
  <c r="MK23" i="21"/>
  <c r="MG23" i="21"/>
  <c r="MD31" i="21"/>
  <c r="LH23" i="21"/>
  <c r="KZ31" i="21"/>
  <c r="KR31" i="21"/>
  <c r="KF9" i="21"/>
  <c r="KI23" i="21"/>
  <c r="NK23" i="21"/>
  <c r="MR9" i="21"/>
  <c r="JH21" i="21"/>
  <c r="FS23" i="21"/>
  <c r="FP15" i="21"/>
  <c r="F31" i="21"/>
  <c r="NH9" i="21"/>
  <c r="NC23" i="21"/>
  <c r="GO31" i="21"/>
  <c r="GP31" i="21" s="1"/>
  <c r="JJ23" i="21"/>
  <c r="IV23" i="21"/>
  <c r="HV23" i="21"/>
  <c r="FY15" i="21"/>
  <c r="FH13" i="21"/>
  <c r="EZ6" i="21"/>
  <c r="ER21" i="21"/>
  <c r="DU15" i="21"/>
  <c r="NC31" i="21"/>
  <c r="LT9" i="21"/>
  <c r="LO31" i="21"/>
  <c r="KN15" i="21"/>
  <c r="KN13" i="21"/>
  <c r="JK23" i="21"/>
  <c r="GS31" i="21"/>
  <c r="GQ31" i="21"/>
  <c r="NN23" i="21"/>
  <c r="MV23" i="21"/>
  <c r="LX31" i="21"/>
  <c r="LY31" i="21" s="1"/>
  <c r="LZ31" i="21" s="1"/>
  <c r="LP23" i="21"/>
  <c r="LI31" i="21"/>
  <c r="LH31" i="21"/>
  <c r="KZ23" i="21"/>
  <c r="HI23" i="21"/>
  <c r="DM31" i="21"/>
  <c r="P222" i="15"/>
  <c r="P145" i="15"/>
  <c r="T334" i="15"/>
  <c r="V201" i="15"/>
  <c r="T341" i="15"/>
  <c r="V208" i="15"/>
  <c r="K12" i="15"/>
  <c r="P54" i="15"/>
  <c r="N54" i="15" s="1"/>
  <c r="V264" i="15"/>
  <c r="V348" i="15"/>
  <c r="OZ23" i="4"/>
  <c r="P236" i="15"/>
  <c r="V321" i="15"/>
  <c r="V61" i="15"/>
  <c r="L341" i="15"/>
  <c r="M10" i="21"/>
  <c r="T202" i="15"/>
  <c r="KP22" i="4"/>
  <c r="CT22" i="4"/>
  <c r="KJ17" i="4"/>
  <c r="LA17" i="4"/>
  <c r="JY20" i="4"/>
  <c r="JD9" i="4"/>
  <c r="IP22" i="4"/>
  <c r="ND17" i="4"/>
  <c r="FZ36" i="4"/>
  <c r="FY36" i="4" s="1"/>
  <c r="FY16" i="4"/>
  <c r="FZ13" i="4"/>
  <c r="FZ20" i="4"/>
  <c r="R159" i="15" a="1"/>
  <c r="R159" i="15" s="1"/>
  <c r="P159" i="15" s="1"/>
  <c r="PA23" i="4"/>
  <c r="PA17" i="4"/>
  <c r="OW18" i="4"/>
  <c r="EP22" i="4"/>
  <c r="DI23" i="4"/>
  <c r="EO22" i="4"/>
  <c r="IV9" i="4"/>
  <c r="NJ22" i="4"/>
  <c r="KA22" i="4"/>
  <c r="BY11" i="4"/>
  <c r="KS22" i="4"/>
  <c r="JX22" i="4"/>
  <c r="JQ19" i="4"/>
  <c r="MB22" i="4"/>
  <c r="MB9" i="4"/>
  <c r="LN22" i="4"/>
  <c r="FH13" i="4"/>
  <c r="FH19" i="4"/>
  <c r="FA15" i="4"/>
  <c r="NM9" i="4"/>
  <c r="AX18" i="4"/>
  <c r="NI20" i="4"/>
  <c r="NN17" i="4"/>
  <c r="KC9" i="4"/>
  <c r="HP9" i="4"/>
  <c r="OF9" i="4"/>
  <c r="KV18" i="4"/>
  <c r="GV13" i="4"/>
  <c r="HW13" i="4"/>
  <c r="HW18" i="4"/>
  <c r="GV19" i="4"/>
  <c r="GV35" i="4"/>
  <c r="GO35" i="4" s="1"/>
  <c r="GO15" i="4"/>
  <c r="HC18" i="4"/>
  <c r="HC13" i="4"/>
  <c r="OT17" i="4"/>
  <c r="OO19" i="4"/>
  <c r="CY18" i="4"/>
  <c r="IG9" i="4"/>
  <c r="EQ18" i="4"/>
  <c r="EQ13" i="4"/>
  <c r="P9" i="4"/>
  <c r="OT22" i="4"/>
  <c r="ON22" i="4"/>
  <c r="OG19" i="4"/>
  <c r="KF22" i="4"/>
  <c r="BJ22" i="4"/>
  <c r="KK18" i="4"/>
  <c r="KK17" i="4" s="1"/>
  <c r="KK13" i="4"/>
  <c r="O271" i="15" a="1"/>
  <c r="O271" i="15" s="1"/>
  <c r="KX18" i="4"/>
  <c r="LR18" i="4"/>
  <c r="O293" i="15" a="1"/>
  <c r="O293" i="15" s="1"/>
  <c r="LW18" i="4"/>
  <c r="LE20" i="4"/>
  <c r="MP18" i="4"/>
  <c r="MP13" i="4"/>
  <c r="MS15" i="4"/>
  <c r="MZ19" i="4"/>
  <c r="MZ22" i="4" s="1"/>
  <c r="NH35" i="4"/>
  <c r="NA35" i="4" s="1"/>
  <c r="NA15" i="4"/>
  <c r="NQ11" i="4"/>
  <c r="DQ22" i="4"/>
  <c r="IE13" i="4"/>
  <c r="IE36" i="4"/>
  <c r="IC36" i="4" s="1"/>
  <c r="IC16" i="4"/>
  <c r="R209" i="15" a="1"/>
  <c r="R209" i="15" s="1"/>
  <c r="IZ18" i="4"/>
  <c r="IZ13" i="4"/>
  <c r="JF13" i="4"/>
  <c r="JF18" i="4"/>
  <c r="JT13" i="4"/>
  <c r="JT18" i="4"/>
  <c r="KD18" i="4"/>
  <c r="KD13" i="4"/>
  <c r="IZ35" i="4"/>
  <c r="IS35" i="4" s="1"/>
  <c r="IS15" i="4"/>
  <c r="JV17" i="4"/>
  <c r="JQ20" i="4"/>
  <c r="AZ23" i="4"/>
  <c r="T17" i="4"/>
  <c r="AI18" i="4"/>
  <c r="AI13" i="4"/>
  <c r="BS13" i="4"/>
  <c r="BS18" i="4"/>
  <c r="O62" i="15" a="1"/>
  <c r="O62" i="15" s="1"/>
  <c r="BH22" i="4"/>
  <c r="BW22" i="4"/>
  <c r="BQ20" i="4"/>
  <c r="EL13" i="4"/>
  <c r="O124" i="15" a="1"/>
  <c r="O124" i="15" s="1"/>
  <c r="EL18" i="4"/>
  <c r="GA23" i="4"/>
  <c r="EW22" i="4"/>
  <c r="EW17" i="4"/>
  <c r="FN17" i="4"/>
  <c r="FN22" i="4"/>
  <c r="FQ19" i="4"/>
  <c r="FU22" i="4"/>
  <c r="GQ13" i="4"/>
  <c r="O174" i="15" a="1"/>
  <c r="O174" i="15" s="1"/>
  <c r="T174" i="15" s="1"/>
  <c r="GQ18" i="4"/>
  <c r="HO13" i="4"/>
  <c r="HT13" i="4"/>
  <c r="HT18" i="4"/>
  <c r="GY38" i="4"/>
  <c r="GY35" i="4"/>
  <c r="GW35" i="4" s="1"/>
  <c r="Q181" i="15" a="1"/>
  <c r="Q181" i="15" s="1"/>
  <c r="GY19" i="4"/>
  <c r="GW15" i="4"/>
  <c r="IQ22" i="4"/>
  <c r="L334" i="15"/>
  <c r="BM9" i="4"/>
  <c r="KH22" i="4"/>
  <c r="KG20" i="4"/>
  <c r="DL22" i="4"/>
  <c r="PC9" i="4"/>
  <c r="PC23" i="4"/>
  <c r="S22" i="4"/>
  <c r="AR22" i="4"/>
  <c r="ML22" i="4"/>
  <c r="MK19" i="4"/>
  <c r="OY9" i="4"/>
  <c r="JD22" i="4"/>
  <c r="LG17" i="4"/>
  <c r="LG22" i="4"/>
  <c r="OH9" i="4"/>
  <c r="MQ22" i="4"/>
  <c r="O55" i="15" a="1"/>
  <c r="O55" i="15" s="1"/>
  <c r="DM19" i="4"/>
  <c r="KZ17" i="4"/>
  <c r="DT22" i="4"/>
  <c r="GL22" i="4"/>
  <c r="KI22" i="4"/>
  <c r="AF23" i="4"/>
  <c r="JA15" i="4"/>
  <c r="GX22" i="4"/>
  <c r="DS22" i="4"/>
  <c r="GA17" i="4"/>
  <c r="BK18" i="4"/>
  <c r="FE17" i="4"/>
  <c r="NQ20" i="4"/>
  <c r="MI22" i="4"/>
  <c r="CG19" i="4"/>
  <c r="OH22" i="4"/>
  <c r="HE36" i="4"/>
  <c r="BD17" i="4"/>
  <c r="ML9" i="4"/>
  <c r="IG22" i="4"/>
  <c r="E289" i="15"/>
  <c r="E23" i="15"/>
  <c r="E22" i="15"/>
  <c r="E86" i="15"/>
  <c r="BF13" i="4"/>
  <c r="BF18" i="4"/>
  <c r="E113" i="15"/>
  <c r="E366" i="15"/>
  <c r="LN17" i="4"/>
  <c r="E228" i="15"/>
  <c r="E260" i="15"/>
  <c r="E316" i="15"/>
  <c r="E214" i="15"/>
  <c r="P161" i="15"/>
  <c r="Q229" i="15" a="1"/>
  <c r="Q229" i="15" s="1"/>
  <c r="P257" i="15"/>
  <c r="NX10" i="4"/>
  <c r="NX14" i="4"/>
  <c r="T362" i="15"/>
  <c r="T61" i="15"/>
  <c r="L222" i="15"/>
  <c r="W222" i="15"/>
  <c r="L47" i="15"/>
  <c r="W47" i="15"/>
  <c r="F10" i="21"/>
  <c r="W201" i="15"/>
  <c r="P264" i="15"/>
  <c r="P82" i="15"/>
  <c r="L54" i="15"/>
  <c r="V54" i="15"/>
  <c r="W54" i="15"/>
  <c r="P33" i="15"/>
  <c r="V103" i="15"/>
  <c r="L103" i="15"/>
  <c r="P313" i="15"/>
  <c r="N313" i="15" s="1"/>
  <c r="W152" i="15"/>
  <c r="L145" i="15"/>
  <c r="W145" i="15"/>
  <c r="V145" i="15"/>
  <c r="F40" i="21"/>
  <c r="F25" i="21"/>
  <c r="W4" i="15"/>
  <c r="U4" i="15" s="1"/>
  <c r="S4" i="15" s="1"/>
  <c r="P4" i="15"/>
  <c r="N4" i="15" s="1"/>
  <c r="W55" i="15"/>
  <c r="L55" i="15"/>
  <c r="P166" i="15"/>
  <c r="T313" i="15"/>
  <c r="P201" i="15"/>
  <c r="P285" i="15"/>
  <c r="F11" i="21"/>
  <c r="L6" i="15"/>
  <c r="F17" i="21"/>
  <c r="V6" i="15"/>
  <c r="V202" i="15"/>
  <c r="V161" i="15"/>
  <c r="W161" i="15"/>
  <c r="V222" i="15"/>
  <c r="W5" i="15"/>
  <c r="P306" i="15"/>
  <c r="P250" i="15"/>
  <c r="P3" i="15"/>
  <c r="N3" i="15" s="1"/>
  <c r="V3" i="15"/>
  <c r="U3" i="15" s="1"/>
  <c r="S3" i="15" s="1"/>
  <c r="W174" i="15"/>
  <c r="L264" i="15"/>
  <c r="W264" i="15"/>
  <c r="K145" i="15"/>
  <c r="E4" i="21"/>
  <c r="T342" i="15"/>
  <c r="T47" i="15"/>
  <c r="P349" i="15"/>
  <c r="V236" i="15"/>
  <c r="W236" i="15"/>
  <c r="L117" i="15"/>
  <c r="V180" i="15"/>
  <c r="P180" i="15"/>
  <c r="N180" i="15" s="1"/>
  <c r="V334" i="15"/>
  <c r="L257" i="15"/>
  <c r="V257" i="15"/>
  <c r="L243" i="15"/>
  <c r="E17" i="21"/>
  <c r="E18" i="21" s="1"/>
  <c r="E11" i="21"/>
  <c r="E12" i="21" s="1"/>
  <c r="L5" i="15"/>
  <c r="V5" i="15"/>
  <c r="V265" i="15"/>
  <c r="W265" i="15"/>
  <c r="V47" i="15"/>
  <c r="P47" i="15"/>
  <c r="N47" i="15" s="1"/>
  <c r="L348" i="15"/>
  <c r="E25" i="21"/>
  <c r="E40" i="21"/>
  <c r="E41" i="21" s="1"/>
  <c r="E43" i="21" s="1"/>
  <c r="T12" i="15"/>
  <c r="P5" i="15"/>
  <c r="N5" i="15" s="1"/>
  <c r="P40" i="15"/>
  <c r="IZ24" i="3"/>
  <c r="IZ32" i="3" s="1"/>
  <c r="IZ34" i="3" s="1"/>
  <c r="Z60" i="15"/>
  <c r="X60" i="15" s="1"/>
  <c r="Z292" i="15"/>
  <c r="X292" i="15" s="1"/>
  <c r="Z228" i="15"/>
  <c r="X228" i="15" s="1"/>
  <c r="Z212" i="15"/>
  <c r="X212" i="15" s="1"/>
  <c r="Z132" i="15"/>
  <c r="X132" i="15" s="1"/>
  <c r="Z116" i="15"/>
  <c r="X116" i="15" s="1"/>
  <c r="Z318" i="15"/>
  <c r="X318" i="15" s="1"/>
  <c r="Z312" i="15"/>
  <c r="X312" i="15" s="1"/>
  <c r="Z327" i="15"/>
  <c r="X327" i="15" s="1"/>
  <c r="Z319" i="15"/>
  <c r="X319" i="15" s="1"/>
  <c r="Z23" i="15"/>
  <c r="X23" i="15" s="1"/>
  <c r="Z15" i="15"/>
  <c r="X15" i="15" s="1"/>
  <c r="AE12" i="15"/>
  <c r="AC12" i="15" s="1"/>
  <c r="HK33" i="3"/>
  <c r="HK35" i="3" s="1"/>
  <c r="Z367" i="15"/>
  <c r="X367" i="15" s="1"/>
  <c r="Z183" i="15"/>
  <c r="X183" i="15" s="1"/>
  <c r="Z175" i="15"/>
  <c r="X175" i="15" s="1"/>
  <c r="Z151" i="15"/>
  <c r="X151" i="15" s="1"/>
  <c r="Z143" i="15"/>
  <c r="X143" i="15" s="1"/>
  <c r="Z55" i="15"/>
  <c r="X55" i="15" s="1"/>
  <c r="Z47" i="15"/>
  <c r="X47" i="15" s="1"/>
  <c r="AO6" i="15"/>
  <c r="IO24" i="3"/>
  <c r="IO32" i="3" s="1"/>
  <c r="IO34" i="3" s="1"/>
  <c r="IO60" i="3" s="1"/>
  <c r="IO61" i="3" s="1"/>
  <c r="IO62" i="3" s="1"/>
  <c r="Z329" i="15"/>
  <c r="X329" i="15" s="1"/>
  <c r="Z161" i="15"/>
  <c r="X161" i="15" s="1"/>
  <c r="Z97" i="15"/>
  <c r="X97" i="15" s="1"/>
  <c r="Z81" i="15"/>
  <c r="X81" i="15" s="1"/>
  <c r="Z17" i="15"/>
  <c r="X17" i="15" s="1"/>
  <c r="Z360" i="15"/>
  <c r="X360" i="15" s="1"/>
  <c r="Z352" i="15"/>
  <c r="X352" i="15" s="1"/>
  <c r="Z232" i="15"/>
  <c r="X232" i="15" s="1"/>
  <c r="Z200" i="15"/>
  <c r="X200" i="15" s="1"/>
  <c r="Z128" i="15"/>
  <c r="X128" i="15" s="1"/>
  <c r="Z96" i="15"/>
  <c r="X96" i="15" s="1"/>
  <c r="Z88" i="15"/>
  <c r="X88" i="15" s="1"/>
  <c r="Z16" i="15"/>
  <c r="X16" i="15" s="1"/>
  <c r="JV35" i="3"/>
  <c r="Z9" i="15"/>
  <c r="X9" i="15" s="1"/>
  <c r="AE7" i="15"/>
  <c r="AC7" i="15" s="1"/>
  <c r="GZ6" i="3"/>
  <c r="JK33" i="3"/>
  <c r="JK35" i="3" s="1"/>
  <c r="Z361" i="15"/>
  <c r="X361" i="15" s="1"/>
  <c r="Z353" i="15"/>
  <c r="X353" i="15" s="1"/>
  <c r="Z345" i="15"/>
  <c r="X345" i="15" s="1"/>
  <c r="Z337" i="15"/>
  <c r="X337" i="15" s="1"/>
  <c r="Z321" i="15"/>
  <c r="X321" i="15" s="1"/>
  <c r="Z313" i="15"/>
  <c r="X313" i="15" s="1"/>
  <c r="Z305" i="15"/>
  <c r="X305" i="15" s="1"/>
  <c r="Z297" i="15"/>
  <c r="X297" i="15" s="1"/>
  <c r="Z289" i="15"/>
  <c r="X289" i="15" s="1"/>
  <c r="Z281" i="15"/>
  <c r="X281" i="15" s="1"/>
  <c r="Z273" i="15"/>
  <c r="X273" i="15" s="1"/>
  <c r="Z265" i="15"/>
  <c r="X265" i="15" s="1"/>
  <c r="Z257" i="15"/>
  <c r="X257" i="15" s="1"/>
  <c r="Z249" i="15"/>
  <c r="X249" i="15" s="1"/>
  <c r="Z241" i="15"/>
  <c r="X241" i="15" s="1"/>
  <c r="Z233" i="15"/>
  <c r="X233" i="15" s="1"/>
  <c r="Z225" i="15"/>
  <c r="X225" i="15" s="1"/>
  <c r="Z217" i="15"/>
  <c r="X217" i="15" s="1"/>
  <c r="Z209" i="15"/>
  <c r="X209" i="15" s="1"/>
  <c r="Z201" i="15"/>
  <c r="X201" i="15" s="1"/>
  <c r="Z193" i="15"/>
  <c r="X193" i="15" s="1"/>
  <c r="Z185" i="15"/>
  <c r="X185" i="15" s="1"/>
  <c r="Z177" i="15"/>
  <c r="X177" i="15" s="1"/>
  <c r="Z169" i="15"/>
  <c r="X169" i="15" s="1"/>
  <c r="Z153" i="15"/>
  <c r="X153" i="15" s="1"/>
  <c r="Z145" i="15"/>
  <c r="X145" i="15" s="1"/>
  <c r="Z137" i="15"/>
  <c r="X137" i="15" s="1"/>
  <c r="Z129" i="15"/>
  <c r="X129" i="15" s="1"/>
  <c r="Z121" i="15"/>
  <c r="X121" i="15" s="1"/>
  <c r="Z113" i="15"/>
  <c r="X113" i="15" s="1"/>
  <c r="Z105" i="15"/>
  <c r="X105" i="15" s="1"/>
  <c r="Z89" i="15"/>
  <c r="X89" i="15" s="1"/>
  <c r="Z73" i="15"/>
  <c r="X73" i="15" s="1"/>
  <c r="Z65" i="15"/>
  <c r="X65" i="15" s="1"/>
  <c r="Z57" i="15"/>
  <c r="X57" i="15" s="1"/>
  <c r="Z49" i="15"/>
  <c r="X49" i="15" s="1"/>
  <c r="Z41" i="15"/>
  <c r="X41" i="15" s="1"/>
  <c r="Z33" i="15"/>
  <c r="X33" i="15" s="1"/>
  <c r="Z25" i="15"/>
  <c r="X25" i="15" s="1"/>
  <c r="IS6" i="3"/>
  <c r="AE5" i="15"/>
  <c r="AC5" i="15" s="1"/>
  <c r="HT13" i="3"/>
  <c r="Z10" i="15"/>
  <c r="X10" i="15" s="1"/>
  <c r="HJ24" i="3"/>
  <c r="HV33" i="3"/>
  <c r="HV35" i="3" s="1"/>
  <c r="Z362" i="15"/>
  <c r="X362" i="15" s="1"/>
  <c r="Z354" i="15"/>
  <c r="X354" i="15" s="1"/>
  <c r="Z330" i="15"/>
  <c r="X330" i="15" s="1"/>
  <c r="Z290" i="15"/>
  <c r="X290" i="15" s="1"/>
  <c r="Z282" i="15"/>
  <c r="X282" i="15" s="1"/>
  <c r="Z274" i="15"/>
  <c r="X274" i="15" s="1"/>
  <c r="Z242" i="15"/>
  <c r="X242" i="15" s="1"/>
  <c r="Z234" i="15"/>
  <c r="X234" i="15" s="1"/>
  <c r="Z194" i="15"/>
  <c r="X194" i="15" s="1"/>
  <c r="Z186" i="15"/>
  <c r="X186" i="15" s="1"/>
  <c r="Z178" i="15"/>
  <c r="X178" i="15" s="1"/>
  <c r="Z170" i="15"/>
  <c r="X170" i="15" s="1"/>
  <c r="Z162" i="15"/>
  <c r="X162" i="15" s="1"/>
  <c r="Z146" i="15"/>
  <c r="X146" i="15" s="1"/>
  <c r="Z106" i="15"/>
  <c r="X106" i="15" s="1"/>
  <c r="Z98" i="15"/>
  <c r="X98" i="15" s="1"/>
  <c r="Z90" i="15"/>
  <c r="X90" i="15" s="1"/>
  <c r="Z58" i="15"/>
  <c r="X58" i="15" s="1"/>
  <c r="Z50" i="15"/>
  <c r="X50" i="15" s="1"/>
  <c r="Z18" i="15"/>
  <c r="X18" i="15" s="1"/>
  <c r="AO9" i="15"/>
  <c r="Z356" i="15"/>
  <c r="X356" i="15" s="1"/>
  <c r="Z300" i="15"/>
  <c r="X300" i="15" s="1"/>
  <c r="Z284" i="15"/>
  <c r="X284" i="15" s="1"/>
  <c r="Z220" i="15"/>
  <c r="X220" i="15" s="1"/>
  <c r="Z52" i="15"/>
  <c r="X52" i="15" s="1"/>
  <c r="Z271" i="15"/>
  <c r="X271" i="15" s="1"/>
  <c r="Z263" i="15"/>
  <c r="X263" i="15" s="1"/>
  <c r="Z223" i="15"/>
  <c r="X223" i="15" s="1"/>
  <c r="Z215" i="15"/>
  <c r="X215" i="15" s="1"/>
  <c r="Z119" i="15"/>
  <c r="X119" i="15" s="1"/>
  <c r="Z111" i="15"/>
  <c r="X111" i="15" s="1"/>
  <c r="Z87" i="15"/>
  <c r="X87" i="15" s="1"/>
  <c r="Z79" i="15"/>
  <c r="X79" i="15" s="1"/>
  <c r="Z102" i="15"/>
  <c r="X102" i="15" s="1"/>
  <c r="Z11" i="15"/>
  <c r="X11" i="15" s="1"/>
  <c r="Z243" i="15"/>
  <c r="X243" i="15" s="1"/>
  <c r="AE6" i="15"/>
  <c r="AC6" i="15" s="1"/>
  <c r="JQ33" i="3"/>
  <c r="JQ35" i="3" s="1"/>
  <c r="Z5" i="15"/>
  <c r="X5" i="15" s="1"/>
  <c r="HJ6" i="3"/>
  <c r="Z283" i="15"/>
  <c r="X283" i="15" s="1"/>
  <c r="Z275" i="15"/>
  <c r="X275" i="15" s="1"/>
  <c r="Z179" i="15"/>
  <c r="X179" i="15" s="1"/>
  <c r="Z147" i="15"/>
  <c r="X147" i="15" s="1"/>
  <c r="Z107" i="15"/>
  <c r="X107" i="15" s="1"/>
  <c r="Z83" i="15"/>
  <c r="X83" i="15" s="1"/>
  <c r="Z75" i="15"/>
  <c r="X75" i="15" s="1"/>
  <c r="Z51" i="15"/>
  <c r="X51" i="15" s="1"/>
  <c r="HT33" i="3"/>
  <c r="HT35" i="3" s="1"/>
  <c r="GZ13" i="3"/>
  <c r="GZ32" i="3" s="1"/>
  <c r="Z286" i="15"/>
  <c r="X286" i="15" s="1"/>
  <c r="Z278" i="15"/>
  <c r="X278" i="15" s="1"/>
  <c r="Z246" i="15"/>
  <c r="X246" i="15" s="1"/>
  <c r="Z198" i="15"/>
  <c r="X198" i="15" s="1"/>
  <c r="Z190" i="15"/>
  <c r="X190" i="15" s="1"/>
  <c r="Z142" i="15"/>
  <c r="X142" i="15" s="1"/>
  <c r="Z134" i="15"/>
  <c r="X134" i="15" s="1"/>
  <c r="Z86" i="15"/>
  <c r="X86" i="15" s="1"/>
  <c r="Z62" i="15"/>
  <c r="X62" i="15" s="1"/>
  <c r="Z54" i="15"/>
  <c r="X54" i="15" s="1"/>
  <c r="Z30" i="15"/>
  <c r="X30" i="15" s="1"/>
  <c r="AO5" i="15"/>
  <c r="IB33" i="3"/>
  <c r="IB35" i="3" s="1"/>
  <c r="JH6" i="3"/>
  <c r="JH34" i="3" s="1"/>
  <c r="IQ33" i="3"/>
  <c r="IQ35" i="3" s="1"/>
  <c r="JR33" i="3"/>
  <c r="JR35" i="3" s="1"/>
  <c r="HQ35" i="3"/>
  <c r="HY33" i="3"/>
  <c r="HY35" i="3" s="1"/>
  <c r="HB13" i="3"/>
  <c r="AJ10" i="15"/>
  <c r="AO11" i="15"/>
  <c r="Z12" i="15"/>
  <c r="X12" i="15" s="1"/>
  <c r="AJ6" i="15"/>
  <c r="AH6" i="15" s="1"/>
  <c r="HB24" i="3"/>
  <c r="Z6" i="15"/>
  <c r="X6" i="15" s="1"/>
  <c r="Z149" i="15"/>
  <c r="X149" i="15" s="1"/>
  <c r="IE6" i="3"/>
  <c r="Z348" i="15"/>
  <c r="X348" i="15" s="1"/>
  <c r="Z340" i="15"/>
  <c r="X340" i="15" s="1"/>
  <c r="Z332" i="15"/>
  <c r="X332" i="15" s="1"/>
  <c r="Z324" i="15"/>
  <c r="X324" i="15" s="1"/>
  <c r="Z316" i="15"/>
  <c r="X316" i="15" s="1"/>
  <c r="Z308" i="15"/>
  <c r="X308" i="15" s="1"/>
  <c r="Z276" i="15"/>
  <c r="X276" i="15" s="1"/>
  <c r="Z268" i="15"/>
  <c r="X268" i="15" s="1"/>
  <c r="Z260" i="15"/>
  <c r="X260" i="15" s="1"/>
  <c r="Z252" i="15"/>
  <c r="X252" i="15" s="1"/>
  <c r="Z244" i="15"/>
  <c r="X244" i="15" s="1"/>
  <c r="Z236" i="15"/>
  <c r="X236" i="15" s="1"/>
  <c r="Z196" i="15"/>
  <c r="X196" i="15" s="1"/>
  <c r="Z180" i="15"/>
  <c r="X180" i="15" s="1"/>
  <c r="Z172" i="15"/>
  <c r="X172" i="15" s="1"/>
  <c r="Z164" i="15"/>
  <c r="X164" i="15" s="1"/>
  <c r="Z156" i="15"/>
  <c r="X156" i="15" s="1"/>
  <c r="Z148" i="15"/>
  <c r="X148" i="15" s="1"/>
  <c r="Z140" i="15"/>
  <c r="X140" i="15" s="1"/>
  <c r="Z124" i="15"/>
  <c r="X124" i="15" s="1"/>
  <c r="Z108" i="15"/>
  <c r="X108" i="15" s="1"/>
  <c r="Z100" i="15"/>
  <c r="X100" i="15" s="1"/>
  <c r="Z92" i="15"/>
  <c r="X92" i="15" s="1"/>
  <c r="Z84" i="15"/>
  <c r="X84" i="15" s="1"/>
  <c r="Z76" i="15"/>
  <c r="X76" i="15" s="1"/>
  <c r="Z44" i="15"/>
  <c r="X44" i="15" s="1"/>
  <c r="Z36" i="15"/>
  <c r="X36" i="15" s="1"/>
  <c r="Z28" i="15"/>
  <c r="X28" i="15" s="1"/>
  <c r="Z20" i="15"/>
  <c r="X20" i="15" s="1"/>
  <c r="HX24" i="3"/>
  <c r="Z4" i="15"/>
  <c r="X4" i="15" s="1"/>
  <c r="Z334" i="15"/>
  <c r="X334" i="15" s="1"/>
  <c r="Z326" i="15"/>
  <c r="X326" i="15" s="1"/>
  <c r="Z230" i="15"/>
  <c r="X230" i="15" s="1"/>
  <c r="Z206" i="15"/>
  <c r="X206" i="15" s="1"/>
  <c r="Z182" i="15"/>
  <c r="X182" i="15" s="1"/>
  <c r="Z94" i="15"/>
  <c r="X94" i="15" s="1"/>
  <c r="JJ33" i="3"/>
  <c r="JJ35" i="3" s="1"/>
  <c r="JC13" i="3"/>
  <c r="JC32" i="3" s="1"/>
  <c r="JC34" i="3" s="1"/>
  <c r="JC33" i="3"/>
  <c r="JC35" i="3" s="1"/>
  <c r="JX24" i="3"/>
  <c r="JX32" i="3" s="1"/>
  <c r="JX34" i="3" s="1"/>
  <c r="JX33" i="3"/>
  <c r="JX35" i="3" s="1"/>
  <c r="IU33" i="3"/>
  <c r="IU35" i="3" s="1"/>
  <c r="IU24" i="3"/>
  <c r="IU32" i="3" s="1"/>
  <c r="IU34" i="3" s="1"/>
  <c r="JG24" i="3"/>
  <c r="JG32" i="3" s="1"/>
  <c r="JG34" i="3" s="1"/>
  <c r="JG33" i="3"/>
  <c r="JG35" i="3" s="1"/>
  <c r="IR24" i="3"/>
  <c r="IR47" i="3" s="1"/>
  <c r="IS47" i="3" s="1"/>
  <c r="IR33" i="3"/>
  <c r="IR35" i="3" s="1"/>
  <c r="ID13" i="3"/>
  <c r="ID33" i="3"/>
  <c r="ID35" i="3" s="1"/>
  <c r="IC24" i="3"/>
  <c r="IC32" i="3" s="1"/>
  <c r="IC34" i="3" s="1"/>
  <c r="IC60" i="3" s="1"/>
  <c r="IC61" i="3" s="1"/>
  <c r="IC62" i="3" s="1"/>
  <c r="IC33" i="3"/>
  <c r="IC35" i="3" s="1"/>
  <c r="HJ33" i="3"/>
  <c r="HJ35" i="3" s="1"/>
  <c r="IO35" i="3"/>
  <c r="AJ5" i="15"/>
  <c r="GZ35" i="3"/>
  <c r="Z364" i="15"/>
  <c r="X364" i="15" s="1"/>
  <c r="Z204" i="15"/>
  <c r="X204" i="15" s="1"/>
  <c r="Z188" i="15"/>
  <c r="X188" i="15" s="1"/>
  <c r="Z68" i="15"/>
  <c r="X68" i="15" s="1"/>
  <c r="NS9" i="21"/>
  <c r="IA33" i="3"/>
  <c r="IA35" i="3" s="1"/>
  <c r="HA33" i="3"/>
  <c r="HA35" i="3" s="1"/>
  <c r="HB33" i="3"/>
  <c r="HB35" i="3" s="1"/>
  <c r="GY13" i="3"/>
  <c r="GY32" i="3" s="1"/>
  <c r="GY34" i="3" s="1"/>
  <c r="JM33" i="3"/>
  <c r="JM35" i="3" s="1"/>
  <c r="GQ13" i="3"/>
  <c r="GQ32" i="3" s="1"/>
  <c r="GQ34" i="3" s="1"/>
  <c r="JF24" i="3"/>
  <c r="HQ24" i="3"/>
  <c r="HQ32" i="3" s="1"/>
  <c r="HQ34" i="3" s="1"/>
  <c r="HQ60" i="3" s="1"/>
  <c r="HQ61" i="3" s="1"/>
  <c r="HQ62" i="3" s="1"/>
  <c r="Z357" i="15"/>
  <c r="X357" i="15" s="1"/>
  <c r="Z325" i="15"/>
  <c r="X325" i="15" s="1"/>
  <c r="Z253" i="15"/>
  <c r="X253" i="15" s="1"/>
  <c r="Z245" i="15"/>
  <c r="X245" i="15" s="1"/>
  <c r="Z221" i="15"/>
  <c r="X221" i="15" s="1"/>
  <c r="Z157" i="15"/>
  <c r="X157" i="15" s="1"/>
  <c r="Z125" i="15"/>
  <c r="X125" i="15" s="1"/>
  <c r="Z61" i="15"/>
  <c r="X61" i="15" s="1"/>
  <c r="Z53" i="15"/>
  <c r="X53" i="15" s="1"/>
  <c r="Z29" i="15"/>
  <c r="X29" i="15" s="1"/>
  <c r="IB24" i="3"/>
  <c r="HT24" i="3"/>
  <c r="NS21" i="21"/>
  <c r="Z7" i="15"/>
  <c r="X7" i="15" s="1"/>
  <c r="IV33" i="3"/>
  <c r="IV35" i="3" s="1"/>
  <c r="IV24" i="3"/>
  <c r="IV32" i="3" s="1"/>
  <c r="IV34" i="3" s="1"/>
  <c r="IH13" i="3"/>
  <c r="IH32" i="3" s="1"/>
  <c r="IH34" i="3" s="1"/>
  <c r="IH60" i="3" s="1"/>
  <c r="IH61" i="3" s="1"/>
  <c r="IH62" i="3" s="1"/>
  <c r="IH33" i="3"/>
  <c r="IH35" i="3" s="1"/>
  <c r="HR24" i="3"/>
  <c r="HR32" i="3" s="1"/>
  <c r="HR34" i="3" s="1"/>
  <c r="HR60" i="3" s="1"/>
  <c r="HR61" i="3" s="1"/>
  <c r="HR62" i="3" s="1"/>
  <c r="HR33" i="3"/>
  <c r="HR35" i="3" s="1"/>
  <c r="HZ13" i="3"/>
  <c r="HZ32" i="3" s="1"/>
  <c r="HZ34" i="3" s="1"/>
  <c r="HZ60" i="3" s="1"/>
  <c r="HZ61" i="3" s="1"/>
  <c r="HZ62" i="3" s="1"/>
  <c r="HZ33" i="3"/>
  <c r="HZ35" i="3" s="1"/>
  <c r="NU21" i="21"/>
  <c r="JF13" i="3"/>
  <c r="JF33" i="3"/>
  <c r="JF35" i="3" s="1"/>
  <c r="IJ24" i="3"/>
  <c r="IJ32" i="3" s="1"/>
  <c r="IJ34" i="3" s="1"/>
  <c r="IJ60" i="3" s="1"/>
  <c r="IJ61" i="3" s="1"/>
  <c r="IJ62" i="3" s="1"/>
  <c r="IJ33" i="3"/>
  <c r="IJ35" i="3" s="1"/>
  <c r="IW35" i="3"/>
  <c r="HW33" i="3"/>
  <c r="HW35" i="3" s="1"/>
  <c r="AJ9" i="15"/>
  <c r="AH9" i="15" s="1"/>
  <c r="Z355" i="15"/>
  <c r="X355" i="15" s="1"/>
  <c r="Z347" i="15"/>
  <c r="X347" i="15" s="1"/>
  <c r="Z323" i="15"/>
  <c r="X323" i="15" s="1"/>
  <c r="Z315" i="15"/>
  <c r="X315" i="15" s="1"/>
  <c r="Z211" i="15"/>
  <c r="X211" i="15" s="1"/>
  <c r="Z115" i="15"/>
  <c r="X115" i="15" s="1"/>
  <c r="Z35" i="15"/>
  <c r="X35" i="15" s="1"/>
  <c r="GV13" i="3"/>
  <c r="GR13" i="3"/>
  <c r="GR32" i="3" s="1"/>
  <c r="GR34" i="3" s="1"/>
  <c r="Z346" i="15"/>
  <c r="X346" i="15" s="1"/>
  <c r="Z338" i="15"/>
  <c r="X338" i="15" s="1"/>
  <c r="Z322" i="15"/>
  <c r="X322" i="15" s="1"/>
  <c r="Z314" i="15"/>
  <c r="X314" i="15" s="1"/>
  <c r="Z306" i="15"/>
  <c r="X306" i="15" s="1"/>
  <c r="Z298" i="15"/>
  <c r="X298" i="15" s="1"/>
  <c r="Z266" i="15"/>
  <c r="X266" i="15" s="1"/>
  <c r="Z258" i="15"/>
  <c r="X258" i="15" s="1"/>
  <c r="Z250" i="15"/>
  <c r="X250" i="15" s="1"/>
  <c r="Z226" i="15"/>
  <c r="X226" i="15" s="1"/>
  <c r="Z218" i="15"/>
  <c r="X218" i="15" s="1"/>
  <c r="Z210" i="15"/>
  <c r="X210" i="15" s="1"/>
  <c r="Z202" i="15"/>
  <c r="X202" i="15" s="1"/>
  <c r="Z154" i="15"/>
  <c r="X154" i="15" s="1"/>
  <c r="Z138" i="15"/>
  <c r="X138" i="15" s="1"/>
  <c r="Z130" i="15"/>
  <c r="X130" i="15" s="1"/>
  <c r="Z122" i="15"/>
  <c r="X122" i="15" s="1"/>
  <c r="Z114" i="15"/>
  <c r="X114" i="15" s="1"/>
  <c r="Z82" i="15"/>
  <c r="X82" i="15" s="1"/>
  <c r="Z74" i="15"/>
  <c r="X74" i="15" s="1"/>
  <c r="Z66" i="15"/>
  <c r="X66" i="15" s="1"/>
  <c r="Z42" i="15"/>
  <c r="X42" i="15" s="1"/>
  <c r="Z34" i="15"/>
  <c r="X34" i="15" s="1"/>
  <c r="Z26" i="15"/>
  <c r="X26" i="15" s="1"/>
  <c r="NV9" i="21"/>
  <c r="NT21" i="21"/>
  <c r="AO7" i="15"/>
  <c r="Z365" i="15"/>
  <c r="X365" i="15" s="1"/>
  <c r="Z349" i="15"/>
  <c r="X349" i="15" s="1"/>
  <c r="Z341" i="15"/>
  <c r="X341" i="15" s="1"/>
  <c r="Z333" i="15"/>
  <c r="X333" i="15" s="1"/>
  <c r="Z317" i="15"/>
  <c r="X317" i="15" s="1"/>
  <c r="Z309" i="15"/>
  <c r="X309" i="15" s="1"/>
  <c r="Z301" i="15"/>
  <c r="X301" i="15" s="1"/>
  <c r="Z293" i="15"/>
  <c r="X293" i="15" s="1"/>
  <c r="Z285" i="15"/>
  <c r="X285" i="15" s="1"/>
  <c r="Z277" i="15"/>
  <c r="X277" i="15" s="1"/>
  <c r="Z269" i="15"/>
  <c r="X269" i="15" s="1"/>
  <c r="Z261" i="15"/>
  <c r="X261" i="15" s="1"/>
  <c r="Z237" i="15"/>
  <c r="X237" i="15" s="1"/>
  <c r="Z229" i="15"/>
  <c r="X229" i="15" s="1"/>
  <c r="Z213" i="15"/>
  <c r="X213" i="15" s="1"/>
  <c r="Z205" i="15"/>
  <c r="X205" i="15" s="1"/>
  <c r="Z197" i="15"/>
  <c r="X197" i="15" s="1"/>
  <c r="Z189" i="15"/>
  <c r="X189" i="15" s="1"/>
  <c r="Z181" i="15"/>
  <c r="X181" i="15" s="1"/>
  <c r="Z173" i="15"/>
  <c r="X173" i="15" s="1"/>
  <c r="Z165" i="15"/>
  <c r="X165" i="15" s="1"/>
  <c r="Z141" i="15"/>
  <c r="X141" i="15" s="1"/>
  <c r="Z133" i="15"/>
  <c r="X133" i="15" s="1"/>
  <c r="Z117" i="15"/>
  <c r="X117" i="15" s="1"/>
  <c r="Z109" i="15"/>
  <c r="X109" i="15" s="1"/>
  <c r="Z101" i="15"/>
  <c r="X101" i="15" s="1"/>
  <c r="Z93" i="15"/>
  <c r="X93" i="15" s="1"/>
  <c r="Z85" i="15"/>
  <c r="X85" i="15" s="1"/>
  <c r="Z77" i="15"/>
  <c r="X77" i="15" s="1"/>
  <c r="Z69" i="15"/>
  <c r="X69" i="15" s="1"/>
  <c r="Z45" i="15"/>
  <c r="X45" i="15" s="1"/>
  <c r="Z37" i="15"/>
  <c r="X37" i="15" s="1"/>
  <c r="Z21" i="15"/>
  <c r="X21" i="15" s="1"/>
  <c r="Z13" i="15"/>
  <c r="X13" i="15" s="1"/>
  <c r="NP37" i="21"/>
  <c r="NP7" i="21"/>
  <c r="JW24" i="3"/>
  <c r="JW32" i="3" s="1"/>
  <c r="JW34" i="3" s="1"/>
  <c r="JW33" i="3"/>
  <c r="JW35" i="3" s="1"/>
  <c r="JA24" i="3"/>
  <c r="JA32" i="3" s="1"/>
  <c r="JA34" i="3" s="1"/>
  <c r="JP24" i="3"/>
  <c r="JP32" i="3" s="1"/>
  <c r="JP34" i="3" s="1"/>
  <c r="JP33" i="3"/>
  <c r="JP35" i="3" s="1"/>
  <c r="GU33" i="3"/>
  <c r="GU35" i="3" s="1"/>
  <c r="GU24" i="3"/>
  <c r="GU32" i="3" s="1"/>
  <c r="GU34" i="3" s="1"/>
  <c r="IY6" i="3"/>
  <c r="IY47" i="3" s="1"/>
  <c r="IZ47" i="3" s="1"/>
  <c r="IY35" i="3"/>
  <c r="JO6" i="3"/>
  <c r="JO34" i="3" s="1"/>
  <c r="JO35" i="3"/>
  <c r="Z344" i="15"/>
  <c r="X344" i="15" s="1"/>
  <c r="Z336" i="15"/>
  <c r="X336" i="15" s="1"/>
  <c r="Z328" i="15"/>
  <c r="X328" i="15" s="1"/>
  <c r="Z320" i="15"/>
  <c r="X320" i="15" s="1"/>
  <c r="Z304" i="15"/>
  <c r="X304" i="15" s="1"/>
  <c r="Z296" i="15"/>
  <c r="X296" i="15" s="1"/>
  <c r="Z288" i="15"/>
  <c r="X288" i="15" s="1"/>
  <c r="Z280" i="15"/>
  <c r="X280" i="15" s="1"/>
  <c r="Z272" i="15"/>
  <c r="X272" i="15" s="1"/>
  <c r="Z264" i="15"/>
  <c r="X264" i="15" s="1"/>
  <c r="Z256" i="15"/>
  <c r="X256" i="15" s="1"/>
  <c r="Z248" i="15"/>
  <c r="X248" i="15" s="1"/>
  <c r="Z240" i="15"/>
  <c r="X240" i="15" s="1"/>
  <c r="Z224" i="15"/>
  <c r="X224" i="15" s="1"/>
  <c r="Z216" i="15"/>
  <c r="X216" i="15" s="1"/>
  <c r="Z208" i="15"/>
  <c r="X208" i="15" s="1"/>
  <c r="Z192" i="15"/>
  <c r="X192" i="15" s="1"/>
  <c r="Z184" i="15"/>
  <c r="X184" i="15" s="1"/>
  <c r="Z176" i="15"/>
  <c r="X176" i="15" s="1"/>
  <c r="Z168" i="15"/>
  <c r="X168" i="15" s="1"/>
  <c r="Z160" i="15"/>
  <c r="X160" i="15" s="1"/>
  <c r="Z152" i="15"/>
  <c r="X152" i="15" s="1"/>
  <c r="Z144" i="15"/>
  <c r="X144" i="15" s="1"/>
  <c r="Z136" i="15"/>
  <c r="X136" i="15" s="1"/>
  <c r="Z120" i="15"/>
  <c r="X120" i="15" s="1"/>
  <c r="Z112" i="15"/>
  <c r="X112" i="15" s="1"/>
  <c r="Z104" i="15"/>
  <c r="X104" i="15" s="1"/>
  <c r="Z80" i="15"/>
  <c r="X80" i="15" s="1"/>
  <c r="Z72" i="15"/>
  <c r="X72" i="15" s="1"/>
  <c r="Z64" i="15"/>
  <c r="X64" i="15" s="1"/>
  <c r="Z56" i="15"/>
  <c r="X56" i="15" s="1"/>
  <c r="Z48" i="15"/>
  <c r="X48" i="15" s="1"/>
  <c r="Z40" i="15"/>
  <c r="X40" i="15" s="1"/>
  <c r="Z32" i="15"/>
  <c r="X32" i="15" s="1"/>
  <c r="Z24" i="15"/>
  <c r="X24" i="15" s="1"/>
  <c r="HI13" i="3"/>
  <c r="HI32" i="3" s="1"/>
  <c r="HI34" i="3" s="1"/>
  <c r="HI60" i="3" s="1"/>
  <c r="HI61" i="3" s="1"/>
  <c r="HI62" i="3" s="1"/>
  <c r="HI33" i="3"/>
  <c r="HI35" i="3" s="1"/>
  <c r="JY13" i="3"/>
  <c r="JY32" i="3" s="1"/>
  <c r="JY34" i="3" s="1"/>
  <c r="JY33" i="3"/>
  <c r="JY35" i="3" s="1"/>
  <c r="HA6" i="3"/>
  <c r="Z359" i="15"/>
  <c r="X359" i="15" s="1"/>
  <c r="Z351" i="15"/>
  <c r="X351" i="15" s="1"/>
  <c r="Z343" i="15"/>
  <c r="X343" i="15" s="1"/>
  <c r="Z335" i="15"/>
  <c r="X335" i="15" s="1"/>
  <c r="Z311" i="15"/>
  <c r="X311" i="15" s="1"/>
  <c r="Z303" i="15"/>
  <c r="X303" i="15" s="1"/>
  <c r="Z295" i="15"/>
  <c r="X295" i="15" s="1"/>
  <c r="Z287" i="15"/>
  <c r="X287" i="15" s="1"/>
  <c r="Z279" i="15"/>
  <c r="X279" i="15" s="1"/>
  <c r="Z255" i="15"/>
  <c r="X255" i="15" s="1"/>
  <c r="Z247" i="15"/>
  <c r="X247" i="15" s="1"/>
  <c r="Z239" i="15"/>
  <c r="X239" i="15" s="1"/>
  <c r="Z231" i="15"/>
  <c r="X231" i="15" s="1"/>
  <c r="Z207" i="15"/>
  <c r="X207" i="15" s="1"/>
  <c r="Z199" i="15"/>
  <c r="X199" i="15" s="1"/>
  <c r="Z191" i="15"/>
  <c r="X191" i="15" s="1"/>
  <c r="Z167" i="15"/>
  <c r="X167" i="15" s="1"/>
  <c r="Z159" i="15"/>
  <c r="X159" i="15" s="1"/>
  <c r="Z135" i="15"/>
  <c r="X135" i="15" s="1"/>
  <c r="Z127" i="15"/>
  <c r="X127" i="15" s="1"/>
  <c r="Z103" i="15"/>
  <c r="X103" i="15" s="1"/>
  <c r="Z95" i="15"/>
  <c r="X95" i="15" s="1"/>
  <c r="Z71" i="15"/>
  <c r="X71" i="15" s="1"/>
  <c r="Z63" i="15"/>
  <c r="X63" i="15" s="1"/>
  <c r="Z39" i="15"/>
  <c r="X39" i="15" s="1"/>
  <c r="Z31" i="15"/>
  <c r="X31" i="15" s="1"/>
  <c r="IQ32" i="3"/>
  <c r="IQ34" i="3" s="1"/>
  <c r="IQ60" i="3" s="1"/>
  <c r="IQ61" i="3" s="1"/>
  <c r="IQ62" i="3" s="1"/>
  <c r="GV6" i="3"/>
  <c r="Z363" i="15"/>
  <c r="X363" i="15" s="1"/>
  <c r="Z339" i="15"/>
  <c r="X339" i="15" s="1"/>
  <c r="Z331" i="15"/>
  <c r="X331" i="15" s="1"/>
  <c r="Z307" i="15"/>
  <c r="X307" i="15" s="1"/>
  <c r="Z299" i="15"/>
  <c r="X299" i="15" s="1"/>
  <c r="Z291" i="15"/>
  <c r="X291" i="15" s="1"/>
  <c r="Z267" i="15"/>
  <c r="X267" i="15" s="1"/>
  <c r="Z259" i="15"/>
  <c r="X259" i="15" s="1"/>
  <c r="Z251" i="15"/>
  <c r="X251" i="15" s="1"/>
  <c r="Z235" i="15"/>
  <c r="X235" i="15" s="1"/>
  <c r="Z227" i="15"/>
  <c r="X227" i="15" s="1"/>
  <c r="Z219" i="15"/>
  <c r="X219" i="15" s="1"/>
  <c r="Z203" i="15"/>
  <c r="X203" i="15" s="1"/>
  <c r="Z195" i="15"/>
  <c r="X195" i="15" s="1"/>
  <c r="Z187" i="15"/>
  <c r="X187" i="15" s="1"/>
  <c r="Z171" i="15"/>
  <c r="X171" i="15" s="1"/>
  <c r="Z163" i="15"/>
  <c r="X163" i="15" s="1"/>
  <c r="Z155" i="15"/>
  <c r="X155" i="15" s="1"/>
  <c r="Z139" i="15"/>
  <c r="X139" i="15" s="1"/>
  <c r="Z131" i="15"/>
  <c r="X131" i="15" s="1"/>
  <c r="Z123" i="15"/>
  <c r="X123" i="15" s="1"/>
  <c r="Z99" i="15"/>
  <c r="X99" i="15" s="1"/>
  <c r="Z91" i="15"/>
  <c r="X91" i="15" s="1"/>
  <c r="Z67" i="15"/>
  <c r="X67" i="15" s="1"/>
  <c r="Z59" i="15"/>
  <c r="X59" i="15" s="1"/>
  <c r="Z43" i="15"/>
  <c r="X43" i="15" s="1"/>
  <c r="Z27" i="15"/>
  <c r="X27" i="15" s="1"/>
  <c r="Z19" i="15"/>
  <c r="X19" i="15" s="1"/>
  <c r="Z366" i="15"/>
  <c r="X366" i="15" s="1"/>
  <c r="Z358" i="15"/>
  <c r="X358" i="15" s="1"/>
  <c r="Z350" i="15"/>
  <c r="X350" i="15" s="1"/>
  <c r="Z342" i="15"/>
  <c r="X342" i="15" s="1"/>
  <c r="Z310" i="15"/>
  <c r="X310" i="15" s="1"/>
  <c r="Z302" i="15"/>
  <c r="X302" i="15" s="1"/>
  <c r="Z294" i="15"/>
  <c r="X294" i="15" s="1"/>
  <c r="Z270" i="15"/>
  <c r="X270" i="15" s="1"/>
  <c r="Z262" i="15"/>
  <c r="X262" i="15" s="1"/>
  <c r="Z254" i="15"/>
  <c r="X254" i="15" s="1"/>
  <c r="Z238" i="15"/>
  <c r="X238" i="15" s="1"/>
  <c r="Z222" i="15"/>
  <c r="X222" i="15" s="1"/>
  <c r="Z214" i="15"/>
  <c r="X214" i="15" s="1"/>
  <c r="Z174" i="15"/>
  <c r="X174" i="15" s="1"/>
  <c r="Z166" i="15"/>
  <c r="X166" i="15" s="1"/>
  <c r="Z158" i="15"/>
  <c r="X158" i="15" s="1"/>
  <c r="Z150" i="15"/>
  <c r="X150" i="15" s="1"/>
  <c r="Z126" i="15"/>
  <c r="X126" i="15" s="1"/>
  <c r="Z118" i="15"/>
  <c r="X118" i="15" s="1"/>
  <c r="Z110" i="15"/>
  <c r="X110" i="15" s="1"/>
  <c r="Z78" i="15"/>
  <c r="X78" i="15" s="1"/>
  <c r="Z70" i="15"/>
  <c r="X70" i="15" s="1"/>
  <c r="Z46" i="15"/>
  <c r="X46" i="15" s="1"/>
  <c r="Z38" i="15"/>
  <c r="X38" i="15" s="1"/>
  <c r="Z22" i="15"/>
  <c r="X22" i="15" s="1"/>
  <c r="Z14" i="15"/>
  <c r="X14" i="15" s="1"/>
  <c r="HC13" i="3"/>
  <c r="HT6" i="3"/>
  <c r="Z3" i="15"/>
  <c r="X3" i="15" s="1"/>
  <c r="IB13" i="3"/>
  <c r="GP24" i="3"/>
  <c r="GP32" i="3" s="1"/>
  <c r="GP34" i="3" s="1"/>
  <c r="HJ13" i="3"/>
  <c r="NP41" i="21"/>
  <c r="NU9" i="21"/>
  <c r="NR15" i="21"/>
  <c r="NP39" i="21"/>
  <c r="NP43" i="21"/>
  <c r="AO8" i="15"/>
  <c r="HW47" i="3"/>
  <c r="HW32" i="3"/>
  <c r="HW34" i="3" s="1"/>
  <c r="HW60" i="3" s="1"/>
  <c r="HW61" i="3" s="1"/>
  <c r="HW62" i="3" s="1"/>
  <c r="NV21" i="21"/>
  <c r="HN33" i="3"/>
  <c r="HN35" i="3" s="1"/>
  <c r="HN13" i="3"/>
  <c r="HN32" i="3" s="1"/>
  <c r="HN34" i="3" s="1"/>
  <c r="HN60" i="3" s="1"/>
  <c r="HN61" i="3" s="1"/>
  <c r="HN62" i="3" s="1"/>
  <c r="JL13" i="3"/>
  <c r="JL32" i="3" s="1"/>
  <c r="JL34" i="3" s="1"/>
  <c r="JL33" i="3"/>
  <c r="JL35" i="3" s="1"/>
  <c r="NS15" i="21"/>
  <c r="GV24" i="3"/>
  <c r="GV33" i="3"/>
  <c r="GV35" i="3" s="1"/>
  <c r="JI13" i="3"/>
  <c r="JI32" i="3" s="1"/>
  <c r="JI34" i="3" s="1"/>
  <c r="JI33" i="3"/>
  <c r="JI35" i="3" s="1"/>
  <c r="IS33" i="3"/>
  <c r="IS35" i="3" s="1"/>
  <c r="IS24" i="3"/>
  <c r="IS32" i="3" s="1"/>
  <c r="JN24" i="3"/>
  <c r="JN32" i="3" s="1"/>
  <c r="JN34" i="3" s="1"/>
  <c r="JN33" i="3"/>
  <c r="JN35" i="3" s="1"/>
  <c r="HX6" i="3"/>
  <c r="Z8" i="15"/>
  <c r="X8" i="15" s="1"/>
  <c r="HX13" i="3"/>
  <c r="HX33" i="3"/>
  <c r="HX35" i="3" s="1"/>
  <c r="AE8" i="15"/>
  <c r="HC24" i="3"/>
  <c r="HC33" i="3"/>
  <c r="HC35" i="3" s="1"/>
  <c r="JQ32" i="3"/>
  <c r="JQ34" i="3" s="1"/>
  <c r="IE24" i="3"/>
  <c r="IE32" i="3" s="1"/>
  <c r="IE33" i="3"/>
  <c r="IE35" i="3" s="1"/>
  <c r="GS33" i="3"/>
  <c r="GS35" i="3" s="1"/>
  <c r="GS13" i="3"/>
  <c r="GS32" i="3" s="1"/>
  <c r="GS34" i="3" s="1"/>
  <c r="IX6" i="3"/>
  <c r="IX34" i="3" s="1"/>
  <c r="IX35" i="3"/>
  <c r="IL33" i="3"/>
  <c r="IL35" i="3" s="1"/>
  <c r="IL24" i="3"/>
  <c r="IL32" i="3" s="1"/>
  <c r="IL34" i="3" s="1"/>
  <c r="IL60" i="3" s="1"/>
  <c r="IL61" i="3" s="1"/>
  <c r="IL62" i="3" s="1"/>
  <c r="II13" i="3"/>
  <c r="II32" i="3" s="1"/>
  <c r="II34" i="3" s="1"/>
  <c r="II60" i="3" s="1"/>
  <c r="II61" i="3" s="1"/>
  <c r="II62" i="3" s="1"/>
  <c r="II33" i="3"/>
  <c r="II35" i="3" s="1"/>
  <c r="HH33" i="3"/>
  <c r="HH35" i="3" s="1"/>
  <c r="HH13" i="3"/>
  <c r="HH32" i="3" s="1"/>
  <c r="HH34" i="3" s="1"/>
  <c r="HH60" i="3" s="1"/>
  <c r="HH61" i="3" s="1"/>
  <c r="HH62" i="3" s="1"/>
  <c r="HD13" i="3"/>
  <c r="HD32" i="3" s="1"/>
  <c r="HD34" i="3" s="1"/>
  <c r="HD33" i="3"/>
  <c r="HD35" i="3" s="1"/>
  <c r="GT32" i="3"/>
  <c r="GT34" i="3" s="1"/>
  <c r="JR32" i="3"/>
  <c r="JR34" i="3" s="1"/>
  <c r="HA32" i="3"/>
  <c r="JJ32" i="3"/>
  <c r="JJ34" i="3" s="1"/>
  <c r="JD32" i="3"/>
  <c r="JD34" i="3" s="1"/>
  <c r="JK32" i="3"/>
  <c r="JK34" i="3" s="1"/>
  <c r="HF32" i="3"/>
  <c r="HF34" i="3" s="1"/>
  <c r="IZ35" i="3"/>
  <c r="JM32" i="3"/>
  <c r="JM34" i="3" s="1"/>
  <c r="JE32" i="3"/>
  <c r="JE34" i="3" s="1"/>
  <c r="NU15" i="21"/>
  <c r="NT15" i="21"/>
  <c r="NP35" i="21"/>
  <c r="NR21" i="21"/>
  <c r="HQ47" i="3"/>
  <c r="GO47" i="3"/>
  <c r="HV61" i="3"/>
  <c r="HV62" i="3" s="1"/>
  <c r="HK32" i="3"/>
  <c r="HK34" i="3" s="1"/>
  <c r="HK60" i="3" s="1"/>
  <c r="HK61" i="3" s="1"/>
  <c r="HK62" i="3" s="1"/>
  <c r="W334" i="15" l="1"/>
  <c r="W362" i="15"/>
  <c r="O154" i="15" a="1"/>
  <c r="O154" i="15" s="1"/>
  <c r="H154" i="15" a="1"/>
  <c r="H154" i="15" s="1"/>
  <c r="K154" i="15" s="1"/>
  <c r="L131" i="15"/>
  <c r="V166" i="15"/>
  <c r="U166" i="15" s="1"/>
  <c r="W229" i="15"/>
  <c r="W166" i="15"/>
  <c r="AR154" i="15" a="1"/>
  <c r="AR154" i="15" s="1"/>
  <c r="AJ12" i="15"/>
  <c r="V362" i="15"/>
  <c r="E5" i="21"/>
  <c r="AS154" i="15" a="1"/>
  <c r="AS154" i="15" s="1"/>
  <c r="L62" i="15"/>
  <c r="J62" i="15" s="1"/>
  <c r="AV154" i="15" a="1"/>
  <c r="AV154" i="15" s="1"/>
  <c r="T5" i="15"/>
  <c r="T321" i="15"/>
  <c r="AT356" i="15" a="1"/>
  <c r="AT356" i="15" s="1"/>
  <c r="AC10" i="15"/>
  <c r="O99" i="15" a="1"/>
  <c r="O99" i="15" s="1"/>
  <c r="AS104" i="15" a="1"/>
  <c r="AS104" i="15" s="1"/>
  <c r="AT99" i="15" a="1"/>
  <c r="AT99" i="15" s="1"/>
  <c r="AS251" i="15" a="1"/>
  <c r="AS251" i="15" s="1"/>
  <c r="AV97" i="15" a="1"/>
  <c r="AV97" i="15" s="1"/>
  <c r="Q98" i="15" a="1"/>
  <c r="Q98" i="15" s="1"/>
  <c r="O224" i="15" a="1"/>
  <c r="O224" i="15" s="1"/>
  <c r="I251" i="15" a="1"/>
  <c r="I251" i="15" s="1"/>
  <c r="L251" i="15" s="1"/>
  <c r="R99" i="15" a="1"/>
  <c r="R99" i="15" s="1"/>
  <c r="AJ8" i="15"/>
  <c r="AH8" i="15" s="1"/>
  <c r="AR224" i="15" a="1"/>
  <c r="AR224" i="15" s="1"/>
  <c r="AT251" i="15" a="1"/>
  <c r="AT251" i="15" s="1"/>
  <c r="R97" i="15" a="1"/>
  <c r="R97" i="15" s="1"/>
  <c r="R98" i="15" a="1"/>
  <c r="R98" i="15" s="1"/>
  <c r="O175" i="15" a="1"/>
  <c r="O175" i="15" s="1"/>
  <c r="Q175" i="15" a="1"/>
  <c r="Q175" i="15" s="1"/>
  <c r="AV251" i="15" a="1"/>
  <c r="AV251" i="15" s="1"/>
  <c r="W315" i="15"/>
  <c r="V96" i="15"/>
  <c r="AS224" i="15" a="1"/>
  <c r="AS224" i="15" s="1"/>
  <c r="AR175" i="15" a="1"/>
  <c r="AR175" i="15" s="1"/>
  <c r="Q97" i="15" a="1"/>
  <c r="Q97" i="15" s="1"/>
  <c r="V97" i="15" s="1"/>
  <c r="AV98" i="15" a="1"/>
  <c r="AV98" i="15" s="1"/>
  <c r="O98" i="15" a="1"/>
  <c r="O98" i="15" s="1"/>
  <c r="H97" i="15" a="1"/>
  <c r="H97" i="15" s="1"/>
  <c r="K97" i="15" s="1"/>
  <c r="AV175" i="15" a="1"/>
  <c r="AV175" i="15" s="1"/>
  <c r="I175" i="15" a="1"/>
  <c r="I175" i="15" s="1"/>
  <c r="L175" i="15" s="1"/>
  <c r="J175" i="15" s="1"/>
  <c r="Q251" i="15" a="1"/>
  <c r="Q251" i="15" s="1"/>
  <c r="L40" i="15"/>
  <c r="W96" i="15"/>
  <c r="AT224" i="15" a="1"/>
  <c r="AT224" i="15" s="1"/>
  <c r="AS175" i="15" a="1"/>
  <c r="AS175" i="15" s="1"/>
  <c r="AR97" i="15" a="1"/>
  <c r="AR97" i="15" s="1"/>
  <c r="I98" i="15" a="1"/>
  <c r="I98" i="15" s="1"/>
  <c r="L98" i="15" s="1"/>
  <c r="R175" i="15" a="1"/>
  <c r="R175" i="15" s="1"/>
  <c r="P175" i="15" s="1"/>
  <c r="H175" i="15" a="1"/>
  <c r="H175" i="15" s="1"/>
  <c r="K175" i="15" s="1"/>
  <c r="Q63" i="15" a="1"/>
  <c r="Q63" i="15" s="1"/>
  <c r="I63" i="15" a="1"/>
  <c r="I63" i="15" s="1"/>
  <c r="L63" i="15" s="1"/>
  <c r="R63" i="15" a="1"/>
  <c r="R63" i="15" s="1"/>
  <c r="W63" i="15" s="1"/>
  <c r="AO10" i="15"/>
  <c r="AR35" i="15" a="1"/>
  <c r="AR35" i="15" s="1"/>
  <c r="AT175" i="15" a="1"/>
  <c r="AT175" i="15" s="1"/>
  <c r="AR323" i="15" a="1"/>
  <c r="AR323" i="15" s="1"/>
  <c r="AS97" i="15" a="1"/>
  <c r="AS97" i="15" s="1"/>
  <c r="H98" i="15" a="1"/>
  <c r="H98" i="15" s="1"/>
  <c r="Q99" i="15" a="1"/>
  <c r="Q99" i="15" s="1"/>
  <c r="P99" i="15" s="1"/>
  <c r="N99" i="15" s="1"/>
  <c r="P362" i="15"/>
  <c r="N362" i="15" s="1"/>
  <c r="AS35" i="15" a="1"/>
  <c r="AS35" i="15" s="1"/>
  <c r="O323" i="15" a="1"/>
  <c r="O323" i="15" s="1"/>
  <c r="AT323" i="15" a="1"/>
  <c r="AT323" i="15" s="1"/>
  <c r="AT97" i="15" a="1"/>
  <c r="AT97" i="15" s="1"/>
  <c r="AR98" i="15" a="1"/>
  <c r="AR98" i="15" s="1"/>
  <c r="M176" i="15"/>
  <c r="H99" i="15" a="1"/>
  <c r="H99" i="15" s="1"/>
  <c r="K99" i="15" s="1"/>
  <c r="M100" i="15"/>
  <c r="O100" i="15" s="1" a="1"/>
  <c r="O100" i="15" s="1"/>
  <c r="O104" i="15" a="1"/>
  <c r="O104" i="15" s="1"/>
  <c r="AT35" i="15" a="1"/>
  <c r="AT35" i="15" s="1"/>
  <c r="R104" i="15" a="1"/>
  <c r="R104" i="15" s="1"/>
  <c r="AR99" i="15" a="1"/>
  <c r="AR99" i="15" s="1"/>
  <c r="AQ99" i="15" s="1"/>
  <c r="AW99" i="15" s="1"/>
  <c r="AS98" i="15" a="1"/>
  <c r="AS98" i="15" s="1"/>
  <c r="AS238" i="15" a="1"/>
  <c r="AS238" i="15" s="1"/>
  <c r="I99" i="15" a="1"/>
  <c r="I99" i="15" s="1"/>
  <c r="W99" i="15" s="1"/>
  <c r="H13" i="15" a="1"/>
  <c r="H13" i="15" s="1"/>
  <c r="K13" i="15" s="1"/>
  <c r="HK31" i="21"/>
  <c r="HM31" i="21" s="1"/>
  <c r="EZ22" i="21"/>
  <c r="O2" i="21"/>
  <c r="AG13" i="15"/>
  <c r="AM14" i="15"/>
  <c r="AG14" i="15"/>
  <c r="AK14" i="15"/>
  <c r="AD13" i="15"/>
  <c r="AO13" i="15" s="1"/>
  <c r="AM13" i="15"/>
  <c r="AF13" i="15"/>
  <c r="AN14" i="15"/>
  <c r="AL13" i="15"/>
  <c r="AJ13" i="15" s="1"/>
  <c r="AH13" i="15" s="1"/>
  <c r="AN13" i="15"/>
  <c r="AL14" i="15"/>
  <c r="AF14" i="15"/>
  <c r="AE14" i="15" s="1"/>
  <c r="T322" i="15"/>
  <c r="U20" i="4"/>
  <c r="CO11" i="4"/>
  <c r="M14" i="4"/>
  <c r="Q13" i="4"/>
  <c r="NI4" i="4"/>
  <c r="N349" i="15"/>
  <c r="P61" i="15"/>
  <c r="N61" i="15" s="1"/>
  <c r="LO22" i="4"/>
  <c r="OJ23" i="4"/>
  <c r="AV22" i="4"/>
  <c r="MW9" i="4"/>
  <c r="JC23" i="4"/>
  <c r="BX22" i="4"/>
  <c r="DG9" i="4"/>
  <c r="BN23" i="4"/>
  <c r="LV9" i="4"/>
  <c r="AV9" i="4"/>
  <c r="W61" i="15"/>
  <c r="KS9" i="4"/>
  <c r="F22" i="4"/>
  <c r="M20" i="4"/>
  <c r="J237" i="15"/>
  <c r="CS22" i="4"/>
  <c r="V237" i="15"/>
  <c r="F9" i="4"/>
  <c r="HF17" i="4"/>
  <c r="KF17" i="4"/>
  <c r="AH23" i="4"/>
  <c r="FX23" i="4"/>
  <c r="GN23" i="4"/>
  <c r="IC20" i="4"/>
  <c r="FE9" i="4"/>
  <c r="CY9" i="4"/>
  <c r="KC23" i="4"/>
  <c r="PD22" i="4"/>
  <c r="ES20" i="4"/>
  <c r="JA11" i="4"/>
  <c r="MO23" i="4"/>
  <c r="CR9" i="4"/>
  <c r="FR17" i="4"/>
  <c r="E20" i="4"/>
  <c r="AX22" i="4"/>
  <c r="KH9" i="4"/>
  <c r="GH13" i="4"/>
  <c r="L17" i="4"/>
  <c r="AL9" i="4"/>
  <c r="MG9" i="4"/>
  <c r="CM9" i="4"/>
  <c r="EQ22" i="4"/>
  <c r="NR23" i="4"/>
  <c r="GH23" i="4"/>
  <c r="DY22" i="4"/>
  <c r="AO9" i="4"/>
  <c r="CX9" i="4"/>
  <c r="DH9" i="4"/>
  <c r="GW11" i="4"/>
  <c r="BI20" i="4"/>
  <c r="EH22" i="4"/>
  <c r="GH17" i="4"/>
  <c r="GH21" i="4" s="1"/>
  <c r="OG18" i="4"/>
  <c r="KR17" i="4"/>
  <c r="NK9" i="4"/>
  <c r="KQ9" i="4"/>
  <c r="HH9" i="4"/>
  <c r="BO9" i="4"/>
  <c r="HE20" i="4"/>
  <c r="HE22" i="4" s="1"/>
  <c r="DI22" i="4"/>
  <c r="T285" i="15"/>
  <c r="FW9" i="4"/>
  <c r="NR17" i="4"/>
  <c r="DY17" i="4"/>
  <c r="FW22" i="4"/>
  <c r="GB23" i="4"/>
  <c r="HJ23" i="4"/>
  <c r="FP22" i="4"/>
  <c r="JD23" i="4"/>
  <c r="FB17" i="4"/>
  <c r="O166" i="15" a="1"/>
  <c r="O166" i="15" s="1"/>
  <c r="T166" i="15" s="1"/>
  <c r="EF23" i="4"/>
  <c r="FI35" i="4"/>
  <c r="IF9" i="4"/>
  <c r="IN9" i="4"/>
  <c r="BZ9" i="4"/>
  <c r="FP23" i="4"/>
  <c r="GS23" i="4"/>
  <c r="KR22" i="4"/>
  <c r="CT9" i="4"/>
  <c r="V251" i="15"/>
  <c r="N223" i="15"/>
  <c r="V168" i="15"/>
  <c r="V174" i="15"/>
  <c r="W202" i="15"/>
  <c r="U202" i="15" s="1"/>
  <c r="S202" i="15" s="1"/>
  <c r="T355" i="15"/>
  <c r="P292" i="15"/>
  <c r="N292" i="15" s="1"/>
  <c r="P315" i="15"/>
  <c r="N315" i="15" s="1"/>
  <c r="W168" i="15"/>
  <c r="W348" i="15"/>
  <c r="V209" i="15"/>
  <c r="P174" i="15"/>
  <c r="V315" i="15"/>
  <c r="U315" i="15" s="1"/>
  <c r="K6" i="15"/>
  <c r="V286" i="15"/>
  <c r="J55" i="15"/>
  <c r="W40" i="15"/>
  <c r="U40" i="15" s="1"/>
  <c r="L97" i="15"/>
  <c r="J97" i="15" s="1"/>
  <c r="K47" i="15"/>
  <c r="J47" i="15" s="1"/>
  <c r="V68" i="15"/>
  <c r="L68" i="15"/>
  <c r="W286" i="15"/>
  <c r="T315" i="15"/>
  <c r="W89" i="15"/>
  <c r="T215" i="15"/>
  <c r="P314" i="15"/>
  <c r="N314" i="15" s="1"/>
  <c r="V355" i="15"/>
  <c r="P187" i="15"/>
  <c r="N187" i="15" s="1"/>
  <c r="P320" i="15"/>
  <c r="N320" i="15" s="1"/>
  <c r="L355" i="15"/>
  <c r="J355" i="15" s="1"/>
  <c r="P76" i="15"/>
  <c r="N76" i="15" s="1"/>
  <c r="V313" i="15"/>
  <c r="V243" i="15"/>
  <c r="W76" i="15"/>
  <c r="P208" i="15"/>
  <c r="N208" i="15" s="1"/>
  <c r="W97" i="15"/>
  <c r="J161" i="15"/>
  <c r="W103" i="15"/>
  <c r="U103" i="15" s="1"/>
  <c r="W313" i="15"/>
  <c r="W237" i="15"/>
  <c r="U237" i="15" s="1"/>
  <c r="V76" i="15"/>
  <c r="W6" i="15"/>
  <c r="U6" i="15" s="1"/>
  <c r="L76" i="15"/>
  <c r="J76" i="15" s="1"/>
  <c r="J313" i="15"/>
  <c r="V279" i="15"/>
  <c r="P103" i="15"/>
  <c r="N103" i="15" s="1"/>
  <c r="L41" i="15"/>
  <c r="W41" i="15"/>
  <c r="J168" i="15"/>
  <c r="J322" i="15"/>
  <c r="W314" i="15"/>
  <c r="V34" i="15"/>
  <c r="K26" i="15"/>
  <c r="V322" i="15"/>
  <c r="W132" i="15"/>
  <c r="V89" i="15"/>
  <c r="T187" i="15"/>
  <c r="W208" i="15"/>
  <c r="U208" i="15" s="1"/>
  <c r="J209" i="15"/>
  <c r="T265" i="15"/>
  <c r="P89" i="15"/>
  <c r="N89" i="15" s="1"/>
  <c r="J265" i="15"/>
  <c r="T117" i="15"/>
  <c r="T201" i="15"/>
  <c r="T96" i="15"/>
  <c r="T138" i="15"/>
  <c r="T335" i="15"/>
  <c r="N131" i="15"/>
  <c r="P335" i="15"/>
  <c r="N335" i="15" s="1"/>
  <c r="T167" i="15"/>
  <c r="W349" i="15"/>
  <c r="N96" i="15"/>
  <c r="W355" i="15"/>
  <c r="K64" i="15"/>
  <c r="Q204" i="15" a="1"/>
  <c r="Q204" i="15" s="1"/>
  <c r="I204" i="15" a="1"/>
  <c r="I204" i="15" s="1"/>
  <c r="O204" i="15" a="1"/>
  <c r="O204" i="15" s="1"/>
  <c r="R204" i="15" a="1"/>
  <c r="R204" i="15" s="1"/>
  <c r="AT204" i="15" a="1"/>
  <c r="AT204" i="15" s="1"/>
  <c r="AS204" i="15" a="1"/>
  <c r="AS204" i="15" s="1"/>
  <c r="AR204" i="15" a="1"/>
  <c r="AR204" i="15" s="1"/>
  <c r="H204" i="15" a="1"/>
  <c r="H204" i="15" s="1"/>
  <c r="K204" i="15" s="1"/>
  <c r="M65" i="15"/>
  <c r="O65" i="15" s="1" a="1"/>
  <c r="O65" i="15" s="1"/>
  <c r="J315" i="15"/>
  <c r="W322" i="15"/>
  <c r="Q203" i="15" a="1"/>
  <c r="Q203" i="15" s="1"/>
  <c r="I64" i="15" a="1"/>
  <c r="I64" i="15" s="1"/>
  <c r="L64" i="15" s="1"/>
  <c r="AU64" i="15" a="1"/>
  <c r="AU64" i="15" s="1"/>
  <c r="AQ64" i="15" s="1"/>
  <c r="AV203" i="15" a="1"/>
  <c r="AV203" i="15" s="1"/>
  <c r="AV64" i="15" a="1"/>
  <c r="AV64" i="15" s="1"/>
  <c r="AU203" i="15" a="1"/>
  <c r="AU203" i="15" s="1"/>
  <c r="AQ203" i="15" s="1"/>
  <c r="W279" i="15"/>
  <c r="O317" i="15" a="1"/>
  <c r="O317" i="15" s="1"/>
  <c r="AS317" i="15" a="1"/>
  <c r="AS317" i="15" s="1"/>
  <c r="H317" i="15" a="1"/>
  <c r="H317" i="15" s="1"/>
  <c r="K317" i="15" s="1"/>
  <c r="AT317" i="15" a="1"/>
  <c r="AT317" i="15" s="1"/>
  <c r="AR317" i="15" a="1"/>
  <c r="AR317" i="15" s="1"/>
  <c r="P26" i="15"/>
  <c r="V131" i="15"/>
  <c r="U131" i="15" s="1"/>
  <c r="P6" i="15"/>
  <c r="K40" i="15"/>
  <c r="J40" i="15" s="1"/>
  <c r="V152" i="15"/>
  <c r="AS162" i="15" a="1"/>
  <c r="AS162" i="15" s="1"/>
  <c r="AS78" i="15" a="1"/>
  <c r="AS78" i="15" s="1"/>
  <c r="AR77" i="15" a="1"/>
  <c r="AR77" i="15" s="1"/>
  <c r="O188" i="15" a="1"/>
  <c r="O188" i="15" s="1"/>
  <c r="T188" i="15" s="1"/>
  <c r="H35" i="15" a="1"/>
  <c r="H35" i="15" s="1"/>
  <c r="AT78" i="15" a="1"/>
  <c r="AT78" i="15" s="1"/>
  <c r="AS77" i="15" a="1"/>
  <c r="AS77" i="15" s="1"/>
  <c r="P279" i="15"/>
  <c r="N279" i="15" s="1"/>
  <c r="V55" i="15"/>
  <c r="U55" i="15" s="1"/>
  <c r="P55" i="15"/>
  <c r="N55" i="15" s="1"/>
  <c r="AT77" i="15" a="1"/>
  <c r="AT77" i="15" s="1"/>
  <c r="Q77" i="15" a="1"/>
  <c r="Q77" i="15" s="1"/>
  <c r="T132" i="15"/>
  <c r="V33" i="15"/>
  <c r="W33" i="15"/>
  <c r="N167" i="15"/>
  <c r="R77" i="15" a="1"/>
  <c r="R77" i="15" s="1"/>
  <c r="AV316" i="15" a="1"/>
  <c r="AV316" i="15" s="1"/>
  <c r="I77" i="15" a="1"/>
  <c r="I77" i="15" s="1"/>
  <c r="N306" i="15"/>
  <c r="P355" i="15"/>
  <c r="N355" i="15" s="1"/>
  <c r="H336" i="15" a="1"/>
  <c r="H336" i="15" s="1"/>
  <c r="K336" i="15" s="1"/>
  <c r="O77" i="15" a="1"/>
  <c r="O77" i="15" s="1"/>
  <c r="O78" i="15" a="1"/>
  <c r="O78" i="15" s="1"/>
  <c r="AU316" i="15" a="1"/>
  <c r="AU316" i="15" s="1"/>
  <c r="AQ316" i="15" s="1"/>
  <c r="AW316" i="15" s="1"/>
  <c r="I316" i="15" a="1"/>
  <c r="I316" i="15" s="1"/>
  <c r="L316" i="15" s="1"/>
  <c r="J316" i="15" s="1"/>
  <c r="P168" i="15"/>
  <c r="AT336" i="15" a="1"/>
  <c r="AT336" i="15" s="1"/>
  <c r="P110" i="15"/>
  <c r="N110" i="15" s="1"/>
  <c r="AU77" i="15" a="1"/>
  <c r="AU77" i="15" s="1"/>
  <c r="F18" i="21"/>
  <c r="V153" i="15"/>
  <c r="AS83" i="15" a="1"/>
  <c r="AS83" i="15" s="1"/>
  <c r="L33" i="15"/>
  <c r="J33" i="15" s="1"/>
  <c r="H77" i="15" a="1"/>
  <c r="H77" i="15" s="1"/>
  <c r="K77" i="15" s="1"/>
  <c r="J182" i="15"/>
  <c r="H258" i="15" a="1"/>
  <c r="H258" i="15" s="1"/>
  <c r="Q258" i="15" a="1"/>
  <c r="Q258" i="15" s="1"/>
  <c r="M259" i="15"/>
  <c r="I258" i="15" a="1"/>
  <c r="I258" i="15" s="1"/>
  <c r="AU258" i="15" a="1"/>
  <c r="AU258" i="15" s="1"/>
  <c r="AQ258" i="15" s="1"/>
  <c r="R258" i="15" a="1"/>
  <c r="R258" i="15" s="1"/>
  <c r="AV258" i="15" a="1"/>
  <c r="AV258" i="15" s="1"/>
  <c r="Q356" i="15" a="1"/>
  <c r="Q356" i="15" s="1"/>
  <c r="M252" i="15"/>
  <c r="R252" i="15" s="1" a="1"/>
  <c r="R252" i="15" s="1"/>
  <c r="P321" i="15"/>
  <c r="N321" i="15" s="1"/>
  <c r="J321" i="15"/>
  <c r="AU111" i="15" a="1"/>
  <c r="AU111" i="15" s="1"/>
  <c r="AQ111" i="15" s="1"/>
  <c r="AV111" i="15" a="1"/>
  <c r="AV111" i="15" s="1"/>
  <c r="R251" i="15" a="1"/>
  <c r="R251" i="15" s="1"/>
  <c r="H83" i="15" a="1"/>
  <c r="H83" i="15" s="1"/>
  <c r="K83" i="15" s="1"/>
  <c r="H356" i="15" a="1"/>
  <c r="H356" i="15" s="1"/>
  <c r="K356" i="15" s="1"/>
  <c r="R356" i="15" a="1"/>
  <c r="R356" i="15" s="1"/>
  <c r="P34" i="15"/>
  <c r="N34" i="15" s="1"/>
  <c r="K124" i="15"/>
  <c r="J124" i="15" s="1"/>
  <c r="AR83" i="15" a="1"/>
  <c r="AR83" i="15" s="1"/>
  <c r="AR356" i="15" a="1"/>
  <c r="AR356" i="15" s="1"/>
  <c r="AT104" i="15" a="1"/>
  <c r="AT104" i="15" s="1"/>
  <c r="AS363" i="15" a="1"/>
  <c r="AS363" i="15" s="1"/>
  <c r="AS13" i="15" a="1"/>
  <c r="AS13" i="15" s="1"/>
  <c r="N36" i="21" s="1"/>
  <c r="R238" i="15" a="1"/>
  <c r="R238" i="15" s="1"/>
  <c r="H238" i="15" a="1"/>
  <c r="H238" i="15" s="1"/>
  <c r="K238" i="15" s="1"/>
  <c r="M357" i="15"/>
  <c r="T223" i="15"/>
  <c r="W110" i="15"/>
  <c r="AS356" i="15" a="1"/>
  <c r="AS356" i="15" s="1"/>
  <c r="Q104" i="15" a="1"/>
  <c r="Q104" i="15" s="1"/>
  <c r="P104" i="15" s="1"/>
  <c r="N104" i="15" s="1"/>
  <c r="AU363" i="15" a="1"/>
  <c r="AU363" i="15" s="1"/>
  <c r="AU13" i="15" a="1"/>
  <c r="AU13" i="15" s="1"/>
  <c r="N25" i="21" s="1"/>
  <c r="AR133" i="15" a="1"/>
  <c r="AR133" i="15" s="1"/>
  <c r="AR238" i="15" a="1"/>
  <c r="AR238" i="15" s="1"/>
  <c r="O162" i="15" a="1"/>
  <c r="O162" i="15" s="1"/>
  <c r="T162" i="15" s="1"/>
  <c r="Q176" i="15" a="1"/>
  <c r="Q176" i="15" s="1"/>
  <c r="I356" i="15" a="1"/>
  <c r="I356" i="15" s="1"/>
  <c r="L356" i="15" s="1"/>
  <c r="P153" i="15"/>
  <c r="N153" i="15" s="1"/>
  <c r="H104" i="15" a="1"/>
  <c r="H104" i="15" s="1"/>
  <c r="K104" i="15" s="1"/>
  <c r="O363" i="15" a="1"/>
  <c r="O363" i="15" s="1"/>
  <c r="T363" i="15" s="1"/>
  <c r="I13" i="15" a="1"/>
  <c r="I13" i="15" s="1"/>
  <c r="L13" i="15" s="1"/>
  <c r="AS133" i="15" a="1"/>
  <c r="AS133" i="15" s="1"/>
  <c r="AT133" i="15" a="1"/>
  <c r="AT133" i="15" s="1"/>
  <c r="J153" i="15"/>
  <c r="V349" i="15"/>
  <c r="AR162" i="15" a="1"/>
  <c r="AR162" i="15" s="1"/>
  <c r="R13" i="15" a="1"/>
  <c r="R13" i="15" s="1"/>
  <c r="N16" i="21" s="1"/>
  <c r="P111" i="15"/>
  <c r="N111" i="15" s="1"/>
  <c r="AS176" i="15" a="1"/>
  <c r="AS176" i="15" s="1"/>
  <c r="T286" i="15"/>
  <c r="J349" i="15"/>
  <c r="O176" i="15" a="1"/>
  <c r="O176" i="15" s="1"/>
  <c r="AU356" i="15" a="1"/>
  <c r="AU356" i="15" s="1"/>
  <c r="H203" i="15" a="1"/>
  <c r="H203" i="15" s="1"/>
  <c r="K203" i="15" s="1"/>
  <c r="R203" i="15" a="1"/>
  <c r="R203" i="15" s="1"/>
  <c r="I203" i="15" a="1"/>
  <c r="I203" i="15" s="1"/>
  <c r="AT162" i="15" a="1"/>
  <c r="AT162" i="15" s="1"/>
  <c r="Q13" i="15" a="1"/>
  <c r="Q13" i="15" s="1"/>
  <c r="N10" i="21" s="1"/>
  <c r="AT176" i="15" a="1"/>
  <c r="AT176" i="15" s="1"/>
  <c r="T222" i="15"/>
  <c r="O356" i="15" a="1"/>
  <c r="O356" i="15" s="1"/>
  <c r="K27" i="15"/>
  <c r="W34" i="15"/>
  <c r="P41" i="15"/>
  <c r="N41" i="15" s="1"/>
  <c r="V314" i="15"/>
  <c r="L78" i="15"/>
  <c r="V41" i="15"/>
  <c r="W153" i="15"/>
  <c r="P243" i="15"/>
  <c r="P342" i="15"/>
  <c r="N342" i="15" s="1"/>
  <c r="AR27" i="15" a="1"/>
  <c r="AR27" i="15" s="1"/>
  <c r="W243" i="15"/>
  <c r="AS27" i="15" a="1"/>
  <c r="AS27" i="15" s="1"/>
  <c r="J34" i="15"/>
  <c r="W320" i="15"/>
  <c r="I27" i="15" a="1"/>
  <c r="I27" i="15" s="1"/>
  <c r="T306" i="15"/>
  <c r="T314" i="15"/>
  <c r="P322" i="15"/>
  <c r="N322" i="15" s="1"/>
  <c r="AT27" i="15" a="1"/>
  <c r="AT27" i="15" s="1"/>
  <c r="K41" i="15"/>
  <c r="T41" i="15"/>
  <c r="W181" i="15"/>
  <c r="T75" i="15"/>
  <c r="U342" i="15"/>
  <c r="S342" i="15" s="1"/>
  <c r="T89" i="15"/>
  <c r="L181" i="15"/>
  <c r="J181" i="15" s="1"/>
  <c r="M84" i="15"/>
  <c r="I83" i="15" a="1"/>
  <c r="I83" i="15" s="1"/>
  <c r="L83" i="15" s="1"/>
  <c r="AV83" i="15" a="1"/>
  <c r="AV83" i="15" s="1"/>
  <c r="Q83" i="15" a="1"/>
  <c r="Q83" i="15" s="1"/>
  <c r="R83" i="15" a="1"/>
  <c r="R83" i="15" s="1"/>
  <c r="AU83" i="15" a="1"/>
  <c r="AU83" i="15" s="1"/>
  <c r="O83" i="15" a="1"/>
  <c r="O83" i="15" s="1"/>
  <c r="J279" i="15"/>
  <c r="M189" i="15"/>
  <c r="I188" i="15" a="1"/>
  <c r="I188" i="15" s="1"/>
  <c r="L188" i="15" s="1"/>
  <c r="M101" i="15"/>
  <c r="R154" i="15" a="1"/>
  <c r="R154" i="15" s="1"/>
  <c r="I154" i="15" a="1"/>
  <c r="I154" i="15" s="1"/>
  <c r="L154" i="15" s="1"/>
  <c r="J154" i="15" s="1"/>
  <c r="AU154" i="15" a="1"/>
  <c r="AU154" i="15" s="1"/>
  <c r="AQ154" i="15" s="1"/>
  <c r="AW154" i="15" s="1"/>
  <c r="Q154" i="15" a="1"/>
  <c r="Q154" i="15" s="1"/>
  <c r="M155" i="15"/>
  <c r="O155" i="15" s="1" a="1"/>
  <c r="O155" i="15" s="1"/>
  <c r="H224" i="15" a="1"/>
  <c r="H224" i="15" s="1"/>
  <c r="K224" i="15" s="1"/>
  <c r="R224" i="15" a="1"/>
  <c r="R224" i="15" s="1"/>
  <c r="M225" i="15"/>
  <c r="Q224" i="15" a="1"/>
  <c r="Q224" i="15" s="1"/>
  <c r="I224" i="15" a="1"/>
  <c r="I224" i="15" s="1"/>
  <c r="L224" i="15" s="1"/>
  <c r="AV224" i="15" a="1"/>
  <c r="AV224" i="15" s="1"/>
  <c r="AV41" i="15" a="1"/>
  <c r="AV41" i="15" s="1"/>
  <c r="AU41" i="15" a="1"/>
  <c r="AU41" i="15" s="1"/>
  <c r="AQ41" i="15" s="1"/>
  <c r="M42" i="15"/>
  <c r="M205" i="15"/>
  <c r="O205" i="15" s="1" a="1"/>
  <c r="O205" i="15" s="1"/>
  <c r="AV204" i="15" a="1"/>
  <c r="AV204" i="15" s="1"/>
  <c r="AU204" i="15" a="1"/>
  <c r="AU204" i="15" s="1"/>
  <c r="AV252" i="15" a="1"/>
  <c r="AV252" i="15" s="1"/>
  <c r="AU252" i="15" a="1"/>
  <c r="AU252" i="15" s="1"/>
  <c r="M253" i="15"/>
  <c r="Q64" i="15" a="1"/>
  <c r="Q64" i="15" s="1"/>
  <c r="R64" i="15" a="1"/>
  <c r="R64" i="15" s="1"/>
  <c r="R316" i="15" a="1"/>
  <c r="R316" i="15" s="1"/>
  <c r="Q316" i="15" a="1"/>
  <c r="Q316" i="15" s="1"/>
  <c r="O316" i="15" a="1"/>
  <c r="O316" i="15" s="1"/>
  <c r="T316" i="15" s="1"/>
  <c r="Q183" i="15" a="1"/>
  <c r="Q183" i="15" s="1"/>
  <c r="AV183" i="15" a="1"/>
  <c r="AV183" i="15" s="1"/>
  <c r="M184" i="15"/>
  <c r="O184" i="15" s="1" a="1"/>
  <c r="O184" i="15" s="1"/>
  <c r="I183" i="15" a="1"/>
  <c r="I183" i="15" s="1"/>
  <c r="H183" i="15" a="1"/>
  <c r="H183" i="15" s="1"/>
  <c r="R183" i="15" a="1"/>
  <c r="R183" i="15" s="1"/>
  <c r="AU183" i="15" a="1"/>
  <c r="AU183" i="15" s="1"/>
  <c r="AQ183" i="15" s="1"/>
  <c r="R90" i="15" a="1"/>
  <c r="R90" i="15" s="1"/>
  <c r="AV90" i="15" a="1"/>
  <c r="AV90" i="15" s="1"/>
  <c r="M91" i="15"/>
  <c r="I90" i="15" a="1"/>
  <c r="I90" i="15" s="1"/>
  <c r="L90" i="15" s="1"/>
  <c r="AU90" i="15" a="1"/>
  <c r="AU90" i="15" s="1"/>
  <c r="AQ90" i="15" s="1"/>
  <c r="H90" i="15" a="1"/>
  <c r="H90" i="15" s="1"/>
  <c r="K90" i="15" s="1"/>
  <c r="Q90" i="15" a="1"/>
  <c r="Q90" i="15" s="1"/>
  <c r="I133" i="15" a="1"/>
  <c r="I133" i="15" s="1"/>
  <c r="L133" i="15" s="1"/>
  <c r="H133" i="15" a="1"/>
  <c r="H133" i="15" s="1"/>
  <c r="K133" i="15" s="1"/>
  <c r="R133" i="15" a="1"/>
  <c r="R133" i="15" s="1"/>
  <c r="AV133" i="15" a="1"/>
  <c r="AV133" i="15" s="1"/>
  <c r="Q133" i="15" a="1"/>
  <c r="Q133" i="15" s="1"/>
  <c r="AU133" i="15" a="1"/>
  <c r="AU133" i="15" s="1"/>
  <c r="M134" i="15"/>
  <c r="M170" i="15"/>
  <c r="AV169" i="15" a="1"/>
  <c r="AV169" i="15" s="1"/>
  <c r="AU169" i="15" a="1"/>
  <c r="AU169" i="15" s="1"/>
  <c r="AQ169" i="15" s="1"/>
  <c r="I169" i="15" a="1"/>
  <c r="I169" i="15" s="1"/>
  <c r="Q169" i="15" a="1"/>
  <c r="Q169" i="15" s="1"/>
  <c r="H343" i="15" a="1"/>
  <c r="H343" i="15" s="1"/>
  <c r="K343" i="15" s="1"/>
  <c r="AU343" i="15" a="1"/>
  <c r="AU343" i="15" s="1"/>
  <c r="O343" i="15" a="1"/>
  <c r="O343" i="15" s="1"/>
  <c r="I343" i="15" a="1"/>
  <c r="I343" i="15" s="1"/>
  <c r="L343" i="15" s="1"/>
  <c r="AV343" i="15" a="1"/>
  <c r="AV343" i="15" s="1"/>
  <c r="M344" i="15"/>
  <c r="R343" i="15" a="1"/>
  <c r="R343" i="15" s="1"/>
  <c r="Q343" i="15" a="1"/>
  <c r="Q343" i="15" s="1"/>
  <c r="Q363" i="15" a="1"/>
  <c r="Q363" i="15" s="1"/>
  <c r="V363" i="15" s="1"/>
  <c r="R363" i="15" a="1"/>
  <c r="R363" i="15" s="1"/>
  <c r="W363" i="15" s="1"/>
  <c r="M324" i="15"/>
  <c r="AU323" i="15" a="1"/>
  <c r="AU323" i="15" s="1"/>
  <c r="I323" i="15" a="1"/>
  <c r="I323" i="15" s="1"/>
  <c r="L323" i="15" s="1"/>
  <c r="H323" i="15" a="1"/>
  <c r="H323" i="15" s="1"/>
  <c r="K323" i="15" s="1"/>
  <c r="Q323" i="15" a="1"/>
  <c r="Q323" i="15" s="1"/>
  <c r="R323" i="15" a="1"/>
  <c r="R323" i="15" s="1"/>
  <c r="AV323" i="15" a="1"/>
  <c r="AV323" i="15" s="1"/>
  <c r="AV357" i="15" a="1"/>
  <c r="AV357" i="15" s="1"/>
  <c r="O357" i="15" a="1"/>
  <c r="O357" i="15" s="1"/>
  <c r="R357" i="15" a="1"/>
  <c r="R357" i="15" s="1"/>
  <c r="Q357" i="15" a="1"/>
  <c r="Q357" i="15" s="1"/>
  <c r="I357" i="15" a="1"/>
  <c r="I357" i="15" s="1"/>
  <c r="AU357" i="15" a="1"/>
  <c r="AU357" i="15" s="1"/>
  <c r="H357" i="15" a="1"/>
  <c r="H357" i="15" s="1"/>
  <c r="K357" i="15" s="1"/>
  <c r="M358" i="15"/>
  <c r="AV56" i="15" a="1"/>
  <c r="AV56" i="15" s="1"/>
  <c r="R56" i="15" a="1"/>
  <c r="R56" i="15" s="1"/>
  <c r="AV317" i="15" a="1"/>
  <c r="AV317" i="15" s="1"/>
  <c r="AU317" i="15" a="1"/>
  <c r="AU317" i="15" s="1"/>
  <c r="M318" i="15"/>
  <c r="I317" i="15" a="1"/>
  <c r="I317" i="15" s="1"/>
  <c r="R317" i="15" a="1"/>
  <c r="R317" i="15" s="1"/>
  <c r="R293" i="15" a="1"/>
  <c r="R293" i="15" s="1"/>
  <c r="I293" i="15" a="1"/>
  <c r="I293" i="15" s="1"/>
  <c r="L293" i="15" s="1"/>
  <c r="AV293" i="15" a="1"/>
  <c r="AV293" i="15" s="1"/>
  <c r="M294" i="15"/>
  <c r="Q293" i="15" a="1"/>
  <c r="Q293" i="15" s="1"/>
  <c r="H293" i="15" a="1"/>
  <c r="H293" i="15" s="1"/>
  <c r="K293" i="15" s="1"/>
  <c r="AU293" i="15" a="1"/>
  <c r="AU293" i="15" s="1"/>
  <c r="AQ293" i="15" s="1"/>
  <c r="R65" i="15" a="1"/>
  <c r="R65" i="15" s="1"/>
  <c r="H65" i="15" a="1"/>
  <c r="H65" i="15" s="1"/>
  <c r="Q65" i="15" a="1"/>
  <c r="Q65" i="15" s="1"/>
  <c r="R27" i="15" a="1"/>
  <c r="R27" i="15" s="1"/>
  <c r="Q27" i="15" a="1"/>
  <c r="Q27" i="15" s="1"/>
  <c r="M28" i="15"/>
  <c r="AV27" i="15" a="1"/>
  <c r="AV27" i="15" s="1"/>
  <c r="AU27" i="15" a="1"/>
  <c r="AU27" i="15" s="1"/>
  <c r="AU176" i="15" a="1"/>
  <c r="AU176" i="15" s="1"/>
  <c r="M177" i="15"/>
  <c r="AV176" i="15" a="1"/>
  <c r="AV176" i="15" s="1"/>
  <c r="H176" i="15" a="1"/>
  <c r="H176" i="15" s="1"/>
  <c r="I176" i="15" a="1"/>
  <c r="I176" i="15" s="1"/>
  <c r="L176" i="15" s="1"/>
  <c r="AV7" i="15" a="1"/>
  <c r="AV7" i="15" s="1"/>
  <c r="G24" i="21" s="1"/>
  <c r="M8" i="15"/>
  <c r="O7" i="15" a="1"/>
  <c r="O7" i="15" s="1"/>
  <c r="Q7" i="15" a="1"/>
  <c r="Q7" i="15" s="1"/>
  <c r="P7" i="15" s="1"/>
  <c r="I7" i="15" a="1"/>
  <c r="I7" i="15" s="1"/>
  <c r="W7" i="15" s="1"/>
  <c r="O336" i="15" a="1"/>
  <c r="O336" i="15" s="1"/>
  <c r="M337" i="15"/>
  <c r="AV336" i="15" a="1"/>
  <c r="AV336" i="15" s="1"/>
  <c r="AU336" i="15" a="1"/>
  <c r="AU336" i="15" s="1"/>
  <c r="R336" i="15" a="1"/>
  <c r="R336" i="15" s="1"/>
  <c r="I336" i="15" a="1"/>
  <c r="I336" i="15" s="1"/>
  <c r="L336" i="15" s="1"/>
  <c r="Q336" i="15" a="1"/>
  <c r="Q336" i="15" s="1"/>
  <c r="Q35" i="15" a="1"/>
  <c r="Q35" i="15" s="1"/>
  <c r="R35" i="15" a="1"/>
  <c r="R35" i="15" s="1"/>
  <c r="I35" i="15" a="1"/>
  <c r="I35" i="15" s="1"/>
  <c r="M36" i="15"/>
  <c r="AV35" i="15" a="1"/>
  <c r="AV35" i="15" s="1"/>
  <c r="AU35" i="15" a="1"/>
  <c r="AU35" i="15" s="1"/>
  <c r="AQ35" i="15" s="1"/>
  <c r="AV78" i="15" a="1"/>
  <c r="AV78" i="15" s="1"/>
  <c r="M79" i="15"/>
  <c r="Q78" i="15" a="1"/>
  <c r="Q78" i="15" s="1"/>
  <c r="R78" i="15" a="1"/>
  <c r="R78" i="15" s="1"/>
  <c r="AU78" i="15" a="1"/>
  <c r="AU78" i="15" s="1"/>
  <c r="O57" i="15" a="1"/>
  <c r="O57" i="15" s="1"/>
  <c r="H78" i="15" a="1"/>
  <c r="H78" i="15" s="1"/>
  <c r="M308" i="15"/>
  <c r="AU307" i="15" a="1"/>
  <c r="AU307" i="15" s="1"/>
  <c r="AQ307" i="15" s="1"/>
  <c r="I307" i="15" a="1"/>
  <c r="I307" i="15" s="1"/>
  <c r="V307" i="15" s="1"/>
  <c r="H307" i="15" a="1"/>
  <c r="H307" i="15" s="1"/>
  <c r="K307" i="15" s="1"/>
  <c r="AV307" i="15" a="1"/>
  <c r="AV307" i="15" s="1"/>
  <c r="H7" i="15" a="1"/>
  <c r="H7" i="15" s="1"/>
  <c r="AV280" i="15" a="1"/>
  <c r="AV280" i="15" s="1"/>
  <c r="I280" i="15" a="1"/>
  <c r="I280" i="15" s="1"/>
  <c r="L280" i="15" s="1"/>
  <c r="Q280" i="15" a="1"/>
  <c r="Q280" i="15" s="1"/>
  <c r="H280" i="15" a="1"/>
  <c r="H280" i="15" s="1"/>
  <c r="K280" i="15" s="1"/>
  <c r="M281" i="15"/>
  <c r="R280" i="15" a="1"/>
  <c r="R280" i="15" s="1"/>
  <c r="AU280" i="15" a="1"/>
  <c r="AU280" i="15" s="1"/>
  <c r="AQ280" i="15" s="1"/>
  <c r="O280" i="15" a="1"/>
  <c r="O280" i="15" s="1"/>
  <c r="R162" i="15" a="1"/>
  <c r="R162" i="15" s="1"/>
  <c r="AV162" i="15" a="1"/>
  <c r="AV162" i="15" s="1"/>
  <c r="I162" i="15" a="1"/>
  <c r="I162" i="15" s="1"/>
  <c r="L162" i="15" s="1"/>
  <c r="J162" i="15" s="1"/>
  <c r="M163" i="15"/>
  <c r="Q162" i="15" a="1"/>
  <c r="Q162" i="15" s="1"/>
  <c r="AU162" i="15" a="1"/>
  <c r="AU162" i="15" s="1"/>
  <c r="I104" i="15" a="1"/>
  <c r="I104" i="15" s="1"/>
  <c r="L104" i="15" s="1"/>
  <c r="AV104" i="15" a="1"/>
  <c r="AV104" i="15" s="1"/>
  <c r="M105" i="15"/>
  <c r="AU238" i="15" a="1"/>
  <c r="AU238" i="15" s="1"/>
  <c r="AV238" i="15" a="1"/>
  <c r="AV238" i="15" s="1"/>
  <c r="M239" i="15"/>
  <c r="O238" i="15" a="1"/>
  <c r="O238" i="15" s="1"/>
  <c r="Q238" i="15" a="1"/>
  <c r="Q238" i="15" s="1"/>
  <c r="I238" i="15" a="1"/>
  <c r="I238" i="15" s="1"/>
  <c r="L238" i="15" s="1"/>
  <c r="AX9" i="4"/>
  <c r="JB9" i="4"/>
  <c r="HI22" i="4"/>
  <c r="CD9" i="4"/>
  <c r="BY9" i="4" s="1"/>
  <c r="HV9" i="4"/>
  <c r="MM17" i="4"/>
  <c r="HU11" i="4"/>
  <c r="DE19" i="4"/>
  <c r="LC22" i="4"/>
  <c r="IX9" i="4"/>
  <c r="AR17" i="4"/>
  <c r="LW9" i="4"/>
  <c r="OL22" i="4"/>
  <c r="LT17" i="4"/>
  <c r="LT21" i="4" s="1"/>
  <c r="AI9" i="4"/>
  <c r="LU11" i="4"/>
  <c r="JA36" i="4"/>
  <c r="EH9" i="4"/>
  <c r="EK11" i="4"/>
  <c r="EK22" i="4" s="1"/>
  <c r="DE11" i="4"/>
  <c r="IR17" i="4"/>
  <c r="J202" i="15"/>
  <c r="DY9" i="4"/>
  <c r="DY21" i="4" s="1"/>
  <c r="DU11" i="4"/>
  <c r="J342" i="15"/>
  <c r="HD9" i="4"/>
  <c r="OD9" i="4"/>
  <c r="LZ9" i="4"/>
  <c r="DJ9" i="4"/>
  <c r="LM19" i="4"/>
  <c r="N222" i="15"/>
  <c r="EQ9" i="4"/>
  <c r="JQ15" i="4"/>
  <c r="JX35" i="4"/>
  <c r="JQ35" i="4" s="1"/>
  <c r="HY9" i="4"/>
  <c r="IO17" i="4"/>
  <c r="BO21" i="4"/>
  <c r="N17" i="4"/>
  <c r="MO9" i="4"/>
  <c r="DB9" i="4"/>
  <c r="JO17" i="4"/>
  <c r="AP9" i="4"/>
  <c r="J9" i="4"/>
  <c r="NH13" i="4"/>
  <c r="NA13" i="4" s="1"/>
  <c r="OO18" i="4"/>
  <c r="LI23" i="4"/>
  <c r="BW18" i="4"/>
  <c r="LL17" i="4"/>
  <c r="NQ4" i="4"/>
  <c r="N236" i="15"/>
  <c r="KR23" i="4"/>
  <c r="J236" i="15"/>
  <c r="FD23" i="4"/>
  <c r="AB23" i="4"/>
  <c r="AR23" i="4"/>
  <c r="J201" i="15"/>
  <c r="N82" i="15"/>
  <c r="P194" i="15"/>
  <c r="N194" i="15" s="1"/>
  <c r="LY23" i="4"/>
  <c r="HK21" i="4"/>
  <c r="AN23" i="4"/>
  <c r="DS9" i="4"/>
  <c r="DS21" i="4" s="1"/>
  <c r="AP13" i="4"/>
  <c r="J334" i="15"/>
  <c r="MG23" i="4"/>
  <c r="J174" i="15"/>
  <c r="ML17" i="4"/>
  <c r="T236" i="15"/>
  <c r="O168" i="15" a="1"/>
  <c r="O168" i="15" s="1"/>
  <c r="T168" i="15" s="1"/>
  <c r="AC14" i="4"/>
  <c r="MN21" i="4"/>
  <c r="LT13" i="4"/>
  <c r="OW10" i="4"/>
  <c r="OW23" i="4" s="1"/>
  <c r="AN9" i="4"/>
  <c r="AN21" i="4" s="1"/>
  <c r="DG23" i="4"/>
  <c r="J223" i="15"/>
  <c r="JK23" i="4"/>
  <c r="AW17" i="4"/>
  <c r="AW21" i="4" s="1"/>
  <c r="FE23" i="4"/>
  <c r="MM13" i="4"/>
  <c r="BQ14" i="4"/>
  <c r="MN23" i="4"/>
  <c r="O307" i="15" a="1"/>
  <c r="O307" i="15" s="1"/>
  <c r="N23" i="4"/>
  <c r="L9" i="4"/>
  <c r="L21" i="4" s="1"/>
  <c r="T327" i="15"/>
  <c r="T56" i="15"/>
  <c r="KM17" i="4"/>
  <c r="KM21" i="4" s="1"/>
  <c r="DD18" i="4"/>
  <c r="J222" i="15"/>
  <c r="IQ21" i="4"/>
  <c r="CE23" i="4"/>
  <c r="PB9" i="4"/>
  <c r="OW9" i="4" s="1"/>
  <c r="EE9" i="4"/>
  <c r="BL18" i="4"/>
  <c r="IA23" i="4"/>
  <c r="BA10" i="4"/>
  <c r="BL13" i="4"/>
  <c r="BW13" i="4"/>
  <c r="ED23" i="4"/>
  <c r="T292" i="15"/>
  <c r="DT21" i="4"/>
  <c r="AO23" i="4"/>
  <c r="J61" i="15"/>
  <c r="NG21" i="4"/>
  <c r="FP9" i="4"/>
  <c r="P23" i="4"/>
  <c r="JO9" i="4"/>
  <c r="OG4" i="4"/>
  <c r="MQ23" i="4"/>
  <c r="OJ21" i="4"/>
  <c r="AY23" i="4"/>
  <c r="LJ9" i="4"/>
  <c r="LJ21" i="4" s="1"/>
  <c r="CR23" i="4"/>
  <c r="Y23" i="4"/>
  <c r="CV23" i="4"/>
  <c r="IL23" i="4"/>
  <c r="CN23" i="4"/>
  <c r="IN23" i="4"/>
  <c r="HN23" i="4"/>
  <c r="JU23" i="4"/>
  <c r="FL23" i="4"/>
  <c r="NP23" i="4"/>
  <c r="DU4" i="4"/>
  <c r="IJ23" i="4"/>
  <c r="AY17" i="4"/>
  <c r="AY21" i="4" s="1"/>
  <c r="P188" i="15"/>
  <c r="OO4" i="4"/>
  <c r="KB23" i="4"/>
  <c r="BD9" i="4"/>
  <c r="BD21" i="4" s="1"/>
  <c r="N9" i="4"/>
  <c r="OQ23" i="4"/>
  <c r="OD23" i="4"/>
  <c r="BL9" i="4"/>
  <c r="LY13" i="4"/>
  <c r="CO4" i="4"/>
  <c r="HU10" i="4"/>
  <c r="BI10" i="4"/>
  <c r="JG17" i="4"/>
  <c r="DY23" i="4"/>
  <c r="IJ17" i="4"/>
  <c r="IJ21" i="4" s="1"/>
  <c r="JI4" i="4"/>
  <c r="IM23" i="4"/>
  <c r="GY9" i="4"/>
  <c r="FD17" i="4"/>
  <c r="FD21" i="4" s="1"/>
  <c r="DK18" i="4"/>
  <c r="NP9" i="4"/>
  <c r="KZ23" i="4"/>
  <c r="ED17" i="4"/>
  <c r="ED21" i="4" s="1"/>
  <c r="Q23" i="4"/>
  <c r="MK4" i="4"/>
  <c r="F23" i="4"/>
  <c r="JX17" i="4"/>
  <c r="JX21" i="4" s="1"/>
  <c r="LI17" i="4"/>
  <c r="LI21" i="4" s="1"/>
  <c r="FL9" i="4"/>
  <c r="FL21" i="4" s="1"/>
  <c r="NE9" i="4"/>
  <c r="NE21" i="4" s="1"/>
  <c r="IQ23" i="4"/>
  <c r="GY23" i="4"/>
  <c r="BY4" i="4"/>
  <c r="MO17" i="4"/>
  <c r="HL23" i="4"/>
  <c r="NO21" i="4"/>
  <c r="DP23" i="4"/>
  <c r="FH23" i="4"/>
  <c r="JL9" i="4"/>
  <c r="JL21" i="4" s="1"/>
  <c r="MQ17" i="4"/>
  <c r="MQ21" i="4" s="1"/>
  <c r="DA23" i="4"/>
  <c r="JP18" i="4"/>
  <c r="JP17" i="4" s="1"/>
  <c r="JP21" i="4" s="1"/>
  <c r="JU9" i="4"/>
  <c r="JU21" i="4" s="1"/>
  <c r="W117" i="15"/>
  <c r="U117" i="15" s="1"/>
  <c r="AH17" i="4"/>
  <c r="AH21" i="4" s="1"/>
  <c r="FV17" i="4"/>
  <c r="FV21" i="4" s="1"/>
  <c r="NH17" i="4"/>
  <c r="NA17" i="4" s="1"/>
  <c r="DP9" i="4"/>
  <c r="CW4" i="4"/>
  <c r="O9" i="4"/>
  <c r="FM23" i="4"/>
  <c r="GL23" i="4"/>
  <c r="E4" i="4"/>
  <c r="JB23" i="4"/>
  <c r="JA4" i="4"/>
  <c r="JG23" i="4"/>
  <c r="NJ23" i="4"/>
  <c r="AB21" i="4"/>
  <c r="NI10" i="4"/>
  <c r="AM17" i="4"/>
  <c r="AM21" i="4" s="1"/>
  <c r="NJ9" i="4"/>
  <c r="BQ4" i="4"/>
  <c r="N265" i="15"/>
  <c r="JV9" i="4"/>
  <c r="JV21" i="4" s="1"/>
  <c r="JO23" i="4"/>
  <c r="KN9" i="4"/>
  <c r="JG9" i="4"/>
  <c r="CD23" i="4"/>
  <c r="OA9" i="4"/>
  <c r="OA21" i="4" s="1"/>
  <c r="W48" i="15"/>
  <c r="LN23" i="4"/>
  <c r="OR21" i="4"/>
  <c r="KH18" i="4"/>
  <c r="AP18" i="4"/>
  <c r="O181" i="15" a="1"/>
  <c r="O181" i="15" s="1"/>
  <c r="DM4" i="4"/>
  <c r="J215" i="15"/>
  <c r="W82" i="15"/>
  <c r="V23" i="4"/>
  <c r="ND9" i="4"/>
  <c r="EL9" i="4"/>
  <c r="V82" i="15"/>
  <c r="N166" i="15"/>
  <c r="GY13" i="4"/>
  <c r="HD21" i="4"/>
  <c r="OD17" i="4"/>
  <c r="DE10" i="4"/>
  <c r="HP23" i="4"/>
  <c r="CO10" i="4"/>
  <c r="V124" i="15"/>
  <c r="CQ9" i="4"/>
  <c r="GL9" i="4"/>
  <c r="GG9" i="4" s="1"/>
  <c r="LE10" i="4"/>
  <c r="DG17" i="4"/>
  <c r="DG21" i="4" s="1"/>
  <c r="KT18" i="4"/>
  <c r="KT17" i="4" s="1"/>
  <c r="KT21" i="4" s="1"/>
  <c r="LM4" i="4"/>
  <c r="AK14" i="4"/>
  <c r="EH23" i="4"/>
  <c r="LG23" i="4"/>
  <c r="O64" i="15" a="1"/>
  <c r="O64" i="15" s="1"/>
  <c r="BU13" i="4"/>
  <c r="HD23" i="4"/>
  <c r="LX23" i="4"/>
  <c r="GT23" i="4"/>
  <c r="ME9" i="4"/>
  <c r="MC9" i="4" s="1"/>
  <c r="O257" i="15" a="1"/>
  <c r="O257" i="15" s="1"/>
  <c r="ET23" i="4"/>
  <c r="KJ23" i="4"/>
  <c r="JA10" i="4"/>
  <c r="E10" i="4"/>
  <c r="BF9" i="4"/>
  <c r="J251" i="15"/>
  <c r="DH23" i="4"/>
  <c r="OQ21" i="4"/>
  <c r="M4" i="4"/>
  <c r="LK23" i="4"/>
  <c r="NL21" i="4"/>
  <c r="GC21" i="4"/>
  <c r="FE21" i="4"/>
  <c r="CE21" i="4"/>
  <c r="NG23" i="4"/>
  <c r="J159" i="15"/>
  <c r="EA21" i="4"/>
  <c r="HA18" i="4"/>
  <c r="HA23" i="4" s="1"/>
  <c r="HP17" i="4"/>
  <c r="P17" i="4"/>
  <c r="P21" i="4" s="1"/>
  <c r="EI13" i="4"/>
  <c r="EC13" i="4" s="1"/>
  <c r="FA4" i="4"/>
  <c r="JH13" i="4"/>
  <c r="JA13" i="4" s="1"/>
  <c r="CP23" i="4"/>
  <c r="LK17" i="4"/>
  <c r="LK21" i="4" s="1"/>
  <c r="AA17" i="4"/>
  <c r="AA21" i="4" s="1"/>
  <c r="GF23" i="4"/>
  <c r="IF23" i="4"/>
  <c r="CU23" i="4"/>
  <c r="V110" i="15"/>
  <c r="K68" i="15"/>
  <c r="O20" i="15" a="1"/>
  <c r="O20" i="15" s="1"/>
  <c r="DH17" i="4"/>
  <c r="DH21" i="4" s="1"/>
  <c r="NU21" i="4"/>
  <c r="CI23" i="4"/>
  <c r="DJ18" i="4"/>
  <c r="DJ23" i="4" s="1"/>
  <c r="ID23" i="4"/>
  <c r="MK10" i="4"/>
  <c r="DU10" i="4"/>
  <c r="IS4" i="4"/>
  <c r="AK10" i="4"/>
  <c r="J314" i="15"/>
  <c r="ET9" i="4"/>
  <c r="ET21" i="4" s="1"/>
  <c r="MJ17" i="4"/>
  <c r="MJ21" i="4" s="1"/>
  <c r="FM17" i="4"/>
  <c r="FM21" i="4" s="1"/>
  <c r="EJ23" i="4"/>
  <c r="BA4" i="4"/>
  <c r="FI4" i="4"/>
  <c r="IX21" i="4"/>
  <c r="V26" i="15"/>
  <c r="LX17" i="4"/>
  <c r="LX21" i="4" s="1"/>
  <c r="O27" i="15" a="1"/>
  <c r="O27" i="15" s="1"/>
  <c r="EG23" i="4"/>
  <c r="JM23" i="4"/>
  <c r="KQ21" i="4"/>
  <c r="N12" i="15"/>
  <c r="DZ13" i="4"/>
  <c r="DU13" i="4" s="1"/>
  <c r="AQ9" i="4"/>
  <c r="T173" i="15"/>
  <c r="T349" i="15"/>
  <c r="AE18" i="4"/>
  <c r="HE10" i="4"/>
  <c r="U10" i="4"/>
  <c r="X23" i="4"/>
  <c r="LM10" i="4"/>
  <c r="BI14" i="4"/>
  <c r="EC10" i="4"/>
  <c r="NW23" i="4"/>
  <c r="IH13" i="4"/>
  <c r="HO17" i="4"/>
  <c r="HO21" i="4" s="1"/>
  <c r="BX9" i="4"/>
  <c r="BX21" i="4" s="1"/>
  <c r="CG4" i="4"/>
  <c r="EJ9" i="4"/>
  <c r="HQ9" i="4"/>
  <c r="HM9" i="4" s="1"/>
  <c r="EH17" i="4"/>
  <c r="T237" i="15"/>
  <c r="JM21" i="4"/>
  <c r="IY23" i="4"/>
  <c r="NZ23" i="4"/>
  <c r="IW9" i="4"/>
  <c r="EI23" i="4"/>
  <c r="N152" i="15"/>
  <c r="HG23" i="4"/>
  <c r="FY10" i="4"/>
  <c r="DV9" i="4"/>
  <c r="FB23" i="4"/>
  <c r="J257" i="15"/>
  <c r="JI13" i="4"/>
  <c r="IO23" i="4"/>
  <c r="MX23" i="4"/>
  <c r="DV23" i="4"/>
  <c r="GD9" i="4"/>
  <c r="FY9" i="4" s="1"/>
  <c r="GP9" i="4"/>
  <c r="GP21" i="4" s="1"/>
  <c r="J5" i="15"/>
  <c r="T320" i="15"/>
  <c r="V159" i="15"/>
  <c r="T229" i="15"/>
  <c r="EI21" i="4"/>
  <c r="BM18" i="4"/>
  <c r="BI18" i="4" s="1"/>
  <c r="NW21" i="4"/>
  <c r="LT23" i="4"/>
  <c r="AA23" i="4"/>
  <c r="HM10" i="4"/>
  <c r="AK4" i="4"/>
  <c r="JY10" i="4"/>
  <c r="GM21" i="4"/>
  <c r="LO23" i="4"/>
  <c r="NY18" i="4"/>
  <c r="IR13" i="4"/>
  <c r="JX13" i="4"/>
  <c r="NA11" i="4"/>
  <c r="GG4" i="4"/>
  <c r="II21" i="4"/>
  <c r="JZ21" i="4"/>
  <c r="DM10" i="4"/>
  <c r="FO21" i="4"/>
  <c r="GW4" i="4"/>
  <c r="AK11" i="4"/>
  <c r="AK22" i="4" s="1"/>
  <c r="BV22" i="4"/>
  <c r="NH23" i="4"/>
  <c r="HC22" i="4"/>
  <c r="DJ22" i="4"/>
  <c r="HU4" i="4"/>
  <c r="MC4" i="4"/>
  <c r="IH9" i="4"/>
  <c r="IH22" i="4"/>
  <c r="W292" i="15"/>
  <c r="J138" i="15"/>
  <c r="W138" i="15"/>
  <c r="V292" i="15"/>
  <c r="T103" i="15"/>
  <c r="K180" i="15"/>
  <c r="J180" i="15" s="1"/>
  <c r="K188" i="15"/>
  <c r="U257" i="15"/>
  <c r="T180" i="15"/>
  <c r="GC23" i="4"/>
  <c r="CC23" i="4"/>
  <c r="LE19" i="4"/>
  <c r="DQ9" i="4"/>
  <c r="LH22" i="4"/>
  <c r="KJ9" i="4"/>
  <c r="KJ21" i="4" s="1"/>
  <c r="FY19" i="4"/>
  <c r="BM13" i="4"/>
  <c r="EY17" i="4"/>
  <c r="EY21" i="4" s="1"/>
  <c r="JL22" i="4"/>
  <c r="CF23" i="4"/>
  <c r="JZ13" i="4"/>
  <c r="O183" i="15" a="1"/>
  <c r="O183" i="15" s="1"/>
  <c r="GW10" i="4"/>
  <c r="LL22" i="4"/>
  <c r="V17" i="4"/>
  <c r="V21" i="4" s="1"/>
  <c r="KG10" i="4"/>
  <c r="KO11" i="4"/>
  <c r="CM23" i="4"/>
  <c r="OU9" i="4"/>
  <c r="HE19" i="4"/>
  <c r="BJ23" i="4"/>
  <c r="DP22" i="4"/>
  <c r="BN21" i="4"/>
  <c r="IH17" i="4"/>
  <c r="O250" i="15" a="1"/>
  <c r="O250" i="15" s="1"/>
  <c r="T250" i="15" s="1"/>
  <c r="OM23" i="4"/>
  <c r="DU20" i="4"/>
  <c r="KR9" i="4"/>
  <c r="JA19" i="4"/>
  <c r="DR23" i="4"/>
  <c r="AU17" i="4"/>
  <c r="AU21" i="4" s="1"/>
  <c r="FQ10" i="4"/>
  <c r="DZ23" i="4"/>
  <c r="N285" i="15"/>
  <c r="AR9" i="4"/>
  <c r="W18" i="4"/>
  <c r="U18" i="4" s="1"/>
  <c r="H17" i="4"/>
  <c r="H21" i="4" s="1"/>
  <c r="MB21" i="4"/>
  <c r="MM23" i="4"/>
  <c r="HQ18" i="4"/>
  <c r="HQ17" i="4" s="1"/>
  <c r="PD17" i="4"/>
  <c r="PD21" i="4" s="1"/>
  <c r="CM21" i="4"/>
  <c r="MY21" i="4"/>
  <c r="JQ11" i="4"/>
  <c r="DP17" i="4"/>
  <c r="BI4" i="4"/>
  <c r="J187" i="15"/>
  <c r="MR9" i="4"/>
  <c r="MR21" i="4" s="1"/>
  <c r="LE11" i="4"/>
  <c r="IO22" i="4"/>
  <c r="FG22" i="4"/>
  <c r="EV22" i="4"/>
  <c r="GG10" i="4"/>
  <c r="K21" i="4"/>
  <c r="JI11" i="4"/>
  <c r="II23" i="4"/>
  <c r="LU10" i="4"/>
  <c r="KZ9" i="4"/>
  <c r="KZ21" i="4" s="1"/>
  <c r="AS10" i="4"/>
  <c r="BL22" i="4"/>
  <c r="JZ23" i="4"/>
  <c r="BT23" i="4"/>
  <c r="IW22" i="4"/>
  <c r="HK23" i="4"/>
  <c r="O90" i="15" a="1"/>
  <c r="O90" i="15" s="1"/>
  <c r="KG11" i="4"/>
  <c r="CG14" i="4"/>
  <c r="BQ10" i="4"/>
  <c r="FO23" i="4"/>
  <c r="OG10" i="4"/>
  <c r="OG23" i="4" s="1"/>
  <c r="BA14" i="4"/>
  <c r="FU18" i="4"/>
  <c r="FU17" i="4" s="1"/>
  <c r="FU21" i="4" s="1"/>
  <c r="MX9" i="4"/>
  <c r="IC10" i="4"/>
  <c r="BI11" i="4"/>
  <c r="J292" i="15"/>
  <c r="DW23" i="4"/>
  <c r="IT23" i="4"/>
  <c r="V167" i="15"/>
  <c r="W167" i="15"/>
  <c r="V182" i="15"/>
  <c r="P307" i="15"/>
  <c r="W194" i="15"/>
  <c r="U194" i="15" s="1"/>
  <c r="V278" i="15"/>
  <c r="W278" i="15"/>
  <c r="W182" i="15"/>
  <c r="J82" i="15"/>
  <c r="J110" i="15"/>
  <c r="T161" i="15"/>
  <c r="J250" i="15"/>
  <c r="J89" i="15"/>
  <c r="T153" i="15"/>
  <c r="J264" i="15"/>
  <c r="J131" i="15"/>
  <c r="J327" i="15"/>
  <c r="J166" i="15"/>
  <c r="T97" i="15"/>
  <c r="P341" i="15"/>
  <c r="N341" i="15" s="1"/>
  <c r="J278" i="15"/>
  <c r="W250" i="15"/>
  <c r="N264" i="15"/>
  <c r="T34" i="15"/>
  <c r="U223" i="15"/>
  <c r="V250" i="15"/>
  <c r="J243" i="15"/>
  <c r="T131" i="15"/>
  <c r="V12" i="15"/>
  <c r="U12" i="15" s="1"/>
  <c r="S12" i="15" s="1"/>
  <c r="J348" i="15"/>
  <c r="K229" i="15"/>
  <c r="J229" i="15" s="1"/>
  <c r="V99" i="15"/>
  <c r="T82" i="15"/>
  <c r="T194" i="15"/>
  <c r="K194" i="15"/>
  <c r="T208" i="15"/>
  <c r="P182" i="15"/>
  <c r="IE9" i="4"/>
  <c r="IE21" i="4" s="1"/>
  <c r="AQ279" i="15"/>
  <c r="AW279" i="15" s="1"/>
  <c r="J54" i="15"/>
  <c r="BY10" i="4"/>
  <c r="ND21" i="4"/>
  <c r="LF9" i="4"/>
  <c r="LF21" i="4" s="1"/>
  <c r="AO17" i="4"/>
  <c r="AO21" i="4" s="1"/>
  <c r="FA11" i="4"/>
  <c r="M10" i="4"/>
  <c r="BV17" i="4"/>
  <c r="BV21" i="4" s="1"/>
  <c r="JW9" i="4"/>
  <c r="JW21" i="4" s="1"/>
  <c r="IC4" i="4"/>
  <c r="V111" i="15"/>
  <c r="IF17" i="4"/>
  <c r="MK11" i="4"/>
  <c r="KP17" i="4"/>
  <c r="NZ21" i="4"/>
  <c r="JN23" i="4"/>
  <c r="LP23" i="4"/>
  <c r="LY21" i="4"/>
  <c r="IK10" i="4"/>
  <c r="I21" i="4"/>
  <c r="AQ160" i="15"/>
  <c r="AW160" i="15" s="1"/>
  <c r="N161" i="15"/>
  <c r="Y17" i="4"/>
  <c r="Y21" i="4" s="1"/>
  <c r="AU22" i="4"/>
  <c r="U14" i="4"/>
  <c r="M11" i="4"/>
  <c r="M22" i="4" s="1"/>
  <c r="AS19" i="4"/>
  <c r="AS22" i="4" s="1"/>
  <c r="EN23" i="4"/>
  <c r="BQ19" i="4"/>
  <c r="BF22" i="4"/>
  <c r="MD23" i="4"/>
  <c r="T54" i="15"/>
  <c r="JJ23" i="4"/>
  <c r="IC11" i="4"/>
  <c r="X35" i="4" a="1"/>
  <c r="X35" i="4" s="1"/>
  <c r="U35" i="4" s="1"/>
  <c r="J341" i="15"/>
  <c r="JI10" i="4"/>
  <c r="CW10" i="4"/>
  <c r="DR17" i="4"/>
  <c r="DR21" i="4" s="1"/>
  <c r="MA18" i="4"/>
  <c r="MA17" i="4" s="1"/>
  <c r="MA21" i="4" s="1"/>
  <c r="NP17" i="4"/>
  <c r="NP21" i="4" s="1"/>
  <c r="JY4" i="4"/>
  <c r="J167" i="15"/>
  <c r="NN21" i="4"/>
  <c r="IK11" i="4"/>
  <c r="FW18" i="4"/>
  <c r="FW17" i="4" s="1"/>
  <c r="OT9" i="4"/>
  <c r="OT21" i="4" s="1"/>
  <c r="GW36" i="4"/>
  <c r="IE22" i="4"/>
  <c r="IO9" i="4"/>
  <c r="IO21" i="4" s="1"/>
  <c r="LO9" i="4"/>
  <c r="LO21" i="4" s="1"/>
  <c r="CT13" i="4"/>
  <c r="CO13" i="4" s="1"/>
  <c r="MA13" i="4"/>
  <c r="GM23" i="4"/>
  <c r="IV17" i="4"/>
  <c r="IV21" i="4" s="1"/>
  <c r="AQ131" i="15"/>
  <c r="AW131" i="15" s="1"/>
  <c r="LF22" i="4"/>
  <c r="MR22" i="4"/>
  <c r="FW13" i="4"/>
  <c r="FQ13" i="4" s="1"/>
  <c r="BP9" i="4"/>
  <c r="BP21" i="4" s="1"/>
  <c r="GT9" i="4"/>
  <c r="CT18" i="4"/>
  <c r="CT23" i="4" s="1"/>
  <c r="CI21" i="4"/>
  <c r="OE9" i="4"/>
  <c r="OE21" i="4" s="1"/>
  <c r="DE4" i="4"/>
  <c r="BA11" i="4"/>
  <c r="BA22" i="4" s="1"/>
  <c r="FG9" i="4"/>
  <c r="FG21" i="4" s="1"/>
  <c r="BP22" i="4"/>
  <c r="IF22" i="4"/>
  <c r="PB21" i="4"/>
  <c r="FS9" i="4"/>
  <c r="FQ9" i="4" s="1"/>
  <c r="N22" i="4"/>
  <c r="DW22" i="4"/>
  <c r="GO10" i="4"/>
  <c r="Y13" i="4"/>
  <c r="U13" i="4" s="1"/>
  <c r="FX17" i="4"/>
  <c r="FX21" i="4" s="1"/>
  <c r="NS17" i="4"/>
  <c r="NS21" i="4" s="1"/>
  <c r="JG22" i="4"/>
  <c r="P117" i="15"/>
  <c r="N117" i="15" s="1"/>
  <c r="MU21" i="4"/>
  <c r="JU22" i="4"/>
  <c r="L173" i="15"/>
  <c r="J173" i="15" s="1"/>
  <c r="V173" i="15"/>
  <c r="U173" i="15" s="1"/>
  <c r="OU17" i="4"/>
  <c r="AQ257" i="15"/>
  <c r="AW257" i="15" s="1"/>
  <c r="AQ181" i="15"/>
  <c r="AW181" i="15" s="1"/>
  <c r="AQ285" i="15"/>
  <c r="AW285" i="15" s="1"/>
  <c r="NF21" i="4"/>
  <c r="L363" i="15"/>
  <c r="J146" i="15"/>
  <c r="FR21" i="4"/>
  <c r="MX35" i="4"/>
  <c r="MS35" i="4" s="1"/>
  <c r="Q317" i="15" a="1"/>
  <c r="Q317" i="15" s="1"/>
  <c r="MX19" i="4"/>
  <c r="MX22" i="4" s="1"/>
  <c r="NY4" i="4"/>
  <c r="EC4" i="4"/>
  <c r="AQ3" i="15"/>
  <c r="LV17" i="4"/>
  <c r="LV21" i="4" s="1"/>
  <c r="BM22" i="4"/>
  <c r="AJ22" i="4"/>
  <c r="CD17" i="4"/>
  <c r="AJ17" i="4"/>
  <c r="T68" i="15"/>
  <c r="HM4" i="4"/>
  <c r="KW11" i="4"/>
  <c r="EU17" i="4"/>
  <c r="KC17" i="4"/>
  <c r="KC21" i="4" s="1"/>
  <c r="J22" i="4"/>
  <c r="JC21" i="4"/>
  <c r="J335" i="15"/>
  <c r="OM21" i="4"/>
  <c r="LU4" i="4"/>
  <c r="U4" i="4"/>
  <c r="BE9" i="4"/>
  <c r="CU17" i="4"/>
  <c r="GA21" i="4"/>
  <c r="IS19" i="4"/>
  <c r="IS22" i="4" s="1"/>
  <c r="T271" i="15"/>
  <c r="FQ20" i="4"/>
  <c r="FQ22" i="4" s="1"/>
  <c r="HN21" i="4"/>
  <c r="AC11" i="4"/>
  <c r="AC22" i="4" s="1"/>
  <c r="L26" i="15"/>
  <c r="AA22" i="4"/>
  <c r="J75" i="15"/>
  <c r="LE4" i="4"/>
  <c r="DA22" i="4"/>
  <c r="FQ4" i="4"/>
  <c r="FY4" i="4"/>
  <c r="LC9" i="4"/>
  <c r="OB9" i="4"/>
  <c r="OB21" i="4" s="1"/>
  <c r="CD22" i="4"/>
  <c r="W26" i="15"/>
  <c r="FB21" i="4"/>
  <c r="LC17" i="4"/>
  <c r="BI19" i="4"/>
  <c r="OZ22" i="4"/>
  <c r="ES4" i="4"/>
  <c r="KW4" i="4"/>
  <c r="V320" i="15"/>
  <c r="AQ313" i="15"/>
  <c r="AW313" i="15" s="1"/>
  <c r="FY11" i="4"/>
  <c r="GB21" i="4"/>
  <c r="U19" i="4"/>
  <c r="U22" i="4" s="1"/>
  <c r="MP9" i="4"/>
  <c r="NB9" i="4"/>
  <c r="NB21" i="4" s="1"/>
  <c r="IW17" i="4"/>
  <c r="ES19" i="4"/>
  <c r="J285" i="15"/>
  <c r="MS11" i="4"/>
  <c r="IK19" i="4"/>
  <c r="IK22" i="4" s="1"/>
  <c r="IK4" i="4"/>
  <c r="BG9" i="4"/>
  <c r="P62" i="15"/>
  <c r="N62" i="15" s="1"/>
  <c r="J103" i="15"/>
  <c r="MM21" i="4"/>
  <c r="HM11" i="4"/>
  <c r="NB22" i="4"/>
  <c r="FI13" i="4"/>
  <c r="T146" i="15"/>
  <c r="T154" i="15"/>
  <c r="LL21" i="4"/>
  <c r="AJ9" i="4"/>
  <c r="EK36" i="4"/>
  <c r="KW20" i="4"/>
  <c r="AC4" i="4"/>
  <c r="J286" i="15"/>
  <c r="OO22" i="4"/>
  <c r="W19" i="15"/>
  <c r="X21" i="4"/>
  <c r="OW19" i="4"/>
  <c r="OW4" i="4"/>
  <c r="EU22" i="4"/>
  <c r="CO22" i="4"/>
  <c r="AD22" i="4"/>
  <c r="K160" i="15"/>
  <c r="AQ292" i="15"/>
  <c r="W146" i="15"/>
  <c r="BT21" i="4"/>
  <c r="IR9" i="4"/>
  <c r="IR21" i="4" s="1"/>
  <c r="CG13" i="4"/>
  <c r="AQ173" i="15"/>
  <c r="AW173" i="15" s="1"/>
  <c r="AQ68" i="15"/>
  <c r="AQ187" i="15"/>
  <c r="AW187" i="15" s="1"/>
  <c r="P124" i="15"/>
  <c r="N124" i="15" s="1"/>
  <c r="FC23" i="4"/>
  <c r="HB13" i="4"/>
  <c r="HB18" i="4"/>
  <c r="W124" i="15"/>
  <c r="KW10" i="4"/>
  <c r="AC10" i="4"/>
  <c r="KO4" i="4"/>
  <c r="GO4" i="4"/>
  <c r="AS4" i="4"/>
  <c r="NA4" i="4"/>
  <c r="FI10" i="4"/>
  <c r="AQ96" i="15"/>
  <c r="AW96" i="15" s="1"/>
  <c r="FC21" i="4"/>
  <c r="KQ23" i="4"/>
  <c r="DF23" i="4"/>
  <c r="IS18" i="4"/>
  <c r="GK23" i="4"/>
  <c r="EW9" i="4"/>
  <c r="EW21" i="4" s="1"/>
  <c r="GS17" i="4"/>
  <c r="GS21" i="4" s="1"/>
  <c r="CP21" i="4"/>
  <c r="MV9" i="4"/>
  <c r="MV21" i="4" s="1"/>
  <c r="T19" i="15"/>
  <c r="V271" i="15"/>
  <c r="IS10" i="4"/>
  <c r="P98" i="15"/>
  <c r="N98" i="15" s="1"/>
  <c r="OI21" i="4"/>
  <c r="HF21" i="4"/>
  <c r="KO10" i="4"/>
  <c r="FN23" i="4"/>
  <c r="LZ18" i="4"/>
  <c r="LZ23" i="4" s="1"/>
  <c r="HX18" i="4"/>
  <c r="HX23" i="4" s="1"/>
  <c r="AQ180" i="15"/>
  <c r="AW180" i="15" s="1"/>
  <c r="FN9" i="4"/>
  <c r="OB23" i="4"/>
  <c r="HR23" i="4"/>
  <c r="MS4" i="4"/>
  <c r="CL23" i="4"/>
  <c r="LC23" i="4"/>
  <c r="NK21" i="4"/>
  <c r="HE4" i="4"/>
  <c r="K19" i="15"/>
  <c r="V132" i="15"/>
  <c r="P237" i="15"/>
  <c r="N237" i="15" s="1"/>
  <c r="AQ355" i="15"/>
  <c r="AW355" i="15" s="1"/>
  <c r="J132" i="15"/>
  <c r="OF17" i="4"/>
  <c r="OF21" i="4" s="1"/>
  <c r="LZ13" i="4"/>
  <c r="O203" i="15" a="1"/>
  <c r="O203" i="15" s="1"/>
  <c r="NC21" i="4"/>
  <c r="KF21" i="4"/>
  <c r="EK10" i="4"/>
  <c r="JD21" i="4"/>
  <c r="LA23" i="4"/>
  <c r="V335" i="15"/>
  <c r="JQ10" i="4"/>
  <c r="ES10" i="4"/>
  <c r="IT9" i="4"/>
  <c r="V285" i="15"/>
  <c r="W111" i="15"/>
  <c r="GR17" i="4"/>
  <c r="GR21" i="4" s="1"/>
  <c r="MC10" i="4"/>
  <c r="OV23" i="4"/>
  <c r="AQ75" i="15"/>
  <c r="AW75" i="15" s="1"/>
  <c r="MZ13" i="4"/>
  <c r="MS13" i="4" s="1"/>
  <c r="M17" i="21"/>
  <c r="M18" i="21" s="1"/>
  <c r="LA9" i="4"/>
  <c r="LA21" i="4" s="1"/>
  <c r="CW13" i="4"/>
  <c r="GI17" i="4"/>
  <c r="GI21" i="4" s="1"/>
  <c r="W285" i="15"/>
  <c r="IM17" i="4"/>
  <c r="IM21" i="4" s="1"/>
  <c r="IA21" i="4"/>
  <c r="W335" i="15"/>
  <c r="NY10" i="4"/>
  <c r="HY23" i="4"/>
  <c r="AQ6" i="15"/>
  <c r="AW6" i="15" s="1"/>
  <c r="AQ103" i="15"/>
  <c r="MB23" i="4"/>
  <c r="JN17" i="4"/>
  <c r="JN21" i="4" s="1"/>
  <c r="CR17" i="4"/>
  <c r="CR21" i="4" s="1"/>
  <c r="AQ314" i="15"/>
  <c r="P19" i="15"/>
  <c r="N19" i="15" s="1"/>
  <c r="KF23" i="4"/>
  <c r="IY21" i="4"/>
  <c r="CL17" i="4"/>
  <c r="CL21" i="4" s="1"/>
  <c r="NI18" i="4"/>
  <c r="EX18" i="4"/>
  <c r="ES18" i="4" s="1"/>
  <c r="AE9" i="4"/>
  <c r="IL17" i="4"/>
  <c r="IL21" i="4" s="1"/>
  <c r="ER13" i="4"/>
  <c r="EK13" i="4" s="1"/>
  <c r="ER18" i="4"/>
  <c r="LB13" i="4"/>
  <c r="LB18" i="4"/>
  <c r="HI18" i="4"/>
  <c r="HI23" i="4" s="1"/>
  <c r="AQ222" i="15"/>
  <c r="AW222" i="15" s="1"/>
  <c r="EN21" i="4"/>
  <c r="EX13" i="4"/>
  <c r="ES13" i="4" s="1"/>
  <c r="AQ4" i="15"/>
  <c r="AQ124" i="15"/>
  <c r="AW124" i="15" s="1"/>
  <c r="NH9" i="4"/>
  <c r="E13" i="4"/>
  <c r="N75" i="15"/>
  <c r="AQ34" i="15"/>
  <c r="AW34" i="15" s="1"/>
  <c r="AQ278" i="15"/>
  <c r="EC18" i="4"/>
  <c r="EC23" i="4" s="1"/>
  <c r="IR23" i="4"/>
  <c r="J111" i="15"/>
  <c r="GX21" i="4"/>
  <c r="U75" i="15"/>
  <c r="LE13" i="4"/>
  <c r="BG18" i="4"/>
  <c r="BG13" i="4"/>
  <c r="EG21" i="4"/>
  <c r="GX23" i="4"/>
  <c r="EK4" i="4"/>
  <c r="KU13" i="4"/>
  <c r="KO13" i="4" s="1"/>
  <c r="KU18" i="4"/>
  <c r="HZ13" i="4"/>
  <c r="HU13" i="4" s="1"/>
  <c r="HZ18" i="4"/>
  <c r="AQ201" i="15"/>
  <c r="AW201" i="15" s="1"/>
  <c r="AQ223" i="15"/>
  <c r="DI21" i="4"/>
  <c r="IE23" i="4"/>
  <c r="MS18" i="4"/>
  <c r="V146" i="15"/>
  <c r="Q17" i="4"/>
  <c r="Q21" i="4" s="1"/>
  <c r="NK23" i="4"/>
  <c r="OP21" i="4"/>
  <c r="HR21" i="4"/>
  <c r="BH21" i="4"/>
  <c r="MS10" i="4"/>
  <c r="IP18" i="4"/>
  <c r="IK18" i="4" s="1"/>
  <c r="IK23" i="4" s="1"/>
  <c r="IP13" i="4"/>
  <c r="V19" i="15"/>
  <c r="AQ12" i="15"/>
  <c r="AW12" i="15" s="1"/>
  <c r="AQ236" i="15"/>
  <c r="AW236" i="15" s="1"/>
  <c r="AQ348" i="15"/>
  <c r="U9" i="4"/>
  <c r="Z23" i="4"/>
  <c r="T350" i="15"/>
  <c r="JQ4" i="4"/>
  <c r="DQ13" i="4"/>
  <c r="DM13" i="4" s="1"/>
  <c r="DQ18" i="4"/>
  <c r="DM18" i="4" s="1"/>
  <c r="IG18" i="4"/>
  <c r="IG17" i="4" s="1"/>
  <c r="IG13" i="4"/>
  <c r="IC13" i="4" s="1"/>
  <c r="AQ152" i="15"/>
  <c r="HE13" i="4"/>
  <c r="FA10" i="4"/>
  <c r="NA10" i="4"/>
  <c r="NA23" i="4" s="1"/>
  <c r="Z21" i="4"/>
  <c r="AQ286" i="15"/>
  <c r="AW286" i="15" s="1"/>
  <c r="DZ21" i="4"/>
  <c r="OL23" i="4"/>
  <c r="KG4" i="4"/>
  <c r="AL13" i="4"/>
  <c r="AL18" i="4"/>
  <c r="O33" i="15" a="1"/>
  <c r="O33" i="15" s="1"/>
  <c r="GZ18" i="4"/>
  <c r="GZ23" i="4" s="1"/>
  <c r="O182" i="15" a="1"/>
  <c r="O182" i="15" s="1"/>
  <c r="AQ76" i="15"/>
  <c r="AQ145" i="15"/>
  <c r="CU22" i="4"/>
  <c r="NR21" i="4"/>
  <c r="MK13" i="4"/>
  <c r="CU9" i="4"/>
  <c r="NP22" i="4"/>
  <c r="CV21" i="4"/>
  <c r="DN23" i="4"/>
  <c r="CC21" i="4"/>
  <c r="J271" i="15"/>
  <c r="CA23" i="4"/>
  <c r="LV22" i="4"/>
  <c r="MZ9" i="4"/>
  <c r="NI19" i="4"/>
  <c r="NI22" i="4" s="1"/>
  <c r="NV9" i="4"/>
  <c r="NV21" i="4" s="1"/>
  <c r="IN22" i="4"/>
  <c r="DL18" i="4"/>
  <c r="DL13" i="4"/>
  <c r="DE13" i="4" s="1"/>
  <c r="GK13" i="4"/>
  <c r="GG13" i="4" s="1"/>
  <c r="O169" i="15" a="1"/>
  <c r="O169" i="15" s="1"/>
  <c r="T169" i="15" s="1"/>
  <c r="L320" i="15"/>
  <c r="J320" i="15" s="1"/>
  <c r="AQ208" i="15"/>
  <c r="AW208" i="15" s="1"/>
  <c r="AQ33" i="15"/>
  <c r="U201" i="15"/>
  <c r="FP17" i="4"/>
  <c r="GZ13" i="4"/>
  <c r="E22" i="4"/>
  <c r="NQ19" i="4"/>
  <c r="NQ22" i="4" s="1"/>
  <c r="OS9" i="4"/>
  <c r="OS21" i="4" s="1"/>
  <c r="BY13" i="4"/>
  <c r="AQ362" i="15"/>
  <c r="L12" i="15"/>
  <c r="J12" i="15" s="1"/>
  <c r="M11" i="21"/>
  <c r="M12" i="21" s="1"/>
  <c r="OW11" i="4"/>
  <c r="OG22" i="4"/>
  <c r="J17" i="4"/>
  <c r="OO10" i="4"/>
  <c r="OO23" i="4" s="1"/>
  <c r="DA17" i="4"/>
  <c r="DA21" i="4" s="1"/>
  <c r="ID21" i="4"/>
  <c r="MW21" i="4"/>
  <c r="OU22" i="4"/>
  <c r="KI13" i="4"/>
  <c r="KI18" i="4"/>
  <c r="O258" i="15" a="1"/>
  <c r="O258" i="15" s="1"/>
  <c r="DC17" i="4"/>
  <c r="DC21" i="4" s="1"/>
  <c r="DC23" i="4"/>
  <c r="O243" i="15" a="1"/>
  <c r="O243" i="15" s="1"/>
  <c r="JR18" i="4"/>
  <c r="JQ18" i="4" s="1"/>
  <c r="JQ23" i="4" s="1"/>
  <c r="JR13" i="4"/>
  <c r="MZ23" i="4"/>
  <c r="KV19" i="4"/>
  <c r="KV17" i="4" s="1"/>
  <c r="KV21" i="4" s="1"/>
  <c r="KV35" i="4"/>
  <c r="KO35" i="4" s="1"/>
  <c r="KO15" i="4"/>
  <c r="KA13" i="4"/>
  <c r="KA18" i="4"/>
  <c r="O251" i="15" a="1"/>
  <c r="O251" i="15" s="1"/>
  <c r="P146" i="15"/>
  <c r="N146" i="15" s="1"/>
  <c r="T110" i="15"/>
  <c r="LM22" i="4"/>
  <c r="ME22" i="4"/>
  <c r="ES11" i="4"/>
  <c r="OX21" i="4"/>
  <c r="GP22" i="4"/>
  <c r="JB22" i="4"/>
  <c r="DW9" i="4"/>
  <c r="JO22" i="4"/>
  <c r="AQ315" i="15"/>
  <c r="LU22" i="4"/>
  <c r="BQ13" i="4"/>
  <c r="NI9" i="4"/>
  <c r="CW20" i="4"/>
  <c r="CW22" i="4" s="1"/>
  <c r="DV17" i="4"/>
  <c r="NS22" i="4"/>
  <c r="AQ271" i="15"/>
  <c r="AW271" i="15" s="1"/>
  <c r="AQ63" i="15"/>
  <c r="BE22" i="4"/>
  <c r="EU9" i="4"/>
  <c r="JF22" i="4"/>
  <c r="JF9" i="4"/>
  <c r="GO11" i="4"/>
  <c r="DW17" i="4"/>
  <c r="S13" i="4"/>
  <c r="M13" i="4" s="1"/>
  <c r="S18" i="4"/>
  <c r="M18" i="4" s="1"/>
  <c r="AT18" i="4"/>
  <c r="AS18" i="4" s="1"/>
  <c r="O40" i="15" a="1"/>
  <c r="O40" i="15" s="1"/>
  <c r="AT13" i="4"/>
  <c r="AS13" i="4" s="1"/>
  <c r="KN19" i="4"/>
  <c r="KG15" i="4"/>
  <c r="KN35" i="4"/>
  <c r="KG35" i="4" s="1"/>
  <c r="FF18" i="4"/>
  <c r="FF13" i="4"/>
  <c r="FA13" i="4" s="1"/>
  <c r="KN13" i="4"/>
  <c r="KN18" i="4"/>
  <c r="AQ299" i="15"/>
  <c r="JB17" i="4"/>
  <c r="JB21" i="4" s="1"/>
  <c r="BY18" i="4"/>
  <c r="CG10" i="4"/>
  <c r="JI20" i="4"/>
  <c r="NT21" i="4"/>
  <c r="KR21" i="4"/>
  <c r="AD18" i="4"/>
  <c r="AC18" i="4" s="1"/>
  <c r="O26" i="15" a="1"/>
  <c r="O26" i="15" s="1"/>
  <c r="AD13" i="4"/>
  <c r="AC13" i="4" s="1"/>
  <c r="AU23" i="4"/>
  <c r="O6" i="15" a="1"/>
  <c r="O6" i="15" s="1"/>
  <c r="G18" i="4"/>
  <c r="AQ166" i="15"/>
  <c r="AW166" i="15" s="1"/>
  <c r="AQ265" i="15"/>
  <c r="AQ56" i="15"/>
  <c r="MC11" i="4"/>
  <c r="P350" i="15"/>
  <c r="N350" i="15" s="1"/>
  <c r="GG20" i="4"/>
  <c r="GG22" i="4" s="1"/>
  <c r="LM13" i="4"/>
  <c r="FI22" i="4"/>
  <c r="IN17" i="4"/>
  <c r="IN21" i="4" s="1"/>
  <c r="OL9" i="4"/>
  <c r="OG9" i="4" s="1"/>
  <c r="BE13" i="4"/>
  <c r="BE18" i="4"/>
  <c r="BE23" i="4" s="1"/>
  <c r="GU13" i="4"/>
  <c r="GO13" i="4" s="1"/>
  <c r="GU18" i="4"/>
  <c r="GO18" i="4" s="1"/>
  <c r="T23" i="21"/>
  <c r="ER23" i="21"/>
  <c r="EB23" i="21"/>
  <c r="HD23" i="21"/>
  <c r="FP23" i="21"/>
  <c r="FH9" i="21"/>
  <c r="AJ23" i="21"/>
  <c r="CN23" i="21"/>
  <c r="AB23" i="21"/>
  <c r="BH23" i="21"/>
  <c r="ER22" i="21"/>
  <c r="AR23" i="21"/>
  <c r="DL23" i="21"/>
  <c r="EJ23" i="21"/>
  <c r="L23" i="21"/>
  <c r="AZ23" i="21"/>
  <c r="MJ9" i="21"/>
  <c r="CF23" i="21"/>
  <c r="KN23" i="21"/>
  <c r="GF23" i="21"/>
  <c r="AQ7" i="15"/>
  <c r="AQ98" i="15"/>
  <c r="AQ117" i="15"/>
  <c r="AW117" i="15" s="1"/>
  <c r="KE23" i="4"/>
  <c r="AQ19" i="15"/>
  <c r="AQ161" i="15"/>
  <c r="AW161" i="15" s="1"/>
  <c r="JK17" i="4"/>
  <c r="JK21" i="4" s="1"/>
  <c r="AQ54" i="15"/>
  <c r="AW54" i="15" s="1"/>
  <c r="AQ26" i="15"/>
  <c r="AW26" i="15" s="1"/>
  <c r="MK22" i="4"/>
  <c r="AQ5" i="15"/>
  <c r="E42" i="21" s="1"/>
  <c r="W327" i="15"/>
  <c r="AQ250" i="15"/>
  <c r="AQ202" i="15"/>
  <c r="AW202" i="15" s="1"/>
  <c r="PC21" i="4"/>
  <c r="CF21" i="4"/>
  <c r="AQ349" i="15"/>
  <c r="GT21" i="4"/>
  <c r="OV21" i="4"/>
  <c r="LQ21" i="4"/>
  <c r="AQ174" i="15"/>
  <c r="AW174" i="15" s="1"/>
  <c r="AQ61" i="15"/>
  <c r="AW61" i="15" s="1"/>
  <c r="AQ168" i="15"/>
  <c r="AW168" i="15" s="1"/>
  <c r="L160" i="15"/>
  <c r="AQ159" i="15"/>
  <c r="EC20" i="4"/>
  <c r="EC22" i="4" s="1"/>
  <c r="EE22" i="4"/>
  <c r="T111" i="15"/>
  <c r="U180" i="15"/>
  <c r="AQ110" i="15"/>
  <c r="AW110" i="15" s="1"/>
  <c r="AQ55" i="15"/>
  <c r="AW55" i="15" s="1"/>
  <c r="P286" i="15"/>
  <c r="N286" i="15" s="1"/>
  <c r="AQ306" i="15"/>
  <c r="AW306" i="15" s="1"/>
  <c r="DM22" i="4"/>
  <c r="G40" i="21"/>
  <c r="GW20" i="4"/>
  <c r="EF21" i="4"/>
  <c r="AQ215" i="15"/>
  <c r="CN21" i="4"/>
  <c r="AQ237" i="15"/>
  <c r="EO23" i="4"/>
  <c r="KE21" i="4"/>
  <c r="OZ21" i="4"/>
  <c r="GK17" i="4"/>
  <c r="GK21" i="4" s="1"/>
  <c r="W271" i="15"/>
  <c r="N138" i="15"/>
  <c r="BC21" i="4"/>
  <c r="AQ182" i="15"/>
  <c r="W215" i="15"/>
  <c r="U215" i="15" s="1"/>
  <c r="P215" i="15"/>
  <c r="N215" i="15" s="1"/>
  <c r="V48" i="15"/>
  <c r="P48" i="15"/>
  <c r="N48" i="15" s="1"/>
  <c r="O23" i="4"/>
  <c r="O17" i="4"/>
  <c r="O21" i="4" s="1"/>
  <c r="EZ17" i="4"/>
  <c r="EZ21" i="4" s="1"/>
  <c r="EZ23" i="4"/>
  <c r="W62" i="15"/>
  <c r="U62" i="15" s="1"/>
  <c r="AQ194" i="15"/>
  <c r="AW194" i="15" s="1"/>
  <c r="L56" i="15"/>
  <c r="J56" i="15" s="1"/>
  <c r="AQ341" i="15"/>
  <c r="AQ320" i="15"/>
  <c r="AW320" i="15" s="1"/>
  <c r="MI17" i="4"/>
  <c r="MI21" i="4" s="1"/>
  <c r="MI23" i="4"/>
  <c r="AQ23" i="4"/>
  <c r="AQ17" i="4"/>
  <c r="DD17" i="4"/>
  <c r="DD21" i="4" s="1"/>
  <c r="DD23" i="4"/>
  <c r="MJ22" i="4"/>
  <c r="MC19" i="4"/>
  <c r="AQ153" i="15"/>
  <c r="CS21" i="4"/>
  <c r="NA22" i="4"/>
  <c r="MF17" i="4"/>
  <c r="MF21" i="4" s="1"/>
  <c r="MF23" i="4"/>
  <c r="MC18" i="4"/>
  <c r="AQ264" i="15"/>
  <c r="AW264" i="15" s="1"/>
  <c r="AQ47" i="15"/>
  <c r="AW47" i="15" s="1"/>
  <c r="AQ334" i="15"/>
  <c r="AW334" i="15" s="1"/>
  <c r="AQ188" i="15"/>
  <c r="AW188" i="15" s="1"/>
  <c r="AQ327" i="15"/>
  <c r="V56" i="15"/>
  <c r="N159" i="15"/>
  <c r="N278" i="15"/>
  <c r="V299" i="15"/>
  <c r="V350" i="15"/>
  <c r="U152" i="15"/>
  <c r="S152" i="15" s="1"/>
  <c r="AQ322" i="15"/>
  <c r="AQ251" i="15"/>
  <c r="EB17" i="4"/>
  <c r="EB21" i="4" s="1"/>
  <c r="EB23" i="4"/>
  <c r="K363" i="15"/>
  <c r="L306" i="15"/>
  <c r="J306" i="15" s="1"/>
  <c r="V306" i="15"/>
  <c r="W68" i="15"/>
  <c r="P68" i="15"/>
  <c r="N68" i="15" s="1"/>
  <c r="CA21" i="4"/>
  <c r="AQ335" i="15"/>
  <c r="AW335" i="15" s="1"/>
  <c r="AQ229" i="15"/>
  <c r="V160" i="15"/>
  <c r="U160" i="15" s="1"/>
  <c r="S160" i="15" s="1"/>
  <c r="GW9" i="4"/>
  <c r="BQ22" i="4"/>
  <c r="DB17" i="4"/>
  <c r="DB21" i="4" s="1"/>
  <c r="DB23" i="4"/>
  <c r="P299" i="15"/>
  <c r="N299" i="15" s="1"/>
  <c r="AQ146" i="15"/>
  <c r="W350" i="15"/>
  <c r="AQ62" i="15"/>
  <c r="AW62" i="15" s="1"/>
  <c r="V138" i="15"/>
  <c r="AQ132" i="15"/>
  <c r="AW132" i="15" s="1"/>
  <c r="AQ321" i="15"/>
  <c r="AQ138" i="15"/>
  <c r="AW138" i="15" s="1"/>
  <c r="NY11" i="4"/>
  <c r="NY22" i="4" s="1"/>
  <c r="W299" i="15"/>
  <c r="MR23" i="4"/>
  <c r="HH23" i="4"/>
  <c r="HH17" i="4"/>
  <c r="HH21" i="4" s="1"/>
  <c r="BW23" i="4"/>
  <c r="BW17" i="4"/>
  <c r="BW21" i="4" s="1"/>
  <c r="HM20" i="4"/>
  <c r="HQ22" i="4"/>
  <c r="W209" i="15"/>
  <c r="AQ97" i="15"/>
  <c r="BZ17" i="4"/>
  <c r="BZ21" i="4" s="1"/>
  <c r="BZ23" i="4"/>
  <c r="CO18" i="4"/>
  <c r="CO23" i="4" s="1"/>
  <c r="LF23" i="4"/>
  <c r="LE18" i="4"/>
  <c r="CJ21" i="4"/>
  <c r="J350" i="15"/>
  <c r="N201" i="15"/>
  <c r="V187" i="15"/>
  <c r="U187" i="15" s="1"/>
  <c r="DE22" i="4"/>
  <c r="HP21" i="4"/>
  <c r="JY22" i="4"/>
  <c r="AQ243" i="15"/>
  <c r="R9" i="4"/>
  <c r="ON23" i="4"/>
  <c r="ON17" i="4"/>
  <c r="CZ17" i="4"/>
  <c r="CZ21" i="4" s="1"/>
  <c r="CZ23" i="4"/>
  <c r="BR17" i="4"/>
  <c r="BR21" i="4" s="1"/>
  <c r="BR23" i="4"/>
  <c r="AQ82" i="15"/>
  <c r="AW82" i="15" s="1"/>
  <c r="IS13" i="4"/>
  <c r="AQ175" i="15"/>
  <c r="IH23" i="4"/>
  <c r="HL21" i="4"/>
  <c r="AF21" i="4"/>
  <c r="MT21" i="4"/>
  <c r="AV23" i="4"/>
  <c r="AV17" i="4"/>
  <c r="AV21" i="4" s="1"/>
  <c r="GS22" i="4"/>
  <c r="DV22" i="4"/>
  <c r="DU19" i="4"/>
  <c r="AQ342" i="15"/>
  <c r="KK23" i="4"/>
  <c r="AQ89" i="15"/>
  <c r="MC13" i="4"/>
  <c r="AQ350" i="15"/>
  <c r="AT230" i="15" a="1"/>
  <c r="AT230" i="15" s="1"/>
  <c r="AS230" i="15" a="1"/>
  <c r="AS230" i="15" s="1"/>
  <c r="AR230" i="15" a="1"/>
  <c r="AR230" i="15" s="1"/>
  <c r="H230" i="15" a="1"/>
  <c r="H230" i="15" s="1"/>
  <c r="AU230" i="15" a="1"/>
  <c r="AU230" i="15" s="1"/>
  <c r="I230" i="15" a="1"/>
  <c r="I230" i="15" s="1"/>
  <c r="O230" i="15" a="1"/>
  <c r="O230" i="15" s="1"/>
  <c r="R230" i="15" a="1"/>
  <c r="R230" i="15" s="1"/>
  <c r="AV230" i="15" a="1"/>
  <c r="AV230" i="15" s="1"/>
  <c r="M231" i="15"/>
  <c r="Q230" i="15" a="1"/>
  <c r="Q230" i="15" s="1"/>
  <c r="V327" i="15"/>
  <c r="AR328" i="15" a="1"/>
  <c r="AR328" i="15" s="1"/>
  <c r="AS328" i="15" a="1"/>
  <c r="AS328" i="15" s="1"/>
  <c r="AT328" i="15" a="1"/>
  <c r="AT328" i="15" s="1"/>
  <c r="I328" i="15" a="1"/>
  <c r="I328" i="15" s="1"/>
  <c r="L328" i="15" s="1"/>
  <c r="M329" i="15"/>
  <c r="O328" i="15" a="1"/>
  <c r="O328" i="15" s="1"/>
  <c r="AU328" i="15" a="1"/>
  <c r="AU328" i="15" s="1"/>
  <c r="H328" i="15" a="1"/>
  <c r="H328" i="15" s="1"/>
  <c r="K328" i="15" s="1"/>
  <c r="AV328" i="15" a="1"/>
  <c r="AV328" i="15" s="1"/>
  <c r="Q328" i="15" a="1"/>
  <c r="Q328" i="15" s="1"/>
  <c r="R328" i="15" a="1"/>
  <c r="R328" i="15" s="1"/>
  <c r="L194" i="15"/>
  <c r="P271" i="15"/>
  <c r="N271" i="15" s="1"/>
  <c r="AT300" i="15" a="1"/>
  <c r="AT300" i="15" s="1"/>
  <c r="AS300" i="15" a="1"/>
  <c r="AS300" i="15" s="1"/>
  <c r="AR300" i="15" a="1"/>
  <c r="AR300" i="15" s="1"/>
  <c r="AV300" i="15" a="1"/>
  <c r="AV300" i="15" s="1"/>
  <c r="R300" i="15" a="1"/>
  <c r="R300" i="15" s="1"/>
  <c r="AU300" i="15" a="1"/>
  <c r="AU300" i="15" s="1"/>
  <c r="H300" i="15" a="1"/>
  <c r="H300" i="15" s="1"/>
  <c r="I300" i="15" a="1"/>
  <c r="I300" i="15" s="1"/>
  <c r="Q300" i="15" a="1"/>
  <c r="Q300" i="15" s="1"/>
  <c r="M301" i="15"/>
  <c r="O300" i="15" a="1"/>
  <c r="O300" i="15" s="1"/>
  <c r="AT112" i="15" a="1"/>
  <c r="AT112" i="15" s="1"/>
  <c r="AS112" i="15" a="1"/>
  <c r="AS112" i="15" s="1"/>
  <c r="AR112" i="15" a="1"/>
  <c r="AR112" i="15" s="1"/>
  <c r="I112" i="15" a="1"/>
  <c r="I112" i="15" s="1"/>
  <c r="L112" i="15" s="1"/>
  <c r="H112" i="15" a="1"/>
  <c r="H112" i="15" s="1"/>
  <c r="Q112" i="15" a="1"/>
  <c r="Q112" i="15" s="1"/>
  <c r="M113" i="15"/>
  <c r="AU112" i="15" a="1"/>
  <c r="AU112" i="15" s="1"/>
  <c r="AV112" i="15" a="1"/>
  <c r="AV112" i="15" s="1"/>
  <c r="R112" i="15" a="1"/>
  <c r="R112" i="15" s="1"/>
  <c r="BB23" i="4"/>
  <c r="BB17" i="4"/>
  <c r="BB21" i="4" s="1"/>
  <c r="AT49" i="15" a="1"/>
  <c r="AT49" i="15" s="1"/>
  <c r="AS49" i="15" a="1"/>
  <c r="AS49" i="15" s="1"/>
  <c r="AR49" i="15" a="1"/>
  <c r="AR49" i="15" s="1"/>
  <c r="Q49" i="15" a="1"/>
  <c r="Q49" i="15" s="1"/>
  <c r="O49" i="15" a="1"/>
  <c r="O49" i="15" s="1"/>
  <c r="M50" i="15"/>
  <c r="I49" i="15" a="1"/>
  <c r="I49" i="15" s="1"/>
  <c r="AU49" i="15" a="1"/>
  <c r="AU49" i="15" s="1"/>
  <c r="H49" i="15" a="1"/>
  <c r="H49" i="15" s="1"/>
  <c r="R49" i="15" a="1"/>
  <c r="R49" i="15" s="1"/>
  <c r="AV49" i="15" a="1"/>
  <c r="AV49" i="15" s="1"/>
  <c r="W306" i="15"/>
  <c r="K63" i="15"/>
  <c r="AQ167" i="15"/>
  <c r="AT57" i="15" a="1"/>
  <c r="AT57" i="15" s="1"/>
  <c r="AS57" i="15" a="1"/>
  <c r="AS57" i="15" s="1"/>
  <c r="AR57" i="15" a="1"/>
  <c r="AR57" i="15" s="1"/>
  <c r="Q57" i="15" a="1"/>
  <c r="Q57" i="15" s="1"/>
  <c r="R57" i="15" a="1"/>
  <c r="R57" i="15" s="1"/>
  <c r="M58" i="15"/>
  <c r="H57" i="15" a="1"/>
  <c r="H57" i="15" s="1"/>
  <c r="I57" i="15" a="1"/>
  <c r="I57" i="15" s="1"/>
  <c r="AV57" i="15" a="1"/>
  <c r="AV57" i="15" s="1"/>
  <c r="AU57" i="15" a="1"/>
  <c r="AU57" i="15" s="1"/>
  <c r="K98" i="15"/>
  <c r="J98" i="15" s="1"/>
  <c r="T98" i="15"/>
  <c r="AT216" i="15" a="1"/>
  <c r="AT216" i="15" s="1"/>
  <c r="AS216" i="15" a="1"/>
  <c r="AS216" i="15" s="1"/>
  <c r="AR216" i="15" a="1"/>
  <c r="AR216" i="15" s="1"/>
  <c r="M217" i="15"/>
  <c r="Q216" i="15" a="1"/>
  <c r="Q216" i="15" s="1"/>
  <c r="AV216" i="15" a="1"/>
  <c r="AV216" i="15" s="1"/>
  <c r="R216" i="15" a="1"/>
  <c r="R216" i="15" s="1"/>
  <c r="AU216" i="15" a="1"/>
  <c r="AU216" i="15" s="1"/>
  <c r="H216" i="15" a="1"/>
  <c r="H216" i="15" s="1"/>
  <c r="K216" i="15" s="1"/>
  <c r="I216" i="15" a="1"/>
  <c r="I216" i="15" s="1"/>
  <c r="L216" i="15" s="1"/>
  <c r="O216" i="15" a="1"/>
  <c r="O216" i="15" s="1"/>
  <c r="HY17" i="4"/>
  <c r="HY22" i="4"/>
  <c r="AT287" i="15" a="1"/>
  <c r="AT287" i="15" s="1"/>
  <c r="AS287" i="15" a="1"/>
  <c r="AS287" i="15" s="1"/>
  <c r="AR287" i="15" a="1"/>
  <c r="AR287" i="15" s="1"/>
  <c r="M288" i="15"/>
  <c r="AV287" i="15" a="1"/>
  <c r="AV287" i="15" s="1"/>
  <c r="R287" i="15" a="1"/>
  <c r="R287" i="15" s="1"/>
  <c r="H287" i="15" a="1"/>
  <c r="H287" i="15" s="1"/>
  <c r="K287" i="15" s="1"/>
  <c r="I287" i="15" a="1"/>
  <c r="I287" i="15" s="1"/>
  <c r="L287" i="15" s="1"/>
  <c r="AU287" i="15" a="1"/>
  <c r="AU287" i="15" s="1"/>
  <c r="O287" i="15" a="1"/>
  <c r="O287" i="15" s="1"/>
  <c r="Q287" i="15" a="1"/>
  <c r="Q287" i="15" s="1"/>
  <c r="AT147" i="15" a="1"/>
  <c r="AT147" i="15" s="1"/>
  <c r="AR147" i="15" a="1"/>
  <c r="AR147" i="15" s="1"/>
  <c r="AS147" i="15" a="1"/>
  <c r="AS147" i="15" s="1"/>
  <c r="M148" i="15"/>
  <c r="R147" i="15" a="1"/>
  <c r="R147" i="15" s="1"/>
  <c r="Q147" i="15" a="1"/>
  <c r="Q147" i="15" s="1"/>
  <c r="I147" i="15" a="1"/>
  <c r="I147" i="15" s="1"/>
  <c r="L147" i="15" s="1"/>
  <c r="AV147" i="15" a="1"/>
  <c r="AV147" i="15" s="1"/>
  <c r="H147" i="15" a="1"/>
  <c r="H147" i="15" s="1"/>
  <c r="K147" i="15" s="1"/>
  <c r="O147" i="15" a="1"/>
  <c r="O147" i="15" s="1"/>
  <c r="AU147" i="15" a="1"/>
  <c r="AU147" i="15" s="1"/>
  <c r="L19" i="15"/>
  <c r="AS266" i="15" a="1"/>
  <c r="AS266" i="15" s="1"/>
  <c r="AR266" i="15" a="1"/>
  <c r="AR266" i="15" s="1"/>
  <c r="AT266" i="15" a="1"/>
  <c r="AT266" i="15" s="1"/>
  <c r="AV266" i="15" a="1"/>
  <c r="AV266" i="15" s="1"/>
  <c r="O266" i="15" a="1"/>
  <c r="O266" i="15" s="1"/>
  <c r="AU266" i="15" a="1"/>
  <c r="AU266" i="15" s="1"/>
  <c r="M267" i="15"/>
  <c r="Q266" i="15" a="1"/>
  <c r="Q266" i="15" s="1"/>
  <c r="I266" i="15" a="1"/>
  <c r="I266" i="15" s="1"/>
  <c r="L266" i="15" s="1"/>
  <c r="H266" i="15" a="1"/>
  <c r="H266" i="15" s="1"/>
  <c r="K266" i="15" s="1"/>
  <c r="R266" i="15" a="1"/>
  <c r="R266" i="15" s="1"/>
  <c r="OC9" i="4"/>
  <c r="OC21" i="4" s="1"/>
  <c r="AT351" i="15" a="1"/>
  <c r="AT351" i="15" s="1"/>
  <c r="AR351" i="15" a="1"/>
  <c r="AR351" i="15" s="1"/>
  <c r="AS351" i="15" a="1"/>
  <c r="AS351" i="15" s="1"/>
  <c r="O351" i="15" a="1"/>
  <c r="O351" i="15" s="1"/>
  <c r="H351" i="15" a="1"/>
  <c r="H351" i="15" s="1"/>
  <c r="K351" i="15" s="1"/>
  <c r="I351" i="15" a="1"/>
  <c r="I351" i="15" s="1"/>
  <c r="L351" i="15" s="1"/>
  <c r="AV351" i="15" a="1"/>
  <c r="AV351" i="15" s="1"/>
  <c r="M352" i="15"/>
  <c r="R351" i="15" a="1"/>
  <c r="R351" i="15" s="1"/>
  <c r="Q351" i="15" a="1"/>
  <c r="Q351" i="15" s="1"/>
  <c r="AU351" i="15" a="1"/>
  <c r="AU351" i="15" s="1"/>
  <c r="LS17" i="4"/>
  <c r="LS21" i="4" s="1"/>
  <c r="LS23" i="4"/>
  <c r="AT20" i="15" a="1"/>
  <c r="AT20" i="15" s="1"/>
  <c r="AS20" i="15" a="1"/>
  <c r="AS20" i="15" s="1"/>
  <c r="AR20" i="15" a="1"/>
  <c r="AR20" i="15" s="1"/>
  <c r="Q20" i="15" a="1"/>
  <c r="Q20" i="15" s="1"/>
  <c r="R20" i="15" a="1"/>
  <c r="R20" i="15" s="1"/>
  <c r="AU20" i="15" a="1"/>
  <c r="AU20" i="15" s="1"/>
  <c r="M21" i="15"/>
  <c r="H20" i="15" a="1"/>
  <c r="H20" i="15" s="1"/>
  <c r="AV20" i="15" a="1"/>
  <c r="AV20" i="15" s="1"/>
  <c r="I20" i="15" a="1"/>
  <c r="I20" i="15" s="1"/>
  <c r="AT118" i="15" a="1"/>
  <c r="AT118" i="15" s="1"/>
  <c r="AS118" i="15" a="1"/>
  <c r="AS118" i="15" s="1"/>
  <c r="AR118" i="15" a="1"/>
  <c r="AR118" i="15" s="1"/>
  <c r="AV118" i="15" a="1"/>
  <c r="AV118" i="15" s="1"/>
  <c r="Q118" i="15" a="1"/>
  <c r="Q118" i="15" s="1"/>
  <c r="O118" i="15" a="1"/>
  <c r="O118" i="15" s="1"/>
  <c r="M119" i="15"/>
  <c r="H118" i="15" a="1"/>
  <c r="H118" i="15" s="1"/>
  <c r="R118" i="15" a="1"/>
  <c r="R118" i="15" s="1"/>
  <c r="AU118" i="15" a="1"/>
  <c r="AU118" i="15" s="1"/>
  <c r="I118" i="15" a="1"/>
  <c r="I118" i="15" s="1"/>
  <c r="K117" i="15"/>
  <c r="J117" i="15" s="1"/>
  <c r="AT210" i="15" a="1"/>
  <c r="AT210" i="15" s="1"/>
  <c r="AS210" i="15" a="1"/>
  <c r="AS210" i="15" s="1"/>
  <c r="AR210" i="15" a="1"/>
  <c r="AR210" i="15" s="1"/>
  <c r="AU210" i="15" a="1"/>
  <c r="AU210" i="15" s="1"/>
  <c r="O210" i="15" a="1"/>
  <c r="O210" i="15" s="1"/>
  <c r="AV210" i="15" a="1"/>
  <c r="AV210" i="15" s="1"/>
  <c r="R210" i="15" a="1"/>
  <c r="R210" i="15" s="1"/>
  <c r="Q210" i="15" a="1"/>
  <c r="Q210" i="15" s="1"/>
  <c r="I210" i="15" a="1"/>
  <c r="I210" i="15" s="1"/>
  <c r="M211" i="15"/>
  <c r="H210" i="15" a="1"/>
  <c r="H210" i="15" s="1"/>
  <c r="T348" i="15"/>
  <c r="AT139" i="15" a="1"/>
  <c r="AT139" i="15" s="1"/>
  <c r="AR139" i="15" a="1"/>
  <c r="AR139" i="15" s="1"/>
  <c r="AS139" i="15" a="1"/>
  <c r="AS139" i="15" s="1"/>
  <c r="Q139" i="15" a="1"/>
  <c r="Q139" i="15" s="1"/>
  <c r="AV139" i="15" a="1"/>
  <c r="AV139" i="15" s="1"/>
  <c r="AU139" i="15" a="1"/>
  <c r="AU139" i="15" s="1"/>
  <c r="I139" i="15" a="1"/>
  <c r="I139" i="15" s="1"/>
  <c r="L139" i="15" s="1"/>
  <c r="R139" i="15" a="1"/>
  <c r="R139" i="15" s="1"/>
  <c r="H139" i="15" a="1"/>
  <c r="H139" i="15" s="1"/>
  <c r="K139" i="15" s="1"/>
  <c r="M140" i="15"/>
  <c r="O139" i="15" a="1"/>
  <c r="O139" i="15" s="1"/>
  <c r="K48" i="15"/>
  <c r="J48" i="15" s="1"/>
  <c r="DK17" i="4"/>
  <c r="DK21" i="4" s="1"/>
  <c r="DK23" i="4"/>
  <c r="FV22" i="4"/>
  <c r="AT244" i="15" a="1"/>
  <c r="AT244" i="15" s="1"/>
  <c r="AS244" i="15" a="1"/>
  <c r="AS244" i="15" s="1"/>
  <c r="AR244" i="15" a="1"/>
  <c r="AR244" i="15" s="1"/>
  <c r="AV244" i="15" a="1"/>
  <c r="AV244" i="15" s="1"/>
  <c r="AU244" i="15" a="1"/>
  <c r="AU244" i="15" s="1"/>
  <c r="M245" i="15"/>
  <c r="R244" i="15" a="1"/>
  <c r="R244" i="15" s="1"/>
  <c r="H244" i="15" a="1"/>
  <c r="H244" i="15" s="1"/>
  <c r="I244" i="15" a="1"/>
  <c r="I244" i="15" s="1"/>
  <c r="Q244" i="15" a="1"/>
  <c r="Q244" i="15" s="1"/>
  <c r="O244" i="15" a="1"/>
  <c r="O244" i="15" s="1"/>
  <c r="AT125" i="15" a="1"/>
  <c r="AT125" i="15" s="1"/>
  <c r="AS125" i="15" a="1"/>
  <c r="AS125" i="15" s="1"/>
  <c r="AR125" i="15" a="1"/>
  <c r="AR125" i="15" s="1"/>
  <c r="M126" i="15"/>
  <c r="AU125" i="15" a="1"/>
  <c r="AU125" i="15" s="1"/>
  <c r="AV125" i="15" a="1"/>
  <c r="AV125" i="15" s="1"/>
  <c r="I125" i="15" a="1"/>
  <c r="I125" i="15" s="1"/>
  <c r="Q125" i="15" a="1"/>
  <c r="Q125" i="15" s="1"/>
  <c r="H125" i="15" a="1"/>
  <c r="H125" i="15" s="1"/>
  <c r="O125" i="15" a="1"/>
  <c r="O125" i="15" s="1"/>
  <c r="AS364" i="15" a="1"/>
  <c r="AS364" i="15" s="1"/>
  <c r="AT364" i="15" a="1"/>
  <c r="AT364" i="15" s="1"/>
  <c r="AR364" i="15" a="1"/>
  <c r="AR364" i="15" s="1"/>
  <c r="AV364" i="15" a="1"/>
  <c r="AV364" i="15" s="1"/>
  <c r="M365" i="15"/>
  <c r="I364" i="15" a="1"/>
  <c r="I364" i="15" s="1"/>
  <c r="L364" i="15" s="1"/>
  <c r="Q364" i="15" a="1"/>
  <c r="Q364" i="15" s="1"/>
  <c r="AU364" i="15" a="1"/>
  <c r="AU364" i="15" s="1"/>
  <c r="H364" i="15" a="1"/>
  <c r="H364" i="15" s="1"/>
  <c r="K364" i="15" s="1"/>
  <c r="R364" i="15" a="1"/>
  <c r="R364" i="15" s="1"/>
  <c r="O364" i="15" a="1"/>
  <c r="O364" i="15" s="1"/>
  <c r="AT14" i="15" a="1"/>
  <c r="AT14" i="15" s="1"/>
  <c r="O38" i="21" s="1"/>
  <c r="AS14" i="15" a="1"/>
  <c r="AS14" i="15" s="1"/>
  <c r="O36" i="21" s="1"/>
  <c r="AR14" i="15" a="1"/>
  <c r="AR14" i="15" s="1"/>
  <c r="R14" i="15" a="1"/>
  <c r="R14" i="15" s="1"/>
  <c r="AU14" i="15" a="1"/>
  <c r="AU14" i="15" s="1"/>
  <c r="Q14" i="15" a="1"/>
  <c r="Q14" i="15" s="1"/>
  <c r="AV14" i="15" a="1"/>
  <c r="AV14" i="15" s="1"/>
  <c r="O24" i="21" s="1"/>
  <c r="I14" i="15" a="1"/>
  <c r="I14" i="15" s="1"/>
  <c r="O14" i="15" a="1"/>
  <c r="O14" i="15" s="1"/>
  <c r="H14" i="15" a="1"/>
  <c r="H14" i="15" s="1"/>
  <c r="M15" i="15"/>
  <c r="AT272" i="15" a="1"/>
  <c r="AT272" i="15" s="1"/>
  <c r="AS272" i="15" a="1"/>
  <c r="AS272" i="15" s="1"/>
  <c r="AR272" i="15" a="1"/>
  <c r="AR272" i="15" s="1"/>
  <c r="H272" i="15" a="1"/>
  <c r="H272" i="15" s="1"/>
  <c r="K272" i="15" s="1"/>
  <c r="I272" i="15" a="1"/>
  <c r="I272" i="15" s="1"/>
  <c r="L272" i="15" s="1"/>
  <c r="M273" i="15"/>
  <c r="R272" i="15" a="1"/>
  <c r="R272" i="15" s="1"/>
  <c r="AV272" i="15" a="1"/>
  <c r="AV272" i="15" s="1"/>
  <c r="AU272" i="15" a="1"/>
  <c r="AU272" i="15" s="1"/>
  <c r="Q272" i="15" a="1"/>
  <c r="Q272" i="15" s="1"/>
  <c r="T63" i="15"/>
  <c r="K96" i="15"/>
  <c r="J96" i="15" s="1"/>
  <c r="AQ40" i="15"/>
  <c r="AT69" i="15" a="1"/>
  <c r="AT69" i="15" s="1"/>
  <c r="AS69" i="15" a="1"/>
  <c r="AS69" i="15" s="1"/>
  <c r="AR69" i="15" a="1"/>
  <c r="AR69" i="15" s="1"/>
  <c r="R69" i="15" a="1"/>
  <c r="R69" i="15" s="1"/>
  <c r="H69" i="15" a="1"/>
  <c r="H69" i="15" s="1"/>
  <c r="I69" i="15" a="1"/>
  <c r="I69" i="15" s="1"/>
  <c r="AV69" i="15" a="1"/>
  <c r="AV69" i="15" s="1"/>
  <c r="M70" i="15"/>
  <c r="Q69" i="15" a="1"/>
  <c r="Q69" i="15" s="1"/>
  <c r="AU69" i="15" a="1"/>
  <c r="AU69" i="15" s="1"/>
  <c r="O69" i="15" a="1"/>
  <c r="O69" i="15" s="1"/>
  <c r="AT195" i="15" a="1"/>
  <c r="AT195" i="15" s="1"/>
  <c r="AS195" i="15" a="1"/>
  <c r="AS195" i="15" s="1"/>
  <c r="AR195" i="15" a="1"/>
  <c r="AR195" i="15" s="1"/>
  <c r="AV195" i="15" a="1"/>
  <c r="AV195" i="15" s="1"/>
  <c r="AU195" i="15" a="1"/>
  <c r="AU195" i="15" s="1"/>
  <c r="H195" i="15" a="1"/>
  <c r="H195" i="15" s="1"/>
  <c r="T195" i="15" s="1"/>
  <c r="M196" i="15"/>
  <c r="Q195" i="15" a="1"/>
  <c r="Q195" i="15" s="1"/>
  <c r="R195" i="15" a="1"/>
  <c r="R195" i="15" s="1"/>
  <c r="I195" i="15" a="1"/>
  <c r="I195" i="15" s="1"/>
  <c r="AQ48" i="15"/>
  <c r="AQ209" i="15"/>
  <c r="R17" i="4"/>
  <c r="R23" i="4"/>
  <c r="NM21" i="4"/>
  <c r="BY22" i="4"/>
  <c r="KW13" i="4"/>
  <c r="EM22" i="4"/>
  <c r="EM17" i="4"/>
  <c r="EM21" i="4" s="1"/>
  <c r="BU17" i="4"/>
  <c r="BU21" i="4" s="1"/>
  <c r="BU23" i="4"/>
  <c r="FT23" i="4"/>
  <c r="FT17" i="4"/>
  <c r="FT21" i="4" s="1"/>
  <c r="HX17" i="4"/>
  <c r="HX21" i="4" s="1"/>
  <c r="DX23" i="4"/>
  <c r="DX17" i="4"/>
  <c r="DX21" i="4" s="1"/>
  <c r="CH17" i="4"/>
  <c r="CH21" i="4" s="1"/>
  <c r="CH23" i="4"/>
  <c r="HA17" i="4"/>
  <c r="HA21" i="4" s="1"/>
  <c r="LD17" i="4"/>
  <c r="LD21" i="4" s="1"/>
  <c r="LD23" i="4"/>
  <c r="GN22" i="4"/>
  <c r="GN17" i="4"/>
  <c r="GN21" i="4" s="1"/>
  <c r="U264" i="15"/>
  <c r="S264" i="15" s="1"/>
  <c r="FK17" i="4"/>
  <c r="FK21" i="4" s="1"/>
  <c r="FK23" i="4"/>
  <c r="CG22" i="4"/>
  <c r="HJ17" i="4"/>
  <c r="HJ21" i="4" s="1"/>
  <c r="T209" i="15"/>
  <c r="N145" i="15"/>
  <c r="DN21" i="4"/>
  <c r="GJ23" i="4"/>
  <c r="GG18" i="4"/>
  <c r="CB17" i="4"/>
  <c r="CB23" i="4"/>
  <c r="HS23" i="4"/>
  <c r="HS17" i="4"/>
  <c r="HS21" i="4" s="1"/>
  <c r="JS23" i="4"/>
  <c r="JS17" i="4"/>
  <c r="JS21" i="4" s="1"/>
  <c r="DU18" i="4"/>
  <c r="DU23" i="4" s="1"/>
  <c r="EA23" i="4"/>
  <c r="IB23" i="4"/>
  <c r="IB17" i="4"/>
  <c r="IB21" i="4" s="1"/>
  <c r="GF22" i="4"/>
  <c r="GF17" i="4"/>
  <c r="GF21" i="4" s="1"/>
  <c r="FZ23" i="4"/>
  <c r="FY18" i="4"/>
  <c r="HU19" i="4"/>
  <c r="HU22" i="4" s="1"/>
  <c r="IB22" i="4"/>
  <c r="HM13" i="4"/>
  <c r="LH21" i="4"/>
  <c r="CX23" i="4"/>
  <c r="CX17" i="4"/>
  <c r="CX21" i="4" s="1"/>
  <c r="EV23" i="4"/>
  <c r="DO23" i="4"/>
  <c r="DO17" i="4"/>
  <c r="KL17" i="4"/>
  <c r="KL21" i="4" s="1"/>
  <c r="KL23" i="4"/>
  <c r="IC19" i="4"/>
  <c r="IJ22" i="4"/>
  <c r="LP21" i="4"/>
  <c r="AG23" i="4"/>
  <c r="AG17" i="4"/>
  <c r="AG21" i="4" s="1"/>
  <c r="FZ17" i="4"/>
  <c r="FZ21" i="4" s="1"/>
  <c r="HV17" i="4"/>
  <c r="HV23" i="4"/>
  <c r="CW9" i="4"/>
  <c r="JE23" i="4"/>
  <c r="JE17" i="4"/>
  <c r="JE21" i="4" s="1"/>
  <c r="MG22" i="4"/>
  <c r="MC20" i="4"/>
  <c r="FY13" i="4"/>
  <c r="CG9" i="4"/>
  <c r="HQ23" i="4"/>
  <c r="FS23" i="4"/>
  <c r="FS17" i="4"/>
  <c r="FS21" i="4" s="1"/>
  <c r="EP17" i="4"/>
  <c r="EP21" i="4" s="1"/>
  <c r="EP23" i="4"/>
  <c r="U61" i="15"/>
  <c r="S61" i="15" s="1"/>
  <c r="GZ22" i="4"/>
  <c r="MD21" i="4"/>
  <c r="CK23" i="4"/>
  <c r="CG18" i="4"/>
  <c r="CK17" i="4"/>
  <c r="EE21" i="4"/>
  <c r="LG21" i="4"/>
  <c r="JH23" i="4"/>
  <c r="JH17" i="4"/>
  <c r="JH21" i="4" s="1"/>
  <c r="KY23" i="4"/>
  <c r="KY17" i="4"/>
  <c r="KY21" i="4" s="1"/>
  <c r="MH23" i="4"/>
  <c r="MH17" i="4"/>
  <c r="MH21" i="4" s="1"/>
  <c r="BL17" i="4"/>
  <c r="BL23" i="4"/>
  <c r="GJ21" i="4"/>
  <c r="JA22" i="4"/>
  <c r="MG17" i="4"/>
  <c r="GE23" i="4"/>
  <c r="GE17" i="4"/>
  <c r="GE21" i="4" s="1"/>
  <c r="FJ17" i="4"/>
  <c r="FJ21" i="4" s="1"/>
  <c r="FI18" i="4"/>
  <c r="E6" i="21"/>
  <c r="E22" i="21" s="1"/>
  <c r="AH10" i="15"/>
  <c r="EZ23" i="21"/>
  <c r="GN23" i="21"/>
  <c r="DD23" i="21"/>
  <c r="D23" i="21"/>
  <c r="CV23" i="21"/>
  <c r="DT15" i="21"/>
  <c r="FX15" i="21"/>
  <c r="U321" i="15"/>
  <c r="S321" i="15" s="1"/>
  <c r="V229" i="15"/>
  <c r="U229" i="15" s="1"/>
  <c r="U348" i="15"/>
  <c r="P229" i="15"/>
  <c r="N229" i="15" s="1"/>
  <c r="P209" i="15"/>
  <c r="N209" i="15" s="1"/>
  <c r="U222" i="15"/>
  <c r="U341" i="15"/>
  <c r="S341" i="15" s="1"/>
  <c r="U334" i="15"/>
  <c r="S334" i="15" s="1"/>
  <c r="U5" i="15"/>
  <c r="S5" i="15" s="1"/>
  <c r="J6" i="15"/>
  <c r="T124" i="15"/>
  <c r="T62" i="15"/>
  <c r="U47" i="15"/>
  <c r="S47" i="15" s="1"/>
  <c r="N174" i="15"/>
  <c r="U362" i="15"/>
  <c r="S362" i="15" s="1"/>
  <c r="U161" i="15"/>
  <c r="J145" i="15"/>
  <c r="IU21" i="4"/>
  <c r="BS17" i="4"/>
  <c r="BS23" i="4"/>
  <c r="BQ18" i="4"/>
  <c r="ML21" i="4"/>
  <c r="JF17" i="4"/>
  <c r="JF23" i="4"/>
  <c r="JA18" i="4"/>
  <c r="JA23" i="4" s="1"/>
  <c r="EQ23" i="4"/>
  <c r="EQ17" i="4"/>
  <c r="JY9" i="4"/>
  <c r="KB21" i="4"/>
  <c r="DE9" i="4"/>
  <c r="DF21" i="4"/>
  <c r="HT17" i="4"/>
  <c r="HT23" i="4"/>
  <c r="EL23" i="4"/>
  <c r="EL17" i="4"/>
  <c r="JJ21" i="4"/>
  <c r="KK21" i="4"/>
  <c r="HC23" i="4"/>
  <c r="HC17" i="4"/>
  <c r="HC21" i="4" s="1"/>
  <c r="NJ21" i="4"/>
  <c r="PA21" i="4"/>
  <c r="BK23" i="4"/>
  <c r="BK17" i="4"/>
  <c r="BK21" i="4" s="1"/>
  <c r="EV21" i="4"/>
  <c r="LW23" i="4"/>
  <c r="LW17" i="4"/>
  <c r="AE23" i="4"/>
  <c r="AE17" i="4"/>
  <c r="W159" i="15"/>
  <c r="AI17" i="4"/>
  <c r="AI21" i="4" s="1"/>
  <c r="AI23" i="4"/>
  <c r="IZ17" i="4"/>
  <c r="IZ21" i="4" s="1"/>
  <c r="IZ23" i="4"/>
  <c r="HE9" i="4"/>
  <c r="IG21" i="4"/>
  <c r="FZ22" i="4"/>
  <c r="FY20" i="4"/>
  <c r="T55" i="15"/>
  <c r="GY17" i="4"/>
  <c r="GY22" i="4"/>
  <c r="GW19" i="4"/>
  <c r="CQ21" i="4"/>
  <c r="KD23" i="4"/>
  <c r="KD17" i="4"/>
  <c r="KD21" i="4" s="1"/>
  <c r="JY18" i="4"/>
  <c r="LR23" i="4"/>
  <c r="LR17" i="4"/>
  <c r="LR21" i="4" s="1"/>
  <c r="LM18" i="4"/>
  <c r="BJ21" i="4"/>
  <c r="MZ17" i="4"/>
  <c r="GO19" i="4"/>
  <c r="GV22" i="4"/>
  <c r="GV17" i="4"/>
  <c r="GV21" i="4" s="1"/>
  <c r="FH17" i="4"/>
  <c r="FH22" i="4"/>
  <c r="FA19" i="4"/>
  <c r="FA22" i="4" s="1"/>
  <c r="EO21" i="4"/>
  <c r="OY21" i="4"/>
  <c r="GQ17" i="4"/>
  <c r="GQ23" i="4"/>
  <c r="JT17" i="4"/>
  <c r="JT23" i="4"/>
  <c r="CY17" i="4"/>
  <c r="CY23" i="4"/>
  <c r="CW18" i="4"/>
  <c r="HW23" i="4"/>
  <c r="HW17" i="4"/>
  <c r="HG21" i="4"/>
  <c r="OH21" i="4"/>
  <c r="OO17" i="4"/>
  <c r="U54" i="15"/>
  <c r="V181" i="15"/>
  <c r="P181" i="15"/>
  <c r="T21" i="4"/>
  <c r="KX17" i="4"/>
  <c r="KX23" i="4"/>
  <c r="KW18" i="4"/>
  <c r="KV23" i="4"/>
  <c r="AX23" i="4"/>
  <c r="AX17" i="4"/>
  <c r="AX21" i="4" s="1"/>
  <c r="AS9" i="4"/>
  <c r="KO9" i="4"/>
  <c r="KS21" i="4"/>
  <c r="KH23" i="4"/>
  <c r="KH17" i="4"/>
  <c r="MP23" i="4"/>
  <c r="MP17" i="4"/>
  <c r="MK18" i="4"/>
  <c r="MK23" i="4" s="1"/>
  <c r="F21" i="4"/>
  <c r="JQ22" i="4"/>
  <c r="KP21" i="4"/>
  <c r="FW23" i="4"/>
  <c r="NX9" i="4"/>
  <c r="NQ10" i="4"/>
  <c r="LN21" i="4"/>
  <c r="NX13" i="4"/>
  <c r="NQ13" i="4" s="1"/>
  <c r="NX18" i="4"/>
  <c r="BF17" i="4"/>
  <c r="BF23" i="4"/>
  <c r="F12" i="21"/>
  <c r="U145" i="15"/>
  <c r="S145" i="15" s="1"/>
  <c r="U265" i="15"/>
  <c r="U236" i="15"/>
  <c r="U174" i="15"/>
  <c r="S174" i="15" s="1"/>
  <c r="JC47" i="3"/>
  <c r="JD47" i="3" s="1"/>
  <c r="JE47" i="3" s="1"/>
  <c r="AP5" i="15"/>
  <c r="AP12" i="15"/>
  <c r="AP7" i="15"/>
  <c r="IR32" i="3"/>
  <c r="IR34" i="3" s="1"/>
  <c r="IR60" i="3" s="1"/>
  <c r="IR61" i="3" s="1"/>
  <c r="IR62" i="3" s="1"/>
  <c r="AP10" i="15"/>
  <c r="AH12" i="15"/>
  <c r="HJ32" i="3"/>
  <c r="HJ34" i="3" s="1"/>
  <c r="HJ60" i="3" s="1"/>
  <c r="HJ61" i="3" s="1"/>
  <c r="HJ62" i="3" s="1"/>
  <c r="GZ34" i="3"/>
  <c r="HX32" i="3"/>
  <c r="HX34" i="3" s="1"/>
  <c r="HX60" i="3" s="1"/>
  <c r="HX61" i="3" s="1"/>
  <c r="HX62" i="3" s="1"/>
  <c r="NV22" i="21"/>
  <c r="HT47" i="3"/>
  <c r="HT32" i="3"/>
  <c r="HT34" i="3" s="1"/>
  <c r="HT60" i="3" s="1"/>
  <c r="HT61" i="3" s="1"/>
  <c r="HT62" i="3" s="1"/>
  <c r="AP8" i="15"/>
  <c r="IS34" i="3"/>
  <c r="IS60" i="3" s="1"/>
  <c r="IS61" i="3" s="1"/>
  <c r="IS62" i="3" s="1"/>
  <c r="AH5" i="15"/>
  <c r="GU47" i="3"/>
  <c r="GV47" i="3" s="1"/>
  <c r="AP6" i="15"/>
  <c r="GV32" i="3"/>
  <c r="GV34" i="3" s="1"/>
  <c r="AH7" i="15"/>
  <c r="HA34" i="3"/>
  <c r="IE34" i="3"/>
  <c r="IE60" i="3" s="1"/>
  <c r="IE61" i="3" s="1"/>
  <c r="IE62" i="3" s="1"/>
  <c r="AC8" i="15"/>
  <c r="HC32" i="3"/>
  <c r="HC34" i="3" s="1"/>
  <c r="JH47" i="3"/>
  <c r="JI47" i="3" s="1"/>
  <c r="JJ47" i="3" s="1"/>
  <c r="JK47" i="3" s="1"/>
  <c r="JL47" i="3" s="1"/>
  <c r="JM47" i="3" s="1"/>
  <c r="JN47" i="3" s="1"/>
  <c r="JO47" i="3" s="1"/>
  <c r="JP47" i="3" s="1"/>
  <c r="JQ47" i="3" s="1"/>
  <c r="JR47" i="3" s="1"/>
  <c r="JS47" i="3" s="1"/>
  <c r="JT47" i="3" s="1"/>
  <c r="JU47" i="3" s="1"/>
  <c r="JV47" i="3" s="1"/>
  <c r="JW47" i="3" s="1"/>
  <c r="JX47" i="3" s="1"/>
  <c r="JY47" i="3" s="1"/>
  <c r="JZ47" i="3" s="1"/>
  <c r="KA47" i="3" s="1"/>
  <c r="KB47" i="3" s="1"/>
  <c r="IB32" i="3"/>
  <c r="IB34" i="3" s="1"/>
  <c r="IB60" i="3" s="1"/>
  <c r="IB61" i="3" s="1"/>
  <c r="IB62" i="3" s="1"/>
  <c r="HB32" i="3"/>
  <c r="HB34" i="3" s="1"/>
  <c r="JF32" i="3"/>
  <c r="JF34" i="3" s="1"/>
  <c r="NT22" i="21"/>
  <c r="ID47" i="3"/>
  <c r="IE47" i="3" s="1"/>
  <c r="ID32" i="3"/>
  <c r="ID34" i="3" s="1"/>
  <c r="ID60" i="3" s="1"/>
  <c r="ID61" i="3" s="1"/>
  <c r="ID62" i="3" s="1"/>
  <c r="NU22" i="21"/>
  <c r="NP18" i="21"/>
  <c r="NR9" i="21"/>
  <c r="HJ47" i="3"/>
  <c r="IY34" i="3"/>
  <c r="NR22" i="21"/>
  <c r="AC9" i="15"/>
  <c r="AP9" i="15"/>
  <c r="HX47" i="3"/>
  <c r="HC47" i="3"/>
  <c r="HD47" i="3" s="1"/>
  <c r="NP21" i="21"/>
  <c r="NS22" i="21"/>
  <c r="NP6" i="21"/>
  <c r="NT9" i="21"/>
  <c r="NV15" i="21"/>
  <c r="J68" i="15" l="1"/>
  <c r="H252" i="15" a="1"/>
  <c r="H252" i="15" s="1"/>
  <c r="O252" i="15" a="1"/>
  <c r="O252" i="15" s="1"/>
  <c r="V175" i="15"/>
  <c r="AE13" i="15"/>
  <c r="AP13" i="15" s="1"/>
  <c r="AQ323" i="15"/>
  <c r="AW323" i="15" s="1"/>
  <c r="W175" i="15"/>
  <c r="U175" i="15" s="1"/>
  <c r="S175" i="15" s="1"/>
  <c r="AQ224" i="15"/>
  <c r="T175" i="15"/>
  <c r="U96" i="15"/>
  <c r="W98" i="15"/>
  <c r="V98" i="15"/>
  <c r="J63" i="15"/>
  <c r="L99" i="15"/>
  <c r="J99" i="15" s="1"/>
  <c r="R176" i="15" a="1"/>
  <c r="R176" i="15" s="1"/>
  <c r="W176" i="15" s="1"/>
  <c r="AR176" i="15" a="1"/>
  <c r="AR176" i="15" s="1"/>
  <c r="P63" i="15"/>
  <c r="N63" i="15" s="1"/>
  <c r="V63" i="15"/>
  <c r="U63" i="15" s="1"/>
  <c r="T99" i="15"/>
  <c r="AU65" i="15" a="1"/>
  <c r="AU65" i="15" s="1"/>
  <c r="T13" i="15"/>
  <c r="I65" i="15" a="1"/>
  <c r="I65" i="15" s="1"/>
  <c r="AR65" i="15" a="1"/>
  <c r="AR65" i="15" s="1"/>
  <c r="AQ65" i="15" s="1"/>
  <c r="AW65" i="15" s="1"/>
  <c r="N5" i="21"/>
  <c r="N6" i="21" s="1"/>
  <c r="AS65" i="15" a="1"/>
  <c r="AS65" i="15" s="1"/>
  <c r="N175" i="15"/>
  <c r="H100" i="15" a="1"/>
  <c r="H100" i="15" s="1"/>
  <c r="K100" i="15" s="1"/>
  <c r="AT100" i="15" a="1"/>
  <c r="AT100" i="15" s="1"/>
  <c r="AS100" i="15" a="1"/>
  <c r="AS100" i="15" s="1"/>
  <c r="AR100" i="15" a="1"/>
  <c r="AR100" i="15" s="1"/>
  <c r="Q100" i="15" a="1"/>
  <c r="Q100" i="15" s="1"/>
  <c r="AU100" i="15" a="1"/>
  <c r="AU100" i="15" s="1"/>
  <c r="I100" i="15" a="1"/>
  <c r="I100" i="15" s="1"/>
  <c r="L100" i="15" s="1"/>
  <c r="R100" i="15" a="1"/>
  <c r="R100" i="15" s="1"/>
  <c r="W100" i="15" s="1"/>
  <c r="P97" i="15"/>
  <c r="N97" i="15" s="1"/>
  <c r="M66" i="15"/>
  <c r="O66" i="15" s="1" a="1"/>
  <c r="O66" i="15" s="1"/>
  <c r="J13" i="15"/>
  <c r="AT65" i="15" a="1"/>
  <c r="AT65" i="15" s="1"/>
  <c r="AC13" i="15"/>
  <c r="AV65" i="15" a="1"/>
  <c r="AV65" i="15" s="1"/>
  <c r="AV100" i="15" a="1"/>
  <c r="AV100" i="15" s="1"/>
  <c r="AJ14" i="15"/>
  <c r="AP14" i="15" s="1"/>
  <c r="P2" i="21"/>
  <c r="AG15" i="15"/>
  <c r="AL15" i="15"/>
  <c r="AD15" i="15"/>
  <c r="AM15" i="15"/>
  <c r="AK15" i="15"/>
  <c r="AD14" i="15"/>
  <c r="AC14" i="15" s="1"/>
  <c r="AI14" i="15"/>
  <c r="AF15" i="15"/>
  <c r="IF21" i="4"/>
  <c r="FP21" i="4"/>
  <c r="FY23" i="4"/>
  <c r="NI23" i="4"/>
  <c r="HY21" i="4"/>
  <c r="U209" i="15"/>
  <c r="S209" i="15" s="1"/>
  <c r="J21" i="4"/>
  <c r="U168" i="15"/>
  <c r="JO21" i="4"/>
  <c r="U286" i="15"/>
  <c r="S286" i="15" s="1"/>
  <c r="HU9" i="4"/>
  <c r="LU9" i="4"/>
  <c r="MO21" i="4"/>
  <c r="U243" i="15"/>
  <c r="S215" i="15"/>
  <c r="S315" i="15"/>
  <c r="U313" i="15"/>
  <c r="S313" i="15" s="1"/>
  <c r="U99" i="15"/>
  <c r="S99" i="15" s="1"/>
  <c r="U68" i="15"/>
  <c r="S68" i="15" s="1"/>
  <c r="U89" i="15"/>
  <c r="S89" i="15" s="1"/>
  <c r="U355" i="15"/>
  <c r="S355" i="15" s="1"/>
  <c r="U76" i="15"/>
  <c r="S76" i="15" s="1"/>
  <c r="U132" i="15"/>
  <c r="S132" i="15" s="1"/>
  <c r="U314" i="15"/>
  <c r="S314" i="15" s="1"/>
  <c r="U97" i="15"/>
  <c r="S97" i="15" s="1"/>
  <c r="U279" i="15"/>
  <c r="S279" i="15" s="1"/>
  <c r="N40" i="21"/>
  <c r="U41" i="15"/>
  <c r="S41" i="15" s="1"/>
  <c r="S187" i="15"/>
  <c r="AQ104" i="15"/>
  <c r="AW104" i="15" s="1"/>
  <c r="T356" i="15"/>
  <c r="U34" i="15"/>
  <c r="S34" i="15" s="1"/>
  <c r="J26" i="15"/>
  <c r="N188" i="15"/>
  <c r="U322" i="15"/>
  <c r="S322" i="15" s="1"/>
  <c r="S96" i="15"/>
  <c r="J41" i="15"/>
  <c r="W316" i="15"/>
  <c r="T203" i="15"/>
  <c r="S166" i="15"/>
  <c r="S117" i="15"/>
  <c r="U349" i="15"/>
  <c r="S349" i="15" s="1"/>
  <c r="J64" i="15"/>
  <c r="S265" i="15"/>
  <c r="AQ162" i="15"/>
  <c r="AW162" i="15" s="1"/>
  <c r="S201" i="15"/>
  <c r="T307" i="15"/>
  <c r="T65" i="15"/>
  <c r="U159" i="15"/>
  <c r="S159" i="15" s="1"/>
  <c r="T90" i="15"/>
  <c r="J356" i="15"/>
  <c r="S223" i="15"/>
  <c r="N6" i="15"/>
  <c r="AQ83" i="15"/>
  <c r="T204" i="15"/>
  <c r="U33" i="15"/>
  <c r="AW203" i="15"/>
  <c r="AQ363" i="15"/>
  <c r="AW363" i="15" s="1"/>
  <c r="AQ336" i="15"/>
  <c r="J343" i="15"/>
  <c r="J90" i="15"/>
  <c r="T77" i="15"/>
  <c r="J238" i="15"/>
  <c r="S229" i="15"/>
  <c r="T104" i="15"/>
  <c r="AQ317" i="15"/>
  <c r="T238" i="15"/>
  <c r="N243" i="15"/>
  <c r="J336" i="15"/>
  <c r="T336" i="15"/>
  <c r="U181" i="15"/>
  <c r="AQ77" i="15"/>
  <c r="AW77" i="15" s="1"/>
  <c r="AQ204" i="15"/>
  <c r="J83" i="15"/>
  <c r="W204" i="15"/>
  <c r="L204" i="15"/>
  <c r="J204" i="15" s="1"/>
  <c r="T83" i="15"/>
  <c r="U153" i="15"/>
  <c r="S153" i="15" s="1"/>
  <c r="P204" i="15"/>
  <c r="N204" i="15" s="1"/>
  <c r="V204" i="15"/>
  <c r="W64" i="15"/>
  <c r="AQ176" i="15"/>
  <c r="AQ238" i="15"/>
  <c r="AW238" i="15" s="1"/>
  <c r="AQ133" i="15"/>
  <c r="V64" i="15"/>
  <c r="V356" i="15"/>
  <c r="AW35" i="15"/>
  <c r="P356" i="15"/>
  <c r="N356" i="15" s="1"/>
  <c r="L77" i="15"/>
  <c r="J77" i="15" s="1"/>
  <c r="U320" i="15"/>
  <c r="S320" i="15" s="1"/>
  <c r="W77" i="15"/>
  <c r="V77" i="15"/>
  <c r="P77" i="15"/>
  <c r="N77" i="15" s="1"/>
  <c r="U138" i="15"/>
  <c r="S138" i="15" s="1"/>
  <c r="J293" i="15"/>
  <c r="AQ343" i="15"/>
  <c r="AW343" i="15" s="1"/>
  <c r="AW56" i="15"/>
  <c r="K35" i="15"/>
  <c r="T317" i="15"/>
  <c r="AQ78" i="15"/>
  <c r="J280" i="15"/>
  <c r="AQ27" i="15"/>
  <c r="AW27" i="15" s="1"/>
  <c r="AW7" i="15"/>
  <c r="T35" i="15"/>
  <c r="W258" i="15"/>
  <c r="S222" i="15"/>
  <c r="L258" i="15"/>
  <c r="V13" i="15"/>
  <c r="AV259" i="15" a="1"/>
  <c r="AV259" i="15" s="1"/>
  <c r="I259" i="15" a="1"/>
  <c r="I259" i="15" s="1"/>
  <c r="AT259" i="15" a="1"/>
  <c r="AT259" i="15" s="1"/>
  <c r="H259" i="15" a="1"/>
  <c r="H259" i="15" s="1"/>
  <c r="AS259" i="15" a="1"/>
  <c r="AS259" i="15" s="1"/>
  <c r="AR259" i="15" a="1"/>
  <c r="AR259" i="15" s="1"/>
  <c r="M260" i="15"/>
  <c r="R259" i="15" a="1"/>
  <c r="R259" i="15" s="1"/>
  <c r="AU259" i="15" a="1"/>
  <c r="AU259" i="15" s="1"/>
  <c r="O259" i="15" a="1"/>
  <c r="O259" i="15" s="1"/>
  <c r="Q259" i="15" a="1"/>
  <c r="Q259" i="15" s="1"/>
  <c r="N17" i="21"/>
  <c r="N18" i="21" s="1"/>
  <c r="AQ13" i="15"/>
  <c r="AW13" i="15" s="1"/>
  <c r="S75" i="15"/>
  <c r="T323" i="15"/>
  <c r="P258" i="15"/>
  <c r="N258" i="15" s="1"/>
  <c r="V258" i="15"/>
  <c r="N11" i="21"/>
  <c r="N12" i="21" s="1"/>
  <c r="N168" i="15"/>
  <c r="AW111" i="15"/>
  <c r="J104" i="15"/>
  <c r="I252" i="15" a="1"/>
  <c r="I252" i="15" s="1"/>
  <c r="W252" i="15" s="1"/>
  <c r="Q252" i="15" a="1"/>
  <c r="Q252" i="15" s="1"/>
  <c r="P252" i="15" s="1"/>
  <c r="N252" i="15" s="1"/>
  <c r="AT252" i="15" a="1"/>
  <c r="AT252" i="15" s="1"/>
  <c r="AS252" i="15" a="1"/>
  <c r="AS252" i="15" s="1"/>
  <c r="AR252" i="15" a="1"/>
  <c r="AR252" i="15" s="1"/>
  <c r="K258" i="15"/>
  <c r="V176" i="15"/>
  <c r="W238" i="15"/>
  <c r="W251" i="15"/>
  <c r="U251" i="15" s="1"/>
  <c r="P251" i="15"/>
  <c r="N251" i="15" s="1"/>
  <c r="U110" i="15"/>
  <c r="S110" i="15" s="1"/>
  <c r="W203" i="15"/>
  <c r="P203" i="15"/>
  <c r="N203" i="15" s="1"/>
  <c r="AQ356" i="15"/>
  <c r="AW356" i="15" s="1"/>
  <c r="W188" i="15"/>
  <c r="P13" i="15"/>
  <c r="N13" i="15" s="1"/>
  <c r="P176" i="15"/>
  <c r="N176" i="15" s="1"/>
  <c r="W307" i="15"/>
  <c r="U307" i="15" s="1"/>
  <c r="W356" i="15"/>
  <c r="W13" i="15"/>
  <c r="J188" i="15"/>
  <c r="AR357" i="15" a="1"/>
  <c r="AR357" i="15" s="1"/>
  <c r="AS357" i="15" a="1"/>
  <c r="AS357" i="15" s="1"/>
  <c r="AT357" i="15" a="1"/>
  <c r="AT357" i="15" s="1"/>
  <c r="L203" i="15"/>
  <c r="J203" i="15" s="1"/>
  <c r="V203" i="15"/>
  <c r="AU84" i="15" a="1"/>
  <c r="AU84" i="15" s="1"/>
  <c r="R84" i="15" a="1"/>
  <c r="R84" i="15" s="1"/>
  <c r="H84" i="15" a="1"/>
  <c r="H84" i="15" s="1"/>
  <c r="K84" i="15" s="1"/>
  <c r="Q84" i="15" a="1"/>
  <c r="Q84" i="15" s="1"/>
  <c r="AT84" i="15" a="1"/>
  <c r="AT84" i="15" s="1"/>
  <c r="M85" i="15"/>
  <c r="AV84" i="15" a="1"/>
  <c r="AV84" i="15" s="1"/>
  <c r="AS84" i="15" a="1"/>
  <c r="AS84" i="15" s="1"/>
  <c r="I84" i="15" a="1"/>
  <c r="I84" i="15" s="1"/>
  <c r="L84" i="15" s="1"/>
  <c r="AR84" i="15" a="1"/>
  <c r="AR84" i="15" s="1"/>
  <c r="O84" i="15" a="1"/>
  <c r="O84" i="15" s="1"/>
  <c r="W154" i="15"/>
  <c r="W83" i="15"/>
  <c r="V83" i="15"/>
  <c r="P83" i="15"/>
  <c r="N83" i="15" s="1"/>
  <c r="AW293" i="15"/>
  <c r="J224" i="15"/>
  <c r="L27" i="15"/>
  <c r="J27" i="15" s="1"/>
  <c r="AW169" i="15"/>
  <c r="K252" i="15"/>
  <c r="I205" i="15" a="1"/>
  <c r="I205" i="15" s="1"/>
  <c r="L205" i="15" s="1"/>
  <c r="AT205" i="15" a="1"/>
  <c r="AT205" i="15" s="1"/>
  <c r="AS205" i="15" a="1"/>
  <c r="AS205" i="15" s="1"/>
  <c r="AR205" i="15" a="1"/>
  <c r="AR205" i="15" s="1"/>
  <c r="R205" i="15" a="1"/>
  <c r="R205" i="15" s="1"/>
  <c r="Q205" i="15" a="1"/>
  <c r="Q205" i="15" s="1"/>
  <c r="AV205" i="15" a="1"/>
  <c r="AV205" i="15" s="1"/>
  <c r="AU205" i="15" a="1"/>
  <c r="AU205" i="15" s="1"/>
  <c r="H205" i="15" a="1"/>
  <c r="H205" i="15" s="1"/>
  <c r="K205" i="15" s="1"/>
  <c r="M206" i="15"/>
  <c r="W224" i="15"/>
  <c r="T224" i="15"/>
  <c r="T252" i="15"/>
  <c r="Q42" i="15" a="1"/>
  <c r="Q42" i="15" s="1"/>
  <c r="R42" i="15" a="1"/>
  <c r="R42" i="15" s="1"/>
  <c r="AU42" i="15" a="1"/>
  <c r="AU42" i="15" s="1"/>
  <c r="AV42" i="15" a="1"/>
  <c r="AV42" i="15" s="1"/>
  <c r="O42" i="15" a="1"/>
  <c r="O42" i="15" s="1"/>
  <c r="I42" i="15" a="1"/>
  <c r="I42" i="15" s="1"/>
  <c r="AS42" i="15" a="1"/>
  <c r="AS42" i="15" s="1"/>
  <c r="M43" i="15"/>
  <c r="AR42" i="15" a="1"/>
  <c r="AR42" i="15" s="1"/>
  <c r="AT42" i="15" a="1"/>
  <c r="AT42" i="15" s="1"/>
  <c r="H42" i="15" a="1"/>
  <c r="H42" i="15" s="1"/>
  <c r="T343" i="15"/>
  <c r="I253" i="15" a="1"/>
  <c r="I253" i="15" s="1"/>
  <c r="L253" i="15" s="1"/>
  <c r="M254" i="15"/>
  <c r="O253" i="15" a="1"/>
  <c r="O253" i="15" s="1"/>
  <c r="Q253" i="15" a="1"/>
  <c r="Q253" i="15" s="1"/>
  <c r="AU253" i="15" a="1"/>
  <c r="AU253" i="15" s="1"/>
  <c r="H253" i="15" a="1"/>
  <c r="H253" i="15" s="1"/>
  <c r="K253" i="15" s="1"/>
  <c r="AT253" i="15" a="1"/>
  <c r="AT253" i="15" s="1"/>
  <c r="R253" i="15" a="1"/>
  <c r="R253" i="15" s="1"/>
  <c r="AS253" i="15" a="1"/>
  <c r="AS253" i="15" s="1"/>
  <c r="AV253" i="15" a="1"/>
  <c r="AV253" i="15" s="1"/>
  <c r="AR253" i="15" a="1"/>
  <c r="AR253" i="15" s="1"/>
  <c r="V188" i="15"/>
  <c r="AU101" i="15" a="1"/>
  <c r="AU101" i="15" s="1"/>
  <c r="M102" i="15"/>
  <c r="AR101" i="15" a="1"/>
  <c r="AR101" i="15" s="1"/>
  <c r="I101" i="15" a="1"/>
  <c r="I101" i="15" s="1"/>
  <c r="Q101" i="15" a="1"/>
  <c r="Q101" i="15" s="1"/>
  <c r="H101" i="15" a="1"/>
  <c r="H101" i="15" s="1"/>
  <c r="O101" i="15" a="1"/>
  <c r="O101" i="15" s="1"/>
  <c r="R101" i="15" a="1"/>
  <c r="R101" i="15" s="1"/>
  <c r="AV101" i="15" a="1"/>
  <c r="AV101" i="15" s="1"/>
  <c r="AT101" i="15" a="1"/>
  <c r="AT101" i="15" s="1"/>
  <c r="AS101" i="15" a="1"/>
  <c r="AS101" i="15" s="1"/>
  <c r="I155" i="15" a="1"/>
  <c r="I155" i="15" s="1"/>
  <c r="L155" i="15" s="1"/>
  <c r="Q155" i="15" a="1"/>
  <c r="Q155" i="15" s="1"/>
  <c r="R155" i="15" a="1"/>
  <c r="R155" i="15" s="1"/>
  <c r="AU155" i="15" a="1"/>
  <c r="AU155" i="15" s="1"/>
  <c r="M156" i="15"/>
  <c r="AT155" i="15" a="1"/>
  <c r="AT155" i="15" s="1"/>
  <c r="H155" i="15" a="1"/>
  <c r="H155" i="15" s="1"/>
  <c r="K155" i="15" s="1"/>
  <c r="AS155" i="15" a="1"/>
  <c r="AS155" i="15" s="1"/>
  <c r="AV155" i="15" a="1"/>
  <c r="AV155" i="15" s="1"/>
  <c r="AR155" i="15" a="1"/>
  <c r="AR155" i="15" s="1"/>
  <c r="Q225" i="15" a="1"/>
  <c r="Q225" i="15" s="1"/>
  <c r="I225" i="15" a="1"/>
  <c r="I225" i="15" s="1"/>
  <c r="L225" i="15" s="1"/>
  <c r="O225" i="15" a="1"/>
  <c r="O225" i="15" s="1"/>
  <c r="H225" i="15" a="1"/>
  <c r="H225" i="15" s="1"/>
  <c r="K225" i="15" s="1"/>
  <c r="M226" i="15"/>
  <c r="AT225" i="15" a="1"/>
  <c r="AT225" i="15" s="1"/>
  <c r="R225" i="15" a="1"/>
  <c r="R225" i="15" s="1"/>
  <c r="AS225" i="15" a="1"/>
  <c r="AS225" i="15" s="1"/>
  <c r="AR225" i="15" a="1"/>
  <c r="AR225" i="15" s="1"/>
  <c r="AU225" i="15" a="1"/>
  <c r="AU225" i="15" s="1"/>
  <c r="AV225" i="15" a="1"/>
  <c r="AV225" i="15" s="1"/>
  <c r="P363" i="15"/>
  <c r="N363" i="15" s="1"/>
  <c r="P154" i="15"/>
  <c r="N154" i="15" s="1"/>
  <c r="V154" i="15"/>
  <c r="W133" i="15"/>
  <c r="AV189" i="15" a="1"/>
  <c r="AV189" i="15" s="1"/>
  <c r="AU189" i="15" a="1"/>
  <c r="AU189" i="15" s="1"/>
  <c r="M190" i="15"/>
  <c r="AR189" i="15" a="1"/>
  <c r="AR189" i="15" s="1"/>
  <c r="O189" i="15" a="1"/>
  <c r="O189" i="15" s="1"/>
  <c r="R189" i="15" a="1"/>
  <c r="R189" i="15" s="1"/>
  <c r="I189" i="15" a="1"/>
  <c r="I189" i="15" s="1"/>
  <c r="L189" i="15" s="1"/>
  <c r="Q189" i="15" a="1"/>
  <c r="Q189" i="15" s="1"/>
  <c r="AT189" i="15" a="1"/>
  <c r="AT189" i="15" s="1"/>
  <c r="H189" i="15" a="1"/>
  <c r="H189" i="15" s="1"/>
  <c r="K189" i="15" s="1"/>
  <c r="AS189" i="15" a="1"/>
  <c r="AS189" i="15" s="1"/>
  <c r="U363" i="15"/>
  <c r="S363" i="15" s="1"/>
  <c r="W343" i="15"/>
  <c r="J133" i="15"/>
  <c r="P224" i="15"/>
  <c r="N224" i="15" s="1"/>
  <c r="V224" i="15"/>
  <c r="P133" i="15"/>
  <c r="N133" i="15" s="1"/>
  <c r="V133" i="15"/>
  <c r="V90" i="15"/>
  <c r="P90" i="15"/>
  <c r="N90" i="15" s="1"/>
  <c r="V316" i="15"/>
  <c r="P316" i="15"/>
  <c r="N316" i="15" s="1"/>
  <c r="T280" i="15"/>
  <c r="V169" i="15"/>
  <c r="P169" i="15"/>
  <c r="N169" i="15" s="1"/>
  <c r="W183" i="15"/>
  <c r="V343" i="15"/>
  <c r="P343" i="15"/>
  <c r="N343" i="15" s="1"/>
  <c r="W169" i="15"/>
  <c r="L169" i="15"/>
  <c r="J169" i="15" s="1"/>
  <c r="K183" i="15"/>
  <c r="L183" i="15"/>
  <c r="P64" i="15"/>
  <c r="N64" i="15" s="1"/>
  <c r="M345" i="15"/>
  <c r="AV344" i="15" a="1"/>
  <c r="AV344" i="15" s="1"/>
  <c r="R344" i="15" a="1"/>
  <c r="R344" i="15" s="1"/>
  <c r="I344" i="15" a="1"/>
  <c r="I344" i="15" s="1"/>
  <c r="L344" i="15" s="1"/>
  <c r="AU344" i="15" a="1"/>
  <c r="AU344" i="15" s="1"/>
  <c r="O344" i="15" a="1"/>
  <c r="O344" i="15" s="1"/>
  <c r="H344" i="15" a="1"/>
  <c r="H344" i="15" s="1"/>
  <c r="K344" i="15" s="1"/>
  <c r="Q344" i="15" a="1"/>
  <c r="Q344" i="15" s="1"/>
  <c r="AR344" i="15" a="1"/>
  <c r="AR344" i="15" s="1"/>
  <c r="AS344" i="15" a="1"/>
  <c r="AS344" i="15" s="1"/>
  <c r="AT344" i="15" a="1"/>
  <c r="AT344" i="15" s="1"/>
  <c r="Q91" i="15" a="1"/>
  <c r="Q91" i="15" s="1"/>
  <c r="M92" i="15"/>
  <c r="AV91" i="15" a="1"/>
  <c r="AV91" i="15" s="1"/>
  <c r="AU91" i="15" a="1"/>
  <c r="AU91" i="15" s="1"/>
  <c r="I91" i="15" a="1"/>
  <c r="I91" i="15" s="1"/>
  <c r="L91" i="15" s="1"/>
  <c r="R91" i="15" a="1"/>
  <c r="R91" i="15" s="1"/>
  <c r="O91" i="15" a="1"/>
  <c r="O91" i="15" s="1"/>
  <c r="AT91" i="15" a="1"/>
  <c r="AT91" i="15" s="1"/>
  <c r="AS91" i="15" a="1"/>
  <c r="AS91" i="15" s="1"/>
  <c r="H91" i="15" a="1"/>
  <c r="H91" i="15" s="1"/>
  <c r="K91" i="15" s="1"/>
  <c r="AR91" i="15" a="1"/>
  <c r="AR91" i="15" s="1"/>
  <c r="I184" i="15" a="1"/>
  <c r="I184" i="15" s="1"/>
  <c r="Q184" i="15" a="1"/>
  <c r="Q184" i="15" s="1"/>
  <c r="AV184" i="15" a="1"/>
  <c r="AV184" i="15" s="1"/>
  <c r="M185" i="15"/>
  <c r="H184" i="15" a="1"/>
  <c r="H184" i="15" s="1"/>
  <c r="T184" i="15" s="1"/>
  <c r="AT184" i="15" a="1"/>
  <c r="AT184" i="15" s="1"/>
  <c r="R184" i="15" a="1"/>
  <c r="R184" i="15" s="1"/>
  <c r="AS184" i="15" a="1"/>
  <c r="AS184" i="15" s="1"/>
  <c r="AU184" i="15" a="1"/>
  <c r="AU184" i="15" s="1"/>
  <c r="AR184" i="15" a="1"/>
  <c r="AR184" i="15" s="1"/>
  <c r="R170" i="15" a="1"/>
  <c r="R170" i="15" s="1"/>
  <c r="AV170" i="15" a="1"/>
  <c r="AV170" i="15" s="1"/>
  <c r="Q170" i="15" a="1"/>
  <c r="Q170" i="15" s="1"/>
  <c r="I170" i="15" a="1"/>
  <c r="I170" i="15" s="1"/>
  <c r="L170" i="15" s="1"/>
  <c r="AU170" i="15" a="1"/>
  <c r="AU170" i="15" s="1"/>
  <c r="M171" i="15"/>
  <c r="H170" i="15" a="1"/>
  <c r="H170" i="15" s="1"/>
  <c r="K170" i="15" s="1"/>
  <c r="AS170" i="15" a="1"/>
  <c r="AS170" i="15" s="1"/>
  <c r="AR170" i="15" a="1"/>
  <c r="AR170" i="15" s="1"/>
  <c r="O170" i="15" a="1"/>
  <c r="O170" i="15" s="1"/>
  <c r="AT170" i="15" a="1"/>
  <c r="AT170" i="15" s="1"/>
  <c r="V238" i="15"/>
  <c r="I134" i="15" a="1"/>
  <c r="I134" i="15" s="1"/>
  <c r="L134" i="15" s="1"/>
  <c r="Q134" i="15" a="1"/>
  <c r="Q134" i="15" s="1"/>
  <c r="M135" i="15"/>
  <c r="O134" i="15" a="1"/>
  <c r="O134" i="15" s="1"/>
  <c r="AU134" i="15" a="1"/>
  <c r="AU134" i="15" s="1"/>
  <c r="AV134" i="15" a="1"/>
  <c r="AV134" i="15" s="1"/>
  <c r="AT134" i="15" a="1"/>
  <c r="AT134" i="15" s="1"/>
  <c r="AS134" i="15" a="1"/>
  <c r="AS134" i="15" s="1"/>
  <c r="R134" i="15" a="1"/>
  <c r="R134" i="15" s="1"/>
  <c r="AR134" i="15" a="1"/>
  <c r="AR134" i="15" s="1"/>
  <c r="H134" i="15" a="1"/>
  <c r="H134" i="15" s="1"/>
  <c r="K134" i="15" s="1"/>
  <c r="T133" i="15"/>
  <c r="W90" i="15"/>
  <c r="V183" i="15"/>
  <c r="P183" i="15"/>
  <c r="N183" i="15" s="1"/>
  <c r="S236" i="15"/>
  <c r="P56" i="15"/>
  <c r="N56" i="15" s="1"/>
  <c r="W56" i="15"/>
  <c r="U56" i="15" s="1"/>
  <c r="S56" i="15" s="1"/>
  <c r="N307" i="15"/>
  <c r="W357" i="15"/>
  <c r="W293" i="15"/>
  <c r="T357" i="15"/>
  <c r="V162" i="15"/>
  <c r="P162" i="15"/>
  <c r="N162" i="15" s="1"/>
  <c r="H308" i="15" a="1"/>
  <c r="H308" i="15" s="1"/>
  <c r="K308" i="15" s="1"/>
  <c r="M309" i="15"/>
  <c r="AU308" i="15" a="1"/>
  <c r="AU308" i="15" s="1"/>
  <c r="R308" i="15" a="1"/>
  <c r="R308" i="15" s="1"/>
  <c r="O308" i="15" a="1"/>
  <c r="O308" i="15" s="1"/>
  <c r="AV308" i="15" a="1"/>
  <c r="AV308" i="15" s="1"/>
  <c r="I308" i="15" a="1"/>
  <c r="I308" i="15" s="1"/>
  <c r="L308" i="15" s="1"/>
  <c r="Q308" i="15" a="1"/>
  <c r="Q308" i="15" s="1"/>
  <c r="AT308" i="15" a="1"/>
  <c r="AT308" i="15" s="1"/>
  <c r="AR308" i="15" a="1"/>
  <c r="AR308" i="15" s="1"/>
  <c r="AS308" i="15" a="1"/>
  <c r="AS308" i="15" s="1"/>
  <c r="K78" i="15"/>
  <c r="J78" i="15" s="1"/>
  <c r="T78" i="15"/>
  <c r="G4" i="21"/>
  <c r="T7" i="15"/>
  <c r="I318" i="15" a="1"/>
  <c r="I318" i="15" s="1"/>
  <c r="L318" i="15" s="1"/>
  <c r="AV318" i="15" a="1"/>
  <c r="AV318" i="15" s="1"/>
  <c r="R318" i="15" a="1"/>
  <c r="R318" i="15" s="1"/>
  <c r="AU318" i="15" a="1"/>
  <c r="AU318" i="15" s="1"/>
  <c r="M319" i="15"/>
  <c r="Q318" i="15" a="1"/>
  <c r="Q318" i="15" s="1"/>
  <c r="O318" i="15" a="1"/>
  <c r="O318" i="15" s="1"/>
  <c r="H318" i="15" a="1"/>
  <c r="H318" i="15" s="1"/>
  <c r="AR318" i="15" a="1"/>
  <c r="AR318" i="15" s="1"/>
  <c r="AS318" i="15" a="1"/>
  <c r="AS318" i="15" s="1"/>
  <c r="AT318" i="15" a="1"/>
  <c r="AT318" i="15" s="1"/>
  <c r="AV239" i="15" a="1"/>
  <c r="AV239" i="15" s="1"/>
  <c r="O239" i="15" a="1"/>
  <c r="O239" i="15" s="1"/>
  <c r="M240" i="15"/>
  <c r="R239" i="15" a="1"/>
  <c r="R239" i="15" s="1"/>
  <c r="AU239" i="15" a="1"/>
  <c r="AU239" i="15" s="1"/>
  <c r="I239" i="15" a="1"/>
  <c r="I239" i="15" s="1"/>
  <c r="L239" i="15" s="1"/>
  <c r="Q239" i="15" a="1"/>
  <c r="Q239" i="15" s="1"/>
  <c r="AT239" i="15" a="1"/>
  <c r="AT239" i="15" s="1"/>
  <c r="AS239" i="15" a="1"/>
  <c r="AS239" i="15" s="1"/>
  <c r="AR239" i="15" a="1"/>
  <c r="AR239" i="15" s="1"/>
  <c r="H239" i="15" a="1"/>
  <c r="H239" i="15" s="1"/>
  <c r="K239" i="15" s="1"/>
  <c r="Q163" i="15" a="1"/>
  <c r="Q163" i="15" s="1"/>
  <c r="AV163" i="15" a="1"/>
  <c r="AV163" i="15" s="1"/>
  <c r="R163" i="15" a="1"/>
  <c r="R163" i="15" s="1"/>
  <c r="I163" i="15" a="1"/>
  <c r="I163" i="15" s="1"/>
  <c r="L163" i="15" s="1"/>
  <c r="M164" i="15"/>
  <c r="AU163" i="15" a="1"/>
  <c r="AU163" i="15" s="1"/>
  <c r="H163" i="15" a="1"/>
  <c r="H163" i="15" s="1"/>
  <c r="K163" i="15" s="1"/>
  <c r="AT163" i="15" a="1"/>
  <c r="AT163" i="15" s="1"/>
  <c r="AR163" i="15" a="1"/>
  <c r="AR163" i="15" s="1"/>
  <c r="AS163" i="15" a="1"/>
  <c r="AS163" i="15" s="1"/>
  <c r="O163" i="15" a="1"/>
  <c r="O163" i="15" s="1"/>
  <c r="W336" i="15"/>
  <c r="AU8" i="15" a="1"/>
  <c r="AU8" i="15" s="1"/>
  <c r="H8" i="15" a="1"/>
  <c r="H8" i="15" s="1"/>
  <c r="K8" i="15" s="1"/>
  <c r="O8" i="15" a="1"/>
  <c r="O8" i="15" s="1"/>
  <c r="Q8" i="15" a="1"/>
  <c r="Q8" i="15" s="1"/>
  <c r="AV8" i="15" a="1"/>
  <c r="AV8" i="15" s="1"/>
  <c r="H24" i="21" s="1"/>
  <c r="M9" i="15"/>
  <c r="AS8" i="15" a="1"/>
  <c r="AS8" i="15" s="1"/>
  <c r="H36" i="21" s="1"/>
  <c r="AR8" i="15" a="1"/>
  <c r="AR8" i="15" s="1"/>
  <c r="I8" i="15" a="1"/>
  <c r="I8" i="15" s="1"/>
  <c r="L8" i="15" s="1"/>
  <c r="R8" i="15" a="1"/>
  <c r="R8" i="15" s="1"/>
  <c r="AT8" i="15" a="1"/>
  <c r="AT8" i="15" s="1"/>
  <c r="H38" i="21" s="1"/>
  <c r="L65" i="15"/>
  <c r="P293" i="15"/>
  <c r="N293" i="15" s="1"/>
  <c r="V293" i="15"/>
  <c r="R324" i="15" a="1"/>
  <c r="R324" i="15" s="1"/>
  <c r="AV324" i="15" a="1"/>
  <c r="AV324" i="15" s="1"/>
  <c r="M325" i="15"/>
  <c r="AU324" i="15" a="1"/>
  <c r="AU324" i="15" s="1"/>
  <c r="I324" i="15" a="1"/>
  <c r="I324" i="15" s="1"/>
  <c r="L324" i="15" s="1"/>
  <c r="Q324" i="15" a="1"/>
  <c r="Q324" i="15" s="1"/>
  <c r="H324" i="15" a="1"/>
  <c r="H324" i="15" s="1"/>
  <c r="K324" i="15" s="1"/>
  <c r="O324" i="15" a="1"/>
  <c r="O324" i="15" s="1"/>
  <c r="AS324" i="15" a="1"/>
  <c r="AS324" i="15" s="1"/>
  <c r="AT324" i="15" a="1"/>
  <c r="AT324" i="15" s="1"/>
  <c r="AR324" i="15" a="1"/>
  <c r="AR324" i="15" s="1"/>
  <c r="P238" i="15"/>
  <c r="N238" i="15" s="1"/>
  <c r="M29" i="15"/>
  <c r="I28" i="15" a="1"/>
  <c r="I28" i="15" s="1"/>
  <c r="R28" i="15" a="1"/>
  <c r="R28" i="15" s="1"/>
  <c r="AV28" i="15" a="1"/>
  <c r="AV28" i="15" s="1"/>
  <c r="AU28" i="15" a="1"/>
  <c r="AU28" i="15" s="1"/>
  <c r="Q28" i="15" a="1"/>
  <c r="Q28" i="15" s="1"/>
  <c r="H28" i="15" a="1"/>
  <c r="H28" i="15" s="1"/>
  <c r="AR28" i="15" a="1"/>
  <c r="AR28" i="15" s="1"/>
  <c r="AT28" i="15" a="1"/>
  <c r="AT28" i="15" s="1"/>
  <c r="O28" i="15" a="1"/>
  <c r="O28" i="15" s="1"/>
  <c r="AS28" i="15" a="1"/>
  <c r="AS28" i="15" s="1"/>
  <c r="P65" i="15"/>
  <c r="N65" i="15" s="1"/>
  <c r="V65" i="15"/>
  <c r="I294" i="15" a="1"/>
  <c r="I294" i="15" s="1"/>
  <c r="L294" i="15" s="1"/>
  <c r="AU294" i="15" a="1"/>
  <c r="AU294" i="15" s="1"/>
  <c r="AV294" i="15" a="1"/>
  <c r="AV294" i="15" s="1"/>
  <c r="M295" i="15"/>
  <c r="R294" i="15" a="1"/>
  <c r="R294" i="15" s="1"/>
  <c r="Q294" i="15" a="1"/>
  <c r="Q294" i="15" s="1"/>
  <c r="H294" i="15" a="1"/>
  <c r="H294" i="15" s="1"/>
  <c r="K294" i="15" s="1"/>
  <c r="AT294" i="15" a="1"/>
  <c r="AT294" i="15" s="1"/>
  <c r="AS294" i="15" a="1"/>
  <c r="AS294" i="15" s="1"/>
  <c r="AR294" i="15" a="1"/>
  <c r="AR294" i="15" s="1"/>
  <c r="O294" i="15" a="1"/>
  <c r="O294" i="15" s="1"/>
  <c r="K7" i="15"/>
  <c r="G5" i="21"/>
  <c r="R36" i="15" a="1"/>
  <c r="R36" i="15" s="1"/>
  <c r="M37" i="15"/>
  <c r="H36" i="15" a="1"/>
  <c r="H36" i="15" s="1"/>
  <c r="K36" i="15" s="1"/>
  <c r="I36" i="15" a="1"/>
  <c r="I36" i="15" s="1"/>
  <c r="AU36" i="15" a="1"/>
  <c r="AU36" i="15" s="1"/>
  <c r="Q36" i="15" a="1"/>
  <c r="Q36" i="15" s="1"/>
  <c r="AV36" i="15" a="1"/>
  <c r="AV36" i="15" s="1"/>
  <c r="AS36" i="15" a="1"/>
  <c r="AS36" i="15" s="1"/>
  <c r="AR36" i="15" a="1"/>
  <c r="AR36" i="15" s="1"/>
  <c r="O36" i="15" a="1"/>
  <c r="O36" i="15" s="1"/>
  <c r="AT36" i="15" a="1"/>
  <c r="AT36" i="15" s="1"/>
  <c r="V27" i="15"/>
  <c r="P27" i="15"/>
  <c r="N27" i="15" s="1"/>
  <c r="I66" i="15" a="1"/>
  <c r="I66" i="15" s="1"/>
  <c r="AT66" i="15" a="1"/>
  <c r="AT66" i="15" s="1"/>
  <c r="AU358" i="15" a="1"/>
  <c r="AU358" i="15" s="1"/>
  <c r="R358" i="15" a="1"/>
  <c r="R358" i="15" s="1"/>
  <c r="I358" i="15" a="1"/>
  <c r="I358" i="15" s="1"/>
  <c r="L358" i="15" s="1"/>
  <c r="H358" i="15" a="1"/>
  <c r="H358" i="15" s="1"/>
  <c r="K358" i="15" s="1"/>
  <c r="AT358" i="15" a="1"/>
  <c r="AT358" i="15" s="1"/>
  <c r="Q358" i="15" a="1"/>
  <c r="Q358" i="15" s="1"/>
  <c r="AR358" i="15" a="1"/>
  <c r="AR358" i="15" s="1"/>
  <c r="O358" i="15" a="1"/>
  <c r="O358" i="15" s="1"/>
  <c r="AS358" i="15" a="1"/>
  <c r="AS358" i="15" s="1"/>
  <c r="AV358" i="15" a="1"/>
  <c r="AV358" i="15" s="1"/>
  <c r="M359" i="15"/>
  <c r="M106" i="15"/>
  <c r="H105" i="15" a="1"/>
  <c r="H105" i="15" s="1"/>
  <c r="K105" i="15" s="1"/>
  <c r="I105" i="15" a="1"/>
  <c r="I105" i="15" s="1"/>
  <c r="L105" i="15" s="1"/>
  <c r="AT105" i="15" a="1"/>
  <c r="AT105" i="15" s="1"/>
  <c r="O105" i="15" a="1"/>
  <c r="O105" i="15" s="1"/>
  <c r="AS105" i="15" a="1"/>
  <c r="AS105" i="15" s="1"/>
  <c r="AR105" i="15" a="1"/>
  <c r="AR105" i="15" s="1"/>
  <c r="AU105" i="15" a="1"/>
  <c r="AU105" i="15" s="1"/>
  <c r="AV105" i="15" a="1"/>
  <c r="AV105" i="15" s="1"/>
  <c r="R105" i="15" a="1"/>
  <c r="R105" i="15" s="1"/>
  <c r="Q105" i="15" a="1"/>
  <c r="Q105" i="15" s="1"/>
  <c r="W162" i="15"/>
  <c r="W280" i="15"/>
  <c r="L35" i="15"/>
  <c r="R337" i="15" a="1"/>
  <c r="R337" i="15" s="1"/>
  <c r="O337" i="15" a="1"/>
  <c r="O337" i="15" s="1"/>
  <c r="H337" i="15" a="1"/>
  <c r="H337" i="15" s="1"/>
  <c r="K337" i="15" s="1"/>
  <c r="Q337" i="15" a="1"/>
  <c r="Q337" i="15" s="1"/>
  <c r="M338" i="15"/>
  <c r="I337" i="15" a="1"/>
  <c r="I337" i="15" s="1"/>
  <c r="L337" i="15" s="1"/>
  <c r="AV337" i="15" a="1"/>
  <c r="AV337" i="15" s="1"/>
  <c r="AU337" i="15" a="1"/>
  <c r="AU337" i="15" s="1"/>
  <c r="AR337" i="15" a="1"/>
  <c r="AR337" i="15" s="1"/>
  <c r="AS337" i="15" a="1"/>
  <c r="AS337" i="15" s="1"/>
  <c r="AT337" i="15" a="1"/>
  <c r="AT337" i="15" s="1"/>
  <c r="K176" i="15"/>
  <c r="J176" i="15" s="1"/>
  <c r="T176" i="15"/>
  <c r="W27" i="15"/>
  <c r="W323" i="15"/>
  <c r="AV281" i="15" a="1"/>
  <c r="AV281" i="15" s="1"/>
  <c r="M282" i="15"/>
  <c r="I281" i="15" a="1"/>
  <c r="I281" i="15" s="1"/>
  <c r="L281" i="15" s="1"/>
  <c r="AU281" i="15" a="1"/>
  <c r="AU281" i="15" s="1"/>
  <c r="Q281" i="15" a="1"/>
  <c r="Q281" i="15" s="1"/>
  <c r="R281" i="15" a="1"/>
  <c r="R281" i="15" s="1"/>
  <c r="O281" i="15" a="1"/>
  <c r="O281" i="15" s="1"/>
  <c r="AS281" i="15" a="1"/>
  <c r="AS281" i="15" s="1"/>
  <c r="AR281" i="15" a="1"/>
  <c r="AR281" i="15" s="1"/>
  <c r="H281" i="15" a="1"/>
  <c r="H281" i="15" s="1"/>
  <c r="K281" i="15" s="1"/>
  <c r="AT281" i="15" a="1"/>
  <c r="AT281" i="15" s="1"/>
  <c r="W78" i="15"/>
  <c r="W35" i="15"/>
  <c r="K65" i="15"/>
  <c r="V323" i="15"/>
  <c r="P323" i="15"/>
  <c r="N323" i="15" s="1"/>
  <c r="T293" i="15"/>
  <c r="N7" i="15"/>
  <c r="L307" i="15"/>
  <c r="J307" i="15" s="1"/>
  <c r="P78" i="15"/>
  <c r="N78" i="15" s="1"/>
  <c r="V78" i="15"/>
  <c r="V35" i="15"/>
  <c r="P35" i="15"/>
  <c r="N35" i="15" s="1"/>
  <c r="G17" i="21"/>
  <c r="G18" i="21" s="1"/>
  <c r="L7" i="15"/>
  <c r="G11" i="21"/>
  <c r="AU177" i="15" a="1"/>
  <c r="AU177" i="15" s="1"/>
  <c r="I177" i="15" a="1"/>
  <c r="I177" i="15" s="1"/>
  <c r="L177" i="15" s="1"/>
  <c r="R177" i="15" a="1"/>
  <c r="R177" i="15" s="1"/>
  <c r="AV177" i="15" a="1"/>
  <c r="AV177" i="15" s="1"/>
  <c r="Q177" i="15" a="1"/>
  <c r="Q177" i="15" s="1"/>
  <c r="M178" i="15"/>
  <c r="AR177" i="15" a="1"/>
  <c r="AR177" i="15" s="1"/>
  <c r="O177" i="15" a="1"/>
  <c r="O177" i="15" s="1"/>
  <c r="H177" i="15" a="1"/>
  <c r="H177" i="15" s="1"/>
  <c r="K177" i="15" s="1"/>
  <c r="AT177" i="15" a="1"/>
  <c r="AT177" i="15" s="1"/>
  <c r="AS177" i="15" a="1"/>
  <c r="AS177" i="15" s="1"/>
  <c r="W65" i="15"/>
  <c r="W317" i="15"/>
  <c r="L357" i="15"/>
  <c r="J357" i="15" s="1"/>
  <c r="J323" i="15"/>
  <c r="P280" i="15"/>
  <c r="N280" i="15" s="1"/>
  <c r="V280" i="15"/>
  <c r="W104" i="15"/>
  <c r="V104" i="15"/>
  <c r="Q79" i="15" a="1"/>
  <c r="Q79" i="15" s="1"/>
  <c r="AV79" i="15" a="1"/>
  <c r="AV79" i="15" s="1"/>
  <c r="I79" i="15" a="1"/>
  <c r="I79" i="15" s="1"/>
  <c r="H79" i="15" a="1"/>
  <c r="H79" i="15" s="1"/>
  <c r="K79" i="15" s="1"/>
  <c r="R79" i="15" a="1"/>
  <c r="R79" i="15" s="1"/>
  <c r="M80" i="15"/>
  <c r="AT79" i="15" a="1"/>
  <c r="AT79" i="15" s="1"/>
  <c r="O79" i="15" a="1"/>
  <c r="O79" i="15" s="1"/>
  <c r="AS79" i="15" a="1"/>
  <c r="AS79" i="15" s="1"/>
  <c r="AU79" i="15" a="1"/>
  <c r="AU79" i="15" s="1"/>
  <c r="AR79" i="15" a="1"/>
  <c r="AR79" i="15" s="1"/>
  <c r="V336" i="15"/>
  <c r="P336" i="15"/>
  <c r="N336" i="15" s="1"/>
  <c r="G10" i="21"/>
  <c r="V7" i="15"/>
  <c r="U7" i="15" s="1"/>
  <c r="L317" i="15"/>
  <c r="J317" i="15" s="1"/>
  <c r="V357" i="15"/>
  <c r="P357" i="15"/>
  <c r="N357" i="15" s="1"/>
  <c r="U124" i="15"/>
  <c r="S124" i="15" s="1"/>
  <c r="OD21" i="4"/>
  <c r="EQ21" i="4"/>
  <c r="JG21" i="4"/>
  <c r="CD21" i="4"/>
  <c r="DM9" i="4"/>
  <c r="DP21" i="4"/>
  <c r="AW299" i="15"/>
  <c r="GW22" i="4"/>
  <c r="EC17" i="4"/>
  <c r="EC21" i="4" s="1"/>
  <c r="E9" i="4"/>
  <c r="EH21" i="4"/>
  <c r="N21" i="4"/>
  <c r="S168" i="15"/>
  <c r="JI9" i="4"/>
  <c r="HV21" i="4"/>
  <c r="MK9" i="4"/>
  <c r="AR21" i="4"/>
  <c r="EK9" i="4"/>
  <c r="EC9" i="4"/>
  <c r="AC9" i="4"/>
  <c r="JI22" i="4"/>
  <c r="DU22" i="4"/>
  <c r="LE22" i="4"/>
  <c r="FY22" i="4"/>
  <c r="BL21" i="4"/>
  <c r="MS19" i="4"/>
  <c r="MS22" i="4" s="1"/>
  <c r="BI22" i="4"/>
  <c r="HQ21" i="4"/>
  <c r="FI23" i="4"/>
  <c r="CT17" i="4"/>
  <c r="CT21" i="4" s="1"/>
  <c r="S54" i="15"/>
  <c r="IK13" i="4"/>
  <c r="KW23" i="4"/>
  <c r="AK13" i="4"/>
  <c r="OW17" i="4"/>
  <c r="JA9" i="4"/>
  <c r="S208" i="15"/>
  <c r="GG23" i="4"/>
  <c r="KG9" i="4"/>
  <c r="NY9" i="4"/>
  <c r="IS9" i="4"/>
  <c r="BI23" i="4"/>
  <c r="M9" i="4"/>
  <c r="BI13" i="4"/>
  <c r="T27" i="15"/>
  <c r="N181" i="15"/>
  <c r="FI9" i="4"/>
  <c r="JP23" i="4"/>
  <c r="MA23" i="4"/>
  <c r="U48" i="15"/>
  <c r="S48" i="15" s="1"/>
  <c r="LE17" i="4"/>
  <c r="T20" i="15"/>
  <c r="JI18" i="4"/>
  <c r="JI23" i="4" s="1"/>
  <c r="BA9" i="4"/>
  <c r="NI17" i="4"/>
  <c r="NI21" i="4" s="1"/>
  <c r="GO9" i="4"/>
  <c r="NH21" i="4"/>
  <c r="GL21" i="4"/>
  <c r="N257" i="15"/>
  <c r="AC23" i="4"/>
  <c r="T257" i="15"/>
  <c r="S257" i="15" s="1"/>
  <c r="U23" i="4"/>
  <c r="U82" i="15"/>
  <c r="S82" i="15" s="1"/>
  <c r="JQ13" i="4"/>
  <c r="S180" i="15"/>
  <c r="KT23" i="4"/>
  <c r="T64" i="15"/>
  <c r="LE23" i="4"/>
  <c r="NY23" i="4"/>
  <c r="U26" i="15"/>
  <c r="AK9" i="4"/>
  <c r="DJ17" i="4"/>
  <c r="DJ21" i="4" s="1"/>
  <c r="T183" i="15"/>
  <c r="S173" i="15"/>
  <c r="HM18" i="4"/>
  <c r="HM23" i="4" s="1"/>
  <c r="AK18" i="4"/>
  <c r="AK23" i="4" s="1"/>
  <c r="BQ23" i="4"/>
  <c r="AQ21" i="4"/>
  <c r="DU9" i="4"/>
  <c r="W17" i="4"/>
  <c r="W21" i="4" s="1"/>
  <c r="BQ9" i="4"/>
  <c r="IW21" i="4"/>
  <c r="LC21" i="4"/>
  <c r="OU21" i="4"/>
  <c r="W23" i="4"/>
  <c r="ME21" i="4"/>
  <c r="T181" i="15"/>
  <c r="JY23" i="4"/>
  <c r="S131" i="15"/>
  <c r="AP17" i="4"/>
  <c r="AP21" i="4" s="1"/>
  <c r="AP23" i="4"/>
  <c r="U292" i="15"/>
  <c r="S292" i="15" s="1"/>
  <c r="GZ17" i="4"/>
  <c r="GZ21" i="4" s="1"/>
  <c r="IT21" i="4"/>
  <c r="LU18" i="4"/>
  <c r="LU23" i="4" s="1"/>
  <c r="GD21" i="4"/>
  <c r="BM17" i="4"/>
  <c r="BM21" i="4" s="1"/>
  <c r="LZ17" i="4"/>
  <c r="LZ21" i="4" s="1"/>
  <c r="GW18" i="4"/>
  <c r="GW23" i="4" s="1"/>
  <c r="BM23" i="4"/>
  <c r="T100" i="15"/>
  <c r="HU18" i="4"/>
  <c r="HU23" i="4" s="1"/>
  <c r="S237" i="15"/>
  <c r="LM23" i="4"/>
  <c r="J19" i="15"/>
  <c r="EJ21" i="4"/>
  <c r="DV21" i="4"/>
  <c r="IC9" i="4"/>
  <c r="LU13" i="4"/>
  <c r="IH21" i="4"/>
  <c r="JQ9" i="4"/>
  <c r="MS23" i="4"/>
  <c r="ES23" i="4"/>
  <c r="FA9" i="4"/>
  <c r="ES22" i="4"/>
  <c r="DM23" i="4"/>
  <c r="BI9" i="4"/>
  <c r="IS23" i="4"/>
  <c r="KW22" i="4"/>
  <c r="KW9" i="4"/>
  <c r="S103" i="15"/>
  <c r="U182" i="15"/>
  <c r="N182" i="15"/>
  <c r="N250" i="15"/>
  <c r="U167" i="15"/>
  <c r="S167" i="15" s="1"/>
  <c r="U278" i="15"/>
  <c r="S278" i="15" s="1"/>
  <c r="ES9" i="4"/>
  <c r="IC22" i="4"/>
  <c r="BY23" i="4"/>
  <c r="AS23" i="4"/>
  <c r="JY13" i="4"/>
  <c r="FQ18" i="4"/>
  <c r="FQ23" i="4" s="1"/>
  <c r="MP21" i="4"/>
  <c r="LE9" i="4"/>
  <c r="FU23" i="4"/>
  <c r="AW292" i="15"/>
  <c r="AW76" i="15"/>
  <c r="HM22" i="4"/>
  <c r="GO23" i="4"/>
  <c r="GW13" i="4"/>
  <c r="OW22" i="4"/>
  <c r="AW315" i="15"/>
  <c r="AW321" i="15"/>
  <c r="J194" i="15"/>
  <c r="AW251" i="15"/>
  <c r="U250" i="15"/>
  <c r="S250" i="15" s="1"/>
  <c r="AW159" i="15"/>
  <c r="S194" i="15"/>
  <c r="AW33" i="15"/>
  <c r="S161" i="15"/>
  <c r="G42" i="21"/>
  <c r="AW90" i="15"/>
  <c r="AW64" i="15"/>
  <c r="U111" i="15"/>
  <c r="S111" i="15" s="1"/>
  <c r="U327" i="15"/>
  <c r="S327" i="15" s="1"/>
  <c r="U299" i="15"/>
  <c r="S299" i="15" s="1"/>
  <c r="AW314" i="15"/>
  <c r="AW152" i="15"/>
  <c r="U19" i="15"/>
  <c r="S19" i="15" s="1"/>
  <c r="U146" i="15"/>
  <c r="S146" i="15" s="1"/>
  <c r="U271" i="15"/>
  <c r="S271" i="15" s="1"/>
  <c r="AW146" i="15"/>
  <c r="AW278" i="15"/>
  <c r="AW223" i="15"/>
  <c r="AW243" i="15"/>
  <c r="U285" i="15"/>
  <c r="S285" i="15" s="1"/>
  <c r="CW23" i="4"/>
  <c r="LM9" i="4"/>
  <c r="BA13" i="4"/>
  <c r="GO22" i="4"/>
  <c r="IC18" i="4"/>
  <c r="IC23" i="4" s="1"/>
  <c r="KG18" i="4"/>
  <c r="KG23" i="4" s="1"/>
  <c r="AW183" i="15"/>
  <c r="M42" i="21"/>
  <c r="IC17" i="4"/>
  <c r="AW63" i="15"/>
  <c r="MX17" i="4"/>
  <c r="MX21" i="4" s="1"/>
  <c r="M23" i="4"/>
  <c r="AW68" i="15"/>
  <c r="MC23" i="4"/>
  <c r="AW258" i="15"/>
  <c r="JI17" i="4"/>
  <c r="CU21" i="4"/>
  <c r="AW215" i="15"/>
  <c r="AW250" i="15"/>
  <c r="F42" i="21"/>
  <c r="AJ21" i="4"/>
  <c r="P317" i="15"/>
  <c r="N317" i="15" s="1"/>
  <c r="V317" i="15"/>
  <c r="AW322" i="15"/>
  <c r="J363" i="15"/>
  <c r="JF21" i="4"/>
  <c r="AW145" i="15"/>
  <c r="U306" i="15"/>
  <c r="S306" i="15" s="1"/>
  <c r="EU21" i="4"/>
  <c r="NY17" i="4"/>
  <c r="NA9" i="4"/>
  <c r="NA21" i="4" s="1"/>
  <c r="FN21" i="4"/>
  <c r="NQ9" i="4"/>
  <c r="R21" i="4"/>
  <c r="OO9" i="4"/>
  <c r="OO21" i="4" s="1"/>
  <c r="AW265" i="15"/>
  <c r="MC22" i="4"/>
  <c r="AW103" i="15"/>
  <c r="DW21" i="4"/>
  <c r="IK9" i="4"/>
  <c r="MS9" i="4"/>
  <c r="W328" i="15"/>
  <c r="HB17" i="4"/>
  <c r="HB21" i="4" s="1"/>
  <c r="HB23" i="4"/>
  <c r="AW98" i="15"/>
  <c r="U335" i="15"/>
  <c r="S335" i="15" s="1"/>
  <c r="CO9" i="4"/>
  <c r="HE18" i="4"/>
  <c r="HE23" i="4" s="1"/>
  <c r="HI17" i="4"/>
  <c r="HI21" i="4" s="1"/>
  <c r="AW182" i="15"/>
  <c r="J160" i="15"/>
  <c r="T139" i="15"/>
  <c r="J351" i="15"/>
  <c r="S62" i="15"/>
  <c r="KG13" i="4"/>
  <c r="AW349" i="15"/>
  <c r="T33" i="15"/>
  <c r="KU17" i="4"/>
  <c r="KU21" i="4" s="1"/>
  <c r="KU23" i="4"/>
  <c r="AW362" i="15"/>
  <c r="AL17" i="4"/>
  <c r="AL23" i="4"/>
  <c r="BG17" i="4"/>
  <c r="BG21" i="4" s="1"/>
  <c r="BG23" i="4"/>
  <c r="ER23" i="4"/>
  <c r="ER17" i="4"/>
  <c r="ER21" i="4" s="1"/>
  <c r="AW348" i="15"/>
  <c r="KO18" i="4"/>
  <c r="KO23" i="4" s="1"/>
  <c r="S63" i="15"/>
  <c r="AW350" i="15"/>
  <c r="AW237" i="15"/>
  <c r="DQ23" i="4"/>
  <c r="DQ17" i="4"/>
  <c r="DQ21" i="4" s="1"/>
  <c r="IP23" i="4"/>
  <c r="IP17" i="4"/>
  <c r="BA18" i="4"/>
  <c r="BA23" i="4" s="1"/>
  <c r="DU17" i="4"/>
  <c r="EK18" i="4"/>
  <c r="EK23" i="4" s="1"/>
  <c r="CG23" i="4"/>
  <c r="J364" i="15"/>
  <c r="HZ23" i="4"/>
  <c r="HZ17" i="4"/>
  <c r="HZ21" i="4" s="1"/>
  <c r="IG23" i="4"/>
  <c r="EX23" i="4"/>
  <c r="EX17" i="4"/>
  <c r="EX21" i="4" s="1"/>
  <c r="GG17" i="4"/>
  <c r="GG21" i="4" s="1"/>
  <c r="N33" i="15"/>
  <c r="LB23" i="4"/>
  <c r="LB17" i="4"/>
  <c r="LB21" i="4" s="1"/>
  <c r="T287" i="15"/>
  <c r="W272" i="15"/>
  <c r="T26" i="15"/>
  <c r="T40" i="15"/>
  <c r="S40" i="15" s="1"/>
  <c r="J216" i="15"/>
  <c r="GU23" i="4"/>
  <c r="GU17" i="4"/>
  <c r="GU21" i="4" s="1"/>
  <c r="AD23" i="4"/>
  <c r="AD17" i="4"/>
  <c r="AD21" i="4" s="1"/>
  <c r="AT17" i="4"/>
  <c r="AT21" i="4" s="1"/>
  <c r="AT23" i="4"/>
  <c r="T251" i="15"/>
  <c r="JR17" i="4"/>
  <c r="JR21" i="4" s="1"/>
  <c r="JR23" i="4"/>
  <c r="OL21" i="4"/>
  <c r="FF23" i="4"/>
  <c r="FA18" i="4"/>
  <c r="FA23" i="4" s="1"/>
  <c r="FF17" i="4"/>
  <c r="FF21" i="4" s="1"/>
  <c r="S23" i="4"/>
  <c r="S17" i="4"/>
  <c r="S21" i="4" s="1"/>
  <c r="KA17" i="4"/>
  <c r="KA21" i="4" s="1"/>
  <c r="KA23" i="4"/>
  <c r="T243" i="15"/>
  <c r="S243" i="15" s="1"/>
  <c r="N40" i="15"/>
  <c r="U98" i="15"/>
  <c r="S98" i="15" s="1"/>
  <c r="BE17" i="4"/>
  <c r="BE21" i="4" s="1"/>
  <c r="DL23" i="4"/>
  <c r="DL17" i="4"/>
  <c r="W287" i="15"/>
  <c r="G17" i="4"/>
  <c r="E18" i="4"/>
  <c r="E23" i="4" s="1"/>
  <c r="G23" i="4"/>
  <c r="T182" i="15"/>
  <c r="F4" i="21"/>
  <c r="T6" i="15"/>
  <c r="S6" i="15" s="1"/>
  <c r="N26" i="15"/>
  <c r="T258" i="15"/>
  <c r="KN23" i="4"/>
  <c r="KN17" i="4"/>
  <c r="KN21" i="4" s="1"/>
  <c r="KG19" i="4"/>
  <c r="KG22" i="4" s="1"/>
  <c r="KN22" i="4"/>
  <c r="KO19" i="4"/>
  <c r="KO22" i="4" s="1"/>
  <c r="KV22" i="4"/>
  <c r="KI23" i="4"/>
  <c r="KI17" i="4"/>
  <c r="KI21" i="4" s="1"/>
  <c r="DE18" i="4"/>
  <c r="DE23" i="4" s="1"/>
  <c r="J147" i="15"/>
  <c r="S55" i="15"/>
  <c r="W147" i="15"/>
  <c r="AW19" i="15"/>
  <c r="S348" i="15"/>
  <c r="T364" i="15"/>
  <c r="U350" i="15"/>
  <c r="S350" i="15" s="1"/>
  <c r="AW153" i="15"/>
  <c r="AW342" i="15"/>
  <c r="AW341" i="15"/>
  <c r="AW327" i="15"/>
  <c r="AW175" i="15"/>
  <c r="J139" i="15"/>
  <c r="ON21" i="4"/>
  <c r="OG17" i="4"/>
  <c r="OG21" i="4" s="1"/>
  <c r="LM17" i="4"/>
  <c r="AW97" i="15"/>
  <c r="W266" i="15"/>
  <c r="V112" i="15"/>
  <c r="AW229" i="15"/>
  <c r="J272" i="15"/>
  <c r="W139" i="15"/>
  <c r="T328" i="15"/>
  <c r="AW89" i="15"/>
  <c r="J328" i="15"/>
  <c r="W216" i="15"/>
  <c r="L195" i="15"/>
  <c r="L69" i="15"/>
  <c r="V272" i="15"/>
  <c r="P272" i="15"/>
  <c r="N272" i="15" s="1"/>
  <c r="O25" i="21"/>
  <c r="O40" i="21"/>
  <c r="AQ364" i="15"/>
  <c r="L125" i="15"/>
  <c r="W125" i="15"/>
  <c r="P244" i="15"/>
  <c r="N244" i="15" s="1"/>
  <c r="L118" i="15"/>
  <c r="AQ118" i="15"/>
  <c r="W20" i="15"/>
  <c r="AW307" i="15"/>
  <c r="P351" i="15"/>
  <c r="N351" i="15" s="1"/>
  <c r="V351" i="15"/>
  <c r="AQ351" i="15"/>
  <c r="AT148" i="15" a="1"/>
  <c r="AT148" i="15" s="1"/>
  <c r="AS148" i="15" a="1"/>
  <c r="AS148" i="15" s="1"/>
  <c r="AR148" i="15" a="1"/>
  <c r="AR148" i="15" s="1"/>
  <c r="AV148" i="15" a="1"/>
  <c r="AV148" i="15" s="1"/>
  <c r="M149" i="15"/>
  <c r="Q148" i="15" a="1"/>
  <c r="Q148" i="15" s="1"/>
  <c r="H148" i="15" a="1"/>
  <c r="H148" i="15" s="1"/>
  <c r="K148" i="15" s="1"/>
  <c r="AU148" i="15" a="1"/>
  <c r="AU148" i="15" s="1"/>
  <c r="R148" i="15" a="1"/>
  <c r="R148" i="15" s="1"/>
  <c r="O148" i="15" a="1"/>
  <c r="O148" i="15" s="1"/>
  <c r="I148" i="15" a="1"/>
  <c r="I148" i="15" s="1"/>
  <c r="T216" i="15"/>
  <c r="L57" i="15"/>
  <c r="AW167" i="15"/>
  <c r="K300" i="15"/>
  <c r="AT231" i="15" a="1"/>
  <c r="AT231" i="15" s="1"/>
  <c r="AS231" i="15" a="1"/>
  <c r="AS231" i="15" s="1"/>
  <c r="AR231" i="15" a="1"/>
  <c r="AR231" i="15" s="1"/>
  <c r="O231" i="15" a="1"/>
  <c r="O231" i="15" s="1"/>
  <c r="R231" i="15" a="1"/>
  <c r="R231" i="15" s="1"/>
  <c r="H231" i="15" a="1"/>
  <c r="H231" i="15" s="1"/>
  <c r="I231" i="15" a="1"/>
  <c r="I231" i="15" s="1"/>
  <c r="M232" i="15"/>
  <c r="AV231" i="15" a="1"/>
  <c r="AV231" i="15" s="1"/>
  <c r="AU231" i="15" a="1"/>
  <c r="AU231" i="15" s="1"/>
  <c r="Q231" i="15" a="1"/>
  <c r="Q231" i="15" s="1"/>
  <c r="AW209" i="15"/>
  <c r="W195" i="15"/>
  <c r="K69" i="15"/>
  <c r="O16" i="21"/>
  <c r="W14" i="15"/>
  <c r="W364" i="15"/>
  <c r="V244" i="15"/>
  <c r="L244" i="15"/>
  <c r="T210" i="15"/>
  <c r="P20" i="15"/>
  <c r="N20" i="15" s="1"/>
  <c r="V20" i="15"/>
  <c r="W351" i="15"/>
  <c r="T266" i="15"/>
  <c r="K57" i="15"/>
  <c r="T57" i="15"/>
  <c r="L49" i="15"/>
  <c r="AR329" i="15" a="1"/>
  <c r="AR329" i="15" s="1"/>
  <c r="AS329" i="15" a="1"/>
  <c r="AS329" i="15" s="1"/>
  <c r="AT329" i="15" a="1"/>
  <c r="AT329" i="15" s="1"/>
  <c r="AV329" i="15" a="1"/>
  <c r="AV329" i="15" s="1"/>
  <c r="I329" i="15" a="1"/>
  <c r="I329" i="15" s="1"/>
  <c r="L329" i="15" s="1"/>
  <c r="H329" i="15" a="1"/>
  <c r="H329" i="15" s="1"/>
  <c r="R329" i="15" a="1"/>
  <c r="R329" i="15" s="1"/>
  <c r="M330" i="15"/>
  <c r="AU329" i="15" a="1"/>
  <c r="AU329" i="15" s="1"/>
  <c r="O329" i="15" a="1"/>
  <c r="O329" i="15" s="1"/>
  <c r="Q329" i="15" a="1"/>
  <c r="Q329" i="15" s="1"/>
  <c r="V195" i="15"/>
  <c r="P195" i="15"/>
  <c r="N195" i="15" s="1"/>
  <c r="W69" i="15"/>
  <c r="AT15" i="15" a="1"/>
  <c r="AT15" i="15" s="1"/>
  <c r="P38" i="21" s="1"/>
  <c r="AS15" i="15" a="1"/>
  <c r="AS15" i="15" s="1"/>
  <c r="P36" i="21" s="1"/>
  <c r="AR15" i="15" a="1"/>
  <c r="AR15" i="15" s="1"/>
  <c r="I15" i="15" a="1"/>
  <c r="I15" i="15" s="1"/>
  <c r="L15" i="15" s="1"/>
  <c r="H15" i="15" a="1"/>
  <c r="H15" i="15" s="1"/>
  <c r="K15" i="15" s="1"/>
  <c r="AU15" i="15" a="1"/>
  <c r="AU15" i="15" s="1"/>
  <c r="Q15" i="15" a="1"/>
  <c r="Q15" i="15" s="1"/>
  <c r="M16" i="15"/>
  <c r="AV15" i="15" a="1"/>
  <c r="AV15" i="15" s="1"/>
  <c r="P24" i="21" s="1"/>
  <c r="O15" i="15" a="1"/>
  <c r="O15" i="15" s="1"/>
  <c r="R15" i="15" a="1"/>
  <c r="R15" i="15" s="1"/>
  <c r="O34" i="21"/>
  <c r="AQ14" i="15"/>
  <c r="K244" i="15"/>
  <c r="V139" i="15"/>
  <c r="P139" i="15"/>
  <c r="N139" i="15" s="1"/>
  <c r="AW41" i="15"/>
  <c r="W118" i="15"/>
  <c r="AQ20" i="15"/>
  <c r="AR352" i="15" a="1"/>
  <c r="AR352" i="15" s="1"/>
  <c r="AS352" i="15" a="1"/>
  <c r="AS352" i="15" s="1"/>
  <c r="AT352" i="15" a="1"/>
  <c r="AT352" i="15" s="1"/>
  <c r="I352" i="15" a="1"/>
  <c r="I352" i="15" s="1"/>
  <c r="L352" i="15" s="1"/>
  <c r="H352" i="15" a="1"/>
  <c r="H352" i="15" s="1"/>
  <c r="K352" i="15" s="1"/>
  <c r="AV352" i="15" a="1"/>
  <c r="AV352" i="15" s="1"/>
  <c r="R352" i="15" a="1"/>
  <c r="R352" i="15" s="1"/>
  <c r="AU352" i="15" a="1"/>
  <c r="AU352" i="15" s="1"/>
  <c r="M353" i="15"/>
  <c r="O352" i="15" a="1"/>
  <c r="O352" i="15" s="1"/>
  <c r="Q352" i="15" a="1"/>
  <c r="Q352" i="15" s="1"/>
  <c r="T147" i="15"/>
  <c r="AQ147" i="15"/>
  <c r="J287" i="15"/>
  <c r="AS58" i="15" a="1"/>
  <c r="AS58" i="15" s="1"/>
  <c r="AR58" i="15" a="1"/>
  <c r="AR58" i="15" s="1"/>
  <c r="AT58" i="15" a="1"/>
  <c r="AT58" i="15" s="1"/>
  <c r="I58" i="15" a="1"/>
  <c r="I58" i="15" s="1"/>
  <c r="H58" i="15" a="1"/>
  <c r="H58" i="15" s="1"/>
  <c r="R58" i="15" a="1"/>
  <c r="R58" i="15" s="1"/>
  <c r="AV58" i="15" a="1"/>
  <c r="AV58" i="15" s="1"/>
  <c r="M59" i="15"/>
  <c r="Q58" i="15" a="1"/>
  <c r="Q58" i="15" s="1"/>
  <c r="AU58" i="15" a="1"/>
  <c r="AU58" i="15" s="1"/>
  <c r="O58" i="15" a="1"/>
  <c r="O58" i="15" s="1"/>
  <c r="AS50" i="15" a="1"/>
  <c r="AS50" i="15" s="1"/>
  <c r="AR50" i="15" a="1"/>
  <c r="AR50" i="15" s="1"/>
  <c r="AT50" i="15" a="1"/>
  <c r="AT50" i="15" s="1"/>
  <c r="I50" i="15" a="1"/>
  <c r="I50" i="15" s="1"/>
  <c r="O50" i="15" a="1"/>
  <c r="O50" i="15" s="1"/>
  <c r="AV50" i="15" a="1"/>
  <c r="AV50" i="15" s="1"/>
  <c r="M51" i="15"/>
  <c r="Q50" i="15" a="1"/>
  <c r="Q50" i="15" s="1"/>
  <c r="AU50" i="15" a="1"/>
  <c r="AU50" i="15" s="1"/>
  <c r="R50" i="15" a="1"/>
  <c r="R50" i="15" s="1"/>
  <c r="H50" i="15" a="1"/>
  <c r="H50" i="15" s="1"/>
  <c r="P112" i="15"/>
  <c r="N112" i="15" s="1"/>
  <c r="W112" i="15"/>
  <c r="W300" i="15"/>
  <c r="W230" i="15"/>
  <c r="AT196" i="15" a="1"/>
  <c r="AT196" i="15" s="1"/>
  <c r="AS196" i="15" a="1"/>
  <c r="AS196" i="15" s="1"/>
  <c r="AR196" i="15" a="1"/>
  <c r="AR196" i="15" s="1"/>
  <c r="O196" i="15" a="1"/>
  <c r="O196" i="15" s="1"/>
  <c r="AU196" i="15" a="1"/>
  <c r="AU196" i="15" s="1"/>
  <c r="R196" i="15" a="1"/>
  <c r="R196" i="15" s="1"/>
  <c r="M197" i="15"/>
  <c r="AV196" i="15" a="1"/>
  <c r="AV196" i="15" s="1"/>
  <c r="I196" i="15" a="1"/>
  <c r="I196" i="15" s="1"/>
  <c r="H196" i="15" a="1"/>
  <c r="H196" i="15" s="1"/>
  <c r="Q196" i="15" a="1"/>
  <c r="Q196" i="15" s="1"/>
  <c r="T69" i="15"/>
  <c r="AQ69" i="15"/>
  <c r="K14" i="15"/>
  <c r="O5" i="21"/>
  <c r="AT126" i="15" a="1"/>
  <c r="AT126" i="15" s="1"/>
  <c r="AR126" i="15" a="1"/>
  <c r="AR126" i="15" s="1"/>
  <c r="AS126" i="15" a="1"/>
  <c r="AS126" i="15" s="1"/>
  <c r="Q126" i="15" a="1"/>
  <c r="Q126" i="15" s="1"/>
  <c r="O126" i="15" a="1"/>
  <c r="O126" i="15" s="1"/>
  <c r="H126" i="15" a="1"/>
  <c r="H126" i="15" s="1"/>
  <c r="M127" i="15"/>
  <c r="AV126" i="15" a="1"/>
  <c r="AV126" i="15" s="1"/>
  <c r="AU126" i="15" a="1"/>
  <c r="AU126" i="15" s="1"/>
  <c r="I126" i="15" a="1"/>
  <c r="I126" i="15" s="1"/>
  <c r="R126" i="15" a="1"/>
  <c r="R126" i="15" s="1"/>
  <c r="W244" i="15"/>
  <c r="K210" i="15"/>
  <c r="AQ210" i="15"/>
  <c r="K118" i="15"/>
  <c r="L20" i="15"/>
  <c r="AQ216" i="15"/>
  <c r="W57" i="15"/>
  <c r="T272" i="15"/>
  <c r="T49" i="15"/>
  <c r="T230" i="15"/>
  <c r="AW48" i="15"/>
  <c r="K195" i="15"/>
  <c r="AT273" i="15" a="1"/>
  <c r="AT273" i="15" s="1"/>
  <c r="AS273" i="15" a="1"/>
  <c r="AS273" i="15" s="1"/>
  <c r="AR273" i="15" a="1"/>
  <c r="AR273" i="15" s="1"/>
  <c r="AV273" i="15" a="1"/>
  <c r="AV273" i="15" s="1"/>
  <c r="R273" i="15" a="1"/>
  <c r="R273" i="15" s="1"/>
  <c r="M274" i="15"/>
  <c r="AU273" i="15" a="1"/>
  <c r="AU273" i="15" s="1"/>
  <c r="H273" i="15" a="1"/>
  <c r="H273" i="15" s="1"/>
  <c r="K273" i="15" s="1"/>
  <c r="I273" i="15" a="1"/>
  <c r="I273" i="15" s="1"/>
  <c r="L273" i="15" s="1"/>
  <c r="Q273" i="15" a="1"/>
  <c r="Q273" i="15" s="1"/>
  <c r="O273" i="15" a="1"/>
  <c r="O273" i="15" s="1"/>
  <c r="T14" i="15"/>
  <c r="O4" i="21"/>
  <c r="P364" i="15"/>
  <c r="N364" i="15" s="1"/>
  <c r="V364" i="15"/>
  <c r="AQ125" i="15"/>
  <c r="AT245" i="15" a="1"/>
  <c r="AT245" i="15" s="1"/>
  <c r="AS245" i="15" a="1"/>
  <c r="AS245" i="15" s="1"/>
  <c r="AR245" i="15" a="1"/>
  <c r="AR245" i="15" s="1"/>
  <c r="H245" i="15" a="1"/>
  <c r="H245" i="15" s="1"/>
  <c r="R245" i="15" a="1"/>
  <c r="R245" i="15" s="1"/>
  <c r="AV245" i="15" a="1"/>
  <c r="AV245" i="15" s="1"/>
  <c r="Q245" i="15" a="1"/>
  <c r="Q245" i="15" s="1"/>
  <c r="AU245" i="15" a="1"/>
  <c r="AU245" i="15" s="1"/>
  <c r="M246" i="15"/>
  <c r="I245" i="15" a="1"/>
  <c r="I245" i="15" s="1"/>
  <c r="O245" i="15" a="1"/>
  <c r="O245" i="15" s="1"/>
  <c r="AT140" i="15" a="1"/>
  <c r="AT140" i="15" s="1"/>
  <c r="AS140" i="15" a="1"/>
  <c r="AS140" i="15" s="1"/>
  <c r="AR140" i="15" a="1"/>
  <c r="AR140" i="15" s="1"/>
  <c r="AV140" i="15" a="1"/>
  <c r="AV140" i="15" s="1"/>
  <c r="R140" i="15" a="1"/>
  <c r="R140" i="15" s="1"/>
  <c r="M141" i="15"/>
  <c r="Q140" i="15" a="1"/>
  <c r="Q140" i="15" s="1"/>
  <c r="AU140" i="15" a="1"/>
  <c r="AU140" i="15" s="1"/>
  <c r="H140" i="15" a="1"/>
  <c r="H140" i="15" s="1"/>
  <c r="K140" i="15" s="1"/>
  <c r="I140" i="15" a="1"/>
  <c r="I140" i="15" s="1"/>
  <c r="L140" i="15" s="1"/>
  <c r="O140" i="15" a="1"/>
  <c r="O140" i="15" s="1"/>
  <c r="AQ139" i="15"/>
  <c r="AT211" i="15" a="1"/>
  <c r="AT211" i="15" s="1"/>
  <c r="AS211" i="15" a="1"/>
  <c r="AS211" i="15" s="1"/>
  <c r="AR211" i="15" a="1"/>
  <c r="AR211" i="15" s="1"/>
  <c r="O211" i="15" a="1"/>
  <c r="O211" i="15" s="1"/>
  <c r="Q211" i="15" a="1"/>
  <c r="Q211" i="15" s="1"/>
  <c r="AU211" i="15" a="1"/>
  <c r="AU211" i="15" s="1"/>
  <c r="R211" i="15" a="1"/>
  <c r="R211" i="15" s="1"/>
  <c r="M212" i="15"/>
  <c r="I211" i="15" a="1"/>
  <c r="I211" i="15" s="1"/>
  <c r="AV211" i="15" a="1"/>
  <c r="AV211" i="15" s="1"/>
  <c r="H211" i="15" a="1"/>
  <c r="H211" i="15" s="1"/>
  <c r="AT119" i="15" a="1"/>
  <c r="AT119" i="15" s="1"/>
  <c r="AS119" i="15" a="1"/>
  <c r="AS119" i="15" s="1"/>
  <c r="AR119" i="15" a="1"/>
  <c r="AR119" i="15" s="1"/>
  <c r="Q119" i="15" a="1"/>
  <c r="Q119" i="15" s="1"/>
  <c r="H119" i="15" a="1"/>
  <c r="H119" i="15" s="1"/>
  <c r="I119" i="15" a="1"/>
  <c r="I119" i="15" s="1"/>
  <c r="AU119" i="15" a="1"/>
  <c r="AU119" i="15" s="1"/>
  <c r="M120" i="15"/>
  <c r="R119" i="15" a="1"/>
  <c r="R119" i="15" s="1"/>
  <c r="AV119" i="15" a="1"/>
  <c r="AV119" i="15" s="1"/>
  <c r="O119" i="15" a="1"/>
  <c r="O119" i="15" s="1"/>
  <c r="AQ266" i="15"/>
  <c r="V57" i="15"/>
  <c r="P57" i="15"/>
  <c r="N57" i="15" s="1"/>
  <c r="V49" i="15"/>
  <c r="P49" i="15"/>
  <c r="N49" i="15" s="1"/>
  <c r="AQ112" i="15"/>
  <c r="T300" i="15"/>
  <c r="AQ300" i="15"/>
  <c r="V328" i="15"/>
  <c r="P328" i="15"/>
  <c r="N328" i="15" s="1"/>
  <c r="L230" i="15"/>
  <c r="AW224" i="15"/>
  <c r="P69" i="15"/>
  <c r="N69" i="15" s="1"/>
  <c r="V69" i="15"/>
  <c r="L14" i="15"/>
  <c r="O11" i="21"/>
  <c r="O17" i="21"/>
  <c r="T125" i="15"/>
  <c r="L210" i="15"/>
  <c r="T118" i="15"/>
  <c r="K20" i="15"/>
  <c r="J266" i="15"/>
  <c r="AT288" i="15" a="1"/>
  <c r="AT288" i="15" s="1"/>
  <c r="AS288" i="15" a="1"/>
  <c r="AS288" i="15" s="1"/>
  <c r="AR288" i="15" a="1"/>
  <c r="AR288" i="15" s="1"/>
  <c r="AU288" i="15" a="1"/>
  <c r="AU288" i="15" s="1"/>
  <c r="H288" i="15" a="1"/>
  <c r="H288" i="15" s="1"/>
  <c r="K288" i="15" s="1"/>
  <c r="AV288" i="15" a="1"/>
  <c r="AV288" i="15" s="1"/>
  <c r="M289" i="15"/>
  <c r="Q288" i="15" a="1"/>
  <c r="Q288" i="15" s="1"/>
  <c r="I288" i="15" a="1"/>
  <c r="I288" i="15" s="1"/>
  <c r="L288" i="15" s="1"/>
  <c r="O288" i="15" a="1"/>
  <c r="O288" i="15" s="1"/>
  <c r="R288" i="15" a="1"/>
  <c r="R288" i="15" s="1"/>
  <c r="AW280" i="15"/>
  <c r="AQ57" i="15"/>
  <c r="AQ49" i="15"/>
  <c r="AT113" i="15" a="1"/>
  <c r="AT113" i="15" s="1"/>
  <c r="AS113" i="15" a="1"/>
  <c r="AS113" i="15" s="1"/>
  <c r="AR113" i="15" a="1"/>
  <c r="AR113" i="15" s="1"/>
  <c r="AU113" i="15" a="1"/>
  <c r="AU113" i="15" s="1"/>
  <c r="O113" i="15" a="1"/>
  <c r="O113" i="15" s="1"/>
  <c r="H113" i="15" a="1"/>
  <c r="H113" i="15" s="1"/>
  <c r="K113" i="15" s="1"/>
  <c r="I113" i="15" a="1"/>
  <c r="I113" i="15" s="1"/>
  <c r="L113" i="15" s="1"/>
  <c r="AV113" i="15" a="1"/>
  <c r="AV113" i="15" s="1"/>
  <c r="Q113" i="15" a="1"/>
  <c r="Q113" i="15" s="1"/>
  <c r="M114" i="15"/>
  <c r="R113" i="15" a="1"/>
  <c r="R113" i="15" s="1"/>
  <c r="AT301" i="15" a="1"/>
  <c r="AT301" i="15" s="1"/>
  <c r="AS301" i="15" a="1"/>
  <c r="AS301" i="15" s="1"/>
  <c r="AR301" i="15" a="1"/>
  <c r="AR301" i="15" s="1"/>
  <c r="M302" i="15"/>
  <c r="AV301" i="15" a="1"/>
  <c r="AV301" i="15" s="1"/>
  <c r="AU301" i="15" a="1"/>
  <c r="AU301" i="15" s="1"/>
  <c r="H301" i="15" a="1"/>
  <c r="H301" i="15" s="1"/>
  <c r="Q301" i="15" a="1"/>
  <c r="Q301" i="15" s="1"/>
  <c r="R301" i="15" a="1"/>
  <c r="R301" i="15" s="1"/>
  <c r="I301" i="15" a="1"/>
  <c r="I301" i="15" s="1"/>
  <c r="O301" i="15" a="1"/>
  <c r="O301" i="15" s="1"/>
  <c r="AQ328" i="15"/>
  <c r="AT70" i="15" a="1"/>
  <c r="AT70" i="15" s="1"/>
  <c r="AS70" i="15" a="1"/>
  <c r="AS70" i="15" s="1"/>
  <c r="AR70" i="15" a="1"/>
  <c r="AR70" i="15" s="1"/>
  <c r="M71" i="15"/>
  <c r="H70" i="15" a="1"/>
  <c r="H70" i="15" s="1"/>
  <c r="I70" i="15" a="1"/>
  <c r="I70" i="15" s="1"/>
  <c r="R70" i="15" a="1"/>
  <c r="R70" i="15" s="1"/>
  <c r="AV70" i="15" a="1"/>
  <c r="AV70" i="15" s="1"/>
  <c r="AU70" i="15" a="1"/>
  <c r="AU70" i="15" s="1"/>
  <c r="Q70" i="15" a="1"/>
  <c r="Q70" i="15" s="1"/>
  <c r="O70" i="15" a="1"/>
  <c r="O70" i="15" s="1"/>
  <c r="AT365" i="15" a="1"/>
  <c r="AT365" i="15" s="1"/>
  <c r="AR365" i="15" a="1"/>
  <c r="AR365" i="15" s="1"/>
  <c r="AS365" i="15" a="1"/>
  <c r="AS365" i="15" s="1"/>
  <c r="R365" i="15" a="1"/>
  <c r="R365" i="15" s="1"/>
  <c r="AU365" i="15" a="1"/>
  <c r="AU365" i="15" s="1"/>
  <c r="AV365" i="15" a="1"/>
  <c r="AV365" i="15" s="1"/>
  <c r="H365" i="15" a="1"/>
  <c r="H365" i="15" s="1"/>
  <c r="K365" i="15" s="1"/>
  <c r="I365" i="15" a="1"/>
  <c r="I365" i="15" s="1"/>
  <c r="L365" i="15" s="1"/>
  <c r="M366" i="15"/>
  <c r="O365" i="15" a="1"/>
  <c r="O365" i="15" s="1"/>
  <c r="Q365" i="15" a="1"/>
  <c r="Q365" i="15" s="1"/>
  <c r="K125" i="15"/>
  <c r="P210" i="15"/>
  <c r="N210" i="15" s="1"/>
  <c r="V210" i="15"/>
  <c r="V118" i="15"/>
  <c r="P118" i="15"/>
  <c r="N118" i="15" s="1"/>
  <c r="AT21" i="15" a="1"/>
  <c r="AT21" i="15" s="1"/>
  <c r="AS21" i="15" a="1"/>
  <c r="AS21" i="15" s="1"/>
  <c r="AR21" i="15" a="1"/>
  <c r="AR21" i="15" s="1"/>
  <c r="I21" i="15" a="1"/>
  <c r="I21" i="15" s="1"/>
  <c r="AV21" i="15" a="1"/>
  <c r="AV21" i="15" s="1"/>
  <c r="O21" i="15" a="1"/>
  <c r="O21" i="15" s="1"/>
  <c r="AU21" i="15" a="1"/>
  <c r="AU21" i="15" s="1"/>
  <c r="R21" i="15" a="1"/>
  <c r="R21" i="15" s="1"/>
  <c r="H21" i="15" a="1"/>
  <c r="H21" i="15" s="1"/>
  <c r="M22" i="15"/>
  <c r="Q21" i="15" a="1"/>
  <c r="Q21" i="15" s="1"/>
  <c r="T351" i="15"/>
  <c r="V266" i="15"/>
  <c r="P266" i="15"/>
  <c r="N266" i="15" s="1"/>
  <c r="P147" i="15"/>
  <c r="N147" i="15" s="1"/>
  <c r="V147" i="15"/>
  <c r="P287" i="15"/>
  <c r="N287" i="15" s="1"/>
  <c r="V287" i="15"/>
  <c r="AQ287" i="15"/>
  <c r="P216" i="15"/>
  <c r="N216" i="15" s="1"/>
  <c r="V216" i="15"/>
  <c r="W49" i="15"/>
  <c r="V300" i="15"/>
  <c r="P300" i="15"/>
  <c r="N300" i="15" s="1"/>
  <c r="K230" i="15"/>
  <c r="AQ195" i="15"/>
  <c r="AW40" i="15"/>
  <c r="AQ272" i="15"/>
  <c r="P14" i="15"/>
  <c r="N14" i="15" s="1"/>
  <c r="O10" i="21"/>
  <c r="V14" i="15"/>
  <c r="P125" i="15"/>
  <c r="N125" i="15" s="1"/>
  <c r="V125" i="15"/>
  <c r="T244" i="15"/>
  <c r="AQ244" i="15"/>
  <c r="W210" i="15"/>
  <c r="AT267" i="15" a="1"/>
  <c r="AT267" i="15" s="1"/>
  <c r="AS267" i="15" a="1"/>
  <c r="AS267" i="15" s="1"/>
  <c r="AR267" i="15" a="1"/>
  <c r="AR267" i="15" s="1"/>
  <c r="O267" i="15" a="1"/>
  <c r="O267" i="15" s="1"/>
  <c r="Q267" i="15" a="1"/>
  <c r="Q267" i="15" s="1"/>
  <c r="AU267" i="15" a="1"/>
  <c r="AU267" i="15" s="1"/>
  <c r="M268" i="15"/>
  <c r="R267" i="15" a="1"/>
  <c r="R267" i="15" s="1"/>
  <c r="AV267" i="15" a="1"/>
  <c r="AV267" i="15" s="1"/>
  <c r="I267" i="15" a="1"/>
  <c r="I267" i="15" s="1"/>
  <c r="L267" i="15" s="1"/>
  <c r="H267" i="15" a="1"/>
  <c r="H267" i="15" s="1"/>
  <c r="K267" i="15" s="1"/>
  <c r="AT217" i="15" a="1"/>
  <c r="AT217" i="15" s="1"/>
  <c r="AS217" i="15" a="1"/>
  <c r="AS217" i="15" s="1"/>
  <c r="AR217" i="15" a="1"/>
  <c r="AR217" i="15" s="1"/>
  <c r="M218" i="15"/>
  <c r="AU217" i="15" a="1"/>
  <c r="AU217" i="15" s="1"/>
  <c r="H217" i="15" a="1"/>
  <c r="H217" i="15" s="1"/>
  <c r="K217" i="15" s="1"/>
  <c r="O217" i="15" a="1"/>
  <c r="O217" i="15" s="1"/>
  <c r="Q217" i="15" a="1"/>
  <c r="Q217" i="15" s="1"/>
  <c r="I217" i="15" a="1"/>
  <c r="I217" i="15" s="1"/>
  <c r="L217" i="15" s="1"/>
  <c r="AV217" i="15" a="1"/>
  <c r="AV217" i="15" s="1"/>
  <c r="R217" i="15" a="1"/>
  <c r="R217" i="15" s="1"/>
  <c r="K49" i="15"/>
  <c r="K112" i="15"/>
  <c r="J112" i="15" s="1"/>
  <c r="T112" i="15"/>
  <c r="L300" i="15"/>
  <c r="P230" i="15"/>
  <c r="N230" i="15" s="1"/>
  <c r="V230" i="15"/>
  <c r="AQ230" i="15"/>
  <c r="M22" i="21"/>
  <c r="BY17" i="4"/>
  <c r="BY21" i="4" s="1"/>
  <c r="CB21" i="4"/>
  <c r="FI17" i="4"/>
  <c r="OW21" i="4"/>
  <c r="FY17" i="4"/>
  <c r="FY21" i="4" s="1"/>
  <c r="BI17" i="4"/>
  <c r="MG21" i="4"/>
  <c r="MC17" i="4"/>
  <c r="MC21" i="4" s="1"/>
  <c r="CK21" i="4"/>
  <c r="CG17" i="4"/>
  <c r="CG21" i="4" s="1"/>
  <c r="DO21" i="4"/>
  <c r="KH21" i="4"/>
  <c r="LW21" i="4"/>
  <c r="KX21" i="4"/>
  <c r="IS17" i="4"/>
  <c r="IS21" i="4" s="1"/>
  <c r="HW21" i="4"/>
  <c r="FH21" i="4"/>
  <c r="AE21" i="4"/>
  <c r="EL21" i="4"/>
  <c r="MK17" i="4"/>
  <c r="MK21" i="4" s="1"/>
  <c r="JT21" i="4"/>
  <c r="FW21" i="4"/>
  <c r="FQ17" i="4"/>
  <c r="FQ21" i="4" s="1"/>
  <c r="GY21" i="4"/>
  <c r="CY21" i="4"/>
  <c r="CW17" i="4"/>
  <c r="CW21" i="4" s="1"/>
  <c r="GQ21" i="4"/>
  <c r="JA17" i="4"/>
  <c r="MZ21" i="4"/>
  <c r="MS17" i="4"/>
  <c r="HT21" i="4"/>
  <c r="HM17" i="4"/>
  <c r="HM21" i="4" s="1"/>
  <c r="BS21" i="4"/>
  <c r="BQ17" i="4"/>
  <c r="NX23" i="4"/>
  <c r="NX17" i="4"/>
  <c r="NQ18" i="4"/>
  <c r="NQ23" i="4" s="1"/>
  <c r="BF21" i="4"/>
  <c r="NR31" i="21"/>
  <c r="NS31" i="21" s="1"/>
  <c r="NT31" i="21" s="1"/>
  <c r="NU31" i="21" s="1"/>
  <c r="NV31" i="21" s="1"/>
  <c r="NP9" i="21"/>
  <c r="NV23" i="21"/>
  <c r="AJ15" i="15" l="1"/>
  <c r="AE15" i="15"/>
  <c r="AC15" i="15" s="1"/>
  <c r="J100" i="15"/>
  <c r="AR66" i="15" a="1"/>
  <c r="AR66" i="15" s="1"/>
  <c r="AS66" i="15" a="1"/>
  <c r="AS66" i="15" s="1"/>
  <c r="AQ66" i="15" s="1"/>
  <c r="AV66" i="15" a="1"/>
  <c r="AV66" i="15" s="1"/>
  <c r="U204" i="15"/>
  <c r="R66" i="15" a="1"/>
  <c r="R66" i="15" s="1"/>
  <c r="P100" i="15"/>
  <c r="N100" i="15" s="1"/>
  <c r="H66" i="15" a="1"/>
  <c r="H66" i="15" s="1"/>
  <c r="V100" i="15"/>
  <c r="U100" i="15" s="1"/>
  <c r="S100" i="15" s="1"/>
  <c r="AU66" i="15" a="1"/>
  <c r="AU66" i="15" s="1"/>
  <c r="AQ100" i="15"/>
  <c r="AW100" i="15" s="1"/>
  <c r="Q66" i="15" a="1"/>
  <c r="Q66" i="15" s="1"/>
  <c r="V66" i="15" s="1"/>
  <c r="J205" i="15"/>
  <c r="M67" i="15"/>
  <c r="AT67" i="15" s="1" a="1"/>
  <c r="AT67" i="15" s="1"/>
  <c r="AO14" i="15"/>
  <c r="AH14" i="15"/>
  <c r="AP15" i="15"/>
  <c r="Q2" i="21"/>
  <c r="AF16" i="15"/>
  <c r="AD16" i="15"/>
  <c r="AK16" i="15"/>
  <c r="AN16" i="15"/>
  <c r="AN15" i="15"/>
  <c r="AM16" i="15"/>
  <c r="AI15" i="15"/>
  <c r="AL16" i="15"/>
  <c r="CO17" i="4"/>
  <c r="JI21" i="4"/>
  <c r="DU21" i="4"/>
  <c r="W134" i="15"/>
  <c r="U13" i="15"/>
  <c r="S13" i="15" s="1"/>
  <c r="U356" i="15"/>
  <c r="S356" i="15" s="1"/>
  <c r="AW78" i="15"/>
  <c r="U316" i="15"/>
  <c r="S316" i="15" s="1"/>
  <c r="AW176" i="15"/>
  <c r="AW336" i="15"/>
  <c r="AW317" i="15"/>
  <c r="U118" i="15"/>
  <c r="S118" i="15" s="1"/>
  <c r="S307" i="15"/>
  <c r="U183" i="15"/>
  <c r="S183" i="15" s="1"/>
  <c r="S251" i="15"/>
  <c r="U64" i="15"/>
  <c r="S64" i="15" s="1"/>
  <c r="AW83" i="15"/>
  <c r="N22" i="21"/>
  <c r="G6" i="21"/>
  <c r="AW133" i="15"/>
  <c r="S7" i="15"/>
  <c r="S204" i="15"/>
  <c r="U133" i="15"/>
  <c r="S133" i="15" s="1"/>
  <c r="U238" i="15"/>
  <c r="S238" i="15" s="1"/>
  <c r="U188" i="15"/>
  <c r="S188" i="15" s="1"/>
  <c r="U357" i="15"/>
  <c r="S357" i="15" s="1"/>
  <c r="J258" i="15"/>
  <c r="T155" i="15"/>
  <c r="U280" i="15"/>
  <c r="S280" i="15" s="1"/>
  <c r="U154" i="15"/>
  <c r="S154" i="15" s="1"/>
  <c r="N42" i="21"/>
  <c r="S181" i="15"/>
  <c r="AW204" i="15"/>
  <c r="U258" i="15"/>
  <c r="S258" i="15" s="1"/>
  <c r="J35" i="15"/>
  <c r="U224" i="15"/>
  <c r="S224" i="15" s="1"/>
  <c r="S33" i="15"/>
  <c r="U203" i="15"/>
  <c r="S203" i="15" s="1"/>
  <c r="U104" i="15"/>
  <c r="S104" i="15" s="1"/>
  <c r="U77" i="15"/>
  <c r="S77" i="15" s="1"/>
  <c r="J134" i="15"/>
  <c r="U323" i="15"/>
  <c r="S323" i="15" s="1"/>
  <c r="W344" i="15"/>
  <c r="U343" i="15"/>
  <c r="S343" i="15" s="1"/>
  <c r="AQ252" i="15"/>
  <c r="K259" i="15"/>
  <c r="P259" i="15"/>
  <c r="N259" i="15" s="1"/>
  <c r="V259" i="15"/>
  <c r="T259" i="15"/>
  <c r="L259" i="15"/>
  <c r="V252" i="15"/>
  <c r="U252" i="15" s="1"/>
  <c r="S252" i="15" s="1"/>
  <c r="L252" i="15"/>
  <c r="J252" i="15" s="1"/>
  <c r="W259" i="15"/>
  <c r="U176" i="15"/>
  <c r="S176" i="15" s="1"/>
  <c r="I260" i="15" a="1"/>
  <c r="I260" i="15" s="1"/>
  <c r="AS260" i="15" a="1"/>
  <c r="AS260" i="15" s="1"/>
  <c r="AV260" i="15" a="1"/>
  <c r="AV260" i="15" s="1"/>
  <c r="AR260" i="15" a="1"/>
  <c r="AR260" i="15" s="1"/>
  <c r="Q260" i="15" a="1"/>
  <c r="Q260" i="15" s="1"/>
  <c r="H260" i="15" a="1"/>
  <c r="H260" i="15" s="1"/>
  <c r="M261" i="15"/>
  <c r="AU260" i="15" a="1"/>
  <c r="AU260" i="15" s="1"/>
  <c r="R260" i="15" a="1"/>
  <c r="R260" i="15" s="1"/>
  <c r="O260" i="15" a="1"/>
  <c r="O260" i="15" s="1"/>
  <c r="AT260" i="15" a="1"/>
  <c r="AT260" i="15" s="1"/>
  <c r="AQ259" i="15"/>
  <c r="W155" i="15"/>
  <c r="W205" i="15"/>
  <c r="T205" i="15"/>
  <c r="J84" i="15"/>
  <c r="AQ357" i="15"/>
  <c r="AT85" i="15" a="1"/>
  <c r="AT85" i="15" s="1"/>
  <c r="AS85" i="15" a="1"/>
  <c r="AS85" i="15" s="1"/>
  <c r="AR85" i="15" a="1"/>
  <c r="AR85" i="15" s="1"/>
  <c r="AV85" i="15" a="1"/>
  <c r="AV85" i="15" s="1"/>
  <c r="O85" i="15" a="1"/>
  <c r="O85" i="15" s="1"/>
  <c r="AU85" i="15" a="1"/>
  <c r="AU85" i="15" s="1"/>
  <c r="R85" i="15" a="1"/>
  <c r="R85" i="15" s="1"/>
  <c r="I85" i="15" a="1"/>
  <c r="I85" i="15" s="1"/>
  <c r="L85" i="15" s="1"/>
  <c r="M86" i="15"/>
  <c r="Q85" i="15" a="1"/>
  <c r="Q85" i="15" s="1"/>
  <c r="H85" i="15" a="1"/>
  <c r="H85" i="15" s="1"/>
  <c r="K85" i="15" s="1"/>
  <c r="T36" i="15"/>
  <c r="T189" i="15"/>
  <c r="V84" i="15"/>
  <c r="P84" i="15"/>
  <c r="N84" i="15" s="1"/>
  <c r="W318" i="15"/>
  <c r="T84" i="15"/>
  <c r="AQ84" i="15"/>
  <c r="W84" i="15"/>
  <c r="J189" i="15"/>
  <c r="U83" i="15"/>
  <c r="S83" i="15" s="1"/>
  <c r="H156" i="15" a="1"/>
  <c r="H156" i="15" s="1"/>
  <c r="K156" i="15" s="1"/>
  <c r="AR156" i="15" a="1"/>
  <c r="AR156" i="15" s="1"/>
  <c r="O156" i="15" a="1"/>
  <c r="O156" i="15" s="1"/>
  <c r="R156" i="15" a="1"/>
  <c r="R156" i="15" s="1"/>
  <c r="AT156" i="15" a="1"/>
  <c r="AT156" i="15" s="1"/>
  <c r="AS156" i="15" a="1"/>
  <c r="AS156" i="15" s="1"/>
  <c r="AU156" i="15" a="1"/>
  <c r="AU156" i="15" s="1"/>
  <c r="M157" i="15"/>
  <c r="Q156" i="15" a="1"/>
  <c r="Q156" i="15" s="1"/>
  <c r="I156" i="15" a="1"/>
  <c r="I156" i="15" s="1"/>
  <c r="L156" i="15" s="1"/>
  <c r="AV156" i="15" a="1"/>
  <c r="AV156" i="15" s="1"/>
  <c r="AQ101" i="15"/>
  <c r="J163" i="15"/>
  <c r="T344" i="15"/>
  <c r="U169" i="15"/>
  <c r="S169" i="15" s="1"/>
  <c r="AQ189" i="15"/>
  <c r="AQ225" i="15"/>
  <c r="P225" i="15"/>
  <c r="N225" i="15" s="1"/>
  <c r="V225" i="15"/>
  <c r="Q102" i="15" a="1"/>
  <c r="Q102" i="15" s="1"/>
  <c r="AU102" i="15" a="1"/>
  <c r="AU102" i="15" s="1"/>
  <c r="AT102" i="15" a="1"/>
  <c r="AT102" i="15" s="1"/>
  <c r="AS102" i="15" a="1"/>
  <c r="AS102" i="15" s="1"/>
  <c r="AV102" i="15" a="1"/>
  <c r="AV102" i="15" s="1"/>
  <c r="AR102" i="15" a="1"/>
  <c r="AR102" i="15" s="1"/>
  <c r="I102" i="15" a="1"/>
  <c r="I102" i="15" s="1"/>
  <c r="R102" i="15" a="1"/>
  <c r="R102" i="15" s="1"/>
  <c r="H102" i="15" a="1"/>
  <c r="H102" i="15" s="1"/>
  <c r="O102" i="15" a="1"/>
  <c r="O102" i="15" s="1"/>
  <c r="W253" i="15"/>
  <c r="L42" i="15"/>
  <c r="AQ205" i="15"/>
  <c r="T337" i="15"/>
  <c r="M191" i="15"/>
  <c r="AV190" i="15" a="1"/>
  <c r="AV190" i="15" s="1"/>
  <c r="H190" i="15" a="1"/>
  <c r="H190" i="15" s="1"/>
  <c r="K190" i="15" s="1"/>
  <c r="Q190" i="15" a="1"/>
  <c r="Q190" i="15" s="1"/>
  <c r="AT190" i="15" a="1"/>
  <c r="AT190" i="15" s="1"/>
  <c r="AS190" i="15" a="1"/>
  <c r="AS190" i="15" s="1"/>
  <c r="AR190" i="15" a="1"/>
  <c r="AR190" i="15" s="1"/>
  <c r="I190" i="15" a="1"/>
  <c r="I190" i="15" s="1"/>
  <c r="L190" i="15" s="1"/>
  <c r="R190" i="15" a="1"/>
  <c r="R190" i="15" s="1"/>
  <c r="AU190" i="15" a="1"/>
  <c r="AU190" i="15" s="1"/>
  <c r="O190" i="15" a="1"/>
  <c r="O190" i="15" s="1"/>
  <c r="T42" i="15"/>
  <c r="W281" i="15"/>
  <c r="W337" i="15"/>
  <c r="T105" i="15"/>
  <c r="J358" i="15"/>
  <c r="J324" i="15"/>
  <c r="W225" i="15"/>
  <c r="AQ155" i="15"/>
  <c r="V155" i="15"/>
  <c r="P155" i="15"/>
  <c r="N155" i="15" s="1"/>
  <c r="W101" i="15"/>
  <c r="J253" i="15"/>
  <c r="H206" i="15" a="1"/>
  <c r="H206" i="15" s="1"/>
  <c r="K206" i="15" s="1"/>
  <c r="Q206" i="15" a="1"/>
  <c r="Q206" i="15" s="1"/>
  <c r="AT206" i="15" a="1"/>
  <c r="AT206" i="15" s="1"/>
  <c r="AS206" i="15" a="1"/>
  <c r="AS206" i="15" s="1"/>
  <c r="AR206" i="15" a="1"/>
  <c r="AR206" i="15" s="1"/>
  <c r="R206" i="15" a="1"/>
  <c r="R206" i="15" s="1"/>
  <c r="I206" i="15" a="1"/>
  <c r="I206" i="15" s="1"/>
  <c r="L206" i="15" s="1"/>
  <c r="AU206" i="15" a="1"/>
  <c r="AU206" i="15" s="1"/>
  <c r="AV206" i="15" a="1"/>
  <c r="AV206" i="15" s="1"/>
  <c r="M207" i="15"/>
  <c r="O206" i="15" a="1"/>
  <c r="O206" i="15" s="1"/>
  <c r="U336" i="15"/>
  <c r="S336" i="15" s="1"/>
  <c r="J155" i="15"/>
  <c r="T101" i="15"/>
  <c r="K42" i="15"/>
  <c r="W358" i="15"/>
  <c r="P189" i="15"/>
  <c r="N189" i="15" s="1"/>
  <c r="V189" i="15"/>
  <c r="H226" i="15" a="1"/>
  <c r="H226" i="15" s="1"/>
  <c r="K226" i="15" s="1"/>
  <c r="AT226" i="15" a="1"/>
  <c r="AT226" i="15" s="1"/>
  <c r="AR226" i="15" a="1"/>
  <c r="AR226" i="15" s="1"/>
  <c r="I226" i="15" a="1"/>
  <c r="I226" i="15" s="1"/>
  <c r="L226" i="15" s="1"/>
  <c r="AS226" i="15" a="1"/>
  <c r="AS226" i="15" s="1"/>
  <c r="Q226" i="15" a="1"/>
  <c r="Q226" i="15" s="1"/>
  <c r="O226" i="15" a="1"/>
  <c r="O226" i="15" s="1"/>
  <c r="AV226" i="15" a="1"/>
  <c r="AV226" i="15" s="1"/>
  <c r="R226" i="15" a="1"/>
  <c r="R226" i="15" s="1"/>
  <c r="M227" i="15"/>
  <c r="AU226" i="15" a="1"/>
  <c r="AU226" i="15" s="1"/>
  <c r="K101" i="15"/>
  <c r="V253" i="15"/>
  <c r="P253" i="15"/>
  <c r="N253" i="15" s="1"/>
  <c r="W42" i="15"/>
  <c r="J65" i="15"/>
  <c r="U293" i="15"/>
  <c r="S293" i="15" s="1"/>
  <c r="J225" i="15"/>
  <c r="V101" i="15"/>
  <c r="P101" i="15"/>
  <c r="N101" i="15" s="1"/>
  <c r="AQ253" i="15"/>
  <c r="T253" i="15"/>
  <c r="AQ42" i="15"/>
  <c r="P42" i="15"/>
  <c r="N42" i="15" s="1"/>
  <c r="V42" i="15"/>
  <c r="J281" i="15"/>
  <c r="W189" i="15"/>
  <c r="T225" i="15"/>
  <c r="L101" i="15"/>
  <c r="Q254" i="15" a="1"/>
  <c r="Q254" i="15" s="1"/>
  <c r="I254" i="15" a="1"/>
  <c r="I254" i="15" s="1"/>
  <c r="L254" i="15" s="1"/>
  <c r="H254" i="15" a="1"/>
  <c r="H254" i="15" s="1"/>
  <c r="K254" i="15" s="1"/>
  <c r="M255" i="15"/>
  <c r="AV254" i="15" a="1"/>
  <c r="AV254" i="15" s="1"/>
  <c r="O254" i="15" a="1"/>
  <c r="O254" i="15" s="1"/>
  <c r="AT254" i="15" a="1"/>
  <c r="AT254" i="15" s="1"/>
  <c r="AS254" i="15" a="1"/>
  <c r="AS254" i="15" s="1"/>
  <c r="AU254" i="15" a="1"/>
  <c r="AU254" i="15" s="1"/>
  <c r="AR254" i="15" a="1"/>
  <c r="AR254" i="15" s="1"/>
  <c r="R254" i="15" a="1"/>
  <c r="R254" i="15" s="1"/>
  <c r="M44" i="15"/>
  <c r="O43" i="15" a="1"/>
  <c r="O43" i="15" s="1"/>
  <c r="I43" i="15" a="1"/>
  <c r="I43" i="15" s="1"/>
  <c r="AV43" i="15" a="1"/>
  <c r="AV43" i="15" s="1"/>
  <c r="AT43" i="15" a="1"/>
  <c r="AT43" i="15" s="1"/>
  <c r="AS43" i="15" a="1"/>
  <c r="AS43" i="15" s="1"/>
  <c r="H43" i="15" a="1"/>
  <c r="H43" i="15" s="1"/>
  <c r="AR43" i="15" a="1"/>
  <c r="AR43" i="15" s="1"/>
  <c r="Q43" i="15" a="1"/>
  <c r="Q43" i="15" s="1"/>
  <c r="AU43" i="15" a="1"/>
  <c r="AU43" i="15" s="1"/>
  <c r="R43" i="15" a="1"/>
  <c r="R43" i="15" s="1"/>
  <c r="V205" i="15"/>
  <c r="P205" i="15"/>
  <c r="N205" i="15" s="1"/>
  <c r="AU135" i="15" a="1"/>
  <c r="AU135" i="15" s="1"/>
  <c r="M136" i="15"/>
  <c r="R135" i="15" a="1"/>
  <c r="R135" i="15" s="1"/>
  <c r="AV135" i="15" a="1"/>
  <c r="AV135" i="15" s="1"/>
  <c r="I135" i="15" a="1"/>
  <c r="I135" i="15" s="1"/>
  <c r="L135" i="15" s="1"/>
  <c r="H135" i="15" a="1"/>
  <c r="H135" i="15" s="1"/>
  <c r="K135" i="15" s="1"/>
  <c r="AT135" i="15" a="1"/>
  <c r="AT135" i="15" s="1"/>
  <c r="AS135" i="15" a="1"/>
  <c r="AS135" i="15" s="1"/>
  <c r="AR135" i="15" a="1"/>
  <c r="AR135" i="15" s="1"/>
  <c r="Q135" i="15" a="1"/>
  <c r="Q135" i="15" s="1"/>
  <c r="O135" i="15" a="1"/>
  <c r="O135" i="15" s="1"/>
  <c r="J170" i="15"/>
  <c r="W91" i="15"/>
  <c r="AQ134" i="15"/>
  <c r="V134" i="15"/>
  <c r="P134" i="15"/>
  <c r="N134" i="15" s="1"/>
  <c r="AS171" i="15" a="1"/>
  <c r="AS171" i="15" s="1"/>
  <c r="H171" i="15" a="1"/>
  <c r="H171" i="15" s="1"/>
  <c r="K171" i="15" s="1"/>
  <c r="AR171" i="15" a="1"/>
  <c r="AR171" i="15" s="1"/>
  <c r="AV171" i="15" a="1"/>
  <c r="AV171" i="15" s="1"/>
  <c r="M172" i="15"/>
  <c r="AU171" i="15" a="1"/>
  <c r="AU171" i="15" s="1"/>
  <c r="I171" i="15" a="1"/>
  <c r="I171" i="15" s="1"/>
  <c r="L171" i="15" s="1"/>
  <c r="O171" i="15" a="1"/>
  <c r="O171" i="15" s="1"/>
  <c r="R171" i="15" a="1"/>
  <c r="R171" i="15" s="1"/>
  <c r="AT171" i="15" a="1"/>
  <c r="AT171" i="15" s="1"/>
  <c r="Q171" i="15" a="1"/>
  <c r="Q171" i="15" s="1"/>
  <c r="AQ184" i="15"/>
  <c r="P184" i="15"/>
  <c r="N184" i="15" s="1"/>
  <c r="V184" i="15"/>
  <c r="T308" i="15"/>
  <c r="L184" i="15"/>
  <c r="AQ91" i="15"/>
  <c r="P170" i="15"/>
  <c r="N170" i="15" s="1"/>
  <c r="V170" i="15"/>
  <c r="W184" i="15"/>
  <c r="J91" i="15"/>
  <c r="M93" i="15"/>
  <c r="H92" i="15" a="1"/>
  <c r="H92" i="15" s="1"/>
  <c r="K92" i="15" s="1"/>
  <c r="I92" i="15" a="1"/>
  <c r="I92" i="15" s="1"/>
  <c r="L92" i="15" s="1"/>
  <c r="R92" i="15" a="1"/>
  <c r="R92" i="15" s="1"/>
  <c r="AT92" i="15" a="1"/>
  <c r="AT92" i="15" s="1"/>
  <c r="AU92" i="15" a="1"/>
  <c r="AU92" i="15" s="1"/>
  <c r="AS92" i="15" a="1"/>
  <c r="AS92" i="15" s="1"/>
  <c r="Q92" i="15" a="1"/>
  <c r="Q92" i="15" s="1"/>
  <c r="AR92" i="15" a="1"/>
  <c r="AR92" i="15" s="1"/>
  <c r="AV92" i="15" a="1"/>
  <c r="AV92" i="15" s="1"/>
  <c r="O92" i="15" a="1"/>
  <c r="O92" i="15" s="1"/>
  <c r="U90" i="15"/>
  <c r="S90" i="15" s="1"/>
  <c r="T170" i="15"/>
  <c r="P91" i="15"/>
  <c r="N91" i="15" s="1"/>
  <c r="V91" i="15"/>
  <c r="AQ344" i="15"/>
  <c r="M346" i="15"/>
  <c r="Q345" i="15" a="1"/>
  <c r="Q345" i="15" s="1"/>
  <c r="AU345" i="15" a="1"/>
  <c r="AU345" i="15" s="1"/>
  <c r="AV345" i="15" a="1"/>
  <c r="AV345" i="15" s="1"/>
  <c r="H345" i="15" a="1"/>
  <c r="H345" i="15" s="1"/>
  <c r="K345" i="15" s="1"/>
  <c r="AR345" i="15" a="1"/>
  <c r="AR345" i="15" s="1"/>
  <c r="AS345" i="15" a="1"/>
  <c r="AS345" i="15" s="1"/>
  <c r="AT345" i="15" a="1"/>
  <c r="AT345" i="15" s="1"/>
  <c r="R345" i="15" a="1"/>
  <c r="R345" i="15" s="1"/>
  <c r="I345" i="15" a="1"/>
  <c r="I345" i="15" s="1"/>
  <c r="L345" i="15" s="1"/>
  <c r="O345" i="15" a="1"/>
  <c r="O345" i="15" s="1"/>
  <c r="AQ170" i="15"/>
  <c r="W170" i="15"/>
  <c r="K184" i="15"/>
  <c r="P344" i="15"/>
  <c r="N344" i="15" s="1"/>
  <c r="V344" i="15"/>
  <c r="W177" i="15"/>
  <c r="T134" i="15"/>
  <c r="O185" i="15" a="1"/>
  <c r="O185" i="15" s="1"/>
  <c r="AT185" i="15" a="1"/>
  <c r="AT185" i="15" s="1"/>
  <c r="AS185" i="15" a="1"/>
  <c r="AS185" i="15" s="1"/>
  <c r="AR185" i="15" a="1"/>
  <c r="AR185" i="15" s="1"/>
  <c r="I185" i="15" a="1"/>
  <c r="I185" i="15" s="1"/>
  <c r="Q185" i="15" a="1"/>
  <c r="Q185" i="15" s="1"/>
  <c r="M186" i="15"/>
  <c r="AV185" i="15" a="1"/>
  <c r="AV185" i="15" s="1"/>
  <c r="R185" i="15" a="1"/>
  <c r="R185" i="15" s="1"/>
  <c r="AU185" i="15" a="1"/>
  <c r="AU185" i="15" s="1"/>
  <c r="H185" i="15" a="1"/>
  <c r="H185" i="15" s="1"/>
  <c r="T91" i="15"/>
  <c r="J344" i="15"/>
  <c r="J183" i="15"/>
  <c r="T177" i="15"/>
  <c r="T239" i="15"/>
  <c r="J337" i="15"/>
  <c r="W105" i="15"/>
  <c r="J105" i="15"/>
  <c r="J8" i="15"/>
  <c r="U317" i="15"/>
  <c r="S317" i="15" s="1"/>
  <c r="W79" i="15"/>
  <c r="AU178" i="15" a="1"/>
  <c r="AU178" i="15" s="1"/>
  <c r="Q178" i="15" a="1"/>
  <c r="Q178" i="15" s="1"/>
  <c r="I178" i="15" a="1"/>
  <c r="I178" i="15" s="1"/>
  <c r="L178" i="15" s="1"/>
  <c r="M179" i="15"/>
  <c r="AV178" i="15" a="1"/>
  <c r="AV178" i="15" s="1"/>
  <c r="R178" i="15" a="1"/>
  <c r="R178" i="15" s="1"/>
  <c r="AS178" i="15" a="1"/>
  <c r="AS178" i="15" s="1"/>
  <c r="H178" i="15" a="1"/>
  <c r="H178" i="15" s="1"/>
  <c r="K178" i="15" s="1"/>
  <c r="AR178" i="15" a="1"/>
  <c r="AR178" i="15" s="1"/>
  <c r="AT178" i="15" a="1"/>
  <c r="AT178" i="15" s="1"/>
  <c r="O178" i="15" a="1"/>
  <c r="O178" i="15" s="1"/>
  <c r="T281" i="15"/>
  <c r="U27" i="15"/>
  <c r="S27" i="15" s="1"/>
  <c r="P28" i="15"/>
  <c r="N28" i="15" s="1"/>
  <c r="V28" i="15"/>
  <c r="T324" i="15"/>
  <c r="H34" i="21"/>
  <c r="AQ8" i="15"/>
  <c r="J239" i="15"/>
  <c r="I240" i="15" a="1"/>
  <c r="I240" i="15" s="1"/>
  <c r="L240" i="15" s="1"/>
  <c r="AV240" i="15" a="1"/>
  <c r="AV240" i="15" s="1"/>
  <c r="R240" i="15" a="1"/>
  <c r="R240" i="15" s="1"/>
  <c r="M241" i="15"/>
  <c r="AT240" i="15" a="1"/>
  <c r="AT240" i="15" s="1"/>
  <c r="AS240" i="15" a="1"/>
  <c r="AS240" i="15" s="1"/>
  <c r="O240" i="15" a="1"/>
  <c r="O240" i="15" s="1"/>
  <c r="H240" i="15" a="1"/>
  <c r="H240" i="15" s="1"/>
  <c r="K240" i="15" s="1"/>
  <c r="AR240" i="15" a="1"/>
  <c r="AR240" i="15" s="1"/>
  <c r="AU240" i="15" a="1"/>
  <c r="AU240" i="15" s="1"/>
  <c r="Q240" i="15" a="1"/>
  <c r="Q240" i="15" s="1"/>
  <c r="P177" i="15"/>
  <c r="N177" i="15" s="1"/>
  <c r="V177" i="15"/>
  <c r="AQ105" i="15"/>
  <c r="L36" i="15"/>
  <c r="J36" i="15" s="1"/>
  <c r="J7" i="15"/>
  <c r="J294" i="15"/>
  <c r="U65" i="15"/>
  <c r="S65" i="15" s="1"/>
  <c r="AQ239" i="15"/>
  <c r="AQ79" i="15"/>
  <c r="L79" i="15"/>
  <c r="J79" i="15" s="1"/>
  <c r="U35" i="15"/>
  <c r="S35" i="15" s="1"/>
  <c r="V281" i="15"/>
  <c r="P281" i="15"/>
  <c r="N281" i="15" s="1"/>
  <c r="R359" i="15" a="1"/>
  <c r="R359" i="15" s="1"/>
  <c r="H359" i="15" a="1"/>
  <c r="H359" i="15" s="1"/>
  <c r="K359" i="15" s="1"/>
  <c r="O359" i="15" a="1"/>
  <c r="O359" i="15" s="1"/>
  <c r="Q359" i="15" a="1"/>
  <c r="Q359" i="15" s="1"/>
  <c r="I359" i="15" a="1"/>
  <c r="I359" i="15" s="1"/>
  <c r="AT359" i="15" a="1"/>
  <c r="AT359" i="15" s="1"/>
  <c r="AV359" i="15" a="1"/>
  <c r="AV359" i="15" s="1"/>
  <c r="AR359" i="15" a="1"/>
  <c r="AR359" i="15" s="1"/>
  <c r="AU359" i="15" a="1"/>
  <c r="AU359" i="15" s="1"/>
  <c r="AS359" i="15" a="1"/>
  <c r="AS359" i="15" s="1"/>
  <c r="M360" i="15"/>
  <c r="K66" i="15"/>
  <c r="T66" i="15"/>
  <c r="V294" i="15"/>
  <c r="P294" i="15"/>
  <c r="N294" i="15" s="1"/>
  <c r="V324" i="15"/>
  <c r="P324" i="15"/>
  <c r="N324" i="15" s="1"/>
  <c r="R9" i="15" a="1"/>
  <c r="R9" i="15" s="1"/>
  <c r="M10" i="15"/>
  <c r="AU9" i="15" a="1"/>
  <c r="AU9" i="15" s="1"/>
  <c r="Q9" i="15" a="1"/>
  <c r="Q9" i="15" s="1"/>
  <c r="AV9" i="15" a="1"/>
  <c r="AV9" i="15" s="1"/>
  <c r="I24" i="21" s="1"/>
  <c r="I9" i="15" a="1"/>
  <c r="I9" i="15" s="1"/>
  <c r="L9" i="15" s="1"/>
  <c r="O9" i="15" a="1"/>
  <c r="O9" i="15" s="1"/>
  <c r="AT9" i="15" a="1"/>
  <c r="AT9" i="15" s="1"/>
  <c r="I38" i="21" s="1"/>
  <c r="AS9" i="15" a="1"/>
  <c r="AS9" i="15" s="1"/>
  <c r="I36" i="21" s="1"/>
  <c r="AR9" i="15" a="1"/>
  <c r="AR9" i="15" s="1"/>
  <c r="H9" i="15" a="1"/>
  <c r="H9" i="15" s="1"/>
  <c r="K9" i="15" s="1"/>
  <c r="U162" i="15"/>
  <c r="S162" i="15" s="1"/>
  <c r="I338" i="15" a="1"/>
  <c r="I338" i="15" s="1"/>
  <c r="L338" i="15" s="1"/>
  <c r="M339" i="15"/>
  <c r="AU338" i="15" a="1"/>
  <c r="AU338" i="15" s="1"/>
  <c r="AV338" i="15" a="1"/>
  <c r="AV338" i="15" s="1"/>
  <c r="R338" i="15" a="1"/>
  <c r="R338" i="15" s="1"/>
  <c r="O338" i="15" a="1"/>
  <c r="O338" i="15" s="1"/>
  <c r="H338" i="15" a="1"/>
  <c r="H338" i="15" s="1"/>
  <c r="K338" i="15" s="1"/>
  <c r="Q338" i="15" a="1"/>
  <c r="Q338" i="15" s="1"/>
  <c r="AR338" i="15" a="1"/>
  <c r="AR338" i="15" s="1"/>
  <c r="AS338" i="15" a="1"/>
  <c r="AS338" i="15" s="1"/>
  <c r="AT338" i="15" a="1"/>
  <c r="AT338" i="15" s="1"/>
  <c r="H37" i="15" a="1"/>
  <c r="H37" i="15" s="1"/>
  <c r="K37" i="15" s="1"/>
  <c r="R37" i="15" a="1"/>
  <c r="R37" i="15" s="1"/>
  <c r="Q37" i="15" a="1"/>
  <c r="Q37" i="15" s="1"/>
  <c r="AU37" i="15" a="1"/>
  <c r="AU37" i="15" s="1"/>
  <c r="AV37" i="15" a="1"/>
  <c r="AV37" i="15" s="1"/>
  <c r="M38" i="15"/>
  <c r="I37" i="15" a="1"/>
  <c r="I37" i="15" s="1"/>
  <c r="AT37" i="15" a="1"/>
  <c r="AT37" i="15" s="1"/>
  <c r="AS37" i="15" a="1"/>
  <c r="AS37" i="15" s="1"/>
  <c r="AR37" i="15" a="1"/>
  <c r="AR37" i="15" s="1"/>
  <c r="O37" i="15" a="1"/>
  <c r="O37" i="15" s="1"/>
  <c r="W294" i="15"/>
  <c r="W28" i="15"/>
  <c r="AV164" i="15" a="1"/>
  <c r="AV164" i="15" s="1"/>
  <c r="Q164" i="15" a="1"/>
  <c r="Q164" i="15" s="1"/>
  <c r="AU164" i="15" a="1"/>
  <c r="AU164" i="15" s="1"/>
  <c r="M165" i="15"/>
  <c r="R164" i="15" a="1"/>
  <c r="R164" i="15" s="1"/>
  <c r="I164" i="15" a="1"/>
  <c r="I164" i="15" s="1"/>
  <c r="L164" i="15" s="1"/>
  <c r="O164" i="15" a="1"/>
  <c r="O164" i="15" s="1"/>
  <c r="H164" i="15" a="1"/>
  <c r="H164" i="15" s="1"/>
  <c r="AT164" i="15" a="1"/>
  <c r="AT164" i="15" s="1"/>
  <c r="AS164" i="15" a="1"/>
  <c r="AS164" i="15" s="1"/>
  <c r="AR164" i="15" a="1"/>
  <c r="AR164" i="15" s="1"/>
  <c r="AQ318" i="15"/>
  <c r="W308" i="15"/>
  <c r="V79" i="15"/>
  <c r="P79" i="15"/>
  <c r="N79" i="15" s="1"/>
  <c r="J177" i="15"/>
  <c r="U78" i="15"/>
  <c r="S78" i="15" s="1"/>
  <c r="V337" i="15"/>
  <c r="U337" i="15" s="1"/>
  <c r="P337" i="15"/>
  <c r="N337" i="15" s="1"/>
  <c r="H67" i="15" a="1"/>
  <c r="H67" i="15" s="1"/>
  <c r="AQ36" i="15"/>
  <c r="W36" i="15"/>
  <c r="Q295" i="15" a="1"/>
  <c r="Q295" i="15" s="1"/>
  <c r="AV295" i="15" a="1"/>
  <c r="AV295" i="15" s="1"/>
  <c r="R295" i="15" a="1"/>
  <c r="R295" i="15" s="1"/>
  <c r="I295" i="15" a="1"/>
  <c r="I295" i="15" s="1"/>
  <c r="L295" i="15" s="1"/>
  <c r="M296" i="15"/>
  <c r="H295" i="15" a="1"/>
  <c r="H295" i="15" s="1"/>
  <c r="K295" i="15" s="1"/>
  <c r="AU295" i="15" a="1"/>
  <c r="AU295" i="15" s="1"/>
  <c r="AT295" i="15" a="1"/>
  <c r="AT295" i="15" s="1"/>
  <c r="AS295" i="15" a="1"/>
  <c r="AS295" i="15" s="1"/>
  <c r="AR295" i="15" a="1"/>
  <c r="AR295" i="15" s="1"/>
  <c r="O295" i="15" a="1"/>
  <c r="O295" i="15" s="1"/>
  <c r="T28" i="15"/>
  <c r="L28" i="15"/>
  <c r="H10" i="21"/>
  <c r="H12" i="21" s="1"/>
  <c r="P8" i="15"/>
  <c r="N8" i="15" s="1"/>
  <c r="V8" i="15"/>
  <c r="P239" i="15"/>
  <c r="N239" i="15" s="1"/>
  <c r="V239" i="15"/>
  <c r="T318" i="15"/>
  <c r="K318" i="15"/>
  <c r="J318" i="15" s="1"/>
  <c r="T79" i="15"/>
  <c r="R282" i="15" a="1"/>
  <c r="R282" i="15" s="1"/>
  <c r="Q282" i="15" a="1"/>
  <c r="Q282" i="15" s="1"/>
  <c r="H282" i="15" a="1"/>
  <c r="H282" i="15" s="1"/>
  <c r="K282" i="15" s="1"/>
  <c r="I282" i="15" a="1"/>
  <c r="I282" i="15" s="1"/>
  <c r="L282" i="15" s="1"/>
  <c r="M283" i="15"/>
  <c r="AV282" i="15" a="1"/>
  <c r="AV282" i="15" s="1"/>
  <c r="AU282" i="15" a="1"/>
  <c r="AU282" i="15" s="1"/>
  <c r="AT282" i="15" a="1"/>
  <c r="AT282" i="15" s="1"/>
  <c r="AR282" i="15" a="1"/>
  <c r="AR282" i="15" s="1"/>
  <c r="AS282" i="15" a="1"/>
  <c r="AS282" i="15" s="1"/>
  <c r="O282" i="15" a="1"/>
  <c r="O282" i="15" s="1"/>
  <c r="P105" i="15"/>
  <c r="N105" i="15" s="1"/>
  <c r="V105" i="15"/>
  <c r="T358" i="15"/>
  <c r="L66" i="15"/>
  <c r="T294" i="15"/>
  <c r="I29" i="15" a="1"/>
  <c r="I29" i="15" s="1"/>
  <c r="AU29" i="15" a="1"/>
  <c r="AU29" i="15" s="1"/>
  <c r="Q29" i="15" a="1"/>
  <c r="Q29" i="15" s="1"/>
  <c r="R29" i="15" a="1"/>
  <c r="R29" i="15" s="1"/>
  <c r="M30" i="15"/>
  <c r="AS29" i="15" a="1"/>
  <c r="AS29" i="15" s="1"/>
  <c r="AV29" i="15" a="1"/>
  <c r="AV29" i="15" s="1"/>
  <c r="AR29" i="15" a="1"/>
  <c r="AR29" i="15" s="1"/>
  <c r="H29" i="15" a="1"/>
  <c r="H29" i="15" s="1"/>
  <c r="K29" i="15" s="1"/>
  <c r="O29" i="15" a="1"/>
  <c r="O29" i="15" s="1"/>
  <c r="AT29" i="15" a="1"/>
  <c r="AT29" i="15" s="1"/>
  <c r="AQ324" i="15"/>
  <c r="Q325" i="15" a="1"/>
  <c r="Q325" i="15" s="1"/>
  <c r="I325" i="15" a="1"/>
  <c r="I325" i="15" s="1"/>
  <c r="L325" i="15" s="1"/>
  <c r="AV325" i="15" a="1"/>
  <c r="AV325" i="15" s="1"/>
  <c r="M326" i="15"/>
  <c r="AU325" i="15" a="1"/>
  <c r="AU325" i="15" s="1"/>
  <c r="R325" i="15" a="1"/>
  <c r="R325" i="15" s="1"/>
  <c r="O325" i="15" a="1"/>
  <c r="O325" i="15" s="1"/>
  <c r="AT325" i="15" a="1"/>
  <c r="AT325" i="15" s="1"/>
  <c r="AR325" i="15" a="1"/>
  <c r="AR325" i="15" s="1"/>
  <c r="AS325" i="15" a="1"/>
  <c r="AS325" i="15" s="1"/>
  <c r="H325" i="15" a="1"/>
  <c r="H325" i="15" s="1"/>
  <c r="K325" i="15" s="1"/>
  <c r="H4" i="21"/>
  <c r="H6" i="21" s="1"/>
  <c r="T8" i="15"/>
  <c r="T163" i="15"/>
  <c r="W163" i="15"/>
  <c r="AQ308" i="15"/>
  <c r="M310" i="15"/>
  <c r="R309" i="15" a="1"/>
  <c r="R309" i="15" s="1"/>
  <c r="AT309" i="15" a="1"/>
  <c r="AT309" i="15" s="1"/>
  <c r="Q309" i="15" a="1"/>
  <c r="Q309" i="15" s="1"/>
  <c r="AR309" i="15" a="1"/>
  <c r="AR309" i="15" s="1"/>
  <c r="AV309" i="15" a="1"/>
  <c r="AV309" i="15" s="1"/>
  <c r="AS309" i="15" a="1"/>
  <c r="AS309" i="15" s="1"/>
  <c r="O309" i="15" a="1"/>
  <c r="O309" i="15" s="1"/>
  <c r="AU309" i="15" a="1"/>
  <c r="AU309" i="15" s="1"/>
  <c r="H309" i="15" a="1"/>
  <c r="H309" i="15" s="1"/>
  <c r="K309" i="15" s="1"/>
  <c r="I309" i="15" a="1"/>
  <c r="I309" i="15" s="1"/>
  <c r="L309" i="15" s="1"/>
  <c r="G12" i="21"/>
  <c r="AQ281" i="15"/>
  <c r="AQ358" i="15"/>
  <c r="AQ294" i="15"/>
  <c r="AQ28" i="15"/>
  <c r="H16" i="21"/>
  <c r="W8" i="15"/>
  <c r="P318" i="15"/>
  <c r="N318" i="15" s="1"/>
  <c r="V318" i="15"/>
  <c r="J308" i="15"/>
  <c r="AT80" i="15" a="1"/>
  <c r="AT80" i="15" s="1"/>
  <c r="H80" i="15" a="1"/>
  <c r="H80" i="15" s="1"/>
  <c r="K80" i="15" s="1"/>
  <c r="AS80" i="15" a="1"/>
  <c r="AS80" i="15" s="1"/>
  <c r="AV80" i="15" a="1"/>
  <c r="AV80" i="15" s="1"/>
  <c r="AR80" i="15" a="1"/>
  <c r="AR80" i="15" s="1"/>
  <c r="AU80" i="15" a="1"/>
  <c r="AU80" i="15" s="1"/>
  <c r="Q80" i="15" a="1"/>
  <c r="Q80" i="15" s="1"/>
  <c r="I80" i="15" a="1"/>
  <c r="I80" i="15" s="1"/>
  <c r="R80" i="15" a="1"/>
  <c r="R80" i="15" s="1"/>
  <c r="O80" i="15" a="1"/>
  <c r="O80" i="15" s="1"/>
  <c r="M81" i="15"/>
  <c r="AQ177" i="15"/>
  <c r="AQ337" i="15"/>
  <c r="R106" i="15" a="1"/>
  <c r="R106" i="15" s="1"/>
  <c r="H106" i="15" a="1"/>
  <c r="H106" i="15" s="1"/>
  <c r="K106" i="15" s="1"/>
  <c r="I106" i="15" a="1"/>
  <c r="I106" i="15" s="1"/>
  <c r="L106" i="15" s="1"/>
  <c r="M107" i="15"/>
  <c r="AV106" i="15" a="1"/>
  <c r="AV106" i="15" s="1"/>
  <c r="AU106" i="15" a="1"/>
  <c r="AU106" i="15" s="1"/>
  <c r="Q106" i="15" a="1"/>
  <c r="Q106" i="15" s="1"/>
  <c r="AT106" i="15" a="1"/>
  <c r="AT106" i="15" s="1"/>
  <c r="AS106" i="15" a="1"/>
  <c r="AS106" i="15" s="1"/>
  <c r="AR106" i="15" a="1"/>
  <c r="AR106" i="15" s="1"/>
  <c r="O106" i="15" a="1"/>
  <c r="O106" i="15" s="1"/>
  <c r="V358" i="15"/>
  <c r="P358" i="15"/>
  <c r="N358" i="15" s="1"/>
  <c r="P36" i="15"/>
  <c r="N36" i="15" s="1"/>
  <c r="V36" i="15"/>
  <c r="K28" i="15"/>
  <c r="W324" i="15"/>
  <c r="H25" i="21"/>
  <c r="H40" i="21"/>
  <c r="AQ163" i="15"/>
  <c r="V163" i="15"/>
  <c r="P163" i="15"/>
  <c r="N163" i="15" s="1"/>
  <c r="W239" i="15"/>
  <c r="R319" i="15" a="1"/>
  <c r="R319" i="15" s="1"/>
  <c r="I319" i="15" a="1"/>
  <c r="I319" i="15" s="1"/>
  <c r="AV319" i="15" a="1"/>
  <c r="AV319" i="15" s="1"/>
  <c r="AU319" i="15" a="1"/>
  <c r="AU319" i="15" s="1"/>
  <c r="H319" i="15" a="1"/>
  <c r="H319" i="15" s="1"/>
  <c r="Q319" i="15" a="1"/>
  <c r="Q319" i="15" s="1"/>
  <c r="AR319" i="15" a="1"/>
  <c r="AR319" i="15" s="1"/>
  <c r="AS319" i="15" a="1"/>
  <c r="AS319" i="15" s="1"/>
  <c r="AT319" i="15" a="1"/>
  <c r="AT319" i="15" s="1"/>
  <c r="O319" i="15" a="1"/>
  <c r="O319" i="15" s="1"/>
  <c r="V308" i="15"/>
  <c r="P308" i="15"/>
  <c r="N308" i="15" s="1"/>
  <c r="FI21" i="4"/>
  <c r="JA21" i="4"/>
  <c r="NY21" i="4"/>
  <c r="LE21" i="4"/>
  <c r="U147" i="15"/>
  <c r="S147" i="15" s="1"/>
  <c r="BI21" i="4"/>
  <c r="S182" i="15"/>
  <c r="LU17" i="4"/>
  <c r="LU21" i="4" s="1"/>
  <c r="S26" i="15"/>
  <c r="MS21" i="4"/>
  <c r="BQ21" i="4"/>
  <c r="U17" i="4"/>
  <c r="U21" i="4" s="1"/>
  <c r="LM21" i="4"/>
  <c r="FA17" i="4"/>
  <c r="FA21" i="4" s="1"/>
  <c r="HE17" i="4"/>
  <c r="HE21" i="4" s="1"/>
  <c r="IC21" i="4"/>
  <c r="GW17" i="4"/>
  <c r="GW21" i="4" s="1"/>
  <c r="GO17" i="4"/>
  <c r="GO21" i="4" s="1"/>
  <c r="U112" i="15"/>
  <c r="S112" i="15" s="1"/>
  <c r="KW17" i="4"/>
  <c r="KW21" i="4" s="1"/>
  <c r="CO21" i="4"/>
  <c r="JY17" i="4"/>
  <c r="JY21" i="4" s="1"/>
  <c r="KO17" i="4"/>
  <c r="KO21" i="4" s="1"/>
  <c r="U287" i="15"/>
  <c r="S287" i="15" s="1"/>
  <c r="M17" i="4"/>
  <c r="M21" i="4" s="1"/>
  <c r="DM17" i="4"/>
  <c r="DM21" i="4" s="1"/>
  <c r="BA17" i="4"/>
  <c r="BA21" i="4" s="1"/>
  <c r="JQ17" i="4"/>
  <c r="JQ21" i="4" s="1"/>
  <c r="U272" i="15"/>
  <c r="S272" i="15" s="1"/>
  <c r="U139" i="15"/>
  <c r="S139" i="15" s="1"/>
  <c r="EK17" i="4"/>
  <c r="EK21" i="4" s="1"/>
  <c r="U328" i="15"/>
  <c r="S328" i="15" s="1"/>
  <c r="AS17" i="4"/>
  <c r="AS21" i="4" s="1"/>
  <c r="J118" i="15"/>
  <c r="HU17" i="4"/>
  <c r="HU21" i="4" s="1"/>
  <c r="KG17" i="4"/>
  <c r="KG21" i="4" s="1"/>
  <c r="J20" i="15"/>
  <c r="U57" i="15"/>
  <c r="S57" i="15" s="1"/>
  <c r="J365" i="15"/>
  <c r="U244" i="15"/>
  <c r="S244" i="15" s="1"/>
  <c r="U20" i="15"/>
  <c r="S20" i="15" s="1"/>
  <c r="AW364" i="15"/>
  <c r="ES17" i="4"/>
  <c r="ES21" i="4" s="1"/>
  <c r="U195" i="15"/>
  <c r="S195" i="15" s="1"/>
  <c r="AL21" i="4"/>
  <c r="AK17" i="4"/>
  <c r="AK21" i="4" s="1"/>
  <c r="U216" i="15"/>
  <c r="S216" i="15" s="1"/>
  <c r="W113" i="15"/>
  <c r="AW351" i="15"/>
  <c r="IK17" i="4"/>
  <c r="IK21" i="4" s="1"/>
  <c r="IP21" i="4"/>
  <c r="DL21" i="4"/>
  <c r="DE17" i="4"/>
  <c r="DE21" i="4" s="1"/>
  <c r="J49" i="15"/>
  <c r="AC17" i="4"/>
  <c r="AC21" i="4" s="1"/>
  <c r="J14" i="15"/>
  <c r="G21" i="4"/>
  <c r="E17" i="4"/>
  <c r="E21" i="4" s="1"/>
  <c r="F6" i="21"/>
  <c r="W267" i="15"/>
  <c r="U69" i="15"/>
  <c r="S69" i="15" s="1"/>
  <c r="U230" i="15"/>
  <c r="S230" i="15" s="1"/>
  <c r="J352" i="15"/>
  <c r="U125" i="15"/>
  <c r="S125" i="15" s="1"/>
  <c r="J230" i="15"/>
  <c r="T15" i="15"/>
  <c r="J15" i="15"/>
  <c r="U266" i="15"/>
  <c r="S266" i="15" s="1"/>
  <c r="T288" i="15"/>
  <c r="J273" i="15"/>
  <c r="U14" i="15"/>
  <c r="S14" i="15" s="1"/>
  <c r="J69" i="15"/>
  <c r="T113" i="15"/>
  <c r="J113" i="15"/>
  <c r="W365" i="15"/>
  <c r="W288" i="15"/>
  <c r="W273" i="15"/>
  <c r="J244" i="15"/>
  <c r="T273" i="15"/>
  <c r="W217" i="15"/>
  <c r="AQ352" i="15"/>
  <c r="O18" i="21"/>
  <c r="P217" i="15"/>
  <c r="N217" i="15" s="1"/>
  <c r="V217" i="15"/>
  <c r="P267" i="15"/>
  <c r="N267" i="15" s="1"/>
  <c r="V267" i="15"/>
  <c r="AW272" i="15"/>
  <c r="L21" i="15"/>
  <c r="AT71" i="15" a="1"/>
  <c r="AT71" i="15" s="1"/>
  <c r="AS71" i="15" a="1"/>
  <c r="AS71" i="15" s="1"/>
  <c r="AR71" i="15" a="1"/>
  <c r="AR71" i="15" s="1"/>
  <c r="I71" i="15" a="1"/>
  <c r="I71" i="15" s="1"/>
  <c r="O71" i="15" a="1"/>
  <c r="O71" i="15" s="1"/>
  <c r="H71" i="15" a="1"/>
  <c r="H71" i="15" s="1"/>
  <c r="AV71" i="15" a="1"/>
  <c r="AV71" i="15" s="1"/>
  <c r="Q71" i="15" a="1"/>
  <c r="Q71" i="15" s="1"/>
  <c r="M72" i="15"/>
  <c r="AU71" i="15" a="1"/>
  <c r="AU71" i="15" s="1"/>
  <c r="R71" i="15" a="1"/>
  <c r="R71" i="15" s="1"/>
  <c r="L301" i="15"/>
  <c r="AT289" i="15" a="1"/>
  <c r="AT289" i="15" s="1"/>
  <c r="AS289" i="15" a="1"/>
  <c r="AS289" i="15" s="1"/>
  <c r="AR289" i="15" a="1"/>
  <c r="AR289" i="15" s="1"/>
  <c r="M290" i="15"/>
  <c r="R289" i="15" a="1"/>
  <c r="R289" i="15" s="1"/>
  <c r="AV289" i="15" a="1"/>
  <c r="AV289" i="15" s="1"/>
  <c r="I289" i="15" a="1"/>
  <c r="I289" i="15" s="1"/>
  <c r="L289" i="15" s="1"/>
  <c r="AU289" i="15" a="1"/>
  <c r="AU289" i="15" s="1"/>
  <c r="Q289" i="15" a="1"/>
  <c r="Q289" i="15" s="1"/>
  <c r="H289" i="15" a="1"/>
  <c r="H289" i="15" s="1"/>
  <c r="K289" i="15" s="1"/>
  <c r="O289" i="15" a="1"/>
  <c r="O289" i="15" s="1"/>
  <c r="O12" i="21"/>
  <c r="AW300" i="15"/>
  <c r="U49" i="15"/>
  <c r="S49" i="15" s="1"/>
  <c r="L119" i="15"/>
  <c r="L211" i="15"/>
  <c r="AT141" i="15" a="1"/>
  <c r="AT141" i="15" s="1"/>
  <c r="AS141" i="15" a="1"/>
  <c r="AS141" i="15" s="1"/>
  <c r="AR141" i="15" a="1"/>
  <c r="AR141" i="15" s="1"/>
  <c r="M142" i="15"/>
  <c r="I141" i="15" a="1"/>
  <c r="I141" i="15" s="1"/>
  <c r="L141" i="15" s="1"/>
  <c r="H141" i="15" a="1"/>
  <c r="H141" i="15" s="1"/>
  <c r="K141" i="15" s="1"/>
  <c r="AU141" i="15" a="1"/>
  <c r="AU141" i="15" s="1"/>
  <c r="O141" i="15" a="1"/>
  <c r="O141" i="15" s="1"/>
  <c r="Q141" i="15" a="1"/>
  <c r="Q141" i="15" s="1"/>
  <c r="R141" i="15" a="1"/>
  <c r="R141" i="15" s="1"/>
  <c r="AV141" i="15" a="1"/>
  <c r="AV141" i="15" s="1"/>
  <c r="W245" i="15"/>
  <c r="AT127" i="15" a="1"/>
  <c r="AT127" i="15" s="1"/>
  <c r="AS127" i="15" a="1"/>
  <c r="AS127" i="15" s="1"/>
  <c r="AR127" i="15" a="1"/>
  <c r="AR127" i="15" s="1"/>
  <c r="I127" i="15" a="1"/>
  <c r="I127" i="15" s="1"/>
  <c r="AU127" i="15" a="1"/>
  <c r="AU127" i="15" s="1"/>
  <c r="M128" i="15"/>
  <c r="O127" i="15" a="1"/>
  <c r="O127" i="15" s="1"/>
  <c r="Q127" i="15" a="1"/>
  <c r="Q127" i="15" s="1"/>
  <c r="H127" i="15" a="1"/>
  <c r="H127" i="15" s="1"/>
  <c r="AV127" i="15" a="1"/>
  <c r="AV127" i="15" s="1"/>
  <c r="R127" i="15" a="1"/>
  <c r="R127" i="15" s="1"/>
  <c r="K196" i="15"/>
  <c r="P58" i="15"/>
  <c r="N58" i="15" s="1"/>
  <c r="V58" i="15"/>
  <c r="AR353" i="15" a="1"/>
  <c r="AR353" i="15" s="1"/>
  <c r="AS353" i="15" a="1"/>
  <c r="AS353" i="15" s="1"/>
  <c r="AT353" i="15" a="1"/>
  <c r="AT353" i="15" s="1"/>
  <c r="AV353" i="15" a="1"/>
  <c r="AV353" i="15" s="1"/>
  <c r="M354" i="15"/>
  <c r="H353" i="15" a="1"/>
  <c r="H353" i="15" s="1"/>
  <c r="K353" i="15" s="1"/>
  <c r="O353" i="15" a="1"/>
  <c r="O353" i="15" s="1"/>
  <c r="R353" i="15" a="1"/>
  <c r="R353" i="15" s="1"/>
  <c r="I353" i="15" a="1"/>
  <c r="I353" i="15" s="1"/>
  <c r="L353" i="15" s="1"/>
  <c r="Q353" i="15" a="1"/>
  <c r="Q353" i="15" s="1"/>
  <c r="AU353" i="15" a="1"/>
  <c r="AU353" i="15" s="1"/>
  <c r="P40" i="21"/>
  <c r="P25" i="21"/>
  <c r="W231" i="15"/>
  <c r="J125" i="15"/>
  <c r="T217" i="15"/>
  <c r="T267" i="15"/>
  <c r="P21" i="15"/>
  <c r="N21" i="15" s="1"/>
  <c r="V21" i="15"/>
  <c r="AQ21" i="15"/>
  <c r="T70" i="15"/>
  <c r="AQ70" i="15"/>
  <c r="W301" i="15"/>
  <c r="K119" i="15"/>
  <c r="AT212" i="15" a="1"/>
  <c r="AT212" i="15" s="1"/>
  <c r="AS212" i="15" a="1"/>
  <c r="AS212" i="15" s="1"/>
  <c r="AR212" i="15" a="1"/>
  <c r="AR212" i="15" s="1"/>
  <c r="R212" i="15" a="1"/>
  <c r="R212" i="15" s="1"/>
  <c r="I212" i="15" a="1"/>
  <c r="I212" i="15" s="1"/>
  <c r="Q212" i="15" a="1"/>
  <c r="Q212" i="15" s="1"/>
  <c r="M213" i="15"/>
  <c r="AU212" i="15" a="1"/>
  <c r="AU212" i="15" s="1"/>
  <c r="O212" i="15" a="1"/>
  <c r="O212" i="15" s="1"/>
  <c r="H212" i="15" a="1"/>
  <c r="H212" i="15" s="1"/>
  <c r="AV212" i="15" a="1"/>
  <c r="AV212" i="15" s="1"/>
  <c r="AW139" i="15"/>
  <c r="W140" i="15"/>
  <c r="K245" i="15"/>
  <c r="K126" i="15"/>
  <c r="L196" i="15"/>
  <c r="T50" i="15"/>
  <c r="AT59" i="15" a="1"/>
  <c r="AT59" i="15" s="1"/>
  <c r="AS59" i="15" a="1"/>
  <c r="AS59" i="15" s="1"/>
  <c r="AR59" i="15" a="1"/>
  <c r="AR59" i="15" s="1"/>
  <c r="R59" i="15" a="1"/>
  <c r="R59" i="15" s="1"/>
  <c r="H59" i="15" a="1"/>
  <c r="H59" i="15" s="1"/>
  <c r="O59" i="15" a="1"/>
  <c r="O59" i="15" s="1"/>
  <c r="AU59" i="15" a="1"/>
  <c r="AU59" i="15" s="1"/>
  <c r="Q59" i="15" a="1"/>
  <c r="Q59" i="15" s="1"/>
  <c r="M60" i="15"/>
  <c r="I59" i="15" a="1"/>
  <c r="I59" i="15" s="1"/>
  <c r="AV59" i="15" a="1"/>
  <c r="AV59" i="15" s="1"/>
  <c r="AW14" i="15"/>
  <c r="O42" i="21"/>
  <c r="AQ329" i="15"/>
  <c r="T231" i="15"/>
  <c r="L148" i="15"/>
  <c r="J148" i="15" s="1"/>
  <c r="AQ148" i="15"/>
  <c r="U351" i="15"/>
  <c r="S351" i="15" s="1"/>
  <c r="J267" i="15"/>
  <c r="AQ267" i="15"/>
  <c r="AT22" i="15" a="1"/>
  <c r="AT22" i="15" s="1"/>
  <c r="AS22" i="15" a="1"/>
  <c r="AS22" i="15" s="1"/>
  <c r="AR22" i="15" a="1"/>
  <c r="AR22" i="15" s="1"/>
  <c r="M23" i="15"/>
  <c r="AU22" i="15" a="1"/>
  <c r="AU22" i="15" s="1"/>
  <c r="H22" i="15" a="1"/>
  <c r="H22" i="15" s="1"/>
  <c r="K22" i="15" s="1"/>
  <c r="I22" i="15" a="1"/>
  <c r="I22" i="15" s="1"/>
  <c r="L22" i="15" s="1"/>
  <c r="O22" i="15" a="1"/>
  <c r="O22" i="15" s="1"/>
  <c r="R22" i="15" a="1"/>
  <c r="R22" i="15" s="1"/>
  <c r="Q22" i="15" a="1"/>
  <c r="Q22" i="15" s="1"/>
  <c r="AV22" i="15" a="1"/>
  <c r="AV22" i="15" s="1"/>
  <c r="V70" i="15"/>
  <c r="P70" i="15"/>
  <c r="N70" i="15" s="1"/>
  <c r="P301" i="15"/>
  <c r="N301" i="15" s="1"/>
  <c r="V301" i="15"/>
  <c r="AQ113" i="15"/>
  <c r="V119" i="15"/>
  <c r="P119" i="15"/>
  <c r="N119" i="15" s="1"/>
  <c r="W211" i="15"/>
  <c r="T245" i="15"/>
  <c r="AQ245" i="15"/>
  <c r="AS274" i="15" a="1"/>
  <c r="AS274" i="15" s="1"/>
  <c r="AT274" i="15" a="1"/>
  <c r="AT274" i="15" s="1"/>
  <c r="AR274" i="15" a="1"/>
  <c r="AR274" i="15" s="1"/>
  <c r="I274" i="15" a="1"/>
  <c r="I274" i="15" s="1"/>
  <c r="L274" i="15" s="1"/>
  <c r="M275" i="15"/>
  <c r="O274" i="15" a="1"/>
  <c r="O274" i="15" s="1"/>
  <c r="AU274" i="15" a="1"/>
  <c r="AU274" i="15" s="1"/>
  <c r="R274" i="15" a="1"/>
  <c r="R274" i="15" s="1"/>
  <c r="AV274" i="15" a="1"/>
  <c r="AV274" i="15" s="1"/>
  <c r="Q274" i="15" a="1"/>
  <c r="Q274" i="15" s="1"/>
  <c r="H274" i="15" a="1"/>
  <c r="H274" i="15" s="1"/>
  <c r="K274" i="15" s="1"/>
  <c r="T126" i="15"/>
  <c r="AW69" i="15"/>
  <c r="L50" i="15"/>
  <c r="AW147" i="15"/>
  <c r="W352" i="15"/>
  <c r="AS330" i="15" a="1"/>
  <c r="AS330" i="15" s="1"/>
  <c r="AT330" i="15" a="1"/>
  <c r="AT330" i="15" s="1"/>
  <c r="AR330" i="15" a="1"/>
  <c r="AR330" i="15" s="1"/>
  <c r="O330" i="15" a="1"/>
  <c r="O330" i="15" s="1"/>
  <c r="AU330" i="15" a="1"/>
  <c r="AU330" i="15" s="1"/>
  <c r="AV330" i="15" a="1"/>
  <c r="AV330" i="15" s="1"/>
  <c r="M331" i="15"/>
  <c r="H330" i="15" a="1"/>
  <c r="H330" i="15" s="1"/>
  <c r="K330" i="15" s="1"/>
  <c r="R330" i="15" a="1"/>
  <c r="R330" i="15" s="1"/>
  <c r="Q330" i="15" a="1"/>
  <c r="Q330" i="15" s="1"/>
  <c r="I330" i="15" a="1"/>
  <c r="I330" i="15" s="1"/>
  <c r="L330" i="15" s="1"/>
  <c r="V231" i="15"/>
  <c r="P231" i="15"/>
  <c r="N231" i="15" s="1"/>
  <c r="AQ231" i="15"/>
  <c r="T148" i="15"/>
  <c r="K21" i="15"/>
  <c r="K301" i="15"/>
  <c r="AS114" i="15" a="1"/>
  <c r="AS114" i="15" s="1"/>
  <c r="AR114" i="15" a="1"/>
  <c r="AR114" i="15" s="1"/>
  <c r="AT114" i="15" a="1"/>
  <c r="AT114" i="15" s="1"/>
  <c r="H114" i="15" a="1"/>
  <c r="H114" i="15" s="1"/>
  <c r="K114" i="15" s="1"/>
  <c r="M115" i="15"/>
  <c r="AV114" i="15" a="1"/>
  <c r="AV114" i="15" s="1"/>
  <c r="O114" i="15" a="1"/>
  <c r="O114" i="15" s="1"/>
  <c r="R114" i="15" a="1"/>
  <c r="R114" i="15" s="1"/>
  <c r="Q114" i="15" a="1"/>
  <c r="Q114" i="15" s="1"/>
  <c r="I114" i="15" a="1"/>
  <c r="I114" i="15" s="1"/>
  <c r="L114" i="15" s="1"/>
  <c r="AU114" i="15" a="1"/>
  <c r="AU114" i="15" s="1"/>
  <c r="T119" i="15"/>
  <c r="AQ119" i="15"/>
  <c r="T140" i="15"/>
  <c r="AQ140" i="15"/>
  <c r="L245" i="15"/>
  <c r="O6" i="21"/>
  <c r="AW216" i="15"/>
  <c r="P126" i="15"/>
  <c r="N126" i="15" s="1"/>
  <c r="V126" i="15"/>
  <c r="AT197" i="15" a="1"/>
  <c r="AT197" i="15" s="1"/>
  <c r="AS197" i="15" a="1"/>
  <c r="AS197" i="15" s="1"/>
  <c r="AR197" i="15" a="1"/>
  <c r="AR197" i="15" s="1"/>
  <c r="I197" i="15" a="1"/>
  <c r="I197" i="15" s="1"/>
  <c r="L197" i="15" s="1"/>
  <c r="AU197" i="15" a="1"/>
  <c r="AU197" i="15" s="1"/>
  <c r="R197" i="15" a="1"/>
  <c r="R197" i="15" s="1"/>
  <c r="O197" i="15" a="1"/>
  <c r="O197" i="15" s="1"/>
  <c r="Q197" i="15" a="1"/>
  <c r="Q197" i="15" s="1"/>
  <c r="H197" i="15" a="1"/>
  <c r="H197" i="15" s="1"/>
  <c r="AV197" i="15" a="1"/>
  <c r="AV197" i="15" s="1"/>
  <c r="M198" i="15"/>
  <c r="K50" i="15"/>
  <c r="W58" i="15"/>
  <c r="AW20" i="15"/>
  <c r="P16" i="21"/>
  <c r="P18" i="21" s="1"/>
  <c r="W15" i="15"/>
  <c r="P34" i="21"/>
  <c r="AQ15" i="15"/>
  <c r="W329" i="15"/>
  <c r="J57" i="15"/>
  <c r="W148" i="15"/>
  <c r="AT218" i="15" a="1"/>
  <c r="AT218" i="15" s="1"/>
  <c r="AR218" i="15" a="1"/>
  <c r="AR218" i="15" s="1"/>
  <c r="AS218" i="15" a="1"/>
  <c r="AS218" i="15" s="1"/>
  <c r="O218" i="15" a="1"/>
  <c r="O218" i="15" s="1"/>
  <c r="H218" i="15" a="1"/>
  <c r="H218" i="15" s="1"/>
  <c r="K218" i="15" s="1"/>
  <c r="M219" i="15"/>
  <c r="I218" i="15" a="1"/>
  <c r="I218" i="15" s="1"/>
  <c r="L218" i="15" s="1"/>
  <c r="AV218" i="15" a="1"/>
  <c r="AV218" i="15" s="1"/>
  <c r="Q218" i="15" a="1"/>
  <c r="Q218" i="15" s="1"/>
  <c r="AU218" i="15" a="1"/>
  <c r="AU218" i="15" s="1"/>
  <c r="R218" i="15" a="1"/>
  <c r="R218" i="15" s="1"/>
  <c r="W21" i="15"/>
  <c r="AW328" i="15"/>
  <c r="V113" i="15"/>
  <c r="P113" i="15"/>
  <c r="N113" i="15" s="1"/>
  <c r="AQ288" i="15"/>
  <c r="P211" i="15"/>
  <c r="N211" i="15" s="1"/>
  <c r="V211" i="15"/>
  <c r="AT246" i="15" a="1"/>
  <c r="AT246" i="15" s="1"/>
  <c r="AS246" i="15" a="1"/>
  <c r="AS246" i="15" s="1"/>
  <c r="AR246" i="15" a="1"/>
  <c r="AR246" i="15" s="1"/>
  <c r="O246" i="15" a="1"/>
  <c r="O246" i="15" s="1"/>
  <c r="R246" i="15" a="1"/>
  <c r="R246" i="15" s="1"/>
  <c r="I246" i="15" a="1"/>
  <c r="I246" i="15" s="1"/>
  <c r="Q246" i="15" a="1"/>
  <c r="Q246" i="15" s="1"/>
  <c r="H246" i="15" a="1"/>
  <c r="H246" i="15" s="1"/>
  <c r="AU246" i="15" a="1"/>
  <c r="AU246" i="15" s="1"/>
  <c r="M247" i="15"/>
  <c r="AV246" i="15" a="1"/>
  <c r="AV246" i="15" s="1"/>
  <c r="AW210" i="15"/>
  <c r="W126" i="15"/>
  <c r="W196" i="15"/>
  <c r="W50" i="15"/>
  <c r="AQ50" i="15"/>
  <c r="AW50" i="15" s="1"/>
  <c r="K58" i="15"/>
  <c r="T329" i="15"/>
  <c r="K329" i="15"/>
  <c r="J329" i="15" s="1"/>
  <c r="AQ217" i="15"/>
  <c r="AW244" i="15"/>
  <c r="AW195" i="15"/>
  <c r="AW287" i="15"/>
  <c r="P365" i="15"/>
  <c r="N365" i="15" s="1"/>
  <c r="V365" i="15"/>
  <c r="W70" i="15"/>
  <c r="AW49" i="15"/>
  <c r="W119" i="15"/>
  <c r="T211" i="15"/>
  <c r="J140" i="15"/>
  <c r="AW125" i="15"/>
  <c r="AQ273" i="15"/>
  <c r="L126" i="15"/>
  <c r="AQ126" i="15"/>
  <c r="L58" i="15"/>
  <c r="U364" i="15"/>
  <c r="S364" i="15" s="1"/>
  <c r="AT232" i="15" a="1"/>
  <c r="AT232" i="15" s="1"/>
  <c r="AS232" i="15" a="1"/>
  <c r="AS232" i="15" s="1"/>
  <c r="AR232" i="15" a="1"/>
  <c r="AR232" i="15" s="1"/>
  <c r="H232" i="15" a="1"/>
  <c r="H232" i="15" s="1"/>
  <c r="AV232" i="15" a="1"/>
  <c r="AV232" i="15" s="1"/>
  <c r="I232" i="15" a="1"/>
  <c r="I232" i="15" s="1"/>
  <c r="M233" i="15"/>
  <c r="O232" i="15" a="1"/>
  <c r="O232" i="15" s="1"/>
  <c r="R232" i="15" a="1"/>
  <c r="R232" i="15" s="1"/>
  <c r="AU232" i="15" a="1"/>
  <c r="AU232" i="15" s="1"/>
  <c r="Q232" i="15" a="1"/>
  <c r="Q232" i="15" s="1"/>
  <c r="J300" i="15"/>
  <c r="AW118" i="15"/>
  <c r="J195" i="15"/>
  <c r="AW230" i="15"/>
  <c r="AT268" i="15" a="1"/>
  <c r="AT268" i="15" s="1"/>
  <c r="AS268" i="15" a="1"/>
  <c r="AS268" i="15" s="1"/>
  <c r="AR268" i="15" a="1"/>
  <c r="AR268" i="15" s="1"/>
  <c r="M269" i="15"/>
  <c r="I268" i="15" a="1"/>
  <c r="I268" i="15" s="1"/>
  <c r="L268" i="15" s="1"/>
  <c r="H268" i="15" a="1"/>
  <c r="H268" i="15" s="1"/>
  <c r="K268" i="15" s="1"/>
  <c r="O268" i="15" a="1"/>
  <c r="O268" i="15" s="1"/>
  <c r="AU268" i="15" a="1"/>
  <c r="AU268" i="15" s="1"/>
  <c r="R268" i="15" a="1"/>
  <c r="R268" i="15" s="1"/>
  <c r="AV268" i="15" a="1"/>
  <c r="AV268" i="15" s="1"/>
  <c r="Q268" i="15" a="1"/>
  <c r="Q268" i="15" s="1"/>
  <c r="T21" i="15"/>
  <c r="T365" i="15"/>
  <c r="AQ365" i="15"/>
  <c r="L70" i="15"/>
  <c r="AT302" i="15" a="1"/>
  <c r="AT302" i="15" s="1"/>
  <c r="AS302" i="15" a="1"/>
  <c r="AS302" i="15" s="1"/>
  <c r="AR302" i="15" a="1"/>
  <c r="AR302" i="15" s="1"/>
  <c r="AU302" i="15" a="1"/>
  <c r="AU302" i="15" s="1"/>
  <c r="I302" i="15" a="1"/>
  <c r="I302" i="15" s="1"/>
  <c r="R302" i="15" a="1"/>
  <c r="R302" i="15" s="1"/>
  <c r="H302" i="15" a="1"/>
  <c r="H302" i="15" s="1"/>
  <c r="O302" i="15" a="1"/>
  <c r="O302" i="15" s="1"/>
  <c r="M303" i="15"/>
  <c r="Q302" i="15" a="1"/>
  <c r="Q302" i="15" s="1"/>
  <c r="AV302" i="15" a="1"/>
  <c r="AV302" i="15" s="1"/>
  <c r="J288" i="15"/>
  <c r="AW112" i="15"/>
  <c r="AW266" i="15"/>
  <c r="AT120" i="15" a="1"/>
  <c r="AT120" i="15" s="1"/>
  <c r="AR120" i="15" a="1"/>
  <c r="AR120" i="15" s="1"/>
  <c r="AS120" i="15" a="1"/>
  <c r="AS120" i="15" s="1"/>
  <c r="H120" i="15" a="1"/>
  <c r="H120" i="15" s="1"/>
  <c r="I120" i="15" a="1"/>
  <c r="I120" i="15" s="1"/>
  <c r="O120" i="15" a="1"/>
  <c r="O120" i="15" s="1"/>
  <c r="R120" i="15" a="1"/>
  <c r="R120" i="15" s="1"/>
  <c r="M121" i="15"/>
  <c r="Q120" i="15" a="1"/>
  <c r="Q120" i="15" s="1"/>
  <c r="AU120" i="15" a="1"/>
  <c r="AU120" i="15" s="1"/>
  <c r="AV120" i="15" a="1"/>
  <c r="AV120" i="15" s="1"/>
  <c r="K211" i="15"/>
  <c r="AQ211" i="15"/>
  <c r="V245" i="15"/>
  <c r="P245" i="15"/>
  <c r="N245" i="15" s="1"/>
  <c r="P273" i="15"/>
  <c r="N273" i="15" s="1"/>
  <c r="V273" i="15"/>
  <c r="T196" i="15"/>
  <c r="P50" i="15"/>
  <c r="N50" i="15" s="1"/>
  <c r="V50" i="15"/>
  <c r="T58" i="15"/>
  <c r="V352" i="15"/>
  <c r="P352" i="15"/>
  <c r="N352" i="15" s="1"/>
  <c r="AT16" i="15" a="1"/>
  <c r="AT16" i="15" s="1"/>
  <c r="Q38" i="21" s="1"/>
  <c r="AS16" i="15" a="1"/>
  <c r="AS16" i="15" s="1"/>
  <c r="Q36" i="21" s="1"/>
  <c r="AR16" i="15" a="1"/>
  <c r="AR16" i="15" s="1"/>
  <c r="Q34" i="21" s="1"/>
  <c r="O16" i="15" a="1"/>
  <c r="O16" i="15" s="1"/>
  <c r="AV16" i="15" a="1"/>
  <c r="AV16" i="15" s="1"/>
  <c r="Q24" i="21" s="1"/>
  <c r="M17" i="15"/>
  <c r="Q16" i="15" a="1"/>
  <c r="Q16" i="15" s="1"/>
  <c r="AU16" i="15" a="1"/>
  <c r="AU16" i="15" s="1"/>
  <c r="I16" i="15" a="1"/>
  <c r="I16" i="15" s="1"/>
  <c r="L16" i="15" s="1"/>
  <c r="R16" i="15" a="1"/>
  <c r="R16" i="15" s="1"/>
  <c r="H16" i="15" a="1"/>
  <c r="H16" i="15" s="1"/>
  <c r="K16" i="15" s="1"/>
  <c r="L231" i="15"/>
  <c r="P148" i="15"/>
  <c r="N148" i="15" s="1"/>
  <c r="V148" i="15"/>
  <c r="J217" i="15"/>
  <c r="U210" i="15"/>
  <c r="S210" i="15" s="1"/>
  <c r="AT366" i="15" a="1"/>
  <c r="AT366" i="15" s="1"/>
  <c r="AR366" i="15" a="1"/>
  <c r="AR366" i="15" s="1"/>
  <c r="AS366" i="15" a="1"/>
  <c r="AS366" i="15" s="1"/>
  <c r="R366" i="15" a="1"/>
  <c r="R366" i="15" s="1"/>
  <c r="Q366" i="15" a="1"/>
  <c r="Q366" i="15" s="1"/>
  <c r="M367" i="15"/>
  <c r="AU366" i="15" a="1"/>
  <c r="AU366" i="15" s="1"/>
  <c r="AV366" i="15" a="1"/>
  <c r="AV366" i="15" s="1"/>
  <c r="O366" i="15" a="1"/>
  <c r="O366" i="15" s="1"/>
  <c r="I366" i="15" a="1"/>
  <c r="I366" i="15" s="1"/>
  <c r="L366" i="15" s="1"/>
  <c r="H366" i="15" a="1"/>
  <c r="H366" i="15" s="1"/>
  <c r="K366" i="15" s="1"/>
  <c r="K70" i="15"/>
  <c r="T301" i="15"/>
  <c r="AQ301" i="15"/>
  <c r="AW57" i="15"/>
  <c r="P288" i="15"/>
  <c r="N288" i="15" s="1"/>
  <c r="V288" i="15"/>
  <c r="P140" i="15"/>
  <c r="N140" i="15" s="1"/>
  <c r="V140" i="15"/>
  <c r="J210" i="15"/>
  <c r="V196" i="15"/>
  <c r="P196" i="15"/>
  <c r="N196" i="15" s="1"/>
  <c r="AQ196" i="15"/>
  <c r="U300" i="15"/>
  <c r="S300" i="15" s="1"/>
  <c r="AT51" i="15" a="1"/>
  <c r="AT51" i="15" s="1"/>
  <c r="AS51" i="15" a="1"/>
  <c r="AS51" i="15" s="1"/>
  <c r="AR51" i="15" a="1"/>
  <c r="AR51" i="15" s="1"/>
  <c r="H51" i="15" a="1"/>
  <c r="H51" i="15" s="1"/>
  <c r="AV51" i="15" a="1"/>
  <c r="AV51" i="15" s="1"/>
  <c r="I51" i="15" a="1"/>
  <c r="I51" i="15" s="1"/>
  <c r="L51" i="15" s="1"/>
  <c r="AU51" i="15" a="1"/>
  <c r="AU51" i="15" s="1"/>
  <c r="M52" i="15"/>
  <c r="O51" i="15" a="1"/>
  <c r="O51" i="15" s="1"/>
  <c r="R51" i="15" a="1"/>
  <c r="R51" i="15" s="1"/>
  <c r="Q51" i="15" a="1"/>
  <c r="Q51" i="15" s="1"/>
  <c r="AQ58" i="15"/>
  <c r="T352" i="15"/>
  <c r="P10" i="21"/>
  <c r="P12" i="21" s="1"/>
  <c r="P15" i="15"/>
  <c r="N15" i="15" s="1"/>
  <c r="V15" i="15"/>
  <c r="P329" i="15"/>
  <c r="N329" i="15" s="1"/>
  <c r="V329" i="15"/>
  <c r="K231" i="15"/>
  <c r="AT149" i="15" a="1"/>
  <c r="AT149" i="15" s="1"/>
  <c r="AS149" i="15" a="1"/>
  <c r="AS149" i="15" s="1"/>
  <c r="AR149" i="15" a="1"/>
  <c r="AR149" i="15" s="1"/>
  <c r="Q149" i="15" a="1"/>
  <c r="Q149" i="15" s="1"/>
  <c r="H149" i="15" a="1"/>
  <c r="H149" i="15" s="1"/>
  <c r="K149" i="15" s="1"/>
  <c r="AV149" i="15" a="1"/>
  <c r="AV149" i="15" s="1"/>
  <c r="O149" i="15" a="1"/>
  <c r="O149" i="15" s="1"/>
  <c r="R149" i="15" a="1"/>
  <c r="R149" i="15" s="1"/>
  <c r="I149" i="15" a="1"/>
  <c r="I149" i="15" s="1"/>
  <c r="L149" i="15" s="1"/>
  <c r="AU149" i="15" a="1"/>
  <c r="AU149" i="15" s="1"/>
  <c r="M150" i="15"/>
  <c r="NQ17" i="4"/>
  <c r="NQ21" i="4" s="1"/>
  <c r="NX21" i="4"/>
  <c r="P66" i="15" l="1"/>
  <c r="N66" i="15" s="1"/>
  <c r="AU67" i="15" a="1"/>
  <c r="AU67" i="15" s="1"/>
  <c r="W66" i="15"/>
  <c r="Q67" i="15" a="1"/>
  <c r="Q67" i="15" s="1"/>
  <c r="R67" i="15" a="1"/>
  <c r="R67" i="15" s="1"/>
  <c r="AR67" i="15" a="1"/>
  <c r="AR67" i="15" s="1"/>
  <c r="O67" i="15" a="1"/>
  <c r="O67" i="15" s="1"/>
  <c r="AV67" i="15" a="1"/>
  <c r="AV67" i="15" s="1"/>
  <c r="AS67" i="15" a="1"/>
  <c r="AS67" i="15" s="1"/>
  <c r="I67" i="15" a="1"/>
  <c r="I67" i="15" s="1"/>
  <c r="AJ16" i="15"/>
  <c r="AO15" i="15"/>
  <c r="AH15" i="15"/>
  <c r="R2" i="21"/>
  <c r="AI16" i="15"/>
  <c r="AO16" i="15" s="1"/>
  <c r="AL17" i="15"/>
  <c r="AK17" i="15"/>
  <c r="AG16" i="15"/>
  <c r="AE16" i="15" s="1"/>
  <c r="AC16" i="15" s="1"/>
  <c r="L359" i="15"/>
  <c r="U134" i="15"/>
  <c r="U318" i="15"/>
  <c r="S318" i="15" s="1"/>
  <c r="S337" i="15"/>
  <c r="T80" i="15"/>
  <c r="U66" i="15"/>
  <c r="S66" i="15" s="1"/>
  <c r="U105" i="15"/>
  <c r="S105" i="15" s="1"/>
  <c r="U177" i="15"/>
  <c r="S177" i="15" s="1"/>
  <c r="U344" i="15"/>
  <c r="S344" i="15" s="1"/>
  <c r="U205" i="15"/>
  <c r="S205" i="15" s="1"/>
  <c r="U155" i="15"/>
  <c r="S155" i="15" s="1"/>
  <c r="U42" i="15"/>
  <c r="S42" i="15" s="1"/>
  <c r="T85" i="15"/>
  <c r="W190" i="15"/>
  <c r="T345" i="15"/>
  <c r="U308" i="15"/>
  <c r="S308" i="15" s="1"/>
  <c r="U358" i="15"/>
  <c r="S358" i="15" s="1"/>
  <c r="U253" i="15"/>
  <c r="S253" i="15" s="1"/>
  <c r="T226" i="15"/>
  <c r="U36" i="15"/>
  <c r="S36" i="15" s="1"/>
  <c r="J325" i="15"/>
  <c r="T171" i="15"/>
  <c r="J184" i="15"/>
  <c r="J92" i="15"/>
  <c r="W85" i="15"/>
  <c r="U91" i="15"/>
  <c r="S91" i="15" s="1"/>
  <c r="K260" i="15"/>
  <c r="AW259" i="15"/>
  <c r="P260" i="15"/>
  <c r="N260" i="15" s="1"/>
  <c r="V260" i="15"/>
  <c r="AQ260" i="15"/>
  <c r="T260" i="15"/>
  <c r="W260" i="15"/>
  <c r="L260" i="15"/>
  <c r="J259" i="15"/>
  <c r="AW252" i="15"/>
  <c r="M262" i="15"/>
  <c r="Q261" i="15" a="1"/>
  <c r="Q261" i="15" s="1"/>
  <c r="AV261" i="15" a="1"/>
  <c r="AV261" i="15" s="1"/>
  <c r="H261" i="15" a="1"/>
  <c r="H261" i="15" s="1"/>
  <c r="R261" i="15" a="1"/>
  <c r="R261" i="15" s="1"/>
  <c r="I261" i="15" a="1"/>
  <c r="I261" i="15" s="1"/>
  <c r="AT261" i="15" a="1"/>
  <c r="AT261" i="15" s="1"/>
  <c r="AU261" i="15" a="1"/>
  <c r="AU261" i="15" s="1"/>
  <c r="AS261" i="15" a="1"/>
  <c r="AS261" i="15" s="1"/>
  <c r="O261" i="15" a="1"/>
  <c r="O261" i="15" s="1"/>
  <c r="AR261" i="15" a="1"/>
  <c r="AR261" i="15" s="1"/>
  <c r="U259" i="15"/>
  <c r="S259" i="15" s="1"/>
  <c r="J240" i="15"/>
  <c r="AW357" i="15"/>
  <c r="J135" i="15"/>
  <c r="T156" i="15"/>
  <c r="U101" i="15"/>
  <c r="S101" i="15" s="1"/>
  <c r="J42" i="15"/>
  <c r="U225" i="15"/>
  <c r="S225" i="15" s="1"/>
  <c r="U84" i="15"/>
  <c r="S84" i="15" s="1"/>
  <c r="AW84" i="15"/>
  <c r="J28" i="15"/>
  <c r="W171" i="15"/>
  <c r="U189" i="15"/>
  <c r="S189" i="15" s="1"/>
  <c r="J156" i="15"/>
  <c r="J85" i="15"/>
  <c r="AQ85" i="15"/>
  <c r="V85" i="15"/>
  <c r="P85" i="15"/>
  <c r="N85" i="15" s="1"/>
  <c r="W206" i="15"/>
  <c r="O86" i="15" a="1"/>
  <c r="O86" i="15" s="1"/>
  <c r="AR86" i="15" a="1"/>
  <c r="AR86" i="15" s="1"/>
  <c r="AU86" i="15" a="1"/>
  <c r="AU86" i="15" s="1"/>
  <c r="H86" i="15" a="1"/>
  <c r="H86" i="15" s="1"/>
  <c r="K86" i="15" s="1"/>
  <c r="Q86" i="15" a="1"/>
  <c r="Q86" i="15" s="1"/>
  <c r="I86" i="15" a="1"/>
  <c r="I86" i="15" s="1"/>
  <c r="L86" i="15" s="1"/>
  <c r="AV86" i="15" a="1"/>
  <c r="AV86" i="15" s="1"/>
  <c r="R86" i="15" a="1"/>
  <c r="R86" i="15" s="1"/>
  <c r="M87" i="15"/>
  <c r="AT86" i="15" a="1"/>
  <c r="AT86" i="15" s="1"/>
  <c r="AS86" i="15" a="1"/>
  <c r="AS86" i="15" s="1"/>
  <c r="K43" i="15"/>
  <c r="AQ254" i="15"/>
  <c r="Q207" i="15" a="1"/>
  <c r="Q207" i="15" s="1"/>
  <c r="O207" i="15" a="1"/>
  <c r="O207" i="15" s="1"/>
  <c r="I207" i="15" a="1"/>
  <c r="I207" i="15" s="1"/>
  <c r="AR207" i="15" a="1"/>
  <c r="AR207" i="15" s="1"/>
  <c r="AU207" i="15" a="1"/>
  <c r="AU207" i="15" s="1"/>
  <c r="H207" i="15" a="1"/>
  <c r="H207" i="15" s="1"/>
  <c r="R207" i="15" a="1"/>
  <c r="R207" i="15" s="1"/>
  <c r="AV207" i="15" a="1"/>
  <c r="AV207" i="15" s="1"/>
  <c r="AT207" i="15" a="1"/>
  <c r="AT207" i="15" s="1"/>
  <c r="AS207" i="15" a="1"/>
  <c r="AS207" i="15" s="1"/>
  <c r="P206" i="15"/>
  <c r="N206" i="15" s="1"/>
  <c r="V206" i="15"/>
  <c r="AQ102" i="15"/>
  <c r="V254" i="15"/>
  <c r="P254" i="15"/>
  <c r="N254" i="15" s="1"/>
  <c r="I191" i="15" a="1"/>
  <c r="I191" i="15" s="1"/>
  <c r="L191" i="15" s="1"/>
  <c r="O191" i="15" a="1"/>
  <c r="O191" i="15" s="1"/>
  <c r="AT191" i="15" a="1"/>
  <c r="AT191" i="15" s="1"/>
  <c r="R191" i="15" a="1"/>
  <c r="R191" i="15" s="1"/>
  <c r="AS191" i="15" a="1"/>
  <c r="AS191" i="15" s="1"/>
  <c r="H191" i="15" a="1"/>
  <c r="H191" i="15" s="1"/>
  <c r="K191" i="15" s="1"/>
  <c r="AR191" i="15" a="1"/>
  <c r="AR191" i="15" s="1"/>
  <c r="M192" i="15"/>
  <c r="AV191" i="15" a="1"/>
  <c r="AV191" i="15" s="1"/>
  <c r="Q191" i="15" a="1"/>
  <c r="Q191" i="15" s="1"/>
  <c r="AU191" i="15" a="1"/>
  <c r="AU191" i="15" s="1"/>
  <c r="V226" i="15"/>
  <c r="AW225" i="15"/>
  <c r="AW101" i="15"/>
  <c r="AW253" i="15"/>
  <c r="J101" i="15"/>
  <c r="J206" i="15"/>
  <c r="AQ190" i="15"/>
  <c r="W156" i="15"/>
  <c r="W43" i="15"/>
  <c r="L43" i="15"/>
  <c r="T254" i="15"/>
  <c r="T102" i="15"/>
  <c r="AW189" i="15"/>
  <c r="U281" i="15"/>
  <c r="S281" i="15" s="1"/>
  <c r="T43" i="15"/>
  <c r="AQ226" i="15"/>
  <c r="AQ206" i="15"/>
  <c r="AW205" i="15"/>
  <c r="K102" i="15"/>
  <c r="P102" i="15"/>
  <c r="N102" i="15" s="1"/>
  <c r="V102" i="15"/>
  <c r="AQ156" i="15"/>
  <c r="J66" i="15"/>
  <c r="P43" i="15"/>
  <c r="N43" i="15" s="1"/>
  <c r="V43" i="15"/>
  <c r="O44" i="15" a="1"/>
  <c r="O44" i="15" s="1"/>
  <c r="H44" i="15" a="1"/>
  <c r="H44" i="15" s="1"/>
  <c r="K44" i="15" s="1"/>
  <c r="AT44" i="15" a="1"/>
  <c r="AT44" i="15" s="1"/>
  <c r="AS44" i="15" a="1"/>
  <c r="AS44" i="15" s="1"/>
  <c r="AR44" i="15" a="1"/>
  <c r="AR44" i="15" s="1"/>
  <c r="I44" i="15" a="1"/>
  <c r="I44" i="15" s="1"/>
  <c r="L44" i="15" s="1"/>
  <c r="M45" i="15"/>
  <c r="Q44" i="15" a="1"/>
  <c r="Q44" i="15" s="1"/>
  <c r="AV44" i="15" a="1"/>
  <c r="AV44" i="15" s="1"/>
  <c r="R44" i="15" a="1"/>
  <c r="R44" i="15" s="1"/>
  <c r="AU44" i="15" a="1"/>
  <c r="AU44" i="15" s="1"/>
  <c r="O255" i="15" a="1"/>
  <c r="O255" i="15" s="1"/>
  <c r="AT255" i="15" a="1"/>
  <c r="AT255" i="15" s="1"/>
  <c r="AS255" i="15" a="1"/>
  <c r="AS255" i="15" s="1"/>
  <c r="AR255" i="15" a="1"/>
  <c r="AR255" i="15" s="1"/>
  <c r="R255" i="15" a="1"/>
  <c r="R255" i="15" s="1"/>
  <c r="I255" i="15" a="1"/>
  <c r="I255" i="15" s="1"/>
  <c r="L255" i="15" s="1"/>
  <c r="M256" i="15"/>
  <c r="Q255" i="15" a="1"/>
  <c r="Q255" i="15" s="1"/>
  <c r="AU255" i="15" a="1"/>
  <c r="AU255" i="15" s="1"/>
  <c r="H255" i="15" a="1"/>
  <c r="H255" i="15" s="1"/>
  <c r="AV255" i="15" a="1"/>
  <c r="AV255" i="15" s="1"/>
  <c r="AW42" i="15"/>
  <c r="AV227" i="15" a="1"/>
  <c r="AV227" i="15" s="1"/>
  <c r="AS227" i="15" a="1"/>
  <c r="AS227" i="15" s="1"/>
  <c r="R227" i="15" a="1"/>
  <c r="R227" i="15" s="1"/>
  <c r="AR227" i="15" a="1"/>
  <c r="AR227" i="15" s="1"/>
  <c r="O227" i="15" a="1"/>
  <c r="O227" i="15" s="1"/>
  <c r="H227" i="15" a="1"/>
  <c r="H227" i="15" s="1"/>
  <c r="K227" i="15" s="1"/>
  <c r="Q227" i="15" a="1"/>
  <c r="Q227" i="15" s="1"/>
  <c r="AU227" i="15" a="1"/>
  <c r="AU227" i="15" s="1"/>
  <c r="I227" i="15" a="1"/>
  <c r="I227" i="15" s="1"/>
  <c r="L227" i="15" s="1"/>
  <c r="M228" i="15"/>
  <c r="AT227" i="15" a="1"/>
  <c r="AT227" i="15" s="1"/>
  <c r="V190" i="15"/>
  <c r="U190" i="15" s="1"/>
  <c r="P190" i="15"/>
  <c r="N190" i="15" s="1"/>
  <c r="W102" i="15"/>
  <c r="P156" i="15"/>
  <c r="N156" i="15" s="1"/>
  <c r="V156" i="15"/>
  <c r="U79" i="15"/>
  <c r="S79" i="15" s="1"/>
  <c r="T135" i="15"/>
  <c r="W135" i="15"/>
  <c r="AQ43" i="15"/>
  <c r="W254" i="15"/>
  <c r="J254" i="15"/>
  <c r="P226" i="15"/>
  <c r="N226" i="15" s="1"/>
  <c r="W226" i="15"/>
  <c r="J226" i="15"/>
  <c r="T206" i="15"/>
  <c r="AW155" i="15"/>
  <c r="T190" i="15"/>
  <c r="J190" i="15"/>
  <c r="L102" i="15"/>
  <c r="R157" i="15" a="1"/>
  <c r="R157" i="15" s="1"/>
  <c r="H157" i="15" a="1"/>
  <c r="H157" i="15" s="1"/>
  <c r="K157" i="15" s="1"/>
  <c r="AT157" i="15" a="1"/>
  <c r="AT157" i="15" s="1"/>
  <c r="M158" i="15"/>
  <c r="AS157" i="15" a="1"/>
  <c r="AS157" i="15" s="1"/>
  <c r="O157" i="15" a="1"/>
  <c r="O157" i="15" s="1"/>
  <c r="I157" i="15" a="1"/>
  <c r="I157" i="15" s="1"/>
  <c r="L157" i="15" s="1"/>
  <c r="AR157" i="15" a="1"/>
  <c r="AR157" i="15" s="1"/>
  <c r="AV157" i="15" a="1"/>
  <c r="AV157" i="15" s="1"/>
  <c r="AU157" i="15" a="1"/>
  <c r="AU157" i="15" s="1"/>
  <c r="Q157" i="15" a="1"/>
  <c r="Q157" i="15" s="1"/>
  <c r="U163" i="15"/>
  <c r="S163" i="15" s="1"/>
  <c r="J295" i="15"/>
  <c r="J345" i="15"/>
  <c r="T92" i="15"/>
  <c r="AW91" i="15"/>
  <c r="J171" i="15"/>
  <c r="AV186" i="15" a="1"/>
  <c r="AV186" i="15" s="1"/>
  <c r="R186" i="15" a="1"/>
  <c r="R186" i="15" s="1"/>
  <c r="H186" i="15" a="1"/>
  <c r="H186" i="15" s="1"/>
  <c r="AR186" i="15" a="1"/>
  <c r="AR186" i="15" s="1"/>
  <c r="AS186" i="15" a="1"/>
  <c r="AS186" i="15" s="1"/>
  <c r="O186" i="15" a="1"/>
  <c r="O186" i="15" s="1"/>
  <c r="I186" i="15" a="1"/>
  <c r="I186" i="15" s="1"/>
  <c r="AT186" i="15" a="1"/>
  <c r="AT186" i="15" s="1"/>
  <c r="AU186" i="15" a="1"/>
  <c r="AU186" i="15" s="1"/>
  <c r="Q186" i="15" a="1"/>
  <c r="Q186" i="15" s="1"/>
  <c r="P185" i="15"/>
  <c r="N185" i="15" s="1"/>
  <c r="V185" i="15"/>
  <c r="AQ92" i="15"/>
  <c r="R93" i="15" a="1"/>
  <c r="R93" i="15" s="1"/>
  <c r="M94" i="15"/>
  <c r="AT93" i="15" a="1"/>
  <c r="AT93" i="15" s="1"/>
  <c r="Q93" i="15" a="1"/>
  <c r="Q93" i="15" s="1"/>
  <c r="AS93" i="15" a="1"/>
  <c r="AS93" i="15" s="1"/>
  <c r="AV93" i="15" a="1"/>
  <c r="AV93" i="15" s="1"/>
  <c r="AR93" i="15" a="1"/>
  <c r="AR93" i="15" s="1"/>
  <c r="AU93" i="15" a="1"/>
  <c r="AU93" i="15" s="1"/>
  <c r="O93" i="15" a="1"/>
  <c r="O93" i="15" s="1"/>
  <c r="H93" i="15" a="1"/>
  <c r="H93" i="15" s="1"/>
  <c r="K93" i="15" s="1"/>
  <c r="I93" i="15" a="1"/>
  <c r="I93" i="15" s="1"/>
  <c r="L93" i="15" s="1"/>
  <c r="U184" i="15"/>
  <c r="S184" i="15" s="1"/>
  <c r="P135" i="15"/>
  <c r="N135" i="15" s="1"/>
  <c r="V135" i="15"/>
  <c r="R136" i="15" a="1"/>
  <c r="R136" i="15" s="1"/>
  <c r="I136" i="15" a="1"/>
  <c r="I136" i="15" s="1"/>
  <c r="L136" i="15" s="1"/>
  <c r="Q136" i="15" a="1"/>
  <c r="Q136" i="15" s="1"/>
  <c r="H136" i="15" a="1"/>
  <c r="H136" i="15" s="1"/>
  <c r="K136" i="15" s="1"/>
  <c r="AU136" i="15" a="1"/>
  <c r="AU136" i="15" s="1"/>
  <c r="AT136" i="15" a="1"/>
  <c r="AT136" i="15" s="1"/>
  <c r="AR136" i="15" a="1"/>
  <c r="AR136" i="15" s="1"/>
  <c r="O136" i="15" a="1"/>
  <c r="O136" i="15" s="1"/>
  <c r="AS136" i="15" a="1"/>
  <c r="AS136" i="15" s="1"/>
  <c r="M137" i="15"/>
  <c r="AV136" i="15" a="1"/>
  <c r="AV136" i="15" s="1"/>
  <c r="W325" i="15"/>
  <c r="W295" i="15"/>
  <c r="L185" i="15"/>
  <c r="AW170" i="15"/>
  <c r="V345" i="15"/>
  <c r="P345" i="15"/>
  <c r="N345" i="15" s="1"/>
  <c r="V92" i="15"/>
  <c r="P92" i="15"/>
  <c r="N92" i="15" s="1"/>
  <c r="S134" i="15"/>
  <c r="AQ135" i="15"/>
  <c r="AQ185" i="15"/>
  <c r="W345" i="15"/>
  <c r="AV346" i="15" a="1"/>
  <c r="AV346" i="15" s="1"/>
  <c r="M347" i="15"/>
  <c r="I346" i="15" a="1"/>
  <c r="I346" i="15" s="1"/>
  <c r="L346" i="15" s="1"/>
  <c r="R346" i="15" a="1"/>
  <c r="R346" i="15" s="1"/>
  <c r="Q346" i="15" a="1"/>
  <c r="Q346" i="15" s="1"/>
  <c r="H346" i="15" a="1"/>
  <c r="H346" i="15" s="1"/>
  <c r="K346" i="15" s="1"/>
  <c r="AS346" i="15" a="1"/>
  <c r="AS346" i="15" s="1"/>
  <c r="O346" i="15" a="1"/>
  <c r="O346" i="15" s="1"/>
  <c r="AT346" i="15" a="1"/>
  <c r="AT346" i="15" s="1"/>
  <c r="AU346" i="15" a="1"/>
  <c r="AU346" i="15" s="1"/>
  <c r="AR346" i="15" a="1"/>
  <c r="AR346" i="15" s="1"/>
  <c r="AW134" i="15"/>
  <c r="K185" i="15"/>
  <c r="AW344" i="15"/>
  <c r="AW184" i="15"/>
  <c r="AS172" i="15" a="1"/>
  <c r="AS172" i="15" s="1"/>
  <c r="AU172" i="15" a="1"/>
  <c r="AU172" i="15" s="1"/>
  <c r="AR172" i="15" a="1"/>
  <c r="AR172" i="15" s="1"/>
  <c r="Q172" i="15" a="1"/>
  <c r="Q172" i="15" s="1"/>
  <c r="R172" i="15" a="1"/>
  <c r="R172" i="15" s="1"/>
  <c r="I172" i="15" a="1"/>
  <c r="I172" i="15" s="1"/>
  <c r="H172" i="15" a="1"/>
  <c r="H172" i="15" s="1"/>
  <c r="O172" i="15" a="1"/>
  <c r="O172" i="15" s="1"/>
  <c r="AT172" i="15" a="1"/>
  <c r="AT172" i="15" s="1"/>
  <c r="AV172" i="15" a="1"/>
  <c r="AV172" i="15" s="1"/>
  <c r="U170" i="15"/>
  <c r="S170" i="15" s="1"/>
  <c r="W185" i="15"/>
  <c r="T185" i="15"/>
  <c r="AQ345" i="15"/>
  <c r="W92" i="15"/>
  <c r="P171" i="15"/>
  <c r="N171" i="15" s="1"/>
  <c r="V171" i="15"/>
  <c r="AQ171" i="15"/>
  <c r="T325" i="15"/>
  <c r="T240" i="15"/>
  <c r="J106" i="15"/>
  <c r="T338" i="15"/>
  <c r="J9" i="15"/>
  <c r="U294" i="15"/>
  <c r="S294" i="15" s="1"/>
  <c r="T359" i="15"/>
  <c r="W359" i="15"/>
  <c r="W240" i="15"/>
  <c r="K319" i="15"/>
  <c r="AW163" i="15"/>
  <c r="W106" i="15"/>
  <c r="W80" i="15"/>
  <c r="G22" i="21"/>
  <c r="T309" i="15"/>
  <c r="AW308" i="15"/>
  <c r="AQ29" i="15"/>
  <c r="AW36" i="15"/>
  <c r="P67" i="15"/>
  <c r="N67" i="15" s="1"/>
  <c r="V67" i="15"/>
  <c r="AW318" i="15"/>
  <c r="W164" i="15"/>
  <c r="P338" i="15"/>
  <c r="N338" i="15" s="1"/>
  <c r="V338" i="15"/>
  <c r="I4" i="21"/>
  <c r="T9" i="15"/>
  <c r="AQ359" i="15"/>
  <c r="V240" i="15"/>
  <c r="P240" i="15"/>
  <c r="N240" i="15" s="1"/>
  <c r="H42" i="21"/>
  <c r="AW8" i="15"/>
  <c r="P178" i="15"/>
  <c r="N178" i="15" s="1"/>
  <c r="V178" i="15"/>
  <c r="L80" i="15"/>
  <c r="J80" i="15" s="1"/>
  <c r="AW28" i="15"/>
  <c r="Q296" i="15" a="1"/>
  <c r="Q296" i="15" s="1"/>
  <c r="H296" i="15" a="1"/>
  <c r="H296" i="15" s="1"/>
  <c r="K296" i="15" s="1"/>
  <c r="AV296" i="15" a="1"/>
  <c r="AV296" i="15" s="1"/>
  <c r="AU296" i="15" a="1"/>
  <c r="AU296" i="15" s="1"/>
  <c r="M297" i="15"/>
  <c r="R296" i="15" a="1"/>
  <c r="R296" i="15" s="1"/>
  <c r="AR296" i="15" a="1"/>
  <c r="AR296" i="15" s="1"/>
  <c r="I296" i="15" a="1"/>
  <c r="I296" i="15" s="1"/>
  <c r="AT296" i="15" a="1"/>
  <c r="AT296" i="15" s="1"/>
  <c r="AS296" i="15" a="1"/>
  <c r="AS296" i="15" s="1"/>
  <c r="O296" i="15" a="1"/>
  <c r="O296" i="15" s="1"/>
  <c r="W67" i="15"/>
  <c r="H165" i="15" a="1"/>
  <c r="H165" i="15" s="1"/>
  <c r="AU165" i="15" a="1"/>
  <c r="AU165" i="15" s="1"/>
  <c r="I165" i="15" a="1"/>
  <c r="I165" i="15" s="1"/>
  <c r="R165" i="15" a="1"/>
  <c r="R165" i="15" s="1"/>
  <c r="AV165" i="15" a="1"/>
  <c r="AV165" i="15" s="1"/>
  <c r="AT165" i="15" a="1"/>
  <c r="AT165" i="15" s="1"/>
  <c r="Q165" i="15" a="1"/>
  <c r="Q165" i="15" s="1"/>
  <c r="AS165" i="15" a="1"/>
  <c r="AS165" i="15" s="1"/>
  <c r="AR165" i="15" a="1"/>
  <c r="AR165" i="15" s="1"/>
  <c r="O165" i="15" a="1"/>
  <c r="O165" i="15" s="1"/>
  <c r="J338" i="15"/>
  <c r="U324" i="15"/>
  <c r="S324" i="15" s="1"/>
  <c r="AW239" i="15"/>
  <c r="AQ178" i="15"/>
  <c r="P106" i="15"/>
  <c r="N106" i="15" s="1"/>
  <c r="V106" i="15"/>
  <c r="AW337" i="15"/>
  <c r="P80" i="15"/>
  <c r="N80" i="15" s="1"/>
  <c r="V80" i="15"/>
  <c r="AQ325" i="15"/>
  <c r="V325" i="15"/>
  <c r="P325" i="15"/>
  <c r="N325" i="15" s="1"/>
  <c r="T67" i="15"/>
  <c r="AQ164" i="15"/>
  <c r="L37" i="15"/>
  <c r="J37" i="15" s="1"/>
  <c r="AQ240" i="15"/>
  <c r="J178" i="15"/>
  <c r="T319" i="15"/>
  <c r="L319" i="15"/>
  <c r="AQ309" i="15"/>
  <c r="AW324" i="15"/>
  <c r="R30" i="15" a="1"/>
  <c r="R30" i="15" s="1"/>
  <c r="AU30" i="15" a="1"/>
  <c r="AU30" i="15" s="1"/>
  <c r="AV30" i="15" a="1"/>
  <c r="AV30" i="15" s="1"/>
  <c r="Q30" i="15" a="1"/>
  <c r="Q30" i="15" s="1"/>
  <c r="M31" i="15"/>
  <c r="I30" i="15" a="1"/>
  <c r="I30" i="15" s="1"/>
  <c r="H30" i="15" a="1"/>
  <c r="H30" i="15" s="1"/>
  <c r="K30" i="15" s="1"/>
  <c r="O30" i="15" a="1"/>
  <c r="O30" i="15" s="1"/>
  <c r="AT30" i="15" a="1"/>
  <c r="AT30" i="15" s="1"/>
  <c r="AS30" i="15" a="1"/>
  <c r="AS30" i="15" s="1"/>
  <c r="AR30" i="15" a="1"/>
  <c r="AR30" i="15" s="1"/>
  <c r="M284" i="15"/>
  <c r="AU283" i="15" a="1"/>
  <c r="AU283" i="15" s="1"/>
  <c r="H283" i="15" a="1"/>
  <c r="H283" i="15" s="1"/>
  <c r="K283" i="15" s="1"/>
  <c r="R283" i="15" a="1"/>
  <c r="R283" i="15" s="1"/>
  <c r="Q283" i="15" a="1"/>
  <c r="Q283" i="15" s="1"/>
  <c r="O283" i="15" a="1"/>
  <c r="O283" i="15" s="1"/>
  <c r="I283" i="15" a="1"/>
  <c r="I283" i="15" s="1"/>
  <c r="L283" i="15" s="1"/>
  <c r="AT283" i="15" a="1"/>
  <c r="AT283" i="15" s="1"/>
  <c r="AV283" i="15" a="1"/>
  <c r="AV283" i="15" s="1"/>
  <c r="AS283" i="15" a="1"/>
  <c r="AS283" i="15" s="1"/>
  <c r="AR283" i="15" a="1"/>
  <c r="AR283" i="15" s="1"/>
  <c r="U8" i="15"/>
  <c r="S8" i="15" s="1"/>
  <c r="T295" i="15"/>
  <c r="L67" i="15"/>
  <c r="P164" i="15"/>
  <c r="N164" i="15" s="1"/>
  <c r="V164" i="15"/>
  <c r="Q38" i="15" a="1"/>
  <c r="Q38" i="15" s="1"/>
  <c r="R38" i="15" a="1"/>
  <c r="R38" i="15" s="1"/>
  <c r="AV38" i="15" a="1"/>
  <c r="AV38" i="15" s="1"/>
  <c r="AU38" i="15" a="1"/>
  <c r="AU38" i="15" s="1"/>
  <c r="I38" i="15" a="1"/>
  <c r="I38" i="15" s="1"/>
  <c r="L38" i="15" s="1"/>
  <c r="H38" i="15" a="1"/>
  <c r="H38" i="15" s="1"/>
  <c r="K38" i="15" s="1"/>
  <c r="O38" i="15" a="1"/>
  <c r="O38" i="15" s="1"/>
  <c r="AT38" i="15" a="1"/>
  <c r="AT38" i="15" s="1"/>
  <c r="AS38" i="15" a="1"/>
  <c r="AS38" i="15" s="1"/>
  <c r="AR38" i="15" a="1"/>
  <c r="AR38" i="15" s="1"/>
  <c r="M39" i="15"/>
  <c r="W338" i="15"/>
  <c r="I10" i="21"/>
  <c r="I12" i="21" s="1"/>
  <c r="P9" i="15"/>
  <c r="N9" i="15" s="1"/>
  <c r="V9" i="15"/>
  <c r="W319" i="15"/>
  <c r="AW177" i="15"/>
  <c r="AQ80" i="15"/>
  <c r="AW66" i="15"/>
  <c r="V309" i="15"/>
  <c r="P309" i="15"/>
  <c r="N309" i="15" s="1"/>
  <c r="W29" i="15"/>
  <c r="AQ295" i="15"/>
  <c r="I25" i="21"/>
  <c r="I40" i="21"/>
  <c r="V359" i="15"/>
  <c r="P359" i="15"/>
  <c r="N359" i="15" s="1"/>
  <c r="W178" i="15"/>
  <c r="Q107" i="15" a="1"/>
  <c r="Q107" i="15" s="1"/>
  <c r="AU107" i="15" a="1"/>
  <c r="AU107" i="15" s="1"/>
  <c r="AV107" i="15" a="1"/>
  <c r="AV107" i="15" s="1"/>
  <c r="R107" i="15" a="1"/>
  <c r="R107" i="15" s="1"/>
  <c r="M108" i="15"/>
  <c r="I107" i="15" a="1"/>
  <c r="I107" i="15" s="1"/>
  <c r="L107" i="15" s="1"/>
  <c r="AR107" i="15" a="1"/>
  <c r="AR107" i="15" s="1"/>
  <c r="H107" i="15" a="1"/>
  <c r="H107" i="15" s="1"/>
  <c r="K107" i="15" s="1"/>
  <c r="O107" i="15" a="1"/>
  <c r="O107" i="15" s="1"/>
  <c r="AT107" i="15" a="1"/>
  <c r="AT107" i="15" s="1"/>
  <c r="AS107" i="15" a="1"/>
  <c r="AS107" i="15" s="1"/>
  <c r="AW294" i="15"/>
  <c r="P29" i="15"/>
  <c r="N29" i="15" s="1"/>
  <c r="V29" i="15"/>
  <c r="T282" i="15"/>
  <c r="J282" i="15"/>
  <c r="V295" i="15"/>
  <c r="P295" i="15"/>
  <c r="N295" i="15" s="1"/>
  <c r="K67" i="15"/>
  <c r="T164" i="15"/>
  <c r="K164" i="15"/>
  <c r="J164" i="15" s="1"/>
  <c r="I34" i="21"/>
  <c r="AQ9" i="15"/>
  <c r="M11" i="15"/>
  <c r="AU10" i="15" a="1"/>
  <c r="AU10" i="15" s="1"/>
  <c r="Q10" i="15" a="1"/>
  <c r="Q10" i="15" s="1"/>
  <c r="O10" i="15" a="1"/>
  <c r="O10" i="15" s="1"/>
  <c r="H10" i="15" a="1"/>
  <c r="H10" i="15" s="1"/>
  <c r="K10" i="15" s="1"/>
  <c r="AV10" i="15" a="1"/>
  <c r="AV10" i="15" s="1"/>
  <c r="J24" i="21" s="1"/>
  <c r="R10" i="15" a="1"/>
  <c r="R10" i="15" s="1"/>
  <c r="AS10" i="15" a="1"/>
  <c r="AS10" i="15" s="1"/>
  <c r="J36" i="21" s="1"/>
  <c r="J37" i="21" s="1"/>
  <c r="AR10" i="15" a="1"/>
  <c r="AR10" i="15" s="1"/>
  <c r="AT10" i="15" a="1"/>
  <c r="AT10" i="15" s="1"/>
  <c r="J38" i="21" s="1"/>
  <c r="I10" i="15" a="1"/>
  <c r="I10" i="15" s="1"/>
  <c r="L10" i="15" s="1"/>
  <c r="AS360" i="15" a="1"/>
  <c r="AS360" i="15" s="1"/>
  <c r="AT360" i="15" a="1"/>
  <c r="AT360" i="15" s="1"/>
  <c r="H360" i="15" a="1"/>
  <c r="H360" i="15" s="1"/>
  <c r="K360" i="15" s="1"/>
  <c r="AV360" i="15" a="1"/>
  <c r="AV360" i="15" s="1"/>
  <c r="R360" i="15" a="1"/>
  <c r="R360" i="15" s="1"/>
  <c r="M361" i="15"/>
  <c r="I360" i="15" a="1"/>
  <c r="I360" i="15" s="1"/>
  <c r="L360" i="15" s="1"/>
  <c r="AU360" i="15" a="1"/>
  <c r="AU360" i="15" s="1"/>
  <c r="AR360" i="15" a="1"/>
  <c r="AR360" i="15" s="1"/>
  <c r="O360" i="15" a="1"/>
  <c r="O360" i="15" s="1"/>
  <c r="Q360" i="15" a="1"/>
  <c r="Q360" i="15" s="1"/>
  <c r="AW79" i="15"/>
  <c r="AQ319" i="15"/>
  <c r="T106" i="15"/>
  <c r="Q81" i="15" a="1"/>
  <c r="Q81" i="15" s="1"/>
  <c r="R81" i="15" a="1"/>
  <c r="R81" i="15" s="1"/>
  <c r="H81" i="15" a="1"/>
  <c r="H81" i="15" s="1"/>
  <c r="I81" i="15" a="1"/>
  <c r="I81" i="15" s="1"/>
  <c r="AT81" i="15" a="1"/>
  <c r="AT81" i="15" s="1"/>
  <c r="AV81" i="15" a="1"/>
  <c r="AV81" i="15" s="1"/>
  <c r="AS81" i="15" a="1"/>
  <c r="AS81" i="15" s="1"/>
  <c r="AU81" i="15" a="1"/>
  <c r="AU81" i="15" s="1"/>
  <c r="AR81" i="15" a="1"/>
  <c r="AR81" i="15" s="1"/>
  <c r="O81" i="15" a="1"/>
  <c r="O81" i="15" s="1"/>
  <c r="H18" i="21"/>
  <c r="AW358" i="15"/>
  <c r="J309" i="15"/>
  <c r="W309" i="15"/>
  <c r="T29" i="15"/>
  <c r="P282" i="15"/>
  <c r="N282" i="15" s="1"/>
  <c r="V282" i="15"/>
  <c r="U239" i="15"/>
  <c r="S239" i="15" s="1"/>
  <c r="T37" i="15"/>
  <c r="V37" i="15"/>
  <c r="P37" i="15"/>
  <c r="N37" i="15" s="1"/>
  <c r="O339" i="15" a="1"/>
  <c r="O339" i="15" s="1"/>
  <c r="R339" i="15" a="1"/>
  <c r="R339" i="15" s="1"/>
  <c r="I339" i="15" a="1"/>
  <c r="I339" i="15" s="1"/>
  <c r="L339" i="15" s="1"/>
  <c r="H339" i="15" a="1"/>
  <c r="H339" i="15" s="1"/>
  <c r="K339" i="15" s="1"/>
  <c r="M340" i="15"/>
  <c r="Q339" i="15" a="1"/>
  <c r="Q339" i="15" s="1"/>
  <c r="AU339" i="15" a="1"/>
  <c r="AU339" i="15" s="1"/>
  <c r="AV339" i="15" a="1"/>
  <c r="AV339" i="15" s="1"/>
  <c r="AS339" i="15" a="1"/>
  <c r="AS339" i="15" s="1"/>
  <c r="AT339" i="15" a="1"/>
  <c r="AT339" i="15" s="1"/>
  <c r="AR339" i="15" a="1"/>
  <c r="AR339" i="15" s="1"/>
  <c r="W9" i="15"/>
  <c r="I16" i="21"/>
  <c r="I18" i="21" s="1"/>
  <c r="J359" i="15"/>
  <c r="AW105" i="15"/>
  <c r="U28" i="15"/>
  <c r="S28" i="15" s="1"/>
  <c r="R179" i="15" a="1"/>
  <c r="R179" i="15" s="1"/>
  <c r="H179" i="15" a="1"/>
  <c r="H179" i="15" s="1"/>
  <c r="AV179" i="15" a="1"/>
  <c r="AV179" i="15" s="1"/>
  <c r="AU179" i="15" a="1"/>
  <c r="AU179" i="15" s="1"/>
  <c r="I179" i="15" a="1"/>
  <c r="I179" i="15" s="1"/>
  <c r="Q179" i="15" a="1"/>
  <c r="Q179" i="15" s="1"/>
  <c r="AT179" i="15" a="1"/>
  <c r="AT179" i="15" s="1"/>
  <c r="O179" i="15" a="1"/>
  <c r="O179" i="15" s="1"/>
  <c r="AS179" i="15" a="1"/>
  <c r="AS179" i="15" s="1"/>
  <c r="AR179" i="15" a="1"/>
  <c r="AR179" i="15" s="1"/>
  <c r="V319" i="15"/>
  <c r="P319" i="15"/>
  <c r="N319" i="15" s="1"/>
  <c r="AQ106" i="15"/>
  <c r="AW281" i="15"/>
  <c r="AU310" i="15" a="1"/>
  <c r="AU310" i="15" s="1"/>
  <c r="Q310" i="15" a="1"/>
  <c r="Q310" i="15" s="1"/>
  <c r="R310" i="15" a="1"/>
  <c r="R310" i="15" s="1"/>
  <c r="M311" i="15"/>
  <c r="AV310" i="15" a="1"/>
  <c r="AV310" i="15" s="1"/>
  <c r="H310" i="15" a="1"/>
  <c r="H310" i="15" s="1"/>
  <c r="K310" i="15" s="1"/>
  <c r="AT310" i="15" a="1"/>
  <c r="AT310" i="15" s="1"/>
  <c r="I310" i="15" a="1"/>
  <c r="I310" i="15" s="1"/>
  <c r="L310" i="15" s="1"/>
  <c r="AR310" i="15" a="1"/>
  <c r="AR310" i="15" s="1"/>
  <c r="AS310" i="15" a="1"/>
  <c r="AS310" i="15" s="1"/>
  <c r="O310" i="15" a="1"/>
  <c r="O310" i="15" s="1"/>
  <c r="R326" i="15" a="1"/>
  <c r="R326" i="15" s="1"/>
  <c r="AS326" i="15" a="1"/>
  <c r="AS326" i="15" s="1"/>
  <c r="Q326" i="15" a="1"/>
  <c r="Q326" i="15" s="1"/>
  <c r="AV326" i="15" a="1"/>
  <c r="AV326" i="15" s="1"/>
  <c r="H326" i="15" a="1"/>
  <c r="H326" i="15" s="1"/>
  <c r="AU326" i="15" a="1"/>
  <c r="AU326" i="15" s="1"/>
  <c r="I326" i="15" a="1"/>
  <c r="I326" i="15" s="1"/>
  <c r="AT326" i="15" a="1"/>
  <c r="AT326" i="15" s="1"/>
  <c r="AR326" i="15" a="1"/>
  <c r="AR326" i="15" s="1"/>
  <c r="O326" i="15" a="1"/>
  <c r="O326" i="15" s="1"/>
  <c r="L29" i="15"/>
  <c r="J29" i="15" s="1"/>
  <c r="AQ282" i="15"/>
  <c r="W282" i="15"/>
  <c r="AQ37" i="15"/>
  <c r="W37" i="15"/>
  <c r="AQ338" i="15"/>
  <c r="Q241" i="15" a="1"/>
  <c r="Q241" i="15" s="1"/>
  <c r="AV241" i="15" a="1"/>
  <c r="AV241" i="15" s="1"/>
  <c r="R241" i="15" a="1"/>
  <c r="R241" i="15" s="1"/>
  <c r="AU241" i="15" a="1"/>
  <c r="AU241" i="15" s="1"/>
  <c r="M242" i="15"/>
  <c r="H241" i="15" a="1"/>
  <c r="H241" i="15" s="1"/>
  <c r="K241" i="15" s="1"/>
  <c r="I241" i="15" a="1"/>
  <c r="I241" i="15" s="1"/>
  <c r="L241" i="15" s="1"/>
  <c r="AT241" i="15" a="1"/>
  <c r="AT241" i="15" s="1"/>
  <c r="AS241" i="15" a="1"/>
  <c r="AS241" i="15" s="1"/>
  <c r="AR241" i="15" a="1"/>
  <c r="AR241" i="15" s="1"/>
  <c r="O241" i="15" a="1"/>
  <c r="O241" i="15" s="1"/>
  <c r="T178" i="15"/>
  <c r="U288" i="15"/>
  <c r="S288" i="15" s="1"/>
  <c r="U113" i="15"/>
  <c r="S113" i="15" s="1"/>
  <c r="J21" i="15"/>
  <c r="U365" i="15"/>
  <c r="S365" i="15" s="1"/>
  <c r="U15" i="15"/>
  <c r="S15" i="15" s="1"/>
  <c r="U267" i="15"/>
  <c r="S267" i="15" s="1"/>
  <c r="J245" i="15"/>
  <c r="U352" i="15"/>
  <c r="S352" i="15" s="1"/>
  <c r="J274" i="15"/>
  <c r="J50" i="15"/>
  <c r="U50" i="15"/>
  <c r="S50" i="15" s="1"/>
  <c r="J58" i="15"/>
  <c r="AW352" i="15"/>
  <c r="AW365" i="15"/>
  <c r="W149" i="15"/>
  <c r="U140" i="15"/>
  <c r="S140" i="15" s="1"/>
  <c r="T149" i="15"/>
  <c r="W366" i="15"/>
  <c r="F22" i="21"/>
  <c r="U329" i="15"/>
  <c r="S329" i="15" s="1"/>
  <c r="U273" i="15"/>
  <c r="S273" i="15" s="1"/>
  <c r="J149" i="15"/>
  <c r="U196" i="15"/>
  <c r="S196" i="15" s="1"/>
  <c r="U148" i="15"/>
  <c r="S148" i="15" s="1"/>
  <c r="J211" i="15"/>
  <c r="J22" i="15"/>
  <c r="U245" i="15"/>
  <c r="S245" i="15" s="1"/>
  <c r="W268" i="15"/>
  <c r="U301" i="15"/>
  <c r="S301" i="15" s="1"/>
  <c r="P22" i="21"/>
  <c r="J268" i="15"/>
  <c r="T330" i="15"/>
  <c r="J141" i="15"/>
  <c r="T114" i="15"/>
  <c r="J353" i="15"/>
  <c r="J231" i="15"/>
  <c r="T218" i="15"/>
  <c r="U217" i="15"/>
  <c r="S217" i="15" s="1"/>
  <c r="W274" i="15"/>
  <c r="P149" i="15"/>
  <c r="N149" i="15" s="1"/>
  <c r="V149" i="15"/>
  <c r="AT52" i="15" a="1"/>
  <c r="AT52" i="15" s="1"/>
  <c r="AS52" i="15" a="1"/>
  <c r="AS52" i="15" s="1"/>
  <c r="AR52" i="15" a="1"/>
  <c r="AR52" i="15" s="1"/>
  <c r="I52" i="15" a="1"/>
  <c r="I52" i="15" s="1"/>
  <c r="AV52" i="15" a="1"/>
  <c r="AV52" i="15" s="1"/>
  <c r="Q52" i="15" a="1"/>
  <c r="Q52" i="15" s="1"/>
  <c r="H52" i="15" a="1"/>
  <c r="H52" i="15" s="1"/>
  <c r="R52" i="15" a="1"/>
  <c r="R52" i="15" s="1"/>
  <c r="O52" i="15" a="1"/>
  <c r="O52" i="15" s="1"/>
  <c r="AU52" i="15" a="1"/>
  <c r="AU52" i="15" s="1"/>
  <c r="M53" i="15"/>
  <c r="Q16" i="21"/>
  <c r="W16" i="15"/>
  <c r="W302" i="15"/>
  <c r="V232" i="15"/>
  <c r="P232" i="15"/>
  <c r="N232" i="15" s="1"/>
  <c r="AW126" i="15"/>
  <c r="AW273" i="15"/>
  <c r="K246" i="15"/>
  <c r="V197" i="15"/>
  <c r="P197" i="15"/>
  <c r="N197" i="15" s="1"/>
  <c r="U126" i="15"/>
  <c r="S126" i="15" s="1"/>
  <c r="AS331" i="15" a="1"/>
  <c r="AS331" i="15" s="1"/>
  <c r="AT331" i="15" a="1"/>
  <c r="AT331" i="15" s="1"/>
  <c r="AR331" i="15" a="1"/>
  <c r="AR331" i="15" s="1"/>
  <c r="I331" i="15" a="1"/>
  <c r="I331" i="15" s="1"/>
  <c r="L331" i="15" s="1"/>
  <c r="AV331" i="15" a="1"/>
  <c r="AV331" i="15" s="1"/>
  <c r="H331" i="15" a="1"/>
  <c r="H331" i="15" s="1"/>
  <c r="K331" i="15" s="1"/>
  <c r="AU331" i="15" a="1"/>
  <c r="AU331" i="15" s="1"/>
  <c r="Q331" i="15" a="1"/>
  <c r="Q331" i="15" s="1"/>
  <c r="M332" i="15"/>
  <c r="R331" i="15" a="1"/>
  <c r="R331" i="15" s="1"/>
  <c r="O331" i="15" a="1"/>
  <c r="O331" i="15" s="1"/>
  <c r="K212" i="15"/>
  <c r="U231" i="15"/>
  <c r="S231" i="15" s="1"/>
  <c r="P353" i="15"/>
  <c r="N353" i="15" s="1"/>
  <c r="V353" i="15"/>
  <c r="W127" i="15"/>
  <c r="AQ127" i="15"/>
  <c r="V141" i="15"/>
  <c r="P141" i="15"/>
  <c r="N141" i="15" s="1"/>
  <c r="AT290" i="15" a="1"/>
  <c r="AT290" i="15" s="1"/>
  <c r="AR290" i="15" a="1"/>
  <c r="AR290" i="15" s="1"/>
  <c r="AS290" i="15" a="1"/>
  <c r="AS290" i="15" s="1"/>
  <c r="H290" i="15" a="1"/>
  <c r="H290" i="15" s="1"/>
  <c r="K290" i="15" s="1"/>
  <c r="O290" i="15" a="1"/>
  <c r="O290" i="15" s="1"/>
  <c r="M291" i="15"/>
  <c r="AU290" i="15" a="1"/>
  <c r="AU290" i="15" s="1"/>
  <c r="Q290" i="15" a="1"/>
  <c r="Q290" i="15" s="1"/>
  <c r="I290" i="15" a="1"/>
  <c r="I290" i="15" s="1"/>
  <c r="L290" i="15" s="1"/>
  <c r="AV290" i="15" a="1"/>
  <c r="AV290" i="15" s="1"/>
  <c r="R290" i="15" a="1"/>
  <c r="R290" i="15" s="1"/>
  <c r="AT150" i="15" a="1"/>
  <c r="AT150" i="15" s="1"/>
  <c r="AS150" i="15" a="1"/>
  <c r="AS150" i="15" s="1"/>
  <c r="AR150" i="15" a="1"/>
  <c r="AR150" i="15" s="1"/>
  <c r="AU150" i="15" a="1"/>
  <c r="AU150" i="15" s="1"/>
  <c r="I150" i="15" a="1"/>
  <c r="I150" i="15" s="1"/>
  <c r="L150" i="15" s="1"/>
  <c r="O150" i="15" a="1"/>
  <c r="O150" i="15" s="1"/>
  <c r="H150" i="15" a="1"/>
  <c r="H150" i="15" s="1"/>
  <c r="K150" i="15" s="1"/>
  <c r="R150" i="15" a="1"/>
  <c r="R150" i="15" s="1"/>
  <c r="AV150" i="15" a="1"/>
  <c r="AV150" i="15" s="1"/>
  <c r="Q150" i="15" a="1"/>
  <c r="Q150" i="15" s="1"/>
  <c r="M151" i="15"/>
  <c r="AQ149" i="15"/>
  <c r="AW58" i="15"/>
  <c r="AW196" i="15"/>
  <c r="AQ120" i="15"/>
  <c r="L302" i="15"/>
  <c r="J70" i="15"/>
  <c r="AT269" i="15" a="1"/>
  <c r="AT269" i="15" s="1"/>
  <c r="AS269" i="15" a="1"/>
  <c r="AS269" i="15" s="1"/>
  <c r="AR269" i="15" a="1"/>
  <c r="AR269" i="15" s="1"/>
  <c r="AU269" i="15" a="1"/>
  <c r="AU269" i="15" s="1"/>
  <c r="I269" i="15" a="1"/>
  <c r="I269" i="15" s="1"/>
  <c r="L269" i="15" s="1"/>
  <c r="O269" i="15" a="1"/>
  <c r="O269" i="15" s="1"/>
  <c r="Q269" i="15" a="1"/>
  <c r="Q269" i="15" s="1"/>
  <c r="R269" i="15" a="1"/>
  <c r="R269" i="15" s="1"/>
  <c r="H269" i="15" a="1"/>
  <c r="H269" i="15" s="1"/>
  <c r="K269" i="15" s="1"/>
  <c r="AV269" i="15" a="1"/>
  <c r="AV269" i="15" s="1"/>
  <c r="M270" i="15"/>
  <c r="AQ232" i="15"/>
  <c r="AW217" i="15"/>
  <c r="V246" i="15"/>
  <c r="P246" i="15"/>
  <c r="N246" i="15" s="1"/>
  <c r="W218" i="15"/>
  <c r="AW15" i="15"/>
  <c r="P42" i="21"/>
  <c r="T197" i="15"/>
  <c r="AQ114" i="15"/>
  <c r="AW231" i="15"/>
  <c r="AQ274" i="15"/>
  <c r="U211" i="15"/>
  <c r="S211" i="15" s="1"/>
  <c r="T59" i="15"/>
  <c r="T212" i="15"/>
  <c r="T141" i="15"/>
  <c r="T289" i="15"/>
  <c r="AQ289" i="15"/>
  <c r="AT72" i="15" a="1"/>
  <c r="AT72" i="15" s="1"/>
  <c r="AS72" i="15" a="1"/>
  <c r="AS72" i="15" s="1"/>
  <c r="AR72" i="15" a="1"/>
  <c r="AR72" i="15" s="1"/>
  <c r="H72" i="15" a="1"/>
  <c r="H72" i="15" s="1"/>
  <c r="I72" i="15" a="1"/>
  <c r="I72" i="15" s="1"/>
  <c r="M73" i="15"/>
  <c r="O72" i="15" a="1"/>
  <c r="O72" i="15" s="1"/>
  <c r="Q72" i="15" a="1"/>
  <c r="Q72" i="15" s="1"/>
  <c r="AV72" i="15" a="1"/>
  <c r="AV72" i="15" s="1"/>
  <c r="AU72" i="15" a="1"/>
  <c r="AU72" i="15" s="1"/>
  <c r="R72" i="15" a="1"/>
  <c r="R72" i="15" s="1"/>
  <c r="AT367" i="15" a="1"/>
  <c r="AT367" i="15" s="1"/>
  <c r="AR367" i="15" a="1"/>
  <c r="AR367" i="15" s="1"/>
  <c r="AS367" i="15" a="1"/>
  <c r="AS367" i="15" s="1"/>
  <c r="R367" i="15" a="1"/>
  <c r="R367" i="15" s="1"/>
  <c r="O367" i="15" a="1"/>
  <c r="O367" i="15" s="1"/>
  <c r="H367" i="15" a="1"/>
  <c r="H367" i="15" s="1"/>
  <c r="K367" i="15" s="1"/>
  <c r="Q367" i="15" a="1"/>
  <c r="Q367" i="15" s="1"/>
  <c r="AU367" i="15" a="1"/>
  <c r="AU367" i="15" s="1"/>
  <c r="AV367" i="15" a="1"/>
  <c r="AV367" i="15" s="1"/>
  <c r="I367" i="15" a="1"/>
  <c r="I367" i="15" s="1"/>
  <c r="L367" i="15" s="1"/>
  <c r="AQ16" i="15"/>
  <c r="Q25" i="21"/>
  <c r="Q40" i="21"/>
  <c r="V120" i="15"/>
  <c r="P120" i="15"/>
  <c r="N120" i="15" s="1"/>
  <c r="P268" i="15"/>
  <c r="N268" i="15" s="1"/>
  <c r="V268" i="15"/>
  <c r="AQ268" i="15"/>
  <c r="W232" i="15"/>
  <c r="L246" i="15"/>
  <c r="AQ218" i="15"/>
  <c r="W197" i="15"/>
  <c r="AW140" i="15"/>
  <c r="P114" i="15"/>
  <c r="N114" i="15" s="1"/>
  <c r="V114" i="15"/>
  <c r="P274" i="15"/>
  <c r="N274" i="15" s="1"/>
  <c r="V274" i="15"/>
  <c r="U70" i="15"/>
  <c r="S70" i="15" s="1"/>
  <c r="AT23" i="15" a="1"/>
  <c r="AT23" i="15" s="1"/>
  <c r="AS23" i="15" a="1"/>
  <c r="AS23" i="15" s="1"/>
  <c r="AR23" i="15" a="1"/>
  <c r="AR23" i="15" s="1"/>
  <c r="R23" i="15" a="1"/>
  <c r="R23" i="15" s="1"/>
  <c r="Q23" i="15" a="1"/>
  <c r="Q23" i="15" s="1"/>
  <c r="I23" i="15" a="1"/>
  <c r="I23" i="15" s="1"/>
  <c r="L23" i="15" s="1"/>
  <c r="AU23" i="15" a="1"/>
  <c r="AU23" i="15" s="1"/>
  <c r="O23" i="15" a="1"/>
  <c r="O23" i="15" s="1"/>
  <c r="H23" i="15" a="1"/>
  <c r="H23" i="15" s="1"/>
  <c r="K23" i="15" s="1"/>
  <c r="AV23" i="15" a="1"/>
  <c r="AV23" i="15" s="1"/>
  <c r="M24" i="15"/>
  <c r="AW267" i="15"/>
  <c r="AW148" i="15"/>
  <c r="K59" i="15"/>
  <c r="AW21" i="15"/>
  <c r="W353" i="15"/>
  <c r="U58" i="15"/>
  <c r="S58" i="15" s="1"/>
  <c r="K127" i="15"/>
  <c r="J289" i="15"/>
  <c r="P71" i="15"/>
  <c r="N71" i="15" s="1"/>
  <c r="V71" i="15"/>
  <c r="V366" i="15"/>
  <c r="P366" i="15"/>
  <c r="N366" i="15" s="1"/>
  <c r="Q10" i="21"/>
  <c r="Q12" i="21" s="1"/>
  <c r="P16" i="15"/>
  <c r="N16" i="15" s="1"/>
  <c r="V16" i="15"/>
  <c r="AT121" i="15" a="1"/>
  <c r="AT121" i="15" s="1"/>
  <c r="AR121" i="15" a="1"/>
  <c r="AR121" i="15" s="1"/>
  <c r="AS121" i="15" a="1"/>
  <c r="AS121" i="15" s="1"/>
  <c r="O121" i="15" a="1"/>
  <c r="O121" i="15" s="1"/>
  <c r="AU121" i="15" a="1"/>
  <c r="AU121" i="15" s="1"/>
  <c r="H121" i="15" a="1"/>
  <c r="H121" i="15" s="1"/>
  <c r="AV121" i="15" a="1"/>
  <c r="AV121" i="15" s="1"/>
  <c r="I121" i="15" a="1"/>
  <c r="I121" i="15" s="1"/>
  <c r="Q121" i="15" a="1"/>
  <c r="Q121" i="15" s="1"/>
  <c r="R121" i="15" a="1"/>
  <c r="R121" i="15" s="1"/>
  <c r="M122" i="15"/>
  <c r="AQ302" i="15"/>
  <c r="T232" i="15"/>
  <c r="W246" i="15"/>
  <c r="AW288" i="15"/>
  <c r="V218" i="15"/>
  <c r="P218" i="15"/>
  <c r="N218" i="15" s="1"/>
  <c r="W114" i="15"/>
  <c r="AW113" i="15"/>
  <c r="AQ22" i="15"/>
  <c r="W59" i="15"/>
  <c r="AT213" i="15" a="1"/>
  <c r="AT213" i="15" s="1"/>
  <c r="AS213" i="15" a="1"/>
  <c r="AS213" i="15" s="1"/>
  <c r="AR213" i="15" a="1"/>
  <c r="AR213" i="15" s="1"/>
  <c r="R213" i="15" a="1"/>
  <c r="R213" i="15" s="1"/>
  <c r="H213" i="15" a="1"/>
  <c r="H213" i="15" s="1"/>
  <c r="O213" i="15" a="1"/>
  <c r="O213" i="15" s="1"/>
  <c r="AV213" i="15" a="1"/>
  <c r="AV213" i="15" s="1"/>
  <c r="I213" i="15" a="1"/>
  <c r="I213" i="15" s="1"/>
  <c r="M214" i="15"/>
  <c r="AU213" i="15" a="1"/>
  <c r="AU213" i="15" s="1"/>
  <c r="Q213" i="15" a="1"/>
  <c r="Q213" i="15" s="1"/>
  <c r="T353" i="15"/>
  <c r="P127" i="15"/>
  <c r="N127" i="15" s="1"/>
  <c r="V127" i="15"/>
  <c r="P289" i="15"/>
  <c r="N289" i="15" s="1"/>
  <c r="V289" i="15"/>
  <c r="K51" i="15"/>
  <c r="J51" i="15" s="1"/>
  <c r="AT17" i="15" a="1"/>
  <c r="AT17" i="15" s="1"/>
  <c r="R38" i="21" s="1"/>
  <c r="AS17" i="15" a="1"/>
  <c r="AS17" i="15" s="1"/>
  <c r="R36" i="21" s="1"/>
  <c r="AR17" i="15" a="1"/>
  <c r="AR17" i="15" s="1"/>
  <c r="H17" i="15" a="1"/>
  <c r="H17" i="15" s="1"/>
  <c r="K17" i="15" s="1"/>
  <c r="I17" i="15" a="1"/>
  <c r="I17" i="15" s="1"/>
  <c r="L17" i="15" s="1"/>
  <c r="O17" i="15" a="1"/>
  <c r="O17" i="15" s="1"/>
  <c r="AV17" i="15" a="1"/>
  <c r="AV17" i="15" s="1"/>
  <c r="R24" i="21" s="1"/>
  <c r="AU17" i="15" a="1"/>
  <c r="AU17" i="15" s="1"/>
  <c r="R17" i="15" a="1"/>
  <c r="R17" i="15" s="1"/>
  <c r="Q17" i="15" a="1"/>
  <c r="Q17" i="15" s="1"/>
  <c r="M18" i="15"/>
  <c r="AW211" i="15"/>
  <c r="W120" i="15"/>
  <c r="V302" i="15"/>
  <c r="P302" i="15"/>
  <c r="N302" i="15" s="1"/>
  <c r="AT233" i="15" a="1"/>
  <c r="AT233" i="15" s="1"/>
  <c r="AS233" i="15" a="1"/>
  <c r="AS233" i="15" s="1"/>
  <c r="AR233" i="15" a="1"/>
  <c r="AR233" i="15" s="1"/>
  <c r="R233" i="15" a="1"/>
  <c r="R233" i="15" s="1"/>
  <c r="AV233" i="15" a="1"/>
  <c r="AV233" i="15" s="1"/>
  <c r="Q233" i="15" a="1"/>
  <c r="Q233" i="15" s="1"/>
  <c r="M234" i="15"/>
  <c r="H233" i="15" a="1"/>
  <c r="H233" i="15" s="1"/>
  <c r="O233" i="15" a="1"/>
  <c r="O233" i="15" s="1"/>
  <c r="I233" i="15" a="1"/>
  <c r="I233" i="15" s="1"/>
  <c r="AU233" i="15" a="1"/>
  <c r="AU233" i="15" s="1"/>
  <c r="T246" i="15"/>
  <c r="AQ330" i="15"/>
  <c r="AW245" i="15"/>
  <c r="U119" i="15"/>
  <c r="S119" i="15" s="1"/>
  <c r="P22" i="15"/>
  <c r="N22" i="15" s="1"/>
  <c r="V22" i="15"/>
  <c r="AQ59" i="15"/>
  <c r="V212" i="15"/>
  <c r="P212" i="15"/>
  <c r="N212" i="15" s="1"/>
  <c r="AW70" i="15"/>
  <c r="T127" i="15"/>
  <c r="J119" i="15"/>
  <c r="J301" i="15"/>
  <c r="K71" i="15"/>
  <c r="P51" i="15"/>
  <c r="N51" i="15" s="1"/>
  <c r="V51" i="15"/>
  <c r="L232" i="15"/>
  <c r="AQ246" i="15"/>
  <c r="AT198" i="15" a="1"/>
  <c r="AT198" i="15" s="1"/>
  <c r="AS198" i="15" a="1"/>
  <c r="AS198" i="15" s="1"/>
  <c r="AR198" i="15" a="1"/>
  <c r="AR198" i="15" s="1"/>
  <c r="M199" i="15"/>
  <c r="AV198" i="15" a="1"/>
  <c r="AV198" i="15" s="1"/>
  <c r="AU198" i="15" a="1"/>
  <c r="AU198" i="15" s="1"/>
  <c r="R198" i="15" a="1"/>
  <c r="R198" i="15" s="1"/>
  <c r="Q198" i="15" a="1"/>
  <c r="Q198" i="15" s="1"/>
  <c r="H198" i="15" a="1"/>
  <c r="H198" i="15" s="1"/>
  <c r="I198" i="15" a="1"/>
  <c r="I198" i="15" s="1"/>
  <c r="O198" i="15" a="1"/>
  <c r="O198" i="15" s="1"/>
  <c r="AQ197" i="15"/>
  <c r="O22" i="21"/>
  <c r="V330" i="15"/>
  <c r="P330" i="15"/>
  <c r="N330" i="15" s="1"/>
  <c r="W22" i="15"/>
  <c r="L59" i="15"/>
  <c r="L212" i="15"/>
  <c r="U21" i="15"/>
  <c r="S21" i="15" s="1"/>
  <c r="AS354" i="15" a="1"/>
  <c r="AS354" i="15" s="1"/>
  <c r="AT354" i="15" a="1"/>
  <c r="AT354" i="15" s="1"/>
  <c r="AR354" i="15" a="1"/>
  <c r="AR354" i="15" s="1"/>
  <c r="AU354" i="15" a="1"/>
  <c r="AU354" i="15" s="1"/>
  <c r="R354" i="15" a="1"/>
  <c r="R354" i="15" s="1"/>
  <c r="AV354" i="15" a="1"/>
  <c r="AV354" i="15" s="1"/>
  <c r="I354" i="15" a="1"/>
  <c r="I354" i="15" s="1"/>
  <c r="L354" i="15" s="1"/>
  <c r="H354" i="15" a="1"/>
  <c r="H354" i="15" s="1"/>
  <c r="K354" i="15" s="1"/>
  <c r="O354" i="15" a="1"/>
  <c r="O354" i="15" s="1"/>
  <c r="Q354" i="15" a="1"/>
  <c r="Q354" i="15" s="1"/>
  <c r="AT128" i="15" a="1"/>
  <c r="AT128" i="15" s="1"/>
  <c r="AR128" i="15" a="1"/>
  <c r="AR128" i="15" s="1"/>
  <c r="AS128" i="15" a="1"/>
  <c r="AS128" i="15" s="1"/>
  <c r="H128" i="15" a="1"/>
  <c r="H128" i="15" s="1"/>
  <c r="O128" i="15" a="1"/>
  <c r="O128" i="15" s="1"/>
  <c r="AV128" i="15" a="1"/>
  <c r="AV128" i="15" s="1"/>
  <c r="Q128" i="15" a="1"/>
  <c r="Q128" i="15" s="1"/>
  <c r="I128" i="15" a="1"/>
  <c r="I128" i="15" s="1"/>
  <c r="R128" i="15" a="1"/>
  <c r="R128" i="15" s="1"/>
  <c r="M129" i="15"/>
  <c r="AU128" i="15" a="1"/>
  <c r="AU128" i="15" s="1"/>
  <c r="AT142" i="15" a="1"/>
  <c r="AT142" i="15" s="1"/>
  <c r="AS142" i="15" a="1"/>
  <c r="AS142" i="15" s="1"/>
  <c r="AR142" i="15" a="1"/>
  <c r="AR142" i="15" s="1"/>
  <c r="M143" i="15"/>
  <c r="AU142" i="15" a="1"/>
  <c r="AU142" i="15" s="1"/>
  <c r="H142" i="15" a="1"/>
  <c r="H142" i="15" s="1"/>
  <c r="K142" i="15" s="1"/>
  <c r="R142" i="15" a="1"/>
  <c r="R142" i="15" s="1"/>
  <c r="Q142" i="15" a="1"/>
  <c r="Q142" i="15" s="1"/>
  <c r="AV142" i="15" a="1"/>
  <c r="AV142" i="15" s="1"/>
  <c r="O142" i="15" a="1"/>
  <c r="O142" i="15" s="1"/>
  <c r="I142" i="15" a="1"/>
  <c r="I142" i="15" s="1"/>
  <c r="L142" i="15" s="1"/>
  <c r="T71" i="15"/>
  <c r="AT303" i="15" a="1"/>
  <c r="AT303" i="15" s="1"/>
  <c r="AS303" i="15" a="1"/>
  <c r="AS303" i="15" s="1"/>
  <c r="AR303" i="15" a="1"/>
  <c r="AR303" i="15" s="1"/>
  <c r="H303" i="15" a="1"/>
  <c r="H303" i="15" s="1"/>
  <c r="R303" i="15" a="1"/>
  <c r="R303" i="15" s="1"/>
  <c r="O303" i="15" a="1"/>
  <c r="O303" i="15" s="1"/>
  <c r="I303" i="15" a="1"/>
  <c r="I303" i="15" s="1"/>
  <c r="AU303" i="15" a="1"/>
  <c r="AU303" i="15" s="1"/>
  <c r="M304" i="15"/>
  <c r="Q303" i="15" a="1"/>
  <c r="Q303" i="15" s="1"/>
  <c r="AV303" i="15" a="1"/>
  <c r="AV303" i="15" s="1"/>
  <c r="W51" i="15"/>
  <c r="J366" i="15"/>
  <c r="AQ366" i="15"/>
  <c r="Q4" i="21"/>
  <c r="T16" i="15"/>
  <c r="L120" i="15"/>
  <c r="T302" i="15"/>
  <c r="T268" i="15"/>
  <c r="AT247" i="15" a="1"/>
  <c r="AT247" i="15" s="1"/>
  <c r="AS247" i="15" a="1"/>
  <c r="AS247" i="15" s="1"/>
  <c r="AR247" i="15" a="1"/>
  <c r="AR247" i="15" s="1"/>
  <c r="O247" i="15" a="1"/>
  <c r="O247" i="15" s="1"/>
  <c r="AU247" i="15" a="1"/>
  <c r="AU247" i="15" s="1"/>
  <c r="M248" i="15"/>
  <c r="AV247" i="15" a="1"/>
  <c r="AV247" i="15" s="1"/>
  <c r="H247" i="15" a="1"/>
  <c r="H247" i="15" s="1"/>
  <c r="R247" i="15" a="1"/>
  <c r="R247" i="15" s="1"/>
  <c r="Q247" i="15" a="1"/>
  <c r="Q247" i="15" s="1"/>
  <c r="I247" i="15" a="1"/>
  <c r="I247" i="15" s="1"/>
  <c r="AT219" i="15" a="1"/>
  <c r="AT219" i="15" s="1"/>
  <c r="AS219" i="15" a="1"/>
  <c r="AS219" i="15" s="1"/>
  <c r="AR219" i="15" a="1"/>
  <c r="AR219" i="15" s="1"/>
  <c r="AU219" i="15" a="1"/>
  <c r="AU219" i="15" s="1"/>
  <c r="M220" i="15"/>
  <c r="AV219" i="15" a="1"/>
  <c r="AV219" i="15" s="1"/>
  <c r="H219" i="15" a="1"/>
  <c r="H219" i="15" s="1"/>
  <c r="K219" i="15" s="1"/>
  <c r="Q219" i="15" a="1"/>
  <c r="Q219" i="15" s="1"/>
  <c r="R219" i="15" a="1"/>
  <c r="R219" i="15" s="1"/>
  <c r="I219" i="15" a="1"/>
  <c r="I219" i="15" s="1"/>
  <c r="L219" i="15" s="1"/>
  <c r="O219" i="15" a="1"/>
  <c r="O219" i="15" s="1"/>
  <c r="AT115" i="15" a="1"/>
  <c r="AT115" i="15" s="1"/>
  <c r="AS115" i="15" a="1"/>
  <c r="AS115" i="15" s="1"/>
  <c r="AR115" i="15" a="1"/>
  <c r="AR115" i="15" s="1"/>
  <c r="O115" i="15" a="1"/>
  <c r="O115" i="15" s="1"/>
  <c r="I115" i="15" a="1"/>
  <c r="I115" i="15" s="1"/>
  <c r="L115" i="15" s="1"/>
  <c r="H115" i="15" a="1"/>
  <c r="H115" i="15" s="1"/>
  <c r="K115" i="15" s="1"/>
  <c r="R115" i="15" a="1"/>
  <c r="R115" i="15" s="1"/>
  <c r="Q115" i="15" a="1"/>
  <c r="Q115" i="15" s="1"/>
  <c r="AU115" i="15" a="1"/>
  <c r="AU115" i="15" s="1"/>
  <c r="AV115" i="15" a="1"/>
  <c r="AV115" i="15" s="1"/>
  <c r="M116" i="15"/>
  <c r="W330" i="15"/>
  <c r="T274" i="15"/>
  <c r="T22" i="15"/>
  <c r="AW329" i="15"/>
  <c r="AT60" i="15" a="1"/>
  <c r="AT60" i="15" s="1"/>
  <c r="AS60" i="15" a="1"/>
  <c r="AS60" i="15" s="1"/>
  <c r="AR60" i="15" a="1"/>
  <c r="AR60" i="15" s="1"/>
  <c r="AU60" i="15" a="1"/>
  <c r="AU60" i="15" s="1"/>
  <c r="O60" i="15" a="1"/>
  <c r="O60" i="15" s="1"/>
  <c r="H60" i="15" a="1"/>
  <c r="H60" i="15" s="1"/>
  <c r="R60" i="15" a="1"/>
  <c r="R60" i="15" s="1"/>
  <c r="Q60" i="15" a="1"/>
  <c r="Q60" i="15" s="1"/>
  <c r="I60" i="15" a="1"/>
  <c r="I60" i="15" s="1"/>
  <c r="AV60" i="15" a="1"/>
  <c r="AV60" i="15" s="1"/>
  <c r="J126" i="15"/>
  <c r="W212" i="15"/>
  <c r="AQ141" i="15"/>
  <c r="L71" i="15"/>
  <c r="AQ51" i="15"/>
  <c r="AW51" i="15" s="1"/>
  <c r="T120" i="15"/>
  <c r="T51" i="15"/>
  <c r="AW301" i="15"/>
  <c r="T366" i="15"/>
  <c r="J16" i="15"/>
  <c r="K120" i="15"/>
  <c r="K302" i="15"/>
  <c r="K232" i="15"/>
  <c r="J218" i="15"/>
  <c r="K197" i="15"/>
  <c r="J197" i="15" s="1"/>
  <c r="AW119" i="15"/>
  <c r="J114" i="15"/>
  <c r="J330" i="15"/>
  <c r="AT275" i="15" a="1"/>
  <c r="AT275" i="15" s="1"/>
  <c r="AS275" i="15" a="1"/>
  <c r="AS275" i="15" s="1"/>
  <c r="AR275" i="15" a="1"/>
  <c r="AR275" i="15" s="1"/>
  <c r="O275" i="15" a="1"/>
  <c r="O275" i="15" s="1"/>
  <c r="R275" i="15" a="1"/>
  <c r="R275" i="15" s="1"/>
  <c r="I275" i="15" a="1"/>
  <c r="I275" i="15" s="1"/>
  <c r="L275" i="15" s="1"/>
  <c r="H275" i="15" a="1"/>
  <c r="H275" i="15" s="1"/>
  <c r="K275" i="15" s="1"/>
  <c r="AV275" i="15" a="1"/>
  <c r="AV275" i="15" s="1"/>
  <c r="AU275" i="15" a="1"/>
  <c r="AU275" i="15" s="1"/>
  <c r="Q275" i="15" a="1"/>
  <c r="Q275" i="15" s="1"/>
  <c r="M276" i="15"/>
  <c r="P59" i="15"/>
  <c r="N59" i="15" s="1"/>
  <c r="V59" i="15"/>
  <c r="AQ212" i="15"/>
  <c r="AQ353" i="15"/>
  <c r="J196" i="15"/>
  <c r="L127" i="15"/>
  <c r="W141" i="15"/>
  <c r="W289" i="15"/>
  <c r="W71" i="15"/>
  <c r="AQ71" i="15"/>
  <c r="AJ17" i="15" l="1"/>
  <c r="AQ67" i="15"/>
  <c r="S2" i="21"/>
  <c r="AD17" i="15"/>
  <c r="AL18" i="15"/>
  <c r="AN17" i="15"/>
  <c r="AF17" i="15"/>
  <c r="AD18" i="15"/>
  <c r="AI18" i="15"/>
  <c r="AF18" i="15"/>
  <c r="AM17" i="15"/>
  <c r="AM18" i="15"/>
  <c r="AI17" i="15"/>
  <c r="AG17" i="15"/>
  <c r="AH16" i="15"/>
  <c r="AP16" i="15"/>
  <c r="U295" i="15"/>
  <c r="U106" i="15"/>
  <c r="S106" i="15" s="1"/>
  <c r="U164" i="15"/>
  <c r="S164" i="15" s="1"/>
  <c r="U171" i="15"/>
  <c r="S171" i="15" s="1"/>
  <c r="U359" i="15"/>
  <c r="S359" i="15" s="1"/>
  <c r="T136" i="15"/>
  <c r="U135" i="15"/>
  <c r="S135" i="15" s="1"/>
  <c r="U85" i="15"/>
  <c r="S85" i="15" s="1"/>
  <c r="T86" i="15"/>
  <c r="J260" i="15"/>
  <c r="U80" i="15"/>
  <c r="S80" i="15" s="1"/>
  <c r="U325" i="15"/>
  <c r="S325" i="15" s="1"/>
  <c r="U43" i="15"/>
  <c r="S43" i="15" s="1"/>
  <c r="K261" i="15"/>
  <c r="AQ261" i="15"/>
  <c r="T157" i="15"/>
  <c r="J227" i="15"/>
  <c r="J44" i="15"/>
  <c r="T191" i="15"/>
  <c r="W86" i="15"/>
  <c r="T261" i="15"/>
  <c r="P261" i="15"/>
  <c r="N261" i="15" s="1"/>
  <c r="V261" i="15"/>
  <c r="AU262" i="15" a="1"/>
  <c r="AU262" i="15" s="1"/>
  <c r="AT262" i="15" a="1"/>
  <c r="AT262" i="15" s="1"/>
  <c r="AS262" i="15" a="1"/>
  <c r="AS262" i="15" s="1"/>
  <c r="AR262" i="15" a="1"/>
  <c r="AR262" i="15" s="1"/>
  <c r="M263" i="15"/>
  <c r="I262" i="15" a="1"/>
  <c r="I262" i="15" s="1"/>
  <c r="L262" i="15" s="1"/>
  <c r="Q262" i="15" a="1"/>
  <c r="Q262" i="15" s="1"/>
  <c r="R262" i="15" a="1"/>
  <c r="R262" i="15" s="1"/>
  <c r="AV262" i="15" a="1"/>
  <c r="AV262" i="15" s="1"/>
  <c r="H262" i="15" a="1"/>
  <c r="H262" i="15" s="1"/>
  <c r="K262" i="15" s="1"/>
  <c r="O262" i="15" a="1"/>
  <c r="O262" i="15" s="1"/>
  <c r="AW260" i="15"/>
  <c r="U260" i="15"/>
  <c r="S260" i="15" s="1"/>
  <c r="L261" i="15"/>
  <c r="W261" i="15"/>
  <c r="U206" i="15"/>
  <c r="S206" i="15" s="1"/>
  <c r="J102" i="15"/>
  <c r="W191" i="15"/>
  <c r="AU87" i="15" a="1"/>
  <c r="AU87" i="15" s="1"/>
  <c r="Q87" i="15" a="1"/>
  <c r="Q87" i="15" s="1"/>
  <c r="H87" i="15" a="1"/>
  <c r="H87" i="15" s="1"/>
  <c r="K87" i="15" s="1"/>
  <c r="AT87" i="15" a="1"/>
  <c r="AT87" i="15" s="1"/>
  <c r="I87" i="15" a="1"/>
  <c r="I87" i="15" s="1"/>
  <c r="L87" i="15" s="1"/>
  <c r="O87" i="15" a="1"/>
  <c r="O87" i="15" s="1"/>
  <c r="AV87" i="15" a="1"/>
  <c r="AV87" i="15" s="1"/>
  <c r="AS87" i="15" a="1"/>
  <c r="AS87" i="15" s="1"/>
  <c r="M88" i="15"/>
  <c r="AR87" i="15" a="1"/>
  <c r="AR87" i="15" s="1"/>
  <c r="R87" i="15" a="1"/>
  <c r="R87" i="15" s="1"/>
  <c r="U240" i="15"/>
  <c r="S240" i="15" s="1"/>
  <c r="S190" i="15"/>
  <c r="W227" i="15"/>
  <c r="J191" i="15"/>
  <c r="J157" i="15"/>
  <c r="U345" i="15"/>
  <c r="S345" i="15" s="1"/>
  <c r="V86" i="15"/>
  <c r="P86" i="15"/>
  <c r="N86" i="15" s="1"/>
  <c r="J86" i="15"/>
  <c r="AW85" i="15"/>
  <c r="AQ86" i="15"/>
  <c r="W157" i="15"/>
  <c r="I228" i="15" a="1"/>
  <c r="I228" i="15" s="1"/>
  <c r="AU228" i="15" a="1"/>
  <c r="AU228" i="15" s="1"/>
  <c r="Q228" i="15" a="1"/>
  <c r="Q228" i="15" s="1"/>
  <c r="O228" i="15" a="1"/>
  <c r="O228" i="15" s="1"/>
  <c r="AT228" i="15" a="1"/>
  <c r="AT228" i="15" s="1"/>
  <c r="AV228" i="15" a="1"/>
  <c r="AV228" i="15" s="1"/>
  <c r="AS228" i="15" a="1"/>
  <c r="AS228" i="15" s="1"/>
  <c r="R228" i="15" a="1"/>
  <c r="R228" i="15" s="1"/>
  <c r="AR228" i="15" a="1"/>
  <c r="AR228" i="15" s="1"/>
  <c r="H228" i="15" a="1"/>
  <c r="H228" i="15" s="1"/>
  <c r="Q256" i="15" a="1"/>
  <c r="Q256" i="15" s="1"/>
  <c r="AU256" i="15" a="1"/>
  <c r="AU256" i="15" s="1"/>
  <c r="H256" i="15" a="1"/>
  <c r="H256" i="15" s="1"/>
  <c r="O256" i="15" a="1"/>
  <c r="O256" i="15" s="1"/>
  <c r="AT256" i="15" a="1"/>
  <c r="AT256" i="15" s="1"/>
  <c r="R256" i="15" a="1"/>
  <c r="R256" i="15" s="1"/>
  <c r="I256" i="15" a="1"/>
  <c r="I256" i="15" s="1"/>
  <c r="AS256" i="15" a="1"/>
  <c r="AS256" i="15" s="1"/>
  <c r="AV256" i="15" a="1"/>
  <c r="AV256" i="15" s="1"/>
  <c r="AR256" i="15" a="1"/>
  <c r="AR256" i="15" s="1"/>
  <c r="W44" i="15"/>
  <c r="U102" i="15"/>
  <c r="S102" i="15" s="1"/>
  <c r="L207" i="15"/>
  <c r="AQ157" i="15"/>
  <c r="T44" i="15"/>
  <c r="T207" i="15"/>
  <c r="J10" i="15"/>
  <c r="J185" i="15"/>
  <c r="T346" i="15"/>
  <c r="W255" i="15"/>
  <c r="V44" i="15"/>
  <c r="U44" i="15" s="1"/>
  <c r="P44" i="15"/>
  <c r="N44" i="15" s="1"/>
  <c r="AW226" i="15"/>
  <c r="V191" i="15"/>
  <c r="P191" i="15"/>
  <c r="N191" i="15" s="1"/>
  <c r="V207" i="15"/>
  <c r="P207" i="15"/>
  <c r="N207" i="15" s="1"/>
  <c r="AW43" i="15"/>
  <c r="P227" i="15"/>
  <c r="N227" i="15" s="1"/>
  <c r="V227" i="15"/>
  <c r="AQ255" i="15"/>
  <c r="M46" i="15"/>
  <c r="AU45" i="15" a="1"/>
  <c r="AU45" i="15" s="1"/>
  <c r="Q45" i="15" a="1"/>
  <c r="Q45" i="15" s="1"/>
  <c r="AT45" i="15" a="1"/>
  <c r="AT45" i="15" s="1"/>
  <c r="O45" i="15" a="1"/>
  <c r="O45" i="15" s="1"/>
  <c r="AV45" i="15" a="1"/>
  <c r="AV45" i="15" s="1"/>
  <c r="AS45" i="15" a="1"/>
  <c r="AS45" i="15" s="1"/>
  <c r="I45" i="15" a="1"/>
  <c r="I45" i="15" s="1"/>
  <c r="L45" i="15" s="1"/>
  <c r="H45" i="15" a="1"/>
  <c r="H45" i="15" s="1"/>
  <c r="K45" i="15" s="1"/>
  <c r="R45" i="15" a="1"/>
  <c r="R45" i="15" s="1"/>
  <c r="AR45" i="15" a="1"/>
  <c r="AR45" i="15" s="1"/>
  <c r="AW102" i="15"/>
  <c r="AW254" i="15"/>
  <c r="U156" i="15"/>
  <c r="S156" i="15" s="1"/>
  <c r="U226" i="15"/>
  <c r="S226" i="15" s="1"/>
  <c r="AR192" i="15" a="1"/>
  <c r="AR192" i="15" s="1"/>
  <c r="AT192" i="15" a="1"/>
  <c r="AT192" i="15" s="1"/>
  <c r="O192" i="15" a="1"/>
  <c r="O192" i="15" s="1"/>
  <c r="AS192" i="15" a="1"/>
  <c r="AS192" i="15" s="1"/>
  <c r="Q192" i="15" a="1"/>
  <c r="Q192" i="15" s="1"/>
  <c r="AU192" i="15" a="1"/>
  <c r="AU192" i="15" s="1"/>
  <c r="M193" i="15"/>
  <c r="R192" i="15" a="1"/>
  <c r="R192" i="15" s="1"/>
  <c r="I192" i="15" a="1"/>
  <c r="I192" i="15" s="1"/>
  <c r="L192" i="15" s="1"/>
  <c r="AV192" i="15" a="1"/>
  <c r="AV192" i="15" s="1"/>
  <c r="H192" i="15" a="1"/>
  <c r="H192" i="15" s="1"/>
  <c r="K192" i="15" s="1"/>
  <c r="W207" i="15"/>
  <c r="Q158" i="15" a="1"/>
  <c r="Q158" i="15" s="1"/>
  <c r="H158" i="15" a="1"/>
  <c r="H158" i="15" s="1"/>
  <c r="AV158" i="15" a="1"/>
  <c r="AV158" i="15" s="1"/>
  <c r="AT158" i="15" a="1"/>
  <c r="AT158" i="15" s="1"/>
  <c r="AS158" i="15" a="1"/>
  <c r="AS158" i="15" s="1"/>
  <c r="I158" i="15" a="1"/>
  <c r="I158" i="15" s="1"/>
  <c r="AR158" i="15" a="1"/>
  <c r="AR158" i="15" s="1"/>
  <c r="R158" i="15" a="1"/>
  <c r="R158" i="15" s="1"/>
  <c r="O158" i="15" a="1"/>
  <c r="O158" i="15" s="1"/>
  <c r="AU158" i="15" a="1"/>
  <c r="AU158" i="15" s="1"/>
  <c r="T227" i="15"/>
  <c r="K255" i="15"/>
  <c r="J255" i="15" s="1"/>
  <c r="AQ44" i="15"/>
  <c r="AW190" i="15"/>
  <c r="AQ191" i="15"/>
  <c r="U254" i="15"/>
  <c r="S254" i="15" s="1"/>
  <c r="K207" i="15"/>
  <c r="J43" i="15"/>
  <c r="W346" i="15"/>
  <c r="J136" i="15"/>
  <c r="P157" i="15"/>
  <c r="N157" i="15" s="1"/>
  <c r="V157" i="15"/>
  <c r="AQ227" i="15"/>
  <c r="T255" i="15"/>
  <c r="AW156" i="15"/>
  <c r="P255" i="15"/>
  <c r="N255" i="15" s="1"/>
  <c r="V255" i="15"/>
  <c r="AW206" i="15"/>
  <c r="AQ207" i="15"/>
  <c r="J283" i="15"/>
  <c r="W172" i="15"/>
  <c r="W136" i="15"/>
  <c r="AQ93" i="15"/>
  <c r="P186" i="15"/>
  <c r="N186" i="15" s="1"/>
  <c r="V186" i="15"/>
  <c r="W186" i="15"/>
  <c r="V172" i="15"/>
  <c r="P172" i="15"/>
  <c r="N172" i="15" s="1"/>
  <c r="U319" i="15"/>
  <c r="S319" i="15" s="1"/>
  <c r="AQ172" i="15"/>
  <c r="AW172" i="15" s="1"/>
  <c r="J346" i="15"/>
  <c r="AW185" i="15"/>
  <c r="AQ136" i="15"/>
  <c r="P346" i="15"/>
  <c r="N346" i="15" s="1"/>
  <c r="V346" i="15"/>
  <c r="V93" i="15"/>
  <c r="P93" i="15"/>
  <c r="N93" i="15" s="1"/>
  <c r="L186" i="15"/>
  <c r="AW345" i="15"/>
  <c r="U92" i="15"/>
  <c r="S92" i="15" s="1"/>
  <c r="U185" i="15"/>
  <c r="S185" i="15" s="1"/>
  <c r="T186" i="15"/>
  <c r="T172" i="15"/>
  <c r="AQ346" i="15"/>
  <c r="J93" i="15"/>
  <c r="Q94" i="15" a="1"/>
  <c r="Q94" i="15" s="1"/>
  <c r="R94" i="15" a="1"/>
  <c r="R94" i="15" s="1"/>
  <c r="AT94" i="15" a="1"/>
  <c r="AT94" i="15" s="1"/>
  <c r="M95" i="15"/>
  <c r="AS94" i="15" a="1"/>
  <c r="AS94" i="15" s="1"/>
  <c r="O94" i="15" a="1"/>
  <c r="O94" i="15" s="1"/>
  <c r="AR94" i="15" a="1"/>
  <c r="AR94" i="15" s="1"/>
  <c r="AU94" i="15" a="1"/>
  <c r="AU94" i="15" s="1"/>
  <c r="AV94" i="15" a="1"/>
  <c r="AV94" i="15" s="1"/>
  <c r="I94" i="15" a="1"/>
  <c r="I94" i="15" s="1"/>
  <c r="L94" i="15" s="1"/>
  <c r="H94" i="15" a="1"/>
  <c r="H94" i="15" s="1"/>
  <c r="K94" i="15" s="1"/>
  <c r="AW171" i="15"/>
  <c r="K172" i="15"/>
  <c r="AS347" i="15" a="1"/>
  <c r="AS347" i="15" s="1"/>
  <c r="Q347" i="15" a="1"/>
  <c r="Q347" i="15" s="1"/>
  <c r="AT347" i="15" a="1"/>
  <c r="AT347" i="15" s="1"/>
  <c r="AR347" i="15" a="1"/>
  <c r="AR347" i="15" s="1"/>
  <c r="O347" i="15" a="1"/>
  <c r="O347" i="15" s="1"/>
  <c r="H347" i="15" a="1"/>
  <c r="H347" i="15" s="1"/>
  <c r="R347" i="15" a="1"/>
  <c r="R347" i="15" s="1"/>
  <c r="AU347" i="15" a="1"/>
  <c r="AU347" i="15" s="1"/>
  <c r="I347" i="15" a="1"/>
  <c r="I347" i="15" s="1"/>
  <c r="L347" i="15" s="1"/>
  <c r="AV347" i="15" a="1"/>
  <c r="AV347" i="15" s="1"/>
  <c r="AW135" i="15"/>
  <c r="V136" i="15"/>
  <c r="P136" i="15"/>
  <c r="N136" i="15" s="1"/>
  <c r="T93" i="15"/>
  <c r="W93" i="15"/>
  <c r="AQ186" i="15"/>
  <c r="AW186" i="15" s="1"/>
  <c r="L172" i="15"/>
  <c r="H137" i="15" a="1"/>
  <c r="H137" i="15" s="1"/>
  <c r="AT137" i="15" a="1"/>
  <c r="AT137" i="15" s="1"/>
  <c r="AR137" i="15" a="1"/>
  <c r="AR137" i="15" s="1"/>
  <c r="AS137" i="15" a="1"/>
  <c r="AS137" i="15" s="1"/>
  <c r="O137" i="15" a="1"/>
  <c r="O137" i="15" s="1"/>
  <c r="Q137" i="15" a="1"/>
  <c r="Q137" i="15" s="1"/>
  <c r="I137" i="15" a="1"/>
  <c r="I137" i="15" s="1"/>
  <c r="AV137" i="15" a="1"/>
  <c r="AV137" i="15" s="1"/>
  <c r="R137" i="15" a="1"/>
  <c r="R137" i="15" s="1"/>
  <c r="AU137" i="15" a="1"/>
  <c r="AU137" i="15" s="1"/>
  <c r="AW92" i="15"/>
  <c r="K186" i="15"/>
  <c r="W360" i="15"/>
  <c r="J360" i="15"/>
  <c r="U282" i="15"/>
  <c r="S282" i="15" s="1"/>
  <c r="T360" i="15"/>
  <c r="U37" i="15"/>
  <c r="S37" i="15" s="1"/>
  <c r="AW338" i="15"/>
  <c r="AQ326" i="15"/>
  <c r="W326" i="15"/>
  <c r="AT311" i="15" a="1"/>
  <c r="AT311" i="15" s="1"/>
  <c r="I311" i="15" a="1"/>
  <c r="I311" i="15" s="1"/>
  <c r="L311" i="15" s="1"/>
  <c r="AR311" i="15" a="1"/>
  <c r="AR311" i="15" s="1"/>
  <c r="AV311" i="15" a="1"/>
  <c r="AV311" i="15" s="1"/>
  <c r="AS311" i="15" a="1"/>
  <c r="AS311" i="15" s="1"/>
  <c r="O311" i="15" a="1"/>
  <c r="O311" i="15" s="1"/>
  <c r="M312" i="15"/>
  <c r="H311" i="15" a="1"/>
  <c r="H311" i="15" s="1"/>
  <c r="K311" i="15" s="1"/>
  <c r="Q311" i="15" a="1"/>
  <c r="Q311" i="15" s="1"/>
  <c r="AU311" i="15" a="1"/>
  <c r="AU311" i="15" s="1"/>
  <c r="R311" i="15" a="1"/>
  <c r="R311" i="15" s="1"/>
  <c r="AW106" i="15"/>
  <c r="AQ179" i="15"/>
  <c r="AW179" i="15" s="1"/>
  <c r="K179" i="15"/>
  <c r="L81" i="15"/>
  <c r="AQ360" i="15"/>
  <c r="AQ107" i="15"/>
  <c r="U309" i="15"/>
  <c r="S309" i="15" s="1"/>
  <c r="AW178" i="15"/>
  <c r="Q297" i="15" a="1"/>
  <c r="Q297" i="15" s="1"/>
  <c r="M298" i="15"/>
  <c r="I297" i="15" a="1"/>
  <c r="I297" i="15" s="1"/>
  <c r="L297" i="15" s="1"/>
  <c r="AV297" i="15" a="1"/>
  <c r="AV297" i="15" s="1"/>
  <c r="R297" i="15" a="1"/>
  <c r="R297" i="15" s="1"/>
  <c r="AU297" i="15" a="1"/>
  <c r="AU297" i="15" s="1"/>
  <c r="AR297" i="15" a="1"/>
  <c r="AR297" i="15" s="1"/>
  <c r="AT297" i="15" a="1"/>
  <c r="AT297" i="15" s="1"/>
  <c r="H297" i="15" a="1"/>
  <c r="H297" i="15" s="1"/>
  <c r="K297" i="15" s="1"/>
  <c r="AS297" i="15" a="1"/>
  <c r="AS297" i="15" s="1"/>
  <c r="O297" i="15" a="1"/>
  <c r="O297" i="15" s="1"/>
  <c r="U338" i="15"/>
  <c r="S338" i="15" s="1"/>
  <c r="T241" i="15"/>
  <c r="W241" i="15"/>
  <c r="AW282" i="15"/>
  <c r="T310" i="15"/>
  <c r="P310" i="15"/>
  <c r="N310" i="15" s="1"/>
  <c r="W310" i="15"/>
  <c r="W179" i="15"/>
  <c r="AQ339" i="15"/>
  <c r="J339" i="15"/>
  <c r="K81" i="15"/>
  <c r="J81" i="15" s="1"/>
  <c r="T38" i="15"/>
  <c r="S295" i="15"/>
  <c r="T283" i="15"/>
  <c r="W30" i="15"/>
  <c r="AW240" i="15"/>
  <c r="AQ241" i="15"/>
  <c r="L326" i="15"/>
  <c r="V310" i="15"/>
  <c r="T179" i="15"/>
  <c r="W339" i="15"/>
  <c r="T81" i="15"/>
  <c r="W81" i="15"/>
  <c r="J4" i="21"/>
  <c r="J6" i="21" s="1"/>
  <c r="T10" i="15"/>
  <c r="AV108" i="15" a="1"/>
  <c r="AV108" i="15" s="1"/>
  <c r="O108" i="15" a="1"/>
  <c r="O108" i="15" s="1"/>
  <c r="Q108" i="15" a="1"/>
  <c r="Q108" i="15" s="1"/>
  <c r="R108" i="15" a="1"/>
  <c r="R108" i="15" s="1"/>
  <c r="M109" i="15"/>
  <c r="I108" i="15" a="1"/>
  <c r="I108" i="15" s="1"/>
  <c r="L108" i="15" s="1"/>
  <c r="AU108" i="15" a="1"/>
  <c r="AU108" i="15" s="1"/>
  <c r="H108" i="15" a="1"/>
  <c r="H108" i="15" s="1"/>
  <c r="K108" i="15" s="1"/>
  <c r="AT108" i="15" a="1"/>
  <c r="AT108" i="15" s="1"/>
  <c r="AS108" i="15" a="1"/>
  <c r="AS108" i="15" s="1"/>
  <c r="AR108" i="15" a="1"/>
  <c r="AR108" i="15" s="1"/>
  <c r="AW295" i="15"/>
  <c r="J38" i="15"/>
  <c r="V283" i="15"/>
  <c r="P283" i="15"/>
  <c r="N283" i="15" s="1"/>
  <c r="T30" i="15"/>
  <c r="W165" i="15"/>
  <c r="T296" i="15"/>
  <c r="AW359" i="15"/>
  <c r="V241" i="15"/>
  <c r="P241" i="15"/>
  <c r="N241" i="15" s="1"/>
  <c r="AW37" i="15"/>
  <c r="AQ310" i="15"/>
  <c r="T339" i="15"/>
  <c r="AQ81" i="15"/>
  <c r="P81" i="15"/>
  <c r="N81" i="15" s="1"/>
  <c r="V81" i="15"/>
  <c r="AR361" i="15" a="1"/>
  <c r="AR361" i="15" s="1"/>
  <c r="O361" i="15" a="1"/>
  <c r="O361" i="15" s="1"/>
  <c r="AS361" i="15" a="1"/>
  <c r="AS361" i="15" s="1"/>
  <c r="Q361" i="15" a="1"/>
  <c r="Q361" i="15" s="1"/>
  <c r="AT361" i="15" a="1"/>
  <c r="AT361" i="15" s="1"/>
  <c r="H361" i="15" a="1"/>
  <c r="H361" i="15" s="1"/>
  <c r="K361" i="15" s="1"/>
  <c r="I361" i="15" a="1"/>
  <c r="I361" i="15" s="1"/>
  <c r="L361" i="15" s="1"/>
  <c r="AU361" i="15" a="1"/>
  <c r="AU361" i="15" s="1"/>
  <c r="AV361" i="15" a="1"/>
  <c r="AV361" i="15" s="1"/>
  <c r="R361" i="15" a="1"/>
  <c r="R361" i="15" s="1"/>
  <c r="J10" i="21"/>
  <c r="J12" i="21" s="1"/>
  <c r="P10" i="15"/>
  <c r="N10" i="15" s="1"/>
  <c r="V10" i="15"/>
  <c r="W107" i="15"/>
  <c r="AW80" i="15"/>
  <c r="W283" i="15"/>
  <c r="AW67" i="15"/>
  <c r="AW325" i="15"/>
  <c r="L165" i="15"/>
  <c r="K326" i="15"/>
  <c r="V179" i="15"/>
  <c r="P179" i="15"/>
  <c r="N179" i="15" s="1"/>
  <c r="J39" i="21"/>
  <c r="J25" i="21"/>
  <c r="J40" i="21"/>
  <c r="J41" i="21" s="1"/>
  <c r="AQ283" i="15"/>
  <c r="L30" i="15"/>
  <c r="J30" i="15" s="1"/>
  <c r="H22" i="21"/>
  <c r="T165" i="15"/>
  <c r="P296" i="15"/>
  <c r="N296" i="15" s="1"/>
  <c r="V296" i="15"/>
  <c r="L179" i="15"/>
  <c r="J34" i="21"/>
  <c r="J35" i="21" s="1"/>
  <c r="AQ10" i="15"/>
  <c r="O11" i="15" a="1"/>
  <c r="O11" i="15" s="1"/>
  <c r="H11" i="15" a="1"/>
  <c r="H11" i="15" s="1"/>
  <c r="R11" i="15" a="1"/>
  <c r="R11" i="15" s="1"/>
  <c r="AU11" i="15" a="1"/>
  <c r="AU11" i="15" s="1"/>
  <c r="AV11" i="15" a="1"/>
  <c r="AV11" i="15" s="1"/>
  <c r="K24" i="21" s="1"/>
  <c r="D24" i="21" s="1"/>
  <c r="Q11" i="15" a="1"/>
  <c r="Q11" i="15" s="1"/>
  <c r="I11" i="15" a="1"/>
  <c r="I11" i="15" s="1"/>
  <c r="AT11" i="15" a="1"/>
  <c r="AT11" i="15" s="1"/>
  <c r="K38" i="21" s="1"/>
  <c r="K39" i="21" s="1"/>
  <c r="AS11" i="15" a="1"/>
  <c r="AS11" i="15" s="1"/>
  <c r="K36" i="21" s="1"/>
  <c r="K37" i="21" s="1"/>
  <c r="D37" i="21" s="1"/>
  <c r="AR11" i="15" a="1"/>
  <c r="AR11" i="15" s="1"/>
  <c r="I39" i="15" a="1"/>
  <c r="I39" i="15" s="1"/>
  <c r="AT39" i="15" a="1"/>
  <c r="AT39" i="15" s="1"/>
  <c r="H39" i="15" a="1"/>
  <c r="H39" i="15" s="1"/>
  <c r="AS39" i="15" a="1"/>
  <c r="AS39" i="15" s="1"/>
  <c r="R39" i="15" a="1"/>
  <c r="R39" i="15" s="1"/>
  <c r="AR39" i="15" a="1"/>
  <c r="AR39" i="15" s="1"/>
  <c r="O39" i="15" a="1"/>
  <c r="O39" i="15" s="1"/>
  <c r="AU39" i="15" a="1"/>
  <c r="AU39" i="15" s="1"/>
  <c r="AV39" i="15" a="1"/>
  <c r="AV39" i="15" s="1"/>
  <c r="Q39" i="15" a="1"/>
  <c r="Q39" i="15" s="1"/>
  <c r="I31" i="15" a="1"/>
  <c r="I31" i="15" s="1"/>
  <c r="AV31" i="15" a="1"/>
  <c r="AV31" i="15" s="1"/>
  <c r="R31" i="15" a="1"/>
  <c r="R31" i="15" s="1"/>
  <c r="Q31" i="15" a="1"/>
  <c r="Q31" i="15" s="1"/>
  <c r="M32" i="15"/>
  <c r="AU31" i="15" a="1"/>
  <c r="AU31" i="15" s="1"/>
  <c r="H31" i="15" a="1"/>
  <c r="H31" i="15" s="1"/>
  <c r="K31" i="15" s="1"/>
  <c r="AR31" i="15" a="1"/>
  <c r="AR31" i="15" s="1"/>
  <c r="O31" i="15" a="1"/>
  <c r="O31" i="15" s="1"/>
  <c r="AT31" i="15" a="1"/>
  <c r="AT31" i="15" s="1"/>
  <c r="AS31" i="15" a="1"/>
  <c r="AS31" i="15" s="1"/>
  <c r="AW309" i="15"/>
  <c r="AQ165" i="15"/>
  <c r="AW165" i="15" s="1"/>
  <c r="K165" i="15"/>
  <c r="W296" i="15"/>
  <c r="L296" i="15"/>
  <c r="J296" i="15" s="1"/>
  <c r="J241" i="15"/>
  <c r="P326" i="15"/>
  <c r="N326" i="15" s="1"/>
  <c r="V326" i="15"/>
  <c r="J310" i="15"/>
  <c r="V339" i="15"/>
  <c r="P339" i="15"/>
  <c r="N339" i="15" s="1"/>
  <c r="AW319" i="15"/>
  <c r="V360" i="15"/>
  <c r="P360" i="15"/>
  <c r="N360" i="15" s="1"/>
  <c r="I42" i="21"/>
  <c r="AW9" i="15"/>
  <c r="U29" i="15"/>
  <c r="S29" i="15" s="1"/>
  <c r="T107" i="15"/>
  <c r="P107" i="15"/>
  <c r="N107" i="15" s="1"/>
  <c r="V107" i="15"/>
  <c r="AQ38" i="15"/>
  <c r="W38" i="15"/>
  <c r="AV284" i="15" a="1"/>
  <c r="AV284" i="15" s="1"/>
  <c r="AT284" i="15" a="1"/>
  <c r="AT284" i="15" s="1"/>
  <c r="AS284" i="15" a="1"/>
  <c r="AS284" i="15" s="1"/>
  <c r="AR284" i="15" a="1"/>
  <c r="AR284" i="15" s="1"/>
  <c r="I284" i="15" a="1"/>
  <c r="I284" i="15" s="1"/>
  <c r="H284" i="15" a="1"/>
  <c r="H284" i="15" s="1"/>
  <c r="O284" i="15" a="1"/>
  <c r="O284" i="15" s="1"/>
  <c r="AU284" i="15" a="1"/>
  <c r="AU284" i="15" s="1"/>
  <c r="Q284" i="15" a="1"/>
  <c r="Q284" i="15" s="1"/>
  <c r="R284" i="15" a="1"/>
  <c r="R284" i="15" s="1"/>
  <c r="V30" i="15"/>
  <c r="P30" i="15"/>
  <c r="N30" i="15" s="1"/>
  <c r="AQ296" i="15"/>
  <c r="U178" i="15"/>
  <c r="S178" i="15" s="1"/>
  <c r="AW29" i="15"/>
  <c r="J319" i="15"/>
  <c r="R242" i="15" a="1"/>
  <c r="R242" i="15" s="1"/>
  <c r="Q242" i="15" a="1"/>
  <c r="Q242" i="15" s="1"/>
  <c r="I242" i="15" a="1"/>
  <c r="I242" i="15" s="1"/>
  <c r="AR242" i="15" a="1"/>
  <c r="AR242" i="15" s="1"/>
  <c r="AT242" i="15" a="1"/>
  <c r="AT242" i="15" s="1"/>
  <c r="H242" i="15" a="1"/>
  <c r="H242" i="15" s="1"/>
  <c r="AS242" i="15" a="1"/>
  <c r="AS242" i="15" s="1"/>
  <c r="AU242" i="15" a="1"/>
  <c r="AU242" i="15" s="1"/>
  <c r="AV242" i="15" a="1"/>
  <c r="AV242" i="15" s="1"/>
  <c r="O242" i="15" a="1"/>
  <c r="O242" i="15" s="1"/>
  <c r="T326" i="15"/>
  <c r="R340" i="15" a="1"/>
  <c r="R340" i="15" s="1"/>
  <c r="Q340" i="15" a="1"/>
  <c r="Q340" i="15" s="1"/>
  <c r="AR340" i="15" a="1"/>
  <c r="AR340" i="15" s="1"/>
  <c r="I340" i="15" a="1"/>
  <c r="I340" i="15" s="1"/>
  <c r="AU340" i="15" a="1"/>
  <c r="AU340" i="15" s="1"/>
  <c r="AV340" i="15" a="1"/>
  <c r="AV340" i="15" s="1"/>
  <c r="H340" i="15" a="1"/>
  <c r="H340" i="15" s="1"/>
  <c r="AS340" i="15" a="1"/>
  <c r="AS340" i="15" s="1"/>
  <c r="AT340" i="15" a="1"/>
  <c r="AT340" i="15" s="1"/>
  <c r="O340" i="15" a="1"/>
  <c r="O340" i="15" s="1"/>
  <c r="J16" i="21"/>
  <c r="J18" i="21" s="1"/>
  <c r="D18" i="21" s="1"/>
  <c r="W10" i="15"/>
  <c r="J67" i="15"/>
  <c r="J107" i="15"/>
  <c r="U9" i="15"/>
  <c r="S9" i="15" s="1"/>
  <c r="V38" i="15"/>
  <c r="P38" i="15"/>
  <c r="N38" i="15" s="1"/>
  <c r="AQ30" i="15"/>
  <c r="AW164" i="15"/>
  <c r="P165" i="15"/>
  <c r="N165" i="15" s="1"/>
  <c r="V165" i="15"/>
  <c r="I6" i="21"/>
  <c r="U67" i="15"/>
  <c r="S67" i="15" s="1"/>
  <c r="U268" i="15"/>
  <c r="S268" i="15" s="1"/>
  <c r="J302" i="15"/>
  <c r="J71" i="15"/>
  <c r="U149" i="15"/>
  <c r="S149" i="15" s="1"/>
  <c r="U289" i="15"/>
  <c r="S289" i="15" s="1"/>
  <c r="AW353" i="15"/>
  <c r="W290" i="15"/>
  <c r="AW366" i="15"/>
  <c r="U218" i="15"/>
  <c r="S218" i="15" s="1"/>
  <c r="U366" i="15"/>
  <c r="S366" i="15" s="1"/>
  <c r="U59" i="15"/>
  <c r="S59" i="15" s="1"/>
  <c r="U274" i="15"/>
  <c r="S274" i="15" s="1"/>
  <c r="T275" i="15"/>
  <c r="J17" i="15"/>
  <c r="J290" i="15"/>
  <c r="U22" i="15"/>
  <c r="S22" i="15" s="1"/>
  <c r="U16" i="15"/>
  <c r="S16" i="15" s="1"/>
  <c r="T331" i="15"/>
  <c r="J59" i="15"/>
  <c r="J115" i="15"/>
  <c r="U302" i="15"/>
  <c r="S302" i="15" s="1"/>
  <c r="W275" i="15"/>
  <c r="W219" i="15"/>
  <c r="J142" i="15"/>
  <c r="T219" i="15"/>
  <c r="T354" i="15"/>
  <c r="T367" i="15"/>
  <c r="T150" i="15"/>
  <c r="T115" i="15"/>
  <c r="W142" i="15"/>
  <c r="U114" i="15"/>
  <c r="S114" i="15" s="1"/>
  <c r="J23" i="15"/>
  <c r="W331" i="15"/>
  <c r="V275" i="15"/>
  <c r="P275" i="15"/>
  <c r="N275" i="15" s="1"/>
  <c r="AW71" i="15"/>
  <c r="AQ60" i="15"/>
  <c r="V219" i="15"/>
  <c r="P219" i="15"/>
  <c r="N219" i="15" s="1"/>
  <c r="L247" i="15"/>
  <c r="AQ303" i="15"/>
  <c r="W128" i="15"/>
  <c r="AQ354" i="15"/>
  <c r="L198" i="15"/>
  <c r="J232" i="15"/>
  <c r="AQ233" i="15"/>
  <c r="V213" i="15"/>
  <c r="P213" i="15"/>
  <c r="N213" i="15" s="1"/>
  <c r="AQ213" i="15"/>
  <c r="AW22" i="15"/>
  <c r="AR122" i="15" a="1"/>
  <c r="AR122" i="15" s="1"/>
  <c r="AS122" i="15" a="1"/>
  <c r="AS122" i="15" s="1"/>
  <c r="AT122" i="15" a="1"/>
  <c r="AT122" i="15" s="1"/>
  <c r="R122" i="15" a="1"/>
  <c r="R122" i="15" s="1"/>
  <c r="M123" i="15"/>
  <c r="Q122" i="15" a="1"/>
  <c r="Q122" i="15" s="1"/>
  <c r="AV122" i="15" a="1"/>
  <c r="AV122" i="15" s="1"/>
  <c r="H122" i="15" a="1"/>
  <c r="H122" i="15" s="1"/>
  <c r="I122" i="15" a="1"/>
  <c r="I122" i="15" s="1"/>
  <c r="O122" i="15" a="1"/>
  <c r="O122" i="15" s="1"/>
  <c r="AU122" i="15" a="1"/>
  <c r="AU122" i="15" s="1"/>
  <c r="W23" i="15"/>
  <c r="AW268" i="15"/>
  <c r="J367" i="15"/>
  <c r="T72" i="15"/>
  <c r="AW114" i="15"/>
  <c r="AT270" i="15" a="1"/>
  <c r="AT270" i="15" s="1"/>
  <c r="AS270" i="15" a="1"/>
  <c r="AS270" i="15" s="1"/>
  <c r="AR270" i="15" a="1"/>
  <c r="AR270" i="15" s="1"/>
  <c r="I270" i="15" a="1"/>
  <c r="I270" i="15" s="1"/>
  <c r="Q270" i="15" a="1"/>
  <c r="Q270" i="15" s="1"/>
  <c r="R270" i="15" a="1"/>
  <c r="R270" i="15" s="1"/>
  <c r="AV270" i="15" a="1"/>
  <c r="AV270" i="15" s="1"/>
  <c r="AU270" i="15" a="1"/>
  <c r="AU270" i="15" s="1"/>
  <c r="H270" i="15" a="1"/>
  <c r="H270" i="15" s="1"/>
  <c r="O270" i="15" a="1"/>
  <c r="O270" i="15" s="1"/>
  <c r="AQ269" i="15"/>
  <c r="V150" i="15"/>
  <c r="P150" i="15"/>
  <c r="N150" i="15" s="1"/>
  <c r="U127" i="15"/>
  <c r="S127" i="15" s="1"/>
  <c r="J331" i="15"/>
  <c r="AT53" i="15" a="1"/>
  <c r="AT53" i="15" s="1"/>
  <c r="AS53" i="15" a="1"/>
  <c r="AS53" i="15" s="1"/>
  <c r="AR53" i="15" a="1"/>
  <c r="AR53" i="15" s="1"/>
  <c r="AV53" i="15" a="1"/>
  <c r="AV53" i="15" s="1"/>
  <c r="O53" i="15" a="1"/>
  <c r="O53" i="15" s="1"/>
  <c r="AU53" i="15" a="1"/>
  <c r="AU53" i="15" s="1"/>
  <c r="R53" i="15" a="1"/>
  <c r="R53" i="15" s="1"/>
  <c r="Q53" i="15" a="1"/>
  <c r="Q53" i="15" s="1"/>
  <c r="H53" i="15" a="1"/>
  <c r="H53" i="15" s="1"/>
  <c r="I53" i="15" a="1"/>
  <c r="I53" i="15" s="1"/>
  <c r="AQ52" i="15"/>
  <c r="V115" i="15"/>
  <c r="P115" i="15"/>
  <c r="N115" i="15" s="1"/>
  <c r="J219" i="15"/>
  <c r="P247" i="15"/>
  <c r="N247" i="15" s="1"/>
  <c r="V247" i="15"/>
  <c r="P303" i="15"/>
  <c r="N303" i="15" s="1"/>
  <c r="V303" i="15"/>
  <c r="L128" i="15"/>
  <c r="V354" i="15"/>
  <c r="P354" i="15"/>
  <c r="N354" i="15" s="1"/>
  <c r="K198" i="15"/>
  <c r="U212" i="15"/>
  <c r="S212" i="15" s="1"/>
  <c r="L233" i="15"/>
  <c r="W121" i="15"/>
  <c r="U71" i="15"/>
  <c r="S71" i="15" s="1"/>
  <c r="AT24" i="15" a="1"/>
  <c r="AT24" i="15" s="1"/>
  <c r="AS24" i="15" a="1"/>
  <c r="AS24" i="15" s="1"/>
  <c r="AR24" i="15" a="1"/>
  <c r="AR24" i="15" s="1"/>
  <c r="R24" i="15" a="1"/>
  <c r="R24" i="15" s="1"/>
  <c r="M25" i="15"/>
  <c r="AU24" i="15" a="1"/>
  <c r="AU24" i="15" s="1"/>
  <c r="I24" i="15" a="1"/>
  <c r="I24" i="15" s="1"/>
  <c r="L24" i="15" s="1"/>
  <c r="O24" i="15" a="1"/>
  <c r="O24" i="15" s="1"/>
  <c r="Q24" i="15" a="1"/>
  <c r="Q24" i="15" s="1"/>
  <c r="H24" i="15" a="1"/>
  <c r="H24" i="15" s="1"/>
  <c r="K24" i="15" s="1"/>
  <c r="AV24" i="15" a="1"/>
  <c r="AV24" i="15" s="1"/>
  <c r="AQ23" i="15"/>
  <c r="AT73" i="15" a="1"/>
  <c r="AT73" i="15" s="1"/>
  <c r="AS73" i="15" a="1"/>
  <c r="AS73" i="15" s="1"/>
  <c r="AR73" i="15" a="1"/>
  <c r="AR73" i="15" s="1"/>
  <c r="Q73" i="15" a="1"/>
  <c r="Q73" i="15" s="1"/>
  <c r="I73" i="15" a="1"/>
  <c r="I73" i="15" s="1"/>
  <c r="M74" i="15"/>
  <c r="R73" i="15" a="1"/>
  <c r="R73" i="15" s="1"/>
  <c r="AU73" i="15" a="1"/>
  <c r="AU73" i="15" s="1"/>
  <c r="AV73" i="15" a="1"/>
  <c r="AV73" i="15" s="1"/>
  <c r="H73" i="15" a="1"/>
  <c r="H73" i="15" s="1"/>
  <c r="O73" i="15" a="1"/>
  <c r="O73" i="15" s="1"/>
  <c r="U246" i="15"/>
  <c r="S246" i="15" s="1"/>
  <c r="V290" i="15"/>
  <c r="P290" i="15"/>
  <c r="N290" i="15" s="1"/>
  <c r="AW212" i="15"/>
  <c r="AW141" i="15"/>
  <c r="L60" i="15"/>
  <c r="W115" i="15"/>
  <c r="W247" i="15"/>
  <c r="AT304" i="15" a="1"/>
  <c r="AT304" i="15" s="1"/>
  <c r="AS304" i="15" a="1"/>
  <c r="AS304" i="15" s="1"/>
  <c r="AR304" i="15" a="1"/>
  <c r="AR304" i="15" s="1"/>
  <c r="Q304" i="15" a="1"/>
  <c r="Q304" i="15" s="1"/>
  <c r="M305" i="15"/>
  <c r="H304" i="15" a="1"/>
  <c r="H304" i="15" s="1"/>
  <c r="I304" i="15" a="1"/>
  <c r="I304" i="15" s="1"/>
  <c r="R304" i="15" a="1"/>
  <c r="R304" i="15" s="1"/>
  <c r="AU304" i="15" a="1"/>
  <c r="AU304" i="15" s="1"/>
  <c r="O304" i="15" a="1"/>
  <c r="O304" i="15" s="1"/>
  <c r="AV304" i="15" a="1"/>
  <c r="AV304" i="15" s="1"/>
  <c r="AT143" i="15" a="1"/>
  <c r="AT143" i="15" s="1"/>
  <c r="AS143" i="15" a="1"/>
  <c r="AS143" i="15" s="1"/>
  <c r="AR143" i="15" a="1"/>
  <c r="AR143" i="15" s="1"/>
  <c r="Q143" i="15" a="1"/>
  <c r="Q143" i="15" s="1"/>
  <c r="I143" i="15" a="1"/>
  <c r="I143" i="15" s="1"/>
  <c r="L143" i="15" s="1"/>
  <c r="AV143" i="15" a="1"/>
  <c r="AV143" i="15" s="1"/>
  <c r="H143" i="15" a="1"/>
  <c r="H143" i="15" s="1"/>
  <c r="K143" i="15" s="1"/>
  <c r="AU143" i="15" a="1"/>
  <c r="AU143" i="15" s="1"/>
  <c r="O143" i="15" a="1"/>
  <c r="O143" i="15" s="1"/>
  <c r="M144" i="15"/>
  <c r="R143" i="15" a="1"/>
  <c r="R143" i="15" s="1"/>
  <c r="V128" i="15"/>
  <c r="P128" i="15"/>
  <c r="N128" i="15" s="1"/>
  <c r="U330" i="15"/>
  <c r="S330" i="15" s="1"/>
  <c r="V198" i="15"/>
  <c r="P198" i="15"/>
  <c r="N198" i="15" s="1"/>
  <c r="AW246" i="15"/>
  <c r="T233" i="15"/>
  <c r="AT18" i="15" a="1"/>
  <c r="AT18" i="15" s="1"/>
  <c r="S38" i="21" s="1"/>
  <c r="S39" i="21" s="1"/>
  <c r="L39" i="21" s="1"/>
  <c r="AS18" i="15" a="1"/>
  <c r="AS18" i="15" s="1"/>
  <c r="S36" i="21" s="1"/>
  <c r="AR18" i="15" a="1"/>
  <c r="AR18" i="15" s="1"/>
  <c r="AU18" i="15" a="1"/>
  <c r="AU18" i="15" s="1"/>
  <c r="H18" i="15" a="1"/>
  <c r="H18" i="15" s="1"/>
  <c r="I18" i="15" a="1"/>
  <c r="I18" i="15" s="1"/>
  <c r="R18" i="15" a="1"/>
  <c r="R18" i="15" s="1"/>
  <c r="AV18" i="15" a="1"/>
  <c r="AV18" i="15" s="1"/>
  <c r="S24" i="21" s="1"/>
  <c r="L24" i="21" s="1"/>
  <c r="O18" i="15" a="1"/>
  <c r="O18" i="15" s="1"/>
  <c r="Q18" i="15" a="1"/>
  <c r="Q18" i="15" s="1"/>
  <c r="R34" i="21"/>
  <c r="AQ17" i="15"/>
  <c r="AT214" i="15" a="1"/>
  <c r="AT214" i="15" s="1"/>
  <c r="AS214" i="15" a="1"/>
  <c r="AS214" i="15" s="1"/>
  <c r="AR214" i="15" a="1"/>
  <c r="AR214" i="15" s="1"/>
  <c r="R214" i="15" a="1"/>
  <c r="R214" i="15" s="1"/>
  <c r="O214" i="15" a="1"/>
  <c r="O214" i="15" s="1"/>
  <c r="AV214" i="15" a="1"/>
  <c r="AV214" i="15" s="1"/>
  <c r="AU214" i="15" a="1"/>
  <c r="AU214" i="15" s="1"/>
  <c r="I214" i="15" a="1"/>
  <c r="I214" i="15" s="1"/>
  <c r="H214" i="15" a="1"/>
  <c r="H214" i="15" s="1"/>
  <c r="Q214" i="15" a="1"/>
  <c r="Q214" i="15" s="1"/>
  <c r="P121" i="15"/>
  <c r="N121" i="15" s="1"/>
  <c r="V121" i="15"/>
  <c r="J127" i="15"/>
  <c r="W367" i="15"/>
  <c r="L72" i="15"/>
  <c r="AW274" i="15"/>
  <c r="J269" i="15"/>
  <c r="W150" i="15"/>
  <c r="U353" i="15"/>
  <c r="S353" i="15" s="1"/>
  <c r="J246" i="15"/>
  <c r="T52" i="15"/>
  <c r="J275" i="15"/>
  <c r="V60" i="15"/>
  <c r="P60" i="15"/>
  <c r="N60" i="15" s="1"/>
  <c r="AT220" i="15" a="1"/>
  <c r="AT220" i="15" s="1"/>
  <c r="AS220" i="15" a="1"/>
  <c r="AS220" i="15" s="1"/>
  <c r="AR220" i="15" a="1"/>
  <c r="AR220" i="15" s="1"/>
  <c r="Q220" i="15" a="1"/>
  <c r="Q220" i="15" s="1"/>
  <c r="AU220" i="15" a="1"/>
  <c r="AU220" i="15" s="1"/>
  <c r="AV220" i="15" a="1"/>
  <c r="AV220" i="15" s="1"/>
  <c r="I220" i="15" a="1"/>
  <c r="I220" i="15" s="1"/>
  <c r="L220" i="15" s="1"/>
  <c r="O220" i="15" a="1"/>
  <c r="O220" i="15" s="1"/>
  <c r="R220" i="15" a="1"/>
  <c r="R220" i="15" s="1"/>
  <c r="H220" i="15" a="1"/>
  <c r="H220" i="15" s="1"/>
  <c r="K220" i="15" s="1"/>
  <c r="M221" i="15"/>
  <c r="K247" i="15"/>
  <c r="Q6" i="21"/>
  <c r="AQ142" i="15"/>
  <c r="J354" i="15"/>
  <c r="W198" i="15"/>
  <c r="K233" i="15"/>
  <c r="R10" i="21"/>
  <c r="V17" i="15"/>
  <c r="P17" i="15"/>
  <c r="N17" i="15" s="1"/>
  <c r="L213" i="15"/>
  <c r="L121" i="15"/>
  <c r="Q42" i="21"/>
  <c r="AW16" i="15"/>
  <c r="K72" i="15"/>
  <c r="W269" i="15"/>
  <c r="J150" i="15"/>
  <c r="AT291" i="15" a="1"/>
  <c r="AT291" i="15" s="1"/>
  <c r="AS291" i="15" a="1"/>
  <c r="AS291" i="15" s="1"/>
  <c r="AR291" i="15" a="1"/>
  <c r="AR291" i="15" s="1"/>
  <c r="I291" i="15" a="1"/>
  <c r="I291" i="15" s="1"/>
  <c r="AU291" i="15" a="1"/>
  <c r="AU291" i="15" s="1"/>
  <c r="AV291" i="15" a="1"/>
  <c r="AV291" i="15" s="1"/>
  <c r="H291" i="15" a="1"/>
  <c r="H291" i="15" s="1"/>
  <c r="R291" i="15" a="1"/>
  <c r="R291" i="15" s="1"/>
  <c r="Q291" i="15" a="1"/>
  <c r="Q291" i="15" s="1"/>
  <c r="O291" i="15" a="1"/>
  <c r="O291" i="15" s="1"/>
  <c r="U232" i="15"/>
  <c r="S232" i="15" s="1"/>
  <c r="W52" i="15"/>
  <c r="W60" i="15"/>
  <c r="L303" i="15"/>
  <c r="T142" i="15"/>
  <c r="T128" i="15"/>
  <c r="AW59" i="15"/>
  <c r="AS234" i="15" a="1"/>
  <c r="AS234" i="15" s="1"/>
  <c r="AR234" i="15" a="1"/>
  <c r="AR234" i="15" s="1"/>
  <c r="AT234" i="15" a="1"/>
  <c r="AT234" i="15" s="1"/>
  <c r="AU234" i="15" a="1"/>
  <c r="AU234" i="15" s="1"/>
  <c r="R234" i="15" a="1"/>
  <c r="R234" i="15" s="1"/>
  <c r="Q234" i="15" a="1"/>
  <c r="Q234" i="15" s="1"/>
  <c r="M235" i="15"/>
  <c r="O234" i="15" a="1"/>
  <c r="O234" i="15" s="1"/>
  <c r="I234" i="15" a="1"/>
  <c r="I234" i="15" s="1"/>
  <c r="AV234" i="15" a="1"/>
  <c r="AV234" i="15" s="1"/>
  <c r="H234" i="15" a="1"/>
  <c r="H234" i="15" s="1"/>
  <c r="R16" i="21"/>
  <c r="R18" i="21" s="1"/>
  <c r="W17" i="15"/>
  <c r="T23" i="15"/>
  <c r="AQ367" i="15"/>
  <c r="W72" i="15"/>
  <c r="AQ72" i="15"/>
  <c r="P269" i="15"/>
  <c r="N269" i="15" s="1"/>
  <c r="V269" i="15"/>
  <c r="T290" i="15"/>
  <c r="K52" i="15"/>
  <c r="K60" i="15"/>
  <c r="AQ219" i="15"/>
  <c r="AT248" i="15" a="1"/>
  <c r="AT248" i="15" s="1"/>
  <c r="AS248" i="15" a="1"/>
  <c r="AS248" i="15" s="1"/>
  <c r="AR248" i="15" a="1"/>
  <c r="AR248" i="15" s="1"/>
  <c r="R248" i="15" a="1"/>
  <c r="R248" i="15" s="1"/>
  <c r="I248" i="15" a="1"/>
  <c r="I248" i="15" s="1"/>
  <c r="M249" i="15"/>
  <c r="O248" i="15" a="1"/>
  <c r="O248" i="15" s="1"/>
  <c r="AU248" i="15" a="1"/>
  <c r="AU248" i="15" s="1"/>
  <c r="H248" i="15" a="1"/>
  <c r="H248" i="15" s="1"/>
  <c r="AV248" i="15" a="1"/>
  <c r="AV248" i="15" s="1"/>
  <c r="Q248" i="15" a="1"/>
  <c r="Q248" i="15" s="1"/>
  <c r="J120" i="15"/>
  <c r="T303" i="15"/>
  <c r="K128" i="15"/>
  <c r="AW197" i="15"/>
  <c r="P233" i="15"/>
  <c r="N233" i="15" s="1"/>
  <c r="V233" i="15"/>
  <c r="R25" i="21"/>
  <c r="R40" i="21"/>
  <c r="T213" i="15"/>
  <c r="K121" i="15"/>
  <c r="T269" i="15"/>
  <c r="AW149" i="15"/>
  <c r="U141" i="15"/>
  <c r="S141" i="15" s="1"/>
  <c r="AS332" i="15" a="1"/>
  <c r="AS332" i="15" s="1"/>
  <c r="AT332" i="15" a="1"/>
  <c r="AT332" i="15" s="1"/>
  <c r="AR332" i="15" a="1"/>
  <c r="AR332" i="15" s="1"/>
  <c r="I332" i="15" a="1"/>
  <c r="I332" i="15" s="1"/>
  <c r="L332" i="15" s="1"/>
  <c r="R332" i="15" a="1"/>
  <c r="R332" i="15" s="1"/>
  <c r="H332" i="15" a="1"/>
  <c r="H332" i="15" s="1"/>
  <c r="K332" i="15" s="1"/>
  <c r="Q332" i="15" a="1"/>
  <c r="Q332" i="15" s="1"/>
  <c r="O332" i="15" a="1"/>
  <c r="O332" i="15" s="1"/>
  <c r="AV332" i="15" a="1"/>
  <c r="AV332" i="15" s="1"/>
  <c r="M333" i="15"/>
  <c r="AU332" i="15" a="1"/>
  <c r="AU332" i="15" s="1"/>
  <c r="Q18" i="21"/>
  <c r="P52" i="15"/>
  <c r="N52" i="15" s="1"/>
  <c r="V52" i="15"/>
  <c r="AT276" i="15" a="1"/>
  <c r="AT276" i="15" s="1"/>
  <c r="AS276" i="15" a="1"/>
  <c r="AS276" i="15" s="1"/>
  <c r="AR276" i="15" a="1"/>
  <c r="AR276" i="15" s="1"/>
  <c r="I276" i="15" a="1"/>
  <c r="I276" i="15" s="1"/>
  <c r="L276" i="15" s="1"/>
  <c r="H276" i="15" a="1"/>
  <c r="H276" i="15" s="1"/>
  <c r="K276" i="15" s="1"/>
  <c r="R276" i="15" a="1"/>
  <c r="R276" i="15" s="1"/>
  <c r="Q276" i="15" a="1"/>
  <c r="Q276" i="15" s="1"/>
  <c r="O276" i="15" a="1"/>
  <c r="O276" i="15" s="1"/>
  <c r="AU276" i="15" a="1"/>
  <c r="AU276" i="15" s="1"/>
  <c r="AV276" i="15" a="1"/>
  <c r="AV276" i="15" s="1"/>
  <c r="M277" i="15"/>
  <c r="AQ275" i="15"/>
  <c r="T60" i="15"/>
  <c r="AT116" i="15" a="1"/>
  <c r="AT116" i="15" s="1"/>
  <c r="AS116" i="15" a="1"/>
  <c r="AS116" i="15" s="1"/>
  <c r="AR116" i="15" a="1"/>
  <c r="AR116" i="15" s="1"/>
  <c r="O116" i="15" a="1"/>
  <c r="O116" i="15" s="1"/>
  <c r="H116" i="15" a="1"/>
  <c r="H116" i="15" s="1"/>
  <c r="AV116" i="15" a="1"/>
  <c r="AV116" i="15" s="1"/>
  <c r="AU116" i="15" a="1"/>
  <c r="AU116" i="15" s="1"/>
  <c r="R116" i="15" a="1"/>
  <c r="R116" i="15" s="1"/>
  <c r="I116" i="15" a="1"/>
  <c r="I116" i="15" s="1"/>
  <c r="Q116" i="15" a="1"/>
  <c r="Q116" i="15" s="1"/>
  <c r="AQ115" i="15"/>
  <c r="AQ247" i="15"/>
  <c r="W303" i="15"/>
  <c r="P142" i="15"/>
  <c r="N142" i="15" s="1"/>
  <c r="V142" i="15"/>
  <c r="W354" i="15"/>
  <c r="AT199" i="15" a="1"/>
  <c r="AT199" i="15" s="1"/>
  <c r="AS199" i="15" a="1"/>
  <c r="AS199" i="15" s="1"/>
  <c r="AR199" i="15" a="1"/>
  <c r="AR199" i="15" s="1"/>
  <c r="R199" i="15" a="1"/>
  <c r="R199" i="15" s="1"/>
  <c r="Q199" i="15" a="1"/>
  <c r="Q199" i="15" s="1"/>
  <c r="AU199" i="15" a="1"/>
  <c r="AU199" i="15" s="1"/>
  <c r="M200" i="15"/>
  <c r="H199" i="15" a="1"/>
  <c r="H199" i="15" s="1"/>
  <c r="O199" i="15" a="1"/>
  <c r="O199" i="15" s="1"/>
  <c r="I199" i="15" a="1"/>
  <c r="I199" i="15" s="1"/>
  <c r="AV199" i="15" a="1"/>
  <c r="AV199" i="15" s="1"/>
  <c r="U51" i="15"/>
  <c r="S51" i="15" s="1"/>
  <c r="K213" i="15"/>
  <c r="AW302" i="15"/>
  <c r="AQ121" i="15"/>
  <c r="AW127" i="15"/>
  <c r="P331" i="15"/>
  <c r="N331" i="15" s="1"/>
  <c r="V331" i="15"/>
  <c r="U331" i="15" s="1"/>
  <c r="U197" i="15"/>
  <c r="S197" i="15" s="1"/>
  <c r="T247" i="15"/>
  <c r="K303" i="15"/>
  <c r="AT129" i="15" a="1"/>
  <c r="AT129" i="15" s="1"/>
  <c r="AR129" i="15" a="1"/>
  <c r="AR129" i="15" s="1"/>
  <c r="AS129" i="15" a="1"/>
  <c r="AS129" i="15" s="1"/>
  <c r="M130" i="15"/>
  <c r="O129" i="15" a="1"/>
  <c r="O129" i="15" s="1"/>
  <c r="R129" i="15" a="1"/>
  <c r="R129" i="15" s="1"/>
  <c r="AU129" i="15" a="1"/>
  <c r="AU129" i="15" s="1"/>
  <c r="AV129" i="15" a="1"/>
  <c r="AV129" i="15" s="1"/>
  <c r="I129" i="15" a="1"/>
  <c r="I129" i="15" s="1"/>
  <c r="Q129" i="15" a="1"/>
  <c r="Q129" i="15" s="1"/>
  <c r="H129" i="15" a="1"/>
  <c r="H129" i="15" s="1"/>
  <c r="AQ128" i="15"/>
  <c r="T198" i="15"/>
  <c r="AQ198" i="15"/>
  <c r="AW330" i="15"/>
  <c r="W233" i="15"/>
  <c r="R4" i="21"/>
  <c r="R6" i="21" s="1"/>
  <c r="T17" i="15"/>
  <c r="W213" i="15"/>
  <c r="T121" i="15"/>
  <c r="V23" i="15"/>
  <c r="P23" i="15"/>
  <c r="N23" i="15" s="1"/>
  <c r="AW218" i="15"/>
  <c r="U120" i="15"/>
  <c r="S120" i="15" s="1"/>
  <c r="V367" i="15"/>
  <c r="P367" i="15"/>
  <c r="N367" i="15" s="1"/>
  <c r="P72" i="15"/>
  <c r="N72" i="15" s="1"/>
  <c r="V72" i="15"/>
  <c r="AW289" i="15"/>
  <c r="AW232" i="15"/>
  <c r="AW120" i="15"/>
  <c r="AT151" i="15" a="1"/>
  <c r="AT151" i="15" s="1"/>
  <c r="AS151" i="15" a="1"/>
  <c r="AS151" i="15" s="1"/>
  <c r="AR151" i="15" a="1"/>
  <c r="AR151" i="15" s="1"/>
  <c r="H151" i="15" a="1"/>
  <c r="H151" i="15" s="1"/>
  <c r="AU151" i="15" a="1"/>
  <c r="AU151" i="15" s="1"/>
  <c r="I151" i="15" a="1"/>
  <c r="I151" i="15" s="1"/>
  <c r="AV151" i="15" a="1"/>
  <c r="AV151" i="15" s="1"/>
  <c r="R151" i="15" a="1"/>
  <c r="R151" i="15" s="1"/>
  <c r="Q151" i="15" a="1"/>
  <c r="Q151" i="15" s="1"/>
  <c r="O151" i="15" a="1"/>
  <c r="O151" i="15" s="1"/>
  <c r="AQ150" i="15"/>
  <c r="AQ290" i="15"/>
  <c r="J212" i="15"/>
  <c r="AQ331" i="15"/>
  <c r="AW331" i="15" s="1"/>
  <c r="L52" i="15"/>
  <c r="AO18" i="15" l="1"/>
  <c r="AO17" i="15"/>
  <c r="AH17" i="15"/>
  <c r="U2" i="21"/>
  <c r="AK19" i="15"/>
  <c r="AL19" i="15"/>
  <c r="AK18" i="15"/>
  <c r="AJ18" i="15" s="1"/>
  <c r="AH18" i="15" s="1"/>
  <c r="AE17" i="15"/>
  <c r="U339" i="15"/>
  <c r="S339" i="15" s="1"/>
  <c r="U360" i="15"/>
  <c r="U157" i="15"/>
  <c r="S157" i="15" s="1"/>
  <c r="U30" i="15"/>
  <c r="S30" i="15" s="1"/>
  <c r="U107" i="15"/>
  <c r="S107" i="15" s="1"/>
  <c r="U326" i="15"/>
  <c r="U136" i="15"/>
  <c r="S136" i="15" s="1"/>
  <c r="J326" i="15"/>
  <c r="J262" i="15"/>
  <c r="U255" i="15"/>
  <c r="S255" i="15" s="1"/>
  <c r="U227" i="15"/>
  <c r="S227" i="15" s="1"/>
  <c r="U165" i="15"/>
  <c r="S165" i="15" s="1"/>
  <c r="S360" i="15"/>
  <c r="J186" i="15"/>
  <c r="U86" i="15"/>
  <c r="S86" i="15" s="1"/>
  <c r="U191" i="15"/>
  <c r="S191" i="15" s="1"/>
  <c r="D36" i="21"/>
  <c r="U346" i="15"/>
  <c r="S346" i="15" s="1"/>
  <c r="J179" i="15"/>
  <c r="AT263" i="15" a="1"/>
  <c r="AT263" i="15" s="1"/>
  <c r="AS263" i="15" a="1"/>
  <c r="AS263" i="15" s="1"/>
  <c r="AR263" i="15" a="1"/>
  <c r="AR263" i="15" s="1"/>
  <c r="O263" i="15" a="1"/>
  <c r="O263" i="15" s="1"/>
  <c r="H263" i="15" a="1"/>
  <c r="H263" i="15" s="1"/>
  <c r="AV263" i="15" a="1"/>
  <c r="AV263" i="15" s="1"/>
  <c r="Q263" i="15" a="1"/>
  <c r="Q263" i="15" s="1"/>
  <c r="R263" i="15" a="1"/>
  <c r="R263" i="15" s="1"/>
  <c r="AU263" i="15" a="1"/>
  <c r="AU263" i="15" s="1"/>
  <c r="I263" i="15" a="1"/>
  <c r="I263" i="15" s="1"/>
  <c r="AQ262" i="15"/>
  <c r="T262" i="15"/>
  <c r="J261" i="15"/>
  <c r="W262" i="15"/>
  <c r="U261" i="15"/>
  <c r="S261" i="15" s="1"/>
  <c r="V262" i="15"/>
  <c r="P262" i="15"/>
  <c r="N262" i="15" s="1"/>
  <c r="AW261" i="15"/>
  <c r="T108" i="15"/>
  <c r="U81" i="15"/>
  <c r="S81" i="15" s="1"/>
  <c r="J94" i="15"/>
  <c r="T87" i="15"/>
  <c r="J192" i="15"/>
  <c r="AW86" i="15"/>
  <c r="W87" i="15"/>
  <c r="J87" i="15"/>
  <c r="AQ87" i="15"/>
  <c r="V87" i="15"/>
  <c r="P87" i="15"/>
  <c r="N87" i="15" s="1"/>
  <c r="S44" i="15"/>
  <c r="AS88" i="15" a="1"/>
  <c r="AS88" i="15" s="1"/>
  <c r="AR88" i="15" a="1"/>
  <c r="AR88" i="15" s="1"/>
  <c r="R88" i="15" a="1"/>
  <c r="R88" i="15" s="1"/>
  <c r="Q88" i="15" a="1"/>
  <c r="Q88" i="15" s="1"/>
  <c r="AU88" i="15" a="1"/>
  <c r="AU88" i="15" s="1"/>
  <c r="H88" i="15" a="1"/>
  <c r="H88" i="15" s="1"/>
  <c r="AV88" i="15" a="1"/>
  <c r="AV88" i="15" s="1"/>
  <c r="AT88" i="15" a="1"/>
  <c r="AT88" i="15" s="1"/>
  <c r="I88" i="15" a="1"/>
  <c r="I88" i="15" s="1"/>
  <c r="O88" i="15" a="1"/>
  <c r="O88" i="15" s="1"/>
  <c r="U179" i="15"/>
  <c r="W361" i="15"/>
  <c r="AW44" i="15"/>
  <c r="AQ158" i="15"/>
  <c r="AW158" i="15" s="1"/>
  <c r="AW157" i="15"/>
  <c r="AW207" i="15"/>
  <c r="L158" i="15"/>
  <c r="V192" i="15"/>
  <c r="P192" i="15"/>
  <c r="N192" i="15" s="1"/>
  <c r="AQ45" i="15"/>
  <c r="V45" i="15"/>
  <c r="P45" i="15"/>
  <c r="N45" i="15" s="1"/>
  <c r="T256" i="15"/>
  <c r="W45" i="15"/>
  <c r="K256" i="15"/>
  <c r="U172" i="15"/>
  <c r="S172" i="15" s="1"/>
  <c r="AW227" i="15"/>
  <c r="T192" i="15"/>
  <c r="J45" i="15"/>
  <c r="I46" i="15" a="1"/>
  <c r="I46" i="15" s="1"/>
  <c r="R46" i="15" a="1"/>
  <c r="R46" i="15" s="1"/>
  <c r="H46" i="15" a="1"/>
  <c r="H46" i="15" s="1"/>
  <c r="AV46" i="15" a="1"/>
  <c r="AV46" i="15" s="1"/>
  <c r="AT46" i="15" a="1"/>
  <c r="AT46" i="15" s="1"/>
  <c r="O46" i="15" a="1"/>
  <c r="O46" i="15" s="1"/>
  <c r="Q46" i="15" a="1"/>
  <c r="Q46" i="15" s="1"/>
  <c r="AU46" i="15" a="1"/>
  <c r="AU46" i="15" s="1"/>
  <c r="AS46" i="15" a="1"/>
  <c r="AS46" i="15" s="1"/>
  <c r="AR46" i="15" a="1"/>
  <c r="AR46" i="15" s="1"/>
  <c r="U207" i="15"/>
  <c r="S207" i="15" s="1"/>
  <c r="J207" i="15"/>
  <c r="AQ256" i="15"/>
  <c r="T228" i="15"/>
  <c r="AW191" i="15"/>
  <c r="AW255" i="15"/>
  <c r="V256" i="15"/>
  <c r="P256" i="15"/>
  <c r="N256" i="15" s="1"/>
  <c r="P228" i="15"/>
  <c r="N228" i="15" s="1"/>
  <c r="V228" i="15"/>
  <c r="K158" i="15"/>
  <c r="AQ192" i="15"/>
  <c r="K228" i="15"/>
  <c r="T158" i="15"/>
  <c r="P158" i="15"/>
  <c r="N158" i="15" s="1"/>
  <c r="V158" i="15"/>
  <c r="W192" i="15"/>
  <c r="L256" i="15"/>
  <c r="AQ228" i="15"/>
  <c r="L228" i="15"/>
  <c r="W158" i="15"/>
  <c r="I193" i="15" a="1"/>
  <c r="I193" i="15" s="1"/>
  <c r="AT193" i="15" a="1"/>
  <c r="AT193" i="15" s="1"/>
  <c r="Q193" i="15" a="1"/>
  <c r="Q193" i="15" s="1"/>
  <c r="R193" i="15" a="1"/>
  <c r="R193" i="15" s="1"/>
  <c r="AS193" i="15" a="1"/>
  <c r="AS193" i="15" s="1"/>
  <c r="AV193" i="15" a="1"/>
  <c r="AV193" i="15" s="1"/>
  <c r="AR193" i="15" a="1"/>
  <c r="AR193" i="15" s="1"/>
  <c r="AU193" i="15" a="1"/>
  <c r="AU193" i="15" s="1"/>
  <c r="H193" i="15" a="1"/>
  <c r="H193" i="15" s="1"/>
  <c r="O193" i="15" a="1"/>
  <c r="O193" i="15" s="1"/>
  <c r="T45" i="15"/>
  <c r="W256" i="15"/>
  <c r="W228" i="15"/>
  <c r="U241" i="15"/>
  <c r="S241" i="15" s="1"/>
  <c r="W311" i="15"/>
  <c r="AQ137" i="15"/>
  <c r="AW93" i="15"/>
  <c r="AQ347" i="15"/>
  <c r="AQ94" i="15"/>
  <c r="AW346" i="15"/>
  <c r="W137" i="15"/>
  <c r="K137" i="15"/>
  <c r="T94" i="15"/>
  <c r="J311" i="15"/>
  <c r="P347" i="15"/>
  <c r="N347" i="15" s="1"/>
  <c r="V347" i="15"/>
  <c r="U93" i="15"/>
  <c r="S93" i="15" s="1"/>
  <c r="L137" i="15"/>
  <c r="I95" i="15" a="1"/>
  <c r="I95" i="15" s="1"/>
  <c r="AV95" i="15" a="1"/>
  <c r="AV95" i="15" s="1"/>
  <c r="O95" i="15" a="1"/>
  <c r="O95" i="15" s="1"/>
  <c r="R95" i="15" a="1"/>
  <c r="R95" i="15" s="1"/>
  <c r="AT95" i="15" a="1"/>
  <c r="AT95" i="15" s="1"/>
  <c r="H95" i="15" a="1"/>
  <c r="H95" i="15" s="1"/>
  <c r="AS95" i="15" a="1"/>
  <c r="AS95" i="15" s="1"/>
  <c r="AU95" i="15" a="1"/>
  <c r="AU95" i="15" s="1"/>
  <c r="AR95" i="15" a="1"/>
  <c r="AR95" i="15" s="1"/>
  <c r="Q95" i="15" a="1"/>
  <c r="Q95" i="15" s="1"/>
  <c r="P137" i="15"/>
  <c r="N137" i="15" s="1"/>
  <c r="V137" i="15"/>
  <c r="U310" i="15"/>
  <c r="S310" i="15" s="1"/>
  <c r="T137" i="15"/>
  <c r="W347" i="15"/>
  <c r="J172" i="15"/>
  <c r="W94" i="15"/>
  <c r="AW136" i="15"/>
  <c r="U186" i="15"/>
  <c r="S186" i="15" s="1"/>
  <c r="T347" i="15"/>
  <c r="K347" i="15"/>
  <c r="J347" i="15" s="1"/>
  <c r="V94" i="15"/>
  <c r="P94" i="15"/>
  <c r="N94" i="15" s="1"/>
  <c r="J361" i="15"/>
  <c r="W297" i="15"/>
  <c r="U38" i="15"/>
  <c r="S38" i="15" s="1"/>
  <c r="S179" i="15"/>
  <c r="J297" i="15"/>
  <c r="K242" i="15"/>
  <c r="K284" i="15"/>
  <c r="T31" i="15"/>
  <c r="L31" i="15"/>
  <c r="J31" i="15" s="1"/>
  <c r="W39" i="15"/>
  <c r="K10" i="21"/>
  <c r="D10" i="21" s="1"/>
  <c r="P11" i="15"/>
  <c r="N11" i="15" s="1"/>
  <c r="V11" i="15"/>
  <c r="AW310" i="15"/>
  <c r="Q109" i="15" a="1"/>
  <c r="Q109" i="15" s="1"/>
  <c r="AV109" i="15" a="1"/>
  <c r="AV109" i="15" s="1"/>
  <c r="R109" i="15" a="1"/>
  <c r="R109" i="15" s="1"/>
  <c r="AU109" i="15" a="1"/>
  <c r="AU109" i="15" s="1"/>
  <c r="I109" i="15" a="1"/>
  <c r="I109" i="15" s="1"/>
  <c r="AT109" i="15" a="1"/>
  <c r="AT109" i="15" s="1"/>
  <c r="AS109" i="15" a="1"/>
  <c r="AS109" i="15" s="1"/>
  <c r="H109" i="15" a="1"/>
  <c r="H109" i="15" s="1"/>
  <c r="O109" i="15" a="1"/>
  <c r="O109" i="15" s="1"/>
  <c r="AR109" i="15" a="1"/>
  <c r="AR109" i="15" s="1"/>
  <c r="P297" i="15"/>
  <c r="N297" i="15" s="1"/>
  <c r="V297" i="15"/>
  <c r="AW360" i="15"/>
  <c r="L284" i="15"/>
  <c r="AW38" i="15"/>
  <c r="AQ31" i="15"/>
  <c r="W108" i="15"/>
  <c r="I312" i="15" a="1"/>
  <c r="I312" i="15" s="1"/>
  <c r="Q312" i="15" a="1"/>
  <c r="Q312" i="15" s="1"/>
  <c r="AR312" i="15" a="1"/>
  <c r="AR312" i="15" s="1"/>
  <c r="R312" i="15" a="1"/>
  <c r="R312" i="15" s="1"/>
  <c r="AS312" i="15" a="1"/>
  <c r="AS312" i="15" s="1"/>
  <c r="O312" i="15" a="1"/>
  <c r="O312" i="15" s="1"/>
  <c r="AT312" i="15" a="1"/>
  <c r="AT312" i="15" s="1"/>
  <c r="AU312" i="15" a="1"/>
  <c r="AU312" i="15" s="1"/>
  <c r="AV312" i="15" a="1"/>
  <c r="AV312" i="15" s="1"/>
  <c r="H312" i="15" a="1"/>
  <c r="H312" i="15" s="1"/>
  <c r="V340" i="15"/>
  <c r="L340" i="15"/>
  <c r="AQ242" i="15"/>
  <c r="AQ284" i="15"/>
  <c r="K39" i="15"/>
  <c r="K25" i="21"/>
  <c r="D25" i="21" s="1"/>
  <c r="K40" i="21"/>
  <c r="D40" i="21" s="1"/>
  <c r="J165" i="15"/>
  <c r="AQ108" i="15"/>
  <c r="V108" i="15"/>
  <c r="P108" i="15"/>
  <c r="N108" i="15" s="1"/>
  <c r="AQ297" i="15"/>
  <c r="T311" i="15"/>
  <c r="AQ340" i="15"/>
  <c r="L242" i="15"/>
  <c r="AW296" i="15"/>
  <c r="V39" i="15"/>
  <c r="P39" i="15"/>
  <c r="N39" i="15" s="1"/>
  <c r="K16" i="21"/>
  <c r="D16" i="21" s="1"/>
  <c r="K19" i="21"/>
  <c r="W11" i="15"/>
  <c r="U296" i="15"/>
  <c r="S296" i="15" s="1"/>
  <c r="U10" i="15"/>
  <c r="S10" i="15" s="1"/>
  <c r="AW81" i="15"/>
  <c r="AW326" i="15"/>
  <c r="T340" i="15"/>
  <c r="P340" i="15"/>
  <c r="N340" i="15" s="1"/>
  <c r="T242" i="15"/>
  <c r="P242" i="15"/>
  <c r="N242" i="15" s="1"/>
  <c r="V242" i="15"/>
  <c r="W284" i="15"/>
  <c r="Q32" i="15" a="1"/>
  <c r="Q32" i="15" s="1"/>
  <c r="AV32" i="15" a="1"/>
  <c r="AV32" i="15" s="1"/>
  <c r="R32" i="15" a="1"/>
  <c r="R32" i="15" s="1"/>
  <c r="I32" i="15" a="1"/>
  <c r="I32" i="15" s="1"/>
  <c r="AU32" i="15" a="1"/>
  <c r="AU32" i="15" s="1"/>
  <c r="O32" i="15" a="1"/>
  <c r="O32" i="15" s="1"/>
  <c r="AT32" i="15" a="1"/>
  <c r="AT32" i="15" s="1"/>
  <c r="H32" i="15" a="1"/>
  <c r="H32" i="15" s="1"/>
  <c r="AS32" i="15" a="1"/>
  <c r="AS32" i="15" s="1"/>
  <c r="AR32" i="15" a="1"/>
  <c r="AR32" i="15" s="1"/>
  <c r="L39" i="15"/>
  <c r="K34" i="21"/>
  <c r="K41" i="21" s="1"/>
  <c r="D41" i="21" s="1"/>
  <c r="AQ11" i="15"/>
  <c r="K11" i="15"/>
  <c r="K5" i="21"/>
  <c r="P361" i="15"/>
  <c r="N361" i="15" s="1"/>
  <c r="V361" i="15"/>
  <c r="AW107" i="15"/>
  <c r="W340" i="15"/>
  <c r="W242" i="15"/>
  <c r="V284" i="15"/>
  <c r="P284" i="15"/>
  <c r="N284" i="15" s="1"/>
  <c r="V31" i="15"/>
  <c r="P31" i="15"/>
  <c r="N31" i="15" s="1"/>
  <c r="K4" i="21"/>
  <c r="D4" i="21" s="1"/>
  <c r="T11" i="15"/>
  <c r="U283" i="15"/>
  <c r="S283" i="15" s="1"/>
  <c r="J108" i="15"/>
  <c r="AQ311" i="15"/>
  <c r="S326" i="15"/>
  <c r="W31" i="15"/>
  <c r="T39" i="15"/>
  <c r="J42" i="21"/>
  <c r="AW10" i="15"/>
  <c r="AW283" i="15"/>
  <c r="D38" i="21"/>
  <c r="T361" i="15"/>
  <c r="AW241" i="15"/>
  <c r="T297" i="15"/>
  <c r="I22" i="21"/>
  <c r="D6" i="21"/>
  <c r="AW30" i="15"/>
  <c r="K340" i="15"/>
  <c r="T284" i="15"/>
  <c r="AQ39" i="15"/>
  <c r="K17" i="21"/>
  <c r="K11" i="21"/>
  <c r="K20" i="21"/>
  <c r="AN11" i="15" s="1"/>
  <c r="L11" i="15"/>
  <c r="D35" i="21"/>
  <c r="J43" i="21"/>
  <c r="D39" i="21"/>
  <c r="AQ361" i="15"/>
  <c r="J22" i="21"/>
  <c r="AW339" i="15"/>
  <c r="AU298" i="15" a="1"/>
  <c r="AU298" i="15" s="1"/>
  <c r="Q298" i="15" a="1"/>
  <c r="Q298" i="15" s="1"/>
  <c r="O298" i="15" a="1"/>
  <c r="O298" i="15" s="1"/>
  <c r="AV298" i="15" a="1"/>
  <c r="AV298" i="15" s="1"/>
  <c r="AR298" i="15" a="1"/>
  <c r="AR298" i="15" s="1"/>
  <c r="I298" i="15" a="1"/>
  <c r="I298" i="15" s="1"/>
  <c r="AS298" i="15" a="1"/>
  <c r="AS298" i="15" s="1"/>
  <c r="AT298" i="15" a="1"/>
  <c r="AT298" i="15" s="1"/>
  <c r="R298" i="15" a="1"/>
  <c r="R298" i="15" s="1"/>
  <c r="H298" i="15" a="1"/>
  <c r="H298" i="15" s="1"/>
  <c r="P311" i="15"/>
  <c r="N311" i="15" s="1"/>
  <c r="V311" i="15"/>
  <c r="U142" i="15"/>
  <c r="S142" i="15" s="1"/>
  <c r="J198" i="15"/>
  <c r="U290" i="15"/>
  <c r="S290" i="15" s="1"/>
  <c r="U275" i="15"/>
  <c r="S275" i="15" s="1"/>
  <c r="AW354" i="15"/>
  <c r="AW367" i="15"/>
  <c r="U269" i="15"/>
  <c r="S269" i="15" s="1"/>
  <c r="U367" i="15"/>
  <c r="S367" i="15" s="1"/>
  <c r="S331" i="15"/>
  <c r="T143" i="15"/>
  <c r="U72" i="15"/>
  <c r="S72" i="15" s="1"/>
  <c r="W276" i="15"/>
  <c r="J247" i="15"/>
  <c r="W143" i="15"/>
  <c r="U121" i="15"/>
  <c r="S121" i="15" s="1"/>
  <c r="J143" i="15"/>
  <c r="U219" i="15"/>
  <c r="S219" i="15" s="1"/>
  <c r="U303" i="15"/>
  <c r="S303" i="15" s="1"/>
  <c r="T276" i="15"/>
  <c r="J72" i="15"/>
  <c r="J276" i="15"/>
  <c r="J332" i="15"/>
  <c r="J128" i="15"/>
  <c r="T220" i="15"/>
  <c r="U60" i="15"/>
  <c r="S60" i="15" s="1"/>
  <c r="U115" i="15"/>
  <c r="S115" i="15" s="1"/>
  <c r="U23" i="15"/>
  <c r="S23" i="15" s="1"/>
  <c r="J24" i="15"/>
  <c r="AT333" i="15" a="1"/>
  <c r="AT333" i="15" s="1"/>
  <c r="AR333" i="15" a="1"/>
  <c r="AR333" i="15" s="1"/>
  <c r="AS333" i="15" a="1"/>
  <c r="AS333" i="15" s="1"/>
  <c r="AV333" i="15" a="1"/>
  <c r="AV333" i="15" s="1"/>
  <c r="AU333" i="15" a="1"/>
  <c r="AU333" i="15" s="1"/>
  <c r="R333" i="15" a="1"/>
  <c r="R333" i="15" s="1"/>
  <c r="H333" i="15" a="1"/>
  <c r="H333" i="15" s="1"/>
  <c r="I333" i="15" a="1"/>
  <c r="I333" i="15" s="1"/>
  <c r="Q333" i="15" a="1"/>
  <c r="Q333" i="15" s="1"/>
  <c r="O333" i="15" a="1"/>
  <c r="O333" i="15" s="1"/>
  <c r="V143" i="15"/>
  <c r="P143" i="15"/>
  <c r="N143" i="15" s="1"/>
  <c r="AW198" i="15"/>
  <c r="V129" i="15"/>
  <c r="P129" i="15"/>
  <c r="N129" i="15" s="1"/>
  <c r="L199" i="15"/>
  <c r="AW290" i="15"/>
  <c r="L151" i="15"/>
  <c r="L129" i="15"/>
  <c r="T199" i="15"/>
  <c r="W116" i="15"/>
  <c r="P276" i="15"/>
  <c r="N276" i="15" s="1"/>
  <c r="V276" i="15"/>
  <c r="AQ332" i="15"/>
  <c r="K248" i="15"/>
  <c r="AT235" i="15" a="1"/>
  <c r="AT235" i="15" s="1"/>
  <c r="AS235" i="15" a="1"/>
  <c r="AS235" i="15" s="1"/>
  <c r="AR235" i="15" a="1"/>
  <c r="AR235" i="15" s="1"/>
  <c r="H235" i="15" a="1"/>
  <c r="H235" i="15" s="1"/>
  <c r="AU235" i="15" a="1"/>
  <c r="AU235" i="15" s="1"/>
  <c r="AV235" i="15" a="1"/>
  <c r="AV235" i="15" s="1"/>
  <c r="R235" i="15" a="1"/>
  <c r="R235" i="15" s="1"/>
  <c r="O235" i="15" a="1"/>
  <c r="O235" i="15" s="1"/>
  <c r="I235" i="15" a="1"/>
  <c r="I235" i="15" s="1"/>
  <c r="Q235" i="15" a="1"/>
  <c r="Q235" i="15" s="1"/>
  <c r="L291" i="15"/>
  <c r="R12" i="21"/>
  <c r="R22" i="21" s="1"/>
  <c r="AW142" i="15"/>
  <c r="P220" i="15"/>
  <c r="N220" i="15" s="1"/>
  <c r="V220" i="15"/>
  <c r="V214" i="15"/>
  <c r="P214" i="15"/>
  <c r="N214" i="15" s="1"/>
  <c r="L18" i="15"/>
  <c r="S11" i="21"/>
  <c r="S20" i="21"/>
  <c r="AN18" i="15" s="1"/>
  <c r="S17" i="21"/>
  <c r="U128" i="15"/>
  <c r="S128" i="15" s="1"/>
  <c r="W304" i="15"/>
  <c r="AQ24" i="15"/>
  <c r="U354" i="15"/>
  <c r="S354" i="15" s="1"/>
  <c r="AQ53" i="15"/>
  <c r="V122" i="15"/>
  <c r="P122" i="15"/>
  <c r="N122" i="15" s="1"/>
  <c r="K18" i="15"/>
  <c r="S5" i="21"/>
  <c r="W73" i="15"/>
  <c r="AT25" i="15" a="1"/>
  <c r="AT25" i="15" s="1"/>
  <c r="AS25" i="15" a="1"/>
  <c r="AS25" i="15" s="1"/>
  <c r="AR25" i="15" a="1"/>
  <c r="AR25" i="15" s="1"/>
  <c r="AV25" i="15" a="1"/>
  <c r="AV25" i="15" s="1"/>
  <c r="R25" i="15" a="1"/>
  <c r="R25" i="15" s="1"/>
  <c r="H25" i="15" a="1"/>
  <c r="H25" i="15" s="1"/>
  <c r="O25" i="15" a="1"/>
  <c r="O25" i="15" s="1"/>
  <c r="I25" i="15" a="1"/>
  <c r="I25" i="15" s="1"/>
  <c r="Q25" i="15" a="1"/>
  <c r="Q25" i="15" s="1"/>
  <c r="AU25" i="15" a="1"/>
  <c r="AU25" i="15" s="1"/>
  <c r="U247" i="15"/>
  <c r="S247" i="15" s="1"/>
  <c r="L53" i="15"/>
  <c r="AT123" i="15" a="1"/>
  <c r="AT123" i="15" s="1"/>
  <c r="AR123" i="15" a="1"/>
  <c r="AR123" i="15" s="1"/>
  <c r="AS123" i="15" a="1"/>
  <c r="AS123" i="15" s="1"/>
  <c r="R123" i="15" a="1"/>
  <c r="R123" i="15" s="1"/>
  <c r="AU123" i="15" a="1"/>
  <c r="AU123" i="15" s="1"/>
  <c r="I123" i="15" a="1"/>
  <c r="I123" i="15" s="1"/>
  <c r="H123" i="15" a="1"/>
  <c r="H123" i="15" s="1"/>
  <c r="Q123" i="15" a="1"/>
  <c r="Q123" i="15" s="1"/>
  <c r="AV123" i="15" a="1"/>
  <c r="AV123" i="15" s="1"/>
  <c r="O123" i="15" a="1"/>
  <c r="O123" i="15" s="1"/>
  <c r="AW213" i="15"/>
  <c r="K151" i="15"/>
  <c r="AQ129" i="15"/>
  <c r="AT200" i="15" a="1"/>
  <c r="AT200" i="15" s="1"/>
  <c r="AS200" i="15" a="1"/>
  <c r="AS200" i="15" s="1"/>
  <c r="AR200" i="15" a="1"/>
  <c r="AR200" i="15" s="1"/>
  <c r="I200" i="15" a="1"/>
  <c r="I200" i="15" s="1"/>
  <c r="Q200" i="15" a="1"/>
  <c r="Q200" i="15" s="1"/>
  <c r="R200" i="15" a="1"/>
  <c r="R200" i="15" s="1"/>
  <c r="O200" i="15" a="1"/>
  <c r="O200" i="15" s="1"/>
  <c r="AU200" i="15" a="1"/>
  <c r="AU200" i="15" s="1"/>
  <c r="AV200" i="15" a="1"/>
  <c r="AV200" i="15" s="1"/>
  <c r="H200" i="15" a="1"/>
  <c r="H200" i="15" s="1"/>
  <c r="AW275" i="15"/>
  <c r="U52" i="15"/>
  <c r="S52" i="15" s="1"/>
  <c r="J121" i="15"/>
  <c r="T248" i="15"/>
  <c r="AW72" i="15"/>
  <c r="L18" i="21"/>
  <c r="W234" i="15"/>
  <c r="T291" i="15"/>
  <c r="J220" i="15"/>
  <c r="L214" i="15"/>
  <c r="AW17" i="15"/>
  <c r="R42" i="21"/>
  <c r="S40" i="21"/>
  <c r="L40" i="21" s="1"/>
  <c r="S25" i="21"/>
  <c r="L25" i="21" s="1"/>
  <c r="AQ143" i="15"/>
  <c r="K304" i="15"/>
  <c r="AS74" i="15" a="1"/>
  <c r="AS74" i="15" s="1"/>
  <c r="AR74" i="15" a="1"/>
  <c r="AR74" i="15" s="1"/>
  <c r="AT74" i="15" a="1"/>
  <c r="AT74" i="15" s="1"/>
  <c r="R74" i="15" a="1"/>
  <c r="R74" i="15" s="1"/>
  <c r="AV74" i="15" a="1"/>
  <c r="AV74" i="15" s="1"/>
  <c r="O74" i="15" a="1"/>
  <c r="O74" i="15" s="1"/>
  <c r="I74" i="15" a="1"/>
  <c r="I74" i="15" s="1"/>
  <c r="H74" i="15" a="1"/>
  <c r="H74" i="15" s="1"/>
  <c r="Q74" i="15" a="1"/>
  <c r="Q74" i="15" s="1"/>
  <c r="AU74" i="15" a="1"/>
  <c r="AU74" i="15" s="1"/>
  <c r="W24" i="15"/>
  <c r="K53" i="15"/>
  <c r="W270" i="15"/>
  <c r="W122" i="15"/>
  <c r="V234" i="15"/>
  <c r="P234" i="15"/>
  <c r="N234" i="15" s="1"/>
  <c r="AQ220" i="15"/>
  <c r="K214" i="15"/>
  <c r="AW23" i="15"/>
  <c r="AW150" i="15"/>
  <c r="AQ151" i="15"/>
  <c r="W129" i="15"/>
  <c r="J303" i="15"/>
  <c r="AW247" i="15"/>
  <c r="K116" i="15"/>
  <c r="T332" i="15"/>
  <c r="U233" i="15"/>
  <c r="S233" i="15" s="1"/>
  <c r="AT249" i="15" a="1"/>
  <c r="AT249" i="15" s="1"/>
  <c r="AS249" i="15" a="1"/>
  <c r="AS249" i="15" s="1"/>
  <c r="AR249" i="15" a="1"/>
  <c r="AR249" i="15" s="1"/>
  <c r="R249" i="15" a="1"/>
  <c r="R249" i="15" s="1"/>
  <c r="AV249" i="15" a="1"/>
  <c r="AV249" i="15" s="1"/>
  <c r="H249" i="15" a="1"/>
  <c r="H249" i="15" s="1"/>
  <c r="Q249" i="15" a="1"/>
  <c r="Q249" i="15" s="1"/>
  <c r="O249" i="15" a="1"/>
  <c r="O249" i="15" s="1"/>
  <c r="I249" i="15" a="1"/>
  <c r="I249" i="15" s="1"/>
  <c r="AU249" i="15" a="1"/>
  <c r="AU249" i="15" s="1"/>
  <c r="V291" i="15"/>
  <c r="P291" i="15"/>
  <c r="N291" i="15" s="1"/>
  <c r="J213" i="15"/>
  <c r="W220" i="15"/>
  <c r="S34" i="21"/>
  <c r="S41" i="21" s="1"/>
  <c r="L41" i="21" s="1"/>
  <c r="AQ18" i="15"/>
  <c r="U198" i="15"/>
  <c r="S198" i="15" s="1"/>
  <c r="AT144" i="15" a="1"/>
  <c r="AT144" i="15" s="1"/>
  <c r="AS144" i="15" a="1"/>
  <c r="AS144" i="15" s="1"/>
  <c r="AR144" i="15" a="1"/>
  <c r="AR144" i="15" s="1"/>
  <c r="H144" i="15" a="1"/>
  <c r="H144" i="15" s="1"/>
  <c r="AV144" i="15" a="1"/>
  <c r="AV144" i="15" s="1"/>
  <c r="AU144" i="15" a="1"/>
  <c r="AU144" i="15" s="1"/>
  <c r="R144" i="15" a="1"/>
  <c r="R144" i="15" s="1"/>
  <c r="I144" i="15" a="1"/>
  <c r="I144" i="15" s="1"/>
  <c r="Q144" i="15" a="1"/>
  <c r="Q144" i="15" s="1"/>
  <c r="O144" i="15" a="1"/>
  <c r="O144" i="15" s="1"/>
  <c r="AT305" i="15" a="1"/>
  <c r="AT305" i="15" s="1"/>
  <c r="AS305" i="15" a="1"/>
  <c r="AS305" i="15" s="1"/>
  <c r="AR305" i="15" a="1"/>
  <c r="AR305" i="15" s="1"/>
  <c r="AU305" i="15" a="1"/>
  <c r="AU305" i="15" s="1"/>
  <c r="R305" i="15" a="1"/>
  <c r="R305" i="15" s="1"/>
  <c r="AV305" i="15" a="1"/>
  <c r="AV305" i="15" s="1"/>
  <c r="H305" i="15" a="1"/>
  <c r="H305" i="15" s="1"/>
  <c r="I305" i="15" a="1"/>
  <c r="I305" i="15" s="1"/>
  <c r="Q305" i="15" a="1"/>
  <c r="Q305" i="15" s="1"/>
  <c r="O305" i="15" a="1"/>
  <c r="O305" i="15" s="1"/>
  <c r="L73" i="15"/>
  <c r="P53" i="15"/>
  <c r="N53" i="15" s="1"/>
  <c r="V53" i="15"/>
  <c r="U150" i="15"/>
  <c r="S150" i="15" s="1"/>
  <c r="P270" i="15"/>
  <c r="N270" i="15" s="1"/>
  <c r="V270" i="15"/>
  <c r="U213" i="15"/>
  <c r="S213" i="15" s="1"/>
  <c r="AW303" i="15"/>
  <c r="AW219" i="15"/>
  <c r="AQ291" i="15"/>
  <c r="AT221" i="15" a="1"/>
  <c r="AT221" i="15" s="1"/>
  <c r="AS221" i="15" a="1"/>
  <c r="AS221" i="15" s="1"/>
  <c r="AR221" i="15" a="1"/>
  <c r="AR221" i="15" s="1"/>
  <c r="R221" i="15" a="1"/>
  <c r="R221" i="15" s="1"/>
  <c r="H221" i="15" a="1"/>
  <c r="H221" i="15" s="1"/>
  <c r="Q221" i="15" a="1"/>
  <c r="Q221" i="15" s="1"/>
  <c r="O221" i="15" a="1"/>
  <c r="O221" i="15" s="1"/>
  <c r="AU221" i="15" a="1"/>
  <c r="AU221" i="15" s="1"/>
  <c r="I221" i="15" a="1"/>
  <c r="I221" i="15" s="1"/>
  <c r="AV221" i="15" a="1"/>
  <c r="AV221" i="15" s="1"/>
  <c r="L304" i="15"/>
  <c r="AW128" i="15"/>
  <c r="T129" i="15"/>
  <c r="P199" i="15"/>
  <c r="N199" i="15" s="1"/>
  <c r="V199" i="15"/>
  <c r="AW115" i="15"/>
  <c r="T116" i="15"/>
  <c r="AT277" i="15" a="1"/>
  <c r="AT277" i="15" s="1"/>
  <c r="AS277" i="15" a="1"/>
  <c r="AS277" i="15" s="1"/>
  <c r="AR277" i="15" a="1"/>
  <c r="AR277" i="15" s="1"/>
  <c r="AU277" i="15" a="1"/>
  <c r="AU277" i="15" s="1"/>
  <c r="H277" i="15" a="1"/>
  <c r="H277" i="15" s="1"/>
  <c r="Q277" i="15" a="1"/>
  <c r="Q277" i="15" s="1"/>
  <c r="O277" i="15" a="1"/>
  <c r="O277" i="15" s="1"/>
  <c r="R277" i="15" a="1"/>
  <c r="R277" i="15" s="1"/>
  <c r="I277" i="15" a="1"/>
  <c r="I277" i="15" s="1"/>
  <c r="AV277" i="15" a="1"/>
  <c r="AV277" i="15" s="1"/>
  <c r="AQ276" i="15"/>
  <c r="P332" i="15"/>
  <c r="N332" i="15" s="1"/>
  <c r="V332" i="15"/>
  <c r="L248" i="15"/>
  <c r="J52" i="15"/>
  <c r="K234" i="15"/>
  <c r="W291" i="15"/>
  <c r="S10" i="21"/>
  <c r="L10" i="21" s="1"/>
  <c r="V18" i="15"/>
  <c r="P18" i="15"/>
  <c r="N18" i="15" s="1"/>
  <c r="S37" i="21"/>
  <c r="L37" i="21" s="1"/>
  <c r="L36" i="21"/>
  <c r="P304" i="15"/>
  <c r="N304" i="15" s="1"/>
  <c r="V304" i="15"/>
  <c r="V73" i="15"/>
  <c r="P73" i="15"/>
  <c r="N73" i="15" s="1"/>
  <c r="W53" i="15"/>
  <c r="AW269" i="15"/>
  <c r="L270" i="15"/>
  <c r="T122" i="15"/>
  <c r="L38" i="21"/>
  <c r="T151" i="15"/>
  <c r="AR130" i="15" a="1"/>
  <c r="AR130" i="15" s="1"/>
  <c r="AT130" i="15" a="1"/>
  <c r="AT130" i="15" s="1"/>
  <c r="AS130" i="15" a="1"/>
  <c r="AS130" i="15" s="1"/>
  <c r="I130" i="15" a="1"/>
  <c r="I130" i="15" s="1"/>
  <c r="AV130" i="15" a="1"/>
  <c r="AV130" i="15" s="1"/>
  <c r="R130" i="15" a="1"/>
  <c r="R130" i="15" s="1"/>
  <c r="Q130" i="15" a="1"/>
  <c r="Q130" i="15" s="1"/>
  <c r="H130" i="15" a="1"/>
  <c r="H130" i="15" s="1"/>
  <c r="O130" i="15" a="1"/>
  <c r="O130" i="15" s="1"/>
  <c r="AU130" i="15" a="1"/>
  <c r="AU130" i="15" s="1"/>
  <c r="W199" i="15"/>
  <c r="AQ116" i="15"/>
  <c r="W248" i="15"/>
  <c r="AQ234" i="15"/>
  <c r="K291" i="15"/>
  <c r="Q22" i="21"/>
  <c r="L6" i="21"/>
  <c r="T214" i="15"/>
  <c r="S4" i="21"/>
  <c r="L4" i="21" s="1"/>
  <c r="T18" i="15"/>
  <c r="AQ304" i="15"/>
  <c r="T73" i="15"/>
  <c r="AQ73" i="15"/>
  <c r="P24" i="15"/>
  <c r="N24" i="15" s="1"/>
  <c r="V24" i="15"/>
  <c r="AQ270" i="15"/>
  <c r="L122" i="15"/>
  <c r="AQ122" i="15"/>
  <c r="AW60" i="15"/>
  <c r="K129" i="15"/>
  <c r="AQ199" i="15"/>
  <c r="P116" i="15"/>
  <c r="N116" i="15" s="1"/>
  <c r="V116" i="15"/>
  <c r="W332" i="15"/>
  <c r="V248" i="15"/>
  <c r="P248" i="15"/>
  <c r="N248" i="15" s="1"/>
  <c r="AQ248" i="15"/>
  <c r="L234" i="15"/>
  <c r="W214" i="15"/>
  <c r="T304" i="15"/>
  <c r="K73" i="15"/>
  <c r="T24" i="15"/>
  <c r="J233" i="15"/>
  <c r="T53" i="15"/>
  <c r="T270" i="15"/>
  <c r="K122" i="15"/>
  <c r="AW233" i="15"/>
  <c r="K199" i="15"/>
  <c r="P151" i="15"/>
  <c r="N151" i="15" s="1"/>
  <c r="V151" i="15"/>
  <c r="W151" i="15"/>
  <c r="AW121" i="15"/>
  <c r="L116" i="15"/>
  <c r="T234" i="15"/>
  <c r="U17" i="15"/>
  <c r="S17" i="15" s="1"/>
  <c r="AQ214" i="15"/>
  <c r="W18" i="15"/>
  <c r="S16" i="21"/>
  <c r="L16" i="21" s="1"/>
  <c r="S19" i="21"/>
  <c r="J60" i="15"/>
  <c r="AW52" i="15"/>
  <c r="K270" i="15"/>
  <c r="NY21" i="21"/>
  <c r="AJ19" i="15" l="1"/>
  <c r="AC17" i="15"/>
  <c r="AP17" i="15"/>
  <c r="V2" i="21"/>
  <c r="U25" i="21"/>
  <c r="U40" i="21"/>
  <c r="U4" i="21"/>
  <c r="U10" i="21"/>
  <c r="U38" i="21"/>
  <c r="U34" i="21"/>
  <c r="U36" i="21"/>
  <c r="U5" i="21"/>
  <c r="U16" i="21"/>
  <c r="U24" i="21"/>
  <c r="U17" i="21"/>
  <c r="U11" i="21"/>
  <c r="U12" i="21" s="1"/>
  <c r="U42" i="21"/>
  <c r="AM19" i="15"/>
  <c r="AF19" i="15"/>
  <c r="AG19" i="15"/>
  <c r="AN19" i="15"/>
  <c r="AK20" i="15"/>
  <c r="AI20" i="15"/>
  <c r="AG20" i="15"/>
  <c r="AD20" i="15"/>
  <c r="AF20" i="15"/>
  <c r="AD19" i="15"/>
  <c r="AI19" i="15"/>
  <c r="U361" i="15"/>
  <c r="S361" i="15" s="1"/>
  <c r="J158" i="15"/>
  <c r="U297" i="15"/>
  <c r="S297" i="15" s="1"/>
  <c r="K12" i="21"/>
  <c r="K22" i="21" s="1"/>
  <c r="D22" i="21" s="1"/>
  <c r="U39" i="15"/>
  <c r="S39" i="15" s="1"/>
  <c r="U311" i="15"/>
  <c r="S311" i="15" s="1"/>
  <c r="U108" i="15"/>
  <c r="S108" i="15" s="1"/>
  <c r="U116" i="15"/>
  <c r="U262" i="15"/>
  <c r="S262" i="15" s="1"/>
  <c r="U137" i="15"/>
  <c r="S137" i="15" s="1"/>
  <c r="J242" i="15"/>
  <c r="P263" i="15"/>
  <c r="N263" i="15" s="1"/>
  <c r="V263" i="15"/>
  <c r="AW262" i="15"/>
  <c r="K263" i="15"/>
  <c r="T263" i="15"/>
  <c r="L263" i="15"/>
  <c r="AQ263" i="15"/>
  <c r="W263" i="15"/>
  <c r="V88" i="15"/>
  <c r="P88" i="15"/>
  <c r="N88" i="15" s="1"/>
  <c r="AW87" i="15"/>
  <c r="W88" i="15"/>
  <c r="T88" i="15"/>
  <c r="AQ88" i="15"/>
  <c r="U94" i="15"/>
  <c r="S94" i="15" s="1"/>
  <c r="L88" i="15"/>
  <c r="K88" i="15"/>
  <c r="U256" i="15"/>
  <c r="S256" i="15" s="1"/>
  <c r="U87" i="15"/>
  <c r="S87" i="15" s="1"/>
  <c r="K193" i="15"/>
  <c r="L193" i="15"/>
  <c r="AW228" i="15"/>
  <c r="AW192" i="15"/>
  <c r="AQ46" i="15"/>
  <c r="W46" i="15"/>
  <c r="L46" i="15"/>
  <c r="AQ193" i="15"/>
  <c r="AW193" i="15" s="1"/>
  <c r="J256" i="15"/>
  <c r="U45" i="15"/>
  <c r="S45" i="15" s="1"/>
  <c r="P46" i="15"/>
  <c r="N46" i="15" s="1"/>
  <c r="V46" i="15"/>
  <c r="AW45" i="15"/>
  <c r="U228" i="15"/>
  <c r="S228" i="15" s="1"/>
  <c r="AW256" i="15"/>
  <c r="T46" i="15"/>
  <c r="U347" i="15"/>
  <c r="S347" i="15" s="1"/>
  <c r="W193" i="15"/>
  <c r="P193" i="15"/>
  <c r="N193" i="15" s="1"/>
  <c r="V193" i="15"/>
  <c r="J228" i="15"/>
  <c r="U192" i="15"/>
  <c r="S192" i="15" s="1"/>
  <c r="T193" i="15"/>
  <c r="U158" i="15"/>
  <c r="S158" i="15" s="1"/>
  <c r="K46" i="15"/>
  <c r="AW94" i="15"/>
  <c r="U284" i="15"/>
  <c r="S284" i="15" s="1"/>
  <c r="K95" i="15"/>
  <c r="J137" i="15"/>
  <c r="AW347" i="15"/>
  <c r="W95" i="15"/>
  <c r="AW137" i="15"/>
  <c r="T95" i="15"/>
  <c r="V95" i="15"/>
  <c r="P95" i="15"/>
  <c r="N95" i="15" s="1"/>
  <c r="U31" i="15"/>
  <c r="S31" i="15" s="1"/>
  <c r="AQ95" i="15"/>
  <c r="L95" i="15"/>
  <c r="J11" i="15"/>
  <c r="U340" i="15"/>
  <c r="S340" i="15" s="1"/>
  <c r="K298" i="15"/>
  <c r="V298" i="15"/>
  <c r="P298" i="15"/>
  <c r="N298" i="15" s="1"/>
  <c r="AW39" i="15"/>
  <c r="V32" i="15"/>
  <c r="P32" i="15"/>
  <c r="N32" i="15" s="1"/>
  <c r="L109" i="15"/>
  <c r="W298" i="15"/>
  <c r="AW311" i="15"/>
  <c r="K42" i="21"/>
  <c r="K43" i="21" s="1"/>
  <c r="D43" i="21" s="1"/>
  <c r="AW11" i="15"/>
  <c r="K32" i="15"/>
  <c r="AW340" i="15"/>
  <c r="AW284" i="15"/>
  <c r="W312" i="15"/>
  <c r="AG11" i="15"/>
  <c r="AE11" i="15" s="1"/>
  <c r="D19" i="21"/>
  <c r="D34" i="21"/>
  <c r="AQ312" i="15"/>
  <c r="AW31" i="15"/>
  <c r="W109" i="15"/>
  <c r="T32" i="15"/>
  <c r="AW242" i="15"/>
  <c r="K312" i="15"/>
  <c r="V312" i="15"/>
  <c r="P312" i="15"/>
  <c r="N312" i="15" s="1"/>
  <c r="AQ109" i="15"/>
  <c r="U11" i="15"/>
  <c r="S11" i="15" s="1"/>
  <c r="J284" i="15"/>
  <c r="L298" i="15"/>
  <c r="U242" i="15"/>
  <c r="S242" i="15" s="1"/>
  <c r="AW108" i="15"/>
  <c r="J39" i="15"/>
  <c r="L312" i="15"/>
  <c r="T109" i="15"/>
  <c r="V109" i="15"/>
  <c r="P109" i="15"/>
  <c r="N109" i="15" s="1"/>
  <c r="AQ298" i="15"/>
  <c r="L32" i="15"/>
  <c r="K109" i="15"/>
  <c r="W32" i="15"/>
  <c r="AW297" i="15"/>
  <c r="T298" i="15"/>
  <c r="AW361" i="15"/>
  <c r="AQ32" i="15"/>
  <c r="J340" i="15"/>
  <c r="T312" i="15"/>
  <c r="J199" i="15"/>
  <c r="U304" i="15"/>
  <c r="S304" i="15" s="1"/>
  <c r="U129" i="15"/>
  <c r="S129" i="15" s="1"/>
  <c r="J53" i="15"/>
  <c r="U270" i="15"/>
  <c r="S270" i="15" s="1"/>
  <c r="U276" i="15"/>
  <c r="S276" i="15" s="1"/>
  <c r="J234" i="15"/>
  <c r="U143" i="15"/>
  <c r="S143" i="15" s="1"/>
  <c r="J73" i="15"/>
  <c r="U73" i="15"/>
  <c r="S73" i="15" s="1"/>
  <c r="U234" i="15"/>
  <c r="J214" i="15"/>
  <c r="J18" i="15"/>
  <c r="J291" i="15"/>
  <c r="J129" i="15"/>
  <c r="J122" i="15"/>
  <c r="U332" i="15"/>
  <c r="S332" i="15" s="1"/>
  <c r="U199" i="15"/>
  <c r="S199" i="15" s="1"/>
  <c r="U248" i="15"/>
  <c r="S248" i="15" s="1"/>
  <c r="U122" i="15"/>
  <c r="S122" i="15" s="1"/>
  <c r="AW270" i="15"/>
  <c r="V130" i="15"/>
  <c r="P130" i="15"/>
  <c r="N130" i="15" s="1"/>
  <c r="P277" i="15"/>
  <c r="N277" i="15" s="1"/>
  <c r="V277" i="15"/>
  <c r="L221" i="15"/>
  <c r="U151" i="15"/>
  <c r="S151" i="15" s="1"/>
  <c r="AW199" i="15"/>
  <c r="AW116" i="15"/>
  <c r="W130" i="15"/>
  <c r="K277" i="15"/>
  <c r="U53" i="15"/>
  <c r="S53" i="15" s="1"/>
  <c r="L305" i="15"/>
  <c r="T144" i="15"/>
  <c r="W249" i="15"/>
  <c r="T74" i="15"/>
  <c r="J304" i="15"/>
  <c r="L200" i="15"/>
  <c r="L123" i="15"/>
  <c r="W25" i="15"/>
  <c r="U220" i="15"/>
  <c r="S220" i="15" s="1"/>
  <c r="AW332" i="15"/>
  <c r="J151" i="15"/>
  <c r="L333" i="15"/>
  <c r="AW214" i="15"/>
  <c r="AW73" i="15"/>
  <c r="AW276" i="15"/>
  <c r="T221" i="15"/>
  <c r="AW291" i="15"/>
  <c r="K305" i="15"/>
  <c r="V144" i="15"/>
  <c r="P144" i="15"/>
  <c r="N144" i="15" s="1"/>
  <c r="AQ249" i="15"/>
  <c r="AW143" i="15"/>
  <c r="AQ200" i="15"/>
  <c r="AW200" i="15" s="1"/>
  <c r="K235" i="15"/>
  <c r="K333" i="15"/>
  <c r="AW122" i="15"/>
  <c r="L130" i="15"/>
  <c r="J270" i="15"/>
  <c r="AQ277" i="15"/>
  <c r="P221" i="15"/>
  <c r="N221" i="15" s="1"/>
  <c r="V221" i="15"/>
  <c r="L144" i="15"/>
  <c r="AW151" i="15"/>
  <c r="AW220" i="15"/>
  <c r="U24" i="15"/>
  <c r="S24" i="15" s="1"/>
  <c r="W74" i="15"/>
  <c r="K200" i="15"/>
  <c r="W123" i="15"/>
  <c r="AQ25" i="15"/>
  <c r="U214" i="15"/>
  <c r="S214" i="15" s="1"/>
  <c r="AQ235" i="15"/>
  <c r="W333" i="15"/>
  <c r="L19" i="21"/>
  <c r="AG18" i="15"/>
  <c r="AE18" i="15" s="1"/>
  <c r="AW234" i="15"/>
  <c r="K221" i="15"/>
  <c r="W305" i="15"/>
  <c r="W144" i="15"/>
  <c r="AW18" i="15"/>
  <c r="S42" i="21"/>
  <c r="S43" i="21" s="1"/>
  <c r="L43" i="21" s="1"/>
  <c r="L249" i="15"/>
  <c r="P235" i="15"/>
  <c r="N235" i="15" s="1"/>
  <c r="V235" i="15"/>
  <c r="U18" i="15"/>
  <c r="S18" i="15" s="1"/>
  <c r="L277" i="15"/>
  <c r="W221" i="15"/>
  <c r="U291" i="15"/>
  <c r="S291" i="15" s="1"/>
  <c r="T249" i="15"/>
  <c r="AQ74" i="15"/>
  <c r="T123" i="15"/>
  <c r="AQ123" i="15"/>
  <c r="P25" i="15"/>
  <c r="N25" i="15" s="1"/>
  <c r="V25" i="15"/>
  <c r="L235" i="15"/>
  <c r="AW248" i="15"/>
  <c r="AW304" i="15"/>
  <c r="T130" i="15"/>
  <c r="AQ130" i="15"/>
  <c r="W277" i="15"/>
  <c r="S116" i="15"/>
  <c r="AQ221" i="15"/>
  <c r="AQ305" i="15"/>
  <c r="L34" i="21"/>
  <c r="P249" i="15"/>
  <c r="N249" i="15" s="1"/>
  <c r="V249" i="15"/>
  <c r="S234" i="15"/>
  <c r="V74" i="15"/>
  <c r="P74" i="15"/>
  <c r="N74" i="15" s="1"/>
  <c r="T200" i="15"/>
  <c r="L25" i="15"/>
  <c r="AW24" i="15"/>
  <c r="T235" i="15"/>
  <c r="K130" i="15"/>
  <c r="T277" i="15"/>
  <c r="T305" i="15"/>
  <c r="K144" i="15"/>
  <c r="K249" i="15"/>
  <c r="K74" i="15"/>
  <c r="W200" i="15"/>
  <c r="P123" i="15"/>
  <c r="N123" i="15" s="1"/>
  <c r="V123" i="15"/>
  <c r="T25" i="15"/>
  <c r="W235" i="15"/>
  <c r="J248" i="15"/>
  <c r="T333" i="15"/>
  <c r="AQ333" i="15"/>
  <c r="P305" i="15"/>
  <c r="N305" i="15" s="1"/>
  <c r="V305" i="15"/>
  <c r="AQ144" i="15"/>
  <c r="J116" i="15"/>
  <c r="L74" i="15"/>
  <c r="P200" i="15"/>
  <c r="N200" i="15" s="1"/>
  <c r="V200" i="15"/>
  <c r="AW129" i="15"/>
  <c r="K123" i="15"/>
  <c r="K25" i="15"/>
  <c r="AW53" i="15"/>
  <c r="S12" i="21"/>
  <c r="S22" i="21" s="1"/>
  <c r="L22" i="21" s="1"/>
  <c r="V333" i="15"/>
  <c r="P333" i="15"/>
  <c r="N333" i="15" s="1"/>
  <c r="NZ21" i="21"/>
  <c r="NZ15" i="21"/>
  <c r="NY9" i="21"/>
  <c r="NY15" i="21"/>
  <c r="U18" i="21" l="1"/>
  <c r="AE20" i="15"/>
  <c r="AC20" i="15" s="1"/>
  <c r="AO19" i="15"/>
  <c r="AH19" i="15"/>
  <c r="AO20" i="15"/>
  <c r="AE19" i="15"/>
  <c r="U6" i="21"/>
  <c r="W2" i="21"/>
  <c r="V11" i="21"/>
  <c r="V25" i="21"/>
  <c r="V4" i="21"/>
  <c r="V36" i="21"/>
  <c r="V24" i="21"/>
  <c r="V38" i="21"/>
  <c r="V10" i="21"/>
  <c r="V34" i="21"/>
  <c r="V40" i="21"/>
  <c r="V16" i="21"/>
  <c r="V17" i="21"/>
  <c r="V5" i="21"/>
  <c r="V6" i="21" s="1"/>
  <c r="V42" i="21"/>
  <c r="AL20" i="15"/>
  <c r="AJ20" i="15" s="1"/>
  <c r="AM20" i="15"/>
  <c r="AN20" i="15"/>
  <c r="D12" i="21"/>
  <c r="J88" i="15"/>
  <c r="J109" i="15"/>
  <c r="J263" i="15"/>
  <c r="U193" i="15"/>
  <c r="S193" i="15" s="1"/>
  <c r="AW263" i="15"/>
  <c r="U263" i="15"/>
  <c r="S263" i="15" s="1"/>
  <c r="U298" i="15"/>
  <c r="S298" i="15" s="1"/>
  <c r="J46" i="15"/>
  <c r="U46" i="15"/>
  <c r="S46" i="15" s="1"/>
  <c r="U95" i="15"/>
  <c r="S95" i="15" s="1"/>
  <c r="AW88" i="15"/>
  <c r="U88" i="15"/>
  <c r="S88" i="15" s="1"/>
  <c r="AW46" i="15"/>
  <c r="J193" i="15"/>
  <c r="U109" i="15"/>
  <c r="S109" i="15" s="1"/>
  <c r="AW95" i="15"/>
  <c r="J95" i="15"/>
  <c r="AW32" i="15"/>
  <c r="U312" i="15"/>
  <c r="S312" i="15" s="1"/>
  <c r="AW312" i="15"/>
  <c r="J298" i="15"/>
  <c r="AW298" i="15"/>
  <c r="J32" i="15"/>
  <c r="U32" i="15"/>
  <c r="S32" i="15" s="1"/>
  <c r="J312" i="15"/>
  <c r="AW109" i="15"/>
  <c r="AC11" i="15"/>
  <c r="AP11" i="15"/>
  <c r="D42" i="21"/>
  <c r="J123" i="15"/>
  <c r="J221" i="15"/>
  <c r="J144" i="15"/>
  <c r="J25" i="15"/>
  <c r="J249" i="15"/>
  <c r="U74" i="15"/>
  <c r="S74" i="15" s="1"/>
  <c r="U249" i="15"/>
  <c r="S249" i="15" s="1"/>
  <c r="U333" i="15"/>
  <c r="S333" i="15" s="1"/>
  <c r="J200" i="15"/>
  <c r="J333" i="15"/>
  <c r="U235" i="15"/>
  <c r="S235" i="15" s="1"/>
  <c r="AW305" i="15"/>
  <c r="U305" i="15"/>
  <c r="S305" i="15" s="1"/>
  <c r="J74" i="15"/>
  <c r="J305" i="15"/>
  <c r="J277" i="15"/>
  <c r="U277" i="15"/>
  <c r="S277" i="15" s="1"/>
  <c r="AC18" i="15"/>
  <c r="AP18" i="15"/>
  <c r="J235" i="15"/>
  <c r="U123" i="15"/>
  <c r="S123" i="15" s="1"/>
  <c r="L12" i="21"/>
  <c r="AW249" i="15"/>
  <c r="U25" i="15"/>
  <c r="S25" i="15" s="1"/>
  <c r="U200" i="15"/>
  <c r="S200" i="15" s="1"/>
  <c r="AW123" i="15"/>
  <c r="AW25" i="15"/>
  <c r="U221" i="15"/>
  <c r="S221" i="15" s="1"/>
  <c r="J130" i="15"/>
  <c r="U130" i="15"/>
  <c r="S130" i="15" s="1"/>
  <c r="AW333" i="15"/>
  <c r="AW144" i="15"/>
  <c r="AW221" i="15"/>
  <c r="AW130" i="15"/>
  <c r="AW277" i="15"/>
  <c r="U144" i="15"/>
  <c r="S144" i="15" s="1"/>
  <c r="AW74" i="15"/>
  <c r="AW235" i="15"/>
  <c r="L42" i="21"/>
  <c r="OA15" i="21"/>
  <c r="OA21" i="21"/>
  <c r="NZ9" i="21"/>
  <c r="NZ31" i="21" s="1"/>
  <c r="X2" i="21" l="1"/>
  <c r="W36" i="21"/>
  <c r="W38" i="21"/>
  <c r="W5" i="21"/>
  <c r="W24" i="21"/>
  <c r="W10" i="21"/>
  <c r="W17" i="21"/>
  <c r="W18" i="21" s="1"/>
  <c r="W34" i="21"/>
  <c r="W16" i="21"/>
  <c r="W25" i="21"/>
  <c r="W4" i="21"/>
  <c r="W11" i="21"/>
  <c r="W40" i="21"/>
  <c r="W42" i="21"/>
  <c r="AN22" i="15"/>
  <c r="AL21" i="15"/>
  <c r="AN21" i="15"/>
  <c r="AF22" i="15"/>
  <c r="AF21" i="15"/>
  <c r="AD22" i="15"/>
  <c r="AI21" i="15"/>
  <c r="AK22" i="15"/>
  <c r="AD21" i="15"/>
  <c r="AM21" i="15"/>
  <c r="AG21" i="15"/>
  <c r="U22" i="21"/>
  <c r="AC19" i="15"/>
  <c r="AP19" i="15"/>
  <c r="V18" i="21"/>
  <c r="AH20" i="15"/>
  <c r="AP20" i="15"/>
  <c r="V12" i="21"/>
  <c r="OB21" i="21"/>
  <c r="OA9" i="21"/>
  <c r="OA31" i="21" s="1"/>
  <c r="V22" i="21" l="1"/>
  <c r="AO21" i="15"/>
  <c r="AE21" i="15"/>
  <c r="AC21" i="15" s="1"/>
  <c r="W12" i="21"/>
  <c r="W6" i="21"/>
  <c r="Y2" i="21"/>
  <c r="X25" i="21"/>
  <c r="X4" i="21"/>
  <c r="X6" i="21" s="1"/>
  <c r="X22" i="21" s="1"/>
  <c r="X34" i="21"/>
  <c r="X24" i="21"/>
  <c r="X38" i="21"/>
  <c r="X40" i="21"/>
  <c r="X10" i="21"/>
  <c r="X12" i="21" s="1"/>
  <c r="X16" i="21"/>
  <c r="X18" i="21" s="1"/>
  <c r="X42" i="21"/>
  <c r="OC15" i="21"/>
  <c r="OA23" i="21"/>
  <c r="OB9" i="21"/>
  <c r="OB15" i="21"/>
  <c r="OC21" i="21"/>
  <c r="Z2" i="21" l="1"/>
  <c r="Y40" i="21"/>
  <c r="Y34" i="21"/>
  <c r="Y24" i="21"/>
  <c r="Y25" i="21"/>
  <c r="Y36" i="21"/>
  <c r="Y16" i="21"/>
  <c r="Y18" i="21" s="1"/>
  <c r="Y38" i="21"/>
  <c r="Y4" i="21"/>
  <c r="Y6" i="21" s="1"/>
  <c r="Y42" i="21"/>
  <c r="W22" i="21"/>
  <c r="OB31" i="21"/>
  <c r="OC9" i="21"/>
  <c r="OD21" i="21"/>
  <c r="OB23" i="21"/>
  <c r="Y22" i="21" l="1"/>
  <c r="AA2" i="21"/>
  <c r="Z36" i="21"/>
  <c r="Z25" i="21"/>
  <c r="Z40" i="21"/>
  <c r="Z41" i="21" s="1"/>
  <c r="Z24" i="21"/>
  <c r="Z16" i="21"/>
  <c r="Z18" i="21" s="1"/>
  <c r="T18" i="21" s="1"/>
  <c r="Z34" i="21"/>
  <c r="Z35" i="21" s="1"/>
  <c r="T35" i="21" s="1"/>
  <c r="Z10" i="21"/>
  <c r="Z4" i="21"/>
  <c r="Z6" i="21" s="1"/>
  <c r="Z38" i="21"/>
  <c r="Z39" i="21" s="1"/>
  <c r="Z42" i="21"/>
  <c r="OC31" i="21"/>
  <c r="OD15" i="21"/>
  <c r="NX21" i="21"/>
  <c r="OD9" i="21"/>
  <c r="NX9" i="21" s="1"/>
  <c r="NX7" i="21"/>
  <c r="OC23" i="21"/>
  <c r="Z43" i="21" l="1"/>
  <c r="T6" i="21"/>
  <c r="AC2" i="21"/>
  <c r="AA36" i="21"/>
  <c r="AA38" i="21"/>
  <c r="AA24" i="21"/>
  <c r="T24" i="21" s="1"/>
  <c r="AA40" i="21"/>
  <c r="T40" i="21" s="1"/>
  <c r="AA25" i="21"/>
  <c r="T25" i="21" s="1"/>
  <c r="AA10" i="21"/>
  <c r="AA12" i="21" s="1"/>
  <c r="AA22" i="21" s="1"/>
  <c r="AA17" i="21"/>
  <c r="AA16" i="21"/>
  <c r="T16" i="21" s="1"/>
  <c r="AA20" i="21"/>
  <c r="AN25" i="15" s="1"/>
  <c r="AA4" i="21"/>
  <c r="T4" i="21" s="1"/>
  <c r="AA19" i="21"/>
  <c r="T19" i="21" s="1"/>
  <c r="AA5" i="21"/>
  <c r="AA34" i="21"/>
  <c r="AA42" i="21"/>
  <c r="AA43" i="21" s="1"/>
  <c r="T43" i="21" s="1"/>
  <c r="Z12" i="21"/>
  <c r="T12" i="21" s="1"/>
  <c r="T10" i="21"/>
  <c r="OD31" i="21"/>
  <c r="OG21" i="21"/>
  <c r="OD23" i="21"/>
  <c r="AG25" i="15" l="1"/>
  <c r="AA39" i="21"/>
  <c r="T39" i="21" s="1"/>
  <c r="T38" i="21"/>
  <c r="AA37" i="21"/>
  <c r="T37" i="21" s="1"/>
  <c r="T36" i="21"/>
  <c r="AD2" i="21"/>
  <c r="AC10" i="21"/>
  <c r="AC34" i="21"/>
  <c r="AC38" i="21"/>
  <c r="AC36" i="21"/>
  <c r="AC5" i="21"/>
  <c r="AC16" i="21"/>
  <c r="AC40" i="21"/>
  <c r="AC11" i="21"/>
  <c r="AC25" i="21"/>
  <c r="AC24" i="21"/>
  <c r="AC17" i="21"/>
  <c r="AC42" i="21"/>
  <c r="AC4" i="21"/>
  <c r="AC6" i="21" s="1"/>
  <c r="Z22" i="21"/>
  <c r="T22" i="21" s="1"/>
  <c r="AA41" i="21"/>
  <c r="T41" i="21" s="1"/>
  <c r="T34" i="21"/>
  <c r="T42" i="21"/>
  <c r="OH21" i="21"/>
  <c r="OG22" i="21"/>
  <c r="OG9" i="21"/>
  <c r="OH15" i="21"/>
  <c r="OG15" i="21"/>
  <c r="AC18" i="21" l="1"/>
  <c r="AC12" i="21"/>
  <c r="AC22" i="21" s="1"/>
  <c r="AE2" i="21"/>
  <c r="AD5" i="21"/>
  <c r="AD25" i="21"/>
  <c r="AD34" i="21"/>
  <c r="AD4" i="21"/>
  <c r="AD6" i="21" s="1"/>
  <c r="AD16" i="21"/>
  <c r="AD38" i="21"/>
  <c r="AD11" i="21"/>
  <c r="AD10" i="21"/>
  <c r="AD24" i="21"/>
  <c r="AD36" i="21"/>
  <c r="AD17" i="21"/>
  <c r="AD40" i="21"/>
  <c r="AD42" i="21"/>
  <c r="OI15" i="21"/>
  <c r="OH22" i="21"/>
  <c r="OI21" i="21"/>
  <c r="OG23" i="21"/>
  <c r="OH9" i="21"/>
  <c r="OJ15" i="21"/>
  <c r="AD18" i="21" l="1"/>
  <c r="AF2" i="21"/>
  <c r="AE36" i="21"/>
  <c r="AE24" i="21"/>
  <c r="AE16" i="21"/>
  <c r="AE4" i="21"/>
  <c r="AE10" i="21"/>
  <c r="AE38" i="21"/>
  <c r="AE25" i="21"/>
  <c r="AE17" i="21"/>
  <c r="AE34" i="21"/>
  <c r="AE40" i="21"/>
  <c r="AE5" i="21"/>
  <c r="AE11" i="21"/>
  <c r="AE42" i="21"/>
  <c r="AD12" i="21"/>
  <c r="OI22" i="21"/>
  <c r="OH23" i="21"/>
  <c r="OH31" i="21"/>
  <c r="OI9" i="21"/>
  <c r="OJ21" i="21"/>
  <c r="AE6" i="21" l="1"/>
  <c r="AE12" i="21"/>
  <c r="AE18" i="21"/>
  <c r="AG2" i="21"/>
  <c r="AF36" i="21"/>
  <c r="AF38" i="21"/>
  <c r="AF40" i="21"/>
  <c r="AF16" i="21"/>
  <c r="AF10" i="21"/>
  <c r="AF25" i="21"/>
  <c r="AF11" i="21"/>
  <c r="AF24" i="21"/>
  <c r="AF34" i="21"/>
  <c r="AF17" i="21"/>
  <c r="AF42" i="21"/>
  <c r="AE22" i="21"/>
  <c r="AD22" i="21"/>
  <c r="OI31" i="21"/>
  <c r="OJ22" i="21"/>
  <c r="OJ9" i="21"/>
  <c r="OI23" i="21"/>
  <c r="AF18" i="21" l="1"/>
  <c r="AH2" i="21"/>
  <c r="AG38" i="21"/>
  <c r="AG36" i="21"/>
  <c r="AG17" i="21"/>
  <c r="AG18" i="21" s="1"/>
  <c r="AG10" i="21"/>
  <c r="AG24" i="21"/>
  <c r="AG25" i="21"/>
  <c r="AG11" i="21"/>
  <c r="AG40" i="21"/>
  <c r="AG16" i="21"/>
  <c r="AG34" i="21"/>
  <c r="AG42" i="21"/>
  <c r="AF12" i="21"/>
  <c r="OJ31" i="21"/>
  <c r="OL9" i="21"/>
  <c r="OK9" i="21"/>
  <c r="OK15" i="21"/>
  <c r="OL21" i="21"/>
  <c r="OK22" i="21"/>
  <c r="OJ23" i="21"/>
  <c r="OL15" i="21"/>
  <c r="OF18" i="21"/>
  <c r="AF22" i="21" l="1"/>
  <c r="AI2" i="21"/>
  <c r="AH36" i="21"/>
  <c r="AH17" i="21"/>
  <c r="AH40" i="21"/>
  <c r="AH41" i="21" s="1"/>
  <c r="AH43" i="21" s="1"/>
  <c r="AH11" i="21"/>
  <c r="AH16" i="21"/>
  <c r="AH38" i="21"/>
  <c r="AH25" i="21"/>
  <c r="AH24" i="21"/>
  <c r="AH34" i="21"/>
  <c r="AH4" i="21"/>
  <c r="AH6" i="21" s="1"/>
  <c r="AH10" i="21"/>
  <c r="AB10" i="21" s="1"/>
  <c r="AH42" i="21"/>
  <c r="AG12" i="21"/>
  <c r="AG22" i="21" s="1"/>
  <c r="OF9" i="21"/>
  <c r="OK31" i="21"/>
  <c r="OL31" i="21" s="1"/>
  <c r="OF7" i="21"/>
  <c r="OK23" i="21"/>
  <c r="OF21" i="21"/>
  <c r="OL23" i="21"/>
  <c r="OL22" i="21"/>
  <c r="OF6" i="21"/>
  <c r="AH18" i="21" l="1"/>
  <c r="AB18" i="21" s="1"/>
  <c r="AK2" i="21"/>
  <c r="AI38" i="21"/>
  <c r="AB38" i="21" s="1"/>
  <c r="AI36" i="21"/>
  <c r="AB36" i="21" s="1"/>
  <c r="AI24" i="21"/>
  <c r="AB24" i="21" s="1"/>
  <c r="AI5" i="21"/>
  <c r="AI19" i="21"/>
  <c r="AB19" i="21" s="1"/>
  <c r="AI20" i="21"/>
  <c r="AN32" i="15" s="1"/>
  <c r="AI17" i="21"/>
  <c r="AI16" i="21"/>
  <c r="AB16" i="21" s="1"/>
  <c r="AI40" i="21"/>
  <c r="AB40" i="21" s="1"/>
  <c r="AI34" i="21"/>
  <c r="AB34" i="21" s="1"/>
  <c r="AI25" i="21"/>
  <c r="AB25" i="21" s="1"/>
  <c r="AI4" i="21"/>
  <c r="AB4" i="21" s="1"/>
  <c r="AI11" i="21"/>
  <c r="AI12" i="21" s="1"/>
  <c r="AI42" i="21"/>
  <c r="AB6" i="21"/>
  <c r="AH12" i="21"/>
  <c r="AH22" i="21" s="1"/>
  <c r="OO21" i="21"/>
  <c r="AI43" i="21" l="1"/>
  <c r="AB43" i="21" s="1"/>
  <c r="AB42" i="21"/>
  <c r="AI22" i="21"/>
  <c r="AB22" i="21" s="1"/>
  <c r="AB12" i="21"/>
  <c r="AL2" i="21"/>
  <c r="AK25" i="21"/>
  <c r="AK16" i="21"/>
  <c r="AK40" i="21"/>
  <c r="AK10" i="21"/>
  <c r="AK24" i="21"/>
  <c r="AK5" i="21"/>
  <c r="AK38" i="21"/>
  <c r="AK17" i="21"/>
  <c r="AK34" i="21"/>
  <c r="AK36" i="21"/>
  <c r="AK11" i="21"/>
  <c r="AK4" i="21"/>
  <c r="AK42" i="21"/>
  <c r="OO9" i="21"/>
  <c r="OP9" i="21"/>
  <c r="OO15" i="21"/>
  <c r="OP15" i="21"/>
  <c r="OP21" i="21"/>
  <c r="AK18" i="21" l="1"/>
  <c r="AM2" i="21"/>
  <c r="AL17" i="21"/>
  <c r="AL18" i="21" s="1"/>
  <c r="AL11" i="21"/>
  <c r="AL38" i="21"/>
  <c r="AL34" i="21"/>
  <c r="AL36" i="21"/>
  <c r="AL10" i="21"/>
  <c r="AL16" i="21"/>
  <c r="AL4" i="21"/>
  <c r="AL5" i="21"/>
  <c r="AL6" i="21" s="1"/>
  <c r="AL40" i="21"/>
  <c r="AL24" i="21"/>
  <c r="AL25" i="21"/>
  <c r="AL42" i="21"/>
  <c r="AK6" i="21"/>
  <c r="AK12" i="21"/>
  <c r="OQ15" i="21"/>
  <c r="OO23" i="21"/>
  <c r="OQ21" i="21"/>
  <c r="OP23" i="21"/>
  <c r="AL12" i="21" l="1"/>
  <c r="AL22" i="21"/>
  <c r="AK22" i="21"/>
  <c r="AN2" i="21"/>
  <c r="AM36" i="21"/>
  <c r="AM34" i="21"/>
  <c r="AM38" i="21"/>
  <c r="AM4" i="21"/>
  <c r="AM16" i="21"/>
  <c r="AM17" i="21"/>
  <c r="AM24" i="21"/>
  <c r="AM11" i="21"/>
  <c r="AM42" i="21"/>
  <c r="AM40" i="21"/>
  <c r="AM10" i="21"/>
  <c r="AM5" i="21"/>
  <c r="AM25" i="21"/>
  <c r="OR21" i="21"/>
  <c r="OQ9" i="21"/>
  <c r="OQ31" i="21" s="1"/>
  <c r="AM6" i="21" l="1"/>
  <c r="AM12" i="21"/>
  <c r="AM18" i="21"/>
  <c r="AM22" i="21" s="1"/>
  <c r="AO2" i="21"/>
  <c r="AN24" i="21"/>
  <c r="AN36" i="21"/>
  <c r="AN25" i="21"/>
  <c r="AN34" i="21"/>
  <c r="AN10" i="21"/>
  <c r="AN38" i="21"/>
  <c r="AN11" i="21"/>
  <c r="AN12" i="21" s="1"/>
  <c r="AN40" i="21"/>
  <c r="AN17" i="21"/>
  <c r="AN16" i="21"/>
  <c r="AN42" i="21"/>
  <c r="OR9" i="21"/>
  <c r="OQ23" i="21"/>
  <c r="OR15" i="21"/>
  <c r="AP2" i="21" l="1"/>
  <c r="AO36" i="21"/>
  <c r="AO25" i="21"/>
  <c r="AO40" i="21"/>
  <c r="AO38" i="21"/>
  <c r="AO10" i="21"/>
  <c r="AO34" i="21"/>
  <c r="AO11" i="21"/>
  <c r="AO24" i="21"/>
  <c r="AO17" i="21"/>
  <c r="AO16" i="21"/>
  <c r="AO42" i="21"/>
  <c r="AN18" i="21"/>
  <c r="AN22" i="21" s="1"/>
  <c r="OR23" i="21"/>
  <c r="OT15" i="21"/>
  <c r="OS9" i="21"/>
  <c r="OS23" i="21" s="1"/>
  <c r="OR31" i="21"/>
  <c r="ON7" i="21"/>
  <c r="AO12" i="21" l="1"/>
  <c r="AO18" i="21"/>
  <c r="AQ2" i="21"/>
  <c r="AP24" i="21"/>
  <c r="AP36" i="21"/>
  <c r="AP4" i="21"/>
  <c r="AP6" i="21" s="1"/>
  <c r="AP34" i="21"/>
  <c r="AP40" i="21"/>
  <c r="AP10" i="21"/>
  <c r="AP12" i="21" s="1"/>
  <c r="AP25" i="21"/>
  <c r="AP16" i="21"/>
  <c r="AP18" i="21" s="1"/>
  <c r="AJ18" i="21" s="1"/>
  <c r="AP38" i="21"/>
  <c r="AP42" i="21"/>
  <c r="OS31" i="21"/>
  <c r="OT9" i="21"/>
  <c r="AO22" i="21" l="1"/>
  <c r="AS2" i="21"/>
  <c r="AQ11" i="21"/>
  <c r="AQ24" i="21"/>
  <c r="AJ24" i="21" s="1"/>
  <c r="AQ20" i="21"/>
  <c r="AN39" i="15" s="1"/>
  <c r="AQ25" i="21"/>
  <c r="AJ25" i="21" s="1"/>
  <c r="AQ10" i="21"/>
  <c r="AJ10" i="21" s="1"/>
  <c r="AQ40" i="21"/>
  <c r="AJ40" i="21" s="1"/>
  <c r="AQ34" i="21"/>
  <c r="AJ34" i="21" s="1"/>
  <c r="AQ36" i="21"/>
  <c r="AJ36" i="21" s="1"/>
  <c r="AQ19" i="21"/>
  <c r="AJ19" i="21" s="1"/>
  <c r="AQ4" i="21"/>
  <c r="AJ4" i="21" s="1"/>
  <c r="AQ16" i="21"/>
  <c r="AJ16" i="21" s="1"/>
  <c r="AQ38" i="21"/>
  <c r="AJ38" i="21" s="1"/>
  <c r="AQ5" i="21"/>
  <c r="AQ17" i="21"/>
  <c r="AQ42" i="21"/>
  <c r="AJ42" i="21" s="1"/>
  <c r="AP22" i="21"/>
  <c r="AJ6" i="21"/>
  <c r="OW21" i="21"/>
  <c r="ON9" i="21"/>
  <c r="AQ12" i="21" l="1"/>
  <c r="AQ22" i="21"/>
  <c r="AJ22" i="21" s="1"/>
  <c r="AJ12" i="21"/>
  <c r="AT2" i="21"/>
  <c r="AS10" i="21"/>
  <c r="AS25" i="21"/>
  <c r="AS36" i="21"/>
  <c r="AS38" i="21"/>
  <c r="AS16" i="21"/>
  <c r="AS24" i="21"/>
  <c r="AS40" i="21"/>
  <c r="AS5" i="21"/>
  <c r="AS17" i="21"/>
  <c r="AS11" i="21"/>
  <c r="AS12" i="21" s="1"/>
  <c r="AS34" i="21"/>
  <c r="AS4" i="21"/>
  <c r="AS6" i="21" s="1"/>
  <c r="AS42" i="21"/>
  <c r="OX15" i="21"/>
  <c r="OX9" i="21"/>
  <c r="OX21" i="21"/>
  <c r="OW15" i="21"/>
  <c r="OW23" i="21" s="1"/>
  <c r="AU2" i="21" l="1"/>
  <c r="AT34" i="21"/>
  <c r="AT38" i="21"/>
  <c r="AT36" i="21"/>
  <c r="AT5" i="21"/>
  <c r="AT11" i="21"/>
  <c r="AT12" i="21" s="1"/>
  <c r="AT4" i="21"/>
  <c r="AT6" i="21" s="1"/>
  <c r="AT16" i="21"/>
  <c r="AT10" i="21"/>
  <c r="AT17" i="21"/>
  <c r="AT24" i="21"/>
  <c r="AT25" i="21"/>
  <c r="AT40" i="21"/>
  <c r="AT42" i="21"/>
  <c r="AS18" i="21"/>
  <c r="AS22" i="21" s="1"/>
  <c r="OY9" i="21"/>
  <c r="OX23" i="21"/>
  <c r="OY21" i="21"/>
  <c r="AT18" i="21" l="1"/>
  <c r="AT22" i="21" s="1"/>
  <c r="AV2" i="21"/>
  <c r="AU36" i="21"/>
  <c r="AU38" i="21"/>
  <c r="AU17" i="21"/>
  <c r="AU18" i="21" s="1"/>
  <c r="AU40" i="21"/>
  <c r="AU11" i="21"/>
  <c r="AU12" i="21" s="1"/>
  <c r="AU4" i="21"/>
  <c r="AU16" i="21"/>
  <c r="AU34" i="21"/>
  <c r="AU24" i="21"/>
  <c r="AU5" i="21"/>
  <c r="AU10" i="21"/>
  <c r="AU25" i="21"/>
  <c r="AU42" i="21"/>
  <c r="OY15" i="21"/>
  <c r="OZ21" i="21"/>
  <c r="OZ15" i="21"/>
  <c r="AW2" i="21" l="1"/>
  <c r="AV36" i="21"/>
  <c r="AV25" i="21"/>
  <c r="AV40" i="21"/>
  <c r="AV34" i="21"/>
  <c r="AV5" i="21"/>
  <c r="AV6" i="21" s="1"/>
  <c r="AV16" i="21"/>
  <c r="AV38" i="21"/>
  <c r="AV10" i="21"/>
  <c r="AV11" i="21"/>
  <c r="AV12" i="21" s="1"/>
  <c r="AV24" i="21"/>
  <c r="AV17" i="21"/>
  <c r="AV42" i="21"/>
  <c r="AU6" i="21"/>
  <c r="OY31" i="21"/>
  <c r="OY23" i="21"/>
  <c r="PA15" i="21"/>
  <c r="PA21" i="21"/>
  <c r="OZ9" i="21"/>
  <c r="AV18" i="21" l="1"/>
  <c r="AX2" i="21"/>
  <c r="AW24" i="21"/>
  <c r="AW36" i="21"/>
  <c r="AW38" i="21"/>
  <c r="AW34" i="21"/>
  <c r="AW4" i="21"/>
  <c r="AW6" i="21" s="1"/>
  <c r="AW40" i="21"/>
  <c r="AW10" i="21"/>
  <c r="AW12" i="21" s="1"/>
  <c r="AW16" i="21"/>
  <c r="AW18" i="21" s="1"/>
  <c r="AW25" i="21"/>
  <c r="AW42" i="21"/>
  <c r="AU22" i="21"/>
  <c r="AV22" i="21"/>
  <c r="PA9" i="21"/>
  <c r="OZ23" i="21"/>
  <c r="OZ31" i="21"/>
  <c r="AY2" i="21" l="1"/>
  <c r="AX40" i="21"/>
  <c r="AX25" i="21"/>
  <c r="AX34" i="21"/>
  <c r="AX10" i="21"/>
  <c r="AX12" i="21" s="1"/>
  <c r="AX38" i="21"/>
  <c r="AX16" i="21"/>
  <c r="AX18" i="21" s="1"/>
  <c r="AR18" i="21" s="1"/>
  <c r="AX4" i="21"/>
  <c r="AX6" i="21" s="1"/>
  <c r="AX36" i="21"/>
  <c r="AX24" i="21"/>
  <c r="AX42" i="21"/>
  <c r="AW22" i="21"/>
  <c r="PA31" i="21"/>
  <c r="PB15" i="21"/>
  <c r="PC15" i="21"/>
  <c r="PC23" i="21" s="1"/>
  <c r="PC12" i="21"/>
  <c r="OV13" i="21"/>
  <c r="PA23" i="21"/>
  <c r="PB9" i="21"/>
  <c r="OV7" i="21"/>
  <c r="BA2" i="21" l="1"/>
  <c r="AY36" i="21"/>
  <c r="AY38" i="21"/>
  <c r="AY24" i="21"/>
  <c r="AR24" i="21" s="1"/>
  <c r="AY17" i="21"/>
  <c r="AY10" i="21"/>
  <c r="AY34" i="21"/>
  <c r="AY20" i="21"/>
  <c r="AN46" i="15" s="1"/>
  <c r="AY4" i="21"/>
  <c r="AR4" i="21" s="1"/>
  <c r="AY16" i="21"/>
  <c r="AR16" i="21" s="1"/>
  <c r="AY19" i="21"/>
  <c r="AR19" i="21" s="1"/>
  <c r="AY40" i="21"/>
  <c r="AY25" i="21"/>
  <c r="AR25" i="21" s="1"/>
  <c r="AY5" i="21"/>
  <c r="AY42" i="21"/>
  <c r="AX22" i="21"/>
  <c r="AR6" i="21"/>
  <c r="PC22" i="21"/>
  <c r="OV9" i="21"/>
  <c r="OV15" i="21"/>
  <c r="AY12" i="21" l="1"/>
  <c r="AR10" i="21"/>
  <c r="BB2" i="21"/>
  <c r="BA24" i="21"/>
  <c r="BA10" i="21"/>
  <c r="BA4" i="21"/>
  <c r="BA16" i="21"/>
  <c r="BA11" i="21"/>
  <c r="BA12" i="21" s="1"/>
  <c r="BA40" i="21"/>
  <c r="BA25" i="21"/>
  <c r="BA17" i="21"/>
  <c r="BA34" i="21"/>
  <c r="BA38" i="21"/>
  <c r="BA5" i="21"/>
  <c r="BA6" i="21" s="1"/>
  <c r="BA36" i="21"/>
  <c r="BA42" i="21"/>
  <c r="BA18" i="21" l="1"/>
  <c r="BC2" i="21"/>
  <c r="BB4" i="21"/>
  <c r="BB24" i="21"/>
  <c r="BB34" i="21"/>
  <c r="BB36" i="21"/>
  <c r="BB16" i="21"/>
  <c r="BB38" i="21"/>
  <c r="BB25" i="21"/>
  <c r="BB40" i="21"/>
  <c r="BB10" i="21"/>
  <c r="BB5" i="21"/>
  <c r="BB17" i="21"/>
  <c r="BB11" i="21"/>
  <c r="BB12" i="21" s="1"/>
  <c r="BB42" i="21"/>
  <c r="BA22" i="21"/>
  <c r="AY22" i="21"/>
  <c r="AR22" i="21" s="1"/>
  <c r="AR12" i="21"/>
  <c r="BB18" i="21" l="1"/>
  <c r="BB6" i="21"/>
  <c r="BB22" i="21" s="1"/>
  <c r="BD2" i="21"/>
  <c r="BC17" i="21"/>
  <c r="BC18" i="21" s="1"/>
  <c r="BC11" i="21"/>
  <c r="BC34" i="21"/>
  <c r="BC40" i="21"/>
  <c r="BC36" i="21"/>
  <c r="BC24" i="21"/>
  <c r="BC25" i="21"/>
  <c r="BC16" i="21"/>
  <c r="BC10" i="21"/>
  <c r="BC38" i="21"/>
  <c r="BC5" i="21"/>
  <c r="BC4" i="21"/>
  <c r="BC42" i="21"/>
  <c r="BC12" i="21" l="1"/>
  <c r="BC6" i="21"/>
  <c r="BC22" i="21" s="1"/>
  <c r="BE2" i="21"/>
  <c r="BD24" i="21"/>
  <c r="BD38" i="21"/>
  <c r="BD17" i="21"/>
  <c r="BD18" i="21" s="1"/>
  <c r="BD34" i="21"/>
  <c r="BD4" i="21"/>
  <c r="BD5" i="21"/>
  <c r="BD36" i="21"/>
  <c r="BD16" i="21"/>
  <c r="BD40" i="21"/>
  <c r="BD11" i="21"/>
  <c r="BD25" i="21"/>
  <c r="BD10" i="21"/>
  <c r="BD6" i="21" l="1"/>
  <c r="BD12" i="21"/>
  <c r="BF2" i="21"/>
  <c r="BE36" i="21"/>
  <c r="BE24" i="21"/>
  <c r="BE5" i="21"/>
  <c r="BE25" i="21"/>
  <c r="BE40" i="21"/>
  <c r="BE10" i="21"/>
  <c r="BE12" i="21" s="1"/>
  <c r="BE34" i="21"/>
  <c r="BE38" i="21"/>
  <c r="BE16" i="21"/>
  <c r="BE18" i="21" s="1"/>
  <c r="BE4" i="21"/>
  <c r="BE6" i="21" l="1"/>
  <c r="BE22" i="21" s="1"/>
  <c r="BG2" i="21"/>
  <c r="BF24" i="21"/>
  <c r="BF25" i="21"/>
  <c r="BF16" i="21"/>
  <c r="BF17" i="21"/>
  <c r="BF4" i="21"/>
  <c r="BF10" i="21"/>
  <c r="BF34" i="21"/>
  <c r="BF5" i="21"/>
  <c r="BF38" i="21"/>
  <c r="BF36" i="21"/>
  <c r="BF11" i="21"/>
  <c r="BF40" i="21"/>
  <c r="BF42" i="21"/>
  <c r="BD22" i="21"/>
  <c r="BF6" i="21" l="1"/>
  <c r="BF18" i="21"/>
  <c r="AZ18" i="21" s="1"/>
  <c r="AZ6" i="21"/>
  <c r="BF12" i="21"/>
  <c r="BF22" i="21" s="1"/>
  <c r="BI2" i="21"/>
  <c r="BG4" i="21"/>
  <c r="AZ4" i="21" s="1"/>
  <c r="BG16" i="21"/>
  <c r="AZ16" i="21" s="1"/>
  <c r="BG10" i="21"/>
  <c r="AZ10" i="21" s="1"/>
  <c r="BG19" i="21"/>
  <c r="AZ19" i="21" s="1"/>
  <c r="BG5" i="21"/>
  <c r="BG24" i="21"/>
  <c r="AZ24" i="21" s="1"/>
  <c r="BG25" i="21"/>
  <c r="AZ25" i="21" s="1"/>
  <c r="BG40" i="21"/>
  <c r="BG20" i="21"/>
  <c r="AN53" i="15" s="1"/>
  <c r="BG36" i="21"/>
  <c r="BG38" i="21"/>
  <c r="BG34" i="21"/>
  <c r="BG11" i="21"/>
  <c r="BG17" i="21"/>
  <c r="BG42" i="21"/>
  <c r="BJ2" i="21" l="1"/>
  <c r="BI40" i="21"/>
  <c r="BI16" i="21"/>
  <c r="BI4" i="21"/>
  <c r="BI10" i="21"/>
  <c r="BI25" i="21"/>
  <c r="BI24" i="21"/>
  <c r="BI17" i="21"/>
  <c r="BI18" i="21" s="1"/>
  <c r="BI11" i="21"/>
  <c r="BI36" i="21"/>
  <c r="BI34" i="21"/>
  <c r="BI38" i="21"/>
  <c r="BI5" i="21"/>
  <c r="BI6" i="21" s="1"/>
  <c r="BI42" i="21"/>
  <c r="BG12" i="21"/>
  <c r="BG22" i="21" l="1"/>
  <c r="AZ22" i="21" s="1"/>
  <c r="AZ12" i="21"/>
  <c r="BI12" i="21"/>
  <c r="BK2" i="21"/>
  <c r="BJ17" i="21"/>
  <c r="BJ11" i="21"/>
  <c r="BJ16" i="21"/>
  <c r="BJ34" i="21"/>
  <c r="BJ38" i="21"/>
  <c r="BJ10" i="21"/>
  <c r="BJ36" i="21"/>
  <c r="BJ40" i="21"/>
  <c r="BJ25" i="21"/>
  <c r="BJ5" i="21"/>
  <c r="BJ4" i="21"/>
  <c r="BJ6" i="21" s="1"/>
  <c r="BJ24" i="21"/>
  <c r="BJ42" i="21"/>
  <c r="BJ18" i="21" l="1"/>
  <c r="BL2" i="21"/>
  <c r="BK36" i="21"/>
  <c r="BK38" i="21"/>
  <c r="BK40" i="21"/>
  <c r="BK34" i="21"/>
  <c r="BK11" i="21"/>
  <c r="BK4" i="21"/>
  <c r="BK5" i="21"/>
  <c r="BK17" i="21"/>
  <c r="BK25" i="21"/>
  <c r="BK10" i="21"/>
  <c r="BK42" i="21"/>
  <c r="BK16" i="21"/>
  <c r="BK24" i="21"/>
  <c r="BJ12" i="21"/>
  <c r="BJ22" i="21" s="1"/>
  <c r="BI22" i="21"/>
  <c r="BK12" i="21" l="1"/>
  <c r="BK18" i="21"/>
  <c r="BM2" i="21"/>
  <c r="BL24" i="21"/>
  <c r="BL10" i="21"/>
  <c r="BL25" i="21"/>
  <c r="BL38" i="21"/>
  <c r="BL36" i="21"/>
  <c r="BL40" i="21"/>
  <c r="BL16" i="21"/>
  <c r="BL5" i="21"/>
  <c r="BL4" i="21"/>
  <c r="BL17" i="21"/>
  <c r="BL18" i="21" s="1"/>
  <c r="BL11" i="21"/>
  <c r="BL34" i="21"/>
  <c r="BL42" i="21"/>
  <c r="BK6" i="21"/>
  <c r="BL12" i="21" l="1"/>
  <c r="BL6" i="21"/>
  <c r="BL22" i="21" s="1"/>
  <c r="BN2" i="21"/>
  <c r="BM36" i="21"/>
  <c r="BM24" i="21"/>
  <c r="BM38" i="21"/>
  <c r="BM10" i="21"/>
  <c r="BM17" i="21"/>
  <c r="BM18" i="21" s="1"/>
  <c r="BM4" i="21"/>
  <c r="BM11" i="21"/>
  <c r="BM5" i="21"/>
  <c r="BM40" i="21"/>
  <c r="BM16" i="21"/>
  <c r="BM34" i="21"/>
  <c r="BM25" i="21"/>
  <c r="BM42" i="21"/>
  <c r="BK22" i="21"/>
  <c r="BO2" i="21" l="1"/>
  <c r="BN40" i="21"/>
  <c r="BN36" i="21"/>
  <c r="BN4" i="21"/>
  <c r="BN5" i="21"/>
  <c r="BN17" i="21"/>
  <c r="BN18" i="21" s="1"/>
  <c r="BH18" i="21" s="1"/>
  <c r="BN38" i="21"/>
  <c r="BN34" i="21"/>
  <c r="BN11" i="21"/>
  <c r="BN16" i="21"/>
  <c r="BN24" i="21"/>
  <c r="BN25" i="21"/>
  <c r="BN10" i="21"/>
  <c r="BN42" i="21"/>
  <c r="BM12" i="21"/>
  <c r="BM6" i="21"/>
  <c r="BN6" i="21" l="1"/>
  <c r="BM22" i="21"/>
  <c r="BN12" i="21"/>
  <c r="BQ2" i="21"/>
  <c r="BO24" i="21"/>
  <c r="BH24" i="21" s="1"/>
  <c r="BO36" i="21"/>
  <c r="BO38" i="21"/>
  <c r="BO11" i="21"/>
  <c r="BO12" i="21" s="1"/>
  <c r="BO10" i="21"/>
  <c r="BH10" i="21" s="1"/>
  <c r="BO25" i="21"/>
  <c r="BH25" i="21" s="1"/>
  <c r="BO19" i="21"/>
  <c r="BH19" i="21" s="1"/>
  <c r="BO40" i="21"/>
  <c r="BO16" i="21"/>
  <c r="BH16" i="21" s="1"/>
  <c r="BO5" i="21"/>
  <c r="BO34" i="21"/>
  <c r="BO4" i="21"/>
  <c r="BH4" i="21" s="1"/>
  <c r="BO17" i="21"/>
  <c r="BO20" i="21"/>
  <c r="AN60" i="15" s="1"/>
  <c r="BO42" i="21"/>
  <c r="BR2" i="21" l="1"/>
  <c r="BQ25" i="21"/>
  <c r="BQ24" i="21"/>
  <c r="BQ40" i="21"/>
  <c r="BQ4" i="21"/>
  <c r="BQ5" i="21"/>
  <c r="BQ6" i="21" s="1"/>
  <c r="BQ11" i="21"/>
  <c r="BQ12" i="21" s="1"/>
  <c r="BQ17" i="21"/>
  <c r="BQ34" i="21"/>
  <c r="BQ10" i="21"/>
  <c r="BQ36" i="21"/>
  <c r="BQ38" i="21"/>
  <c r="BQ16" i="21"/>
  <c r="BQ42" i="21"/>
  <c r="BO22" i="21"/>
  <c r="BH22" i="21" s="1"/>
  <c r="BH12" i="21"/>
  <c r="BH6" i="21"/>
  <c r="BN22" i="21"/>
  <c r="BQ18" i="21" l="1"/>
  <c r="BQ22" i="21" s="1"/>
  <c r="BS2" i="21"/>
  <c r="BR11" i="21"/>
  <c r="BR17" i="21"/>
  <c r="BR24" i="21"/>
  <c r="BR10" i="21"/>
  <c r="BR13" i="21" s="1"/>
  <c r="BR5" i="21"/>
  <c r="BR34" i="21"/>
  <c r="BR38" i="21"/>
  <c r="BR16" i="21"/>
  <c r="BR36" i="21"/>
  <c r="BR4" i="21"/>
  <c r="BR40" i="21"/>
  <c r="BR25" i="21"/>
  <c r="BR42" i="21"/>
  <c r="BR6" i="21" l="1"/>
  <c r="AF62" i="15"/>
  <c r="BR15" i="21"/>
  <c r="BP13" i="21"/>
  <c r="BR18" i="21"/>
  <c r="BR12" i="21"/>
  <c r="BT2" i="21"/>
  <c r="BS16" i="21"/>
  <c r="BS11" i="21"/>
  <c r="BS10" i="21"/>
  <c r="BS17" i="21"/>
  <c r="BS40" i="21"/>
  <c r="BS36" i="21"/>
  <c r="BS4" i="21"/>
  <c r="BS38" i="21"/>
  <c r="BS24" i="21"/>
  <c r="BS25" i="21"/>
  <c r="BS34" i="21"/>
  <c r="BS5" i="21"/>
  <c r="BS42" i="21"/>
  <c r="BS18" i="21" l="1"/>
  <c r="BS6" i="21"/>
  <c r="BR22" i="21"/>
  <c r="BS12" i="21"/>
  <c r="BR31" i="21"/>
  <c r="BP15" i="21"/>
  <c r="BR23" i="21"/>
  <c r="BP23" i="21" s="1"/>
  <c r="BU2" i="21"/>
  <c r="BT38" i="21"/>
  <c r="BT34" i="21"/>
  <c r="BT36" i="21"/>
  <c r="BT5" i="21"/>
  <c r="BT4" i="21"/>
  <c r="BT6" i="21" s="1"/>
  <c r="BT10" i="21"/>
  <c r="BT40" i="21"/>
  <c r="BT17" i="21"/>
  <c r="BT18" i="21" s="1"/>
  <c r="BT25" i="21"/>
  <c r="BT24" i="21"/>
  <c r="BT16" i="21"/>
  <c r="BT11" i="21"/>
  <c r="BT42" i="21"/>
  <c r="BV2" i="21" l="1"/>
  <c r="BU4" i="21"/>
  <c r="BU40" i="21"/>
  <c r="BU25" i="21"/>
  <c r="BU36" i="21"/>
  <c r="BU11" i="21"/>
  <c r="BU12" i="21" s="1"/>
  <c r="BU24" i="21"/>
  <c r="BU34" i="21"/>
  <c r="BU17" i="21"/>
  <c r="BU5" i="21"/>
  <c r="BU6" i="21" s="1"/>
  <c r="BU10" i="21"/>
  <c r="BU38" i="21"/>
  <c r="BU16" i="21"/>
  <c r="BU42" i="21"/>
  <c r="BT12" i="21"/>
  <c r="BT22" i="21" s="1"/>
  <c r="BS22" i="21"/>
  <c r="BU18" i="21" l="1"/>
  <c r="BU22" i="21" s="1"/>
  <c r="BW2" i="21"/>
  <c r="BV4" i="21"/>
  <c r="BV36" i="21"/>
  <c r="BV38" i="21"/>
  <c r="BV24" i="21"/>
  <c r="BV40" i="21"/>
  <c r="BV17" i="21"/>
  <c r="BV5" i="21"/>
  <c r="BV10" i="21"/>
  <c r="BV16" i="21"/>
  <c r="BV25" i="21"/>
  <c r="BV34" i="21"/>
  <c r="BV11" i="21"/>
  <c r="BV42" i="21"/>
  <c r="BY2" i="21" l="1"/>
  <c r="BW4" i="21"/>
  <c r="BP4" i="21" s="1"/>
  <c r="BW36" i="21"/>
  <c r="BW19" i="21"/>
  <c r="BP19" i="21" s="1"/>
  <c r="BW11" i="21"/>
  <c r="BW16" i="21"/>
  <c r="BP16" i="21" s="1"/>
  <c r="BW25" i="21"/>
  <c r="BP25" i="21" s="1"/>
  <c r="BW10" i="21"/>
  <c r="BP10" i="21" s="1"/>
  <c r="BW40" i="21"/>
  <c r="BW24" i="21"/>
  <c r="BP24" i="21" s="1"/>
  <c r="BW34" i="21"/>
  <c r="BW20" i="21"/>
  <c r="AN67" i="15" s="1"/>
  <c r="BW5" i="21"/>
  <c r="BW38" i="21"/>
  <c r="BW17" i="21"/>
  <c r="BW42" i="21"/>
  <c r="BV6" i="21"/>
  <c r="BV18" i="21"/>
  <c r="BP18" i="21" s="1"/>
  <c r="BV12" i="21"/>
  <c r="BW12" i="21" l="1"/>
  <c r="BV22" i="21"/>
  <c r="BP6" i="21"/>
  <c r="BZ2" i="21"/>
  <c r="BY10" i="21"/>
  <c r="BY24" i="21"/>
  <c r="BY38" i="21"/>
  <c r="BY36" i="21"/>
  <c r="BY40" i="21"/>
  <c r="BY4" i="21"/>
  <c r="BY34" i="21"/>
  <c r="BY5" i="21"/>
  <c r="BY11" i="21"/>
  <c r="BY12" i="21" s="1"/>
  <c r="BY17" i="21"/>
  <c r="BY16" i="21"/>
  <c r="BY25" i="21"/>
  <c r="BY42" i="21"/>
  <c r="CA2" i="21" l="1"/>
  <c r="BZ25" i="21"/>
  <c r="BZ10" i="21"/>
  <c r="BZ38" i="21"/>
  <c r="BZ11" i="21"/>
  <c r="BZ12" i="21" s="1"/>
  <c r="BZ16" i="21"/>
  <c r="BZ17" i="21"/>
  <c r="BZ4" i="21"/>
  <c r="BZ36" i="21"/>
  <c r="BZ24" i="21"/>
  <c r="BZ5" i="21"/>
  <c r="BZ34" i="21"/>
  <c r="BZ40" i="21"/>
  <c r="BZ42" i="21"/>
  <c r="BY18" i="21"/>
  <c r="BY6" i="21"/>
  <c r="BW22" i="21"/>
  <c r="BP22" i="21" s="1"/>
  <c r="BP12" i="21"/>
  <c r="BZ18" i="21" l="1"/>
  <c r="BY22" i="21"/>
  <c r="CB2" i="21"/>
  <c r="CA36" i="21"/>
  <c r="CA38" i="21"/>
  <c r="CA4" i="21"/>
  <c r="CA6" i="21" s="1"/>
  <c r="CA24" i="21"/>
  <c r="CA34" i="21"/>
  <c r="CA10" i="21"/>
  <c r="CA25" i="21"/>
  <c r="CA11" i="21"/>
  <c r="CA40" i="21"/>
  <c r="CA5" i="21"/>
  <c r="CA16" i="21"/>
  <c r="CA17" i="21"/>
  <c r="CA42" i="21"/>
  <c r="BZ6" i="21"/>
  <c r="BZ22" i="21" s="1"/>
  <c r="CA18" i="21" l="1"/>
  <c r="CA12" i="21"/>
  <c r="CC2" i="21"/>
  <c r="CB11" i="21"/>
  <c r="CB16" i="21"/>
  <c r="CB38" i="21"/>
  <c r="CB40" i="21"/>
  <c r="CB17" i="21"/>
  <c r="CB34" i="21"/>
  <c r="CB25" i="21"/>
  <c r="CB5" i="21"/>
  <c r="CB4" i="21"/>
  <c r="CB6" i="21" s="1"/>
  <c r="CB24" i="21"/>
  <c r="CB19" i="21"/>
  <c r="CB36" i="21"/>
  <c r="CB10" i="21"/>
  <c r="CB42" i="21"/>
  <c r="CB12" i="21" l="1"/>
  <c r="CD2" i="21"/>
  <c r="CC36" i="21"/>
  <c r="CC40" i="21"/>
  <c r="CC10" i="21"/>
  <c r="CC4" i="21"/>
  <c r="CC11" i="21"/>
  <c r="CC12" i="21" s="1"/>
  <c r="CC16" i="21"/>
  <c r="CC17" i="21"/>
  <c r="CC34" i="21"/>
  <c r="CC24" i="21"/>
  <c r="CC38" i="21"/>
  <c r="CC5" i="21"/>
  <c r="CC25" i="21"/>
  <c r="CC42" i="21"/>
  <c r="CA22" i="21"/>
  <c r="CB21" i="21"/>
  <c r="CB18" i="21"/>
  <c r="CB22" i="21" s="1"/>
  <c r="CC18" i="21" l="1"/>
  <c r="CC7" i="21"/>
  <c r="CC6" i="21"/>
  <c r="CB23" i="21"/>
  <c r="BX21" i="21"/>
  <c r="CB31" i="21"/>
  <c r="CE2" i="21"/>
  <c r="CD38" i="21"/>
  <c r="CD34" i="21"/>
  <c r="CD17" i="21"/>
  <c r="CD5" i="21"/>
  <c r="CD36" i="21"/>
  <c r="CD10" i="21"/>
  <c r="CD11" i="21"/>
  <c r="CD40" i="21"/>
  <c r="CD16" i="21"/>
  <c r="CD25" i="21"/>
  <c r="CD24" i="21"/>
  <c r="CD4" i="21"/>
  <c r="CD6" i="21" s="1"/>
  <c r="CD42" i="21"/>
  <c r="CD12" i="21" l="1"/>
  <c r="CG2" i="21"/>
  <c r="CE36" i="21"/>
  <c r="CE24" i="21"/>
  <c r="BX24" i="21" s="1"/>
  <c r="CE38" i="21"/>
  <c r="CE16" i="21"/>
  <c r="BX16" i="21" s="1"/>
  <c r="CE17" i="21"/>
  <c r="CE25" i="21"/>
  <c r="BX25" i="21" s="1"/>
  <c r="CE20" i="21"/>
  <c r="AN74" i="15" s="1"/>
  <c r="CE40" i="21"/>
  <c r="CE34" i="21"/>
  <c r="CE10" i="21"/>
  <c r="BX10" i="21" s="1"/>
  <c r="CE11" i="21"/>
  <c r="CE12" i="21" s="1"/>
  <c r="CE4" i="21"/>
  <c r="BX4" i="21" s="1"/>
  <c r="CE19" i="21"/>
  <c r="BX19" i="21" s="1"/>
  <c r="CE5" i="21"/>
  <c r="CE42" i="21"/>
  <c r="CC22" i="21"/>
  <c r="BX6" i="21"/>
  <c r="CD18" i="21"/>
  <c r="BX18" i="21" s="1"/>
  <c r="BX7" i="21"/>
  <c r="CC9" i="21"/>
  <c r="CE22" i="21" l="1"/>
  <c r="BX12" i="21"/>
  <c r="CC23" i="21"/>
  <c r="BX23" i="21" s="1"/>
  <c r="CC31" i="21"/>
  <c r="BX9" i="21"/>
  <c r="CD22" i="21"/>
  <c r="CH2" i="21"/>
  <c r="CG24" i="21"/>
  <c r="CG25" i="21"/>
  <c r="CG10" i="21"/>
  <c r="CG11" i="21"/>
  <c r="CG12" i="21" s="1"/>
  <c r="CG40" i="21"/>
  <c r="CG17" i="21"/>
  <c r="CG16" i="21"/>
  <c r="CG36" i="21"/>
  <c r="CG34" i="21"/>
  <c r="CG38" i="21"/>
  <c r="CG42" i="21"/>
  <c r="CG18" i="21" l="1"/>
  <c r="CI2" i="21"/>
  <c r="CH24" i="21"/>
  <c r="CH38" i="21"/>
  <c r="CH34" i="21"/>
  <c r="CH10" i="21"/>
  <c r="CH36" i="21"/>
  <c r="CH25" i="21"/>
  <c r="CH17" i="21"/>
  <c r="CH40" i="21"/>
  <c r="CH11" i="21"/>
  <c r="CH16" i="21"/>
  <c r="CH42" i="21"/>
  <c r="CG22" i="21"/>
  <c r="BX22" i="21"/>
  <c r="CH12" i="21" l="1"/>
  <c r="CJ2" i="21"/>
  <c r="CI24" i="21"/>
  <c r="CI34" i="21"/>
  <c r="CI10" i="21"/>
  <c r="CI25" i="21"/>
  <c r="CI40" i="21"/>
  <c r="CI36" i="21"/>
  <c r="CI38" i="21"/>
  <c r="CI17" i="21"/>
  <c r="CI16" i="21"/>
  <c r="CI11" i="21"/>
  <c r="CI42" i="21"/>
  <c r="CH18" i="21"/>
  <c r="CI12" i="21" l="1"/>
  <c r="CI18" i="21"/>
  <c r="CK2" i="21"/>
  <c r="CJ34" i="21"/>
  <c r="CJ11" i="21"/>
  <c r="CJ12" i="21" s="1"/>
  <c r="CJ17" i="21"/>
  <c r="CJ40" i="21"/>
  <c r="CJ16" i="21"/>
  <c r="CJ18" i="21" s="1"/>
  <c r="CJ22" i="21" s="1"/>
  <c r="CJ24" i="21"/>
  <c r="CJ25" i="21"/>
  <c r="CJ36" i="21"/>
  <c r="CJ38" i="21"/>
  <c r="CJ42" i="21"/>
  <c r="CH22" i="21"/>
  <c r="CL2" i="21" l="1"/>
  <c r="CK24" i="21"/>
  <c r="CK38" i="21"/>
  <c r="CK36" i="21"/>
  <c r="CK16" i="21"/>
  <c r="CK10" i="21"/>
  <c r="CK34" i="21"/>
  <c r="CK17" i="21"/>
  <c r="CK18" i="21" s="1"/>
  <c r="CK25" i="21"/>
  <c r="CK11" i="21"/>
  <c r="CK40" i="21"/>
  <c r="CK42" i="21"/>
  <c r="CI22" i="21"/>
  <c r="CK12" i="21" l="1"/>
  <c r="CM2" i="21"/>
  <c r="CL17" i="21"/>
  <c r="CL25" i="21"/>
  <c r="CL34" i="21"/>
  <c r="CL16" i="21"/>
  <c r="CL40" i="21"/>
  <c r="CL10" i="21"/>
  <c r="CL24" i="21"/>
  <c r="CL36" i="21"/>
  <c r="CL38" i="21"/>
  <c r="CL11" i="21"/>
  <c r="CL42" i="21"/>
  <c r="CL18" i="21" l="1"/>
  <c r="CF18" i="21" s="1"/>
  <c r="CO2" i="21"/>
  <c r="CM38" i="21"/>
  <c r="CM24" i="21"/>
  <c r="CF24" i="21" s="1"/>
  <c r="CM25" i="21"/>
  <c r="CF25" i="21" s="1"/>
  <c r="CM36" i="21"/>
  <c r="CM11" i="21"/>
  <c r="CM4" i="21"/>
  <c r="CF4" i="21" s="1"/>
  <c r="CM17" i="21"/>
  <c r="CM34" i="21"/>
  <c r="CM40" i="21"/>
  <c r="CM20" i="21"/>
  <c r="AN81" i="15" s="1"/>
  <c r="CM16" i="21"/>
  <c r="CF16" i="21" s="1"/>
  <c r="CM19" i="21"/>
  <c r="CF19" i="21" s="1"/>
  <c r="CM10" i="21"/>
  <c r="CF10" i="21" s="1"/>
  <c r="CM5" i="21"/>
  <c r="CM42" i="21"/>
  <c r="CL12" i="21"/>
  <c r="CL22" i="21" s="1"/>
  <c r="CK22" i="21"/>
  <c r="CM12" i="21" l="1"/>
  <c r="CP2" i="21"/>
  <c r="CO40" i="21"/>
  <c r="CO25" i="21"/>
  <c r="CO36" i="21"/>
  <c r="CO38" i="21"/>
  <c r="CO24" i="21"/>
  <c r="CO34" i="21"/>
  <c r="CO42" i="21"/>
  <c r="CM22" i="21" l="1"/>
  <c r="CF22" i="21" s="1"/>
  <c r="CF12" i="21"/>
  <c r="CQ2" i="21"/>
  <c r="CP38" i="21"/>
  <c r="CP36" i="21"/>
  <c r="CP24" i="21"/>
  <c r="CP40" i="21"/>
  <c r="CP25" i="21"/>
  <c r="CP34" i="21"/>
  <c r="CP42" i="21"/>
  <c r="CR2" i="21" l="1"/>
  <c r="CQ24" i="21"/>
  <c r="CQ38" i="21"/>
  <c r="CQ36" i="21"/>
  <c r="CQ25" i="21"/>
  <c r="CQ40" i="21"/>
  <c r="CQ34" i="21"/>
  <c r="CQ42" i="21"/>
  <c r="CS2" i="21" l="1"/>
  <c r="CR36" i="21"/>
  <c r="CR40" i="21"/>
  <c r="CR25" i="21"/>
  <c r="CR34" i="21"/>
  <c r="CR24" i="21"/>
  <c r="CR38" i="21"/>
  <c r="CR42" i="21"/>
  <c r="CT2" i="21" l="1"/>
  <c r="CS24" i="21"/>
  <c r="CS38" i="21"/>
  <c r="CS36" i="21"/>
  <c r="CS25" i="21"/>
  <c r="CS40" i="21"/>
  <c r="CS34" i="21"/>
  <c r="CS42" i="21"/>
  <c r="CU2" i="21" l="1"/>
  <c r="CT34" i="21"/>
  <c r="CT25" i="21"/>
  <c r="CT24" i="21"/>
  <c r="CT40" i="21"/>
  <c r="CT36" i="21"/>
  <c r="CT38" i="21"/>
  <c r="CT42" i="21"/>
  <c r="CW2" i="21" l="1"/>
  <c r="CU24" i="21"/>
  <c r="CN24" i="21" s="1"/>
  <c r="CU36" i="21"/>
  <c r="CU38" i="21"/>
  <c r="CU19" i="21"/>
  <c r="CN19" i="21" s="1"/>
  <c r="CU17" i="21"/>
  <c r="CU16" i="21"/>
  <c r="CN16" i="21" s="1"/>
  <c r="CU10" i="21"/>
  <c r="CN10" i="21" s="1"/>
  <c r="CU4" i="21"/>
  <c r="CN4" i="21" s="1"/>
  <c r="CU20" i="21"/>
  <c r="AN88" i="15" s="1"/>
  <c r="CU34" i="21"/>
  <c r="CU5" i="21"/>
  <c r="CU40" i="21"/>
  <c r="CU11" i="21"/>
  <c r="CU25" i="21"/>
  <c r="CN25" i="21" s="1"/>
  <c r="CU42" i="21"/>
  <c r="CU12" i="21" l="1"/>
  <c r="CU22" i="21" s="1"/>
  <c r="CN22" i="21" s="1"/>
  <c r="CN12" i="21"/>
  <c r="CX2" i="21"/>
  <c r="CW40" i="21"/>
  <c r="CW25" i="21"/>
  <c r="CW36" i="21"/>
  <c r="CW34" i="21"/>
  <c r="CW38" i="21"/>
  <c r="CW24" i="21"/>
  <c r="CW42" i="21"/>
  <c r="CY2" i="21" l="1"/>
  <c r="CX34" i="21"/>
  <c r="CX38" i="21"/>
  <c r="CX36" i="21"/>
  <c r="CX42" i="21"/>
  <c r="CX40" i="21"/>
  <c r="CX24" i="21"/>
  <c r="CX25" i="21"/>
  <c r="CZ2" i="21" l="1"/>
  <c r="CY38" i="21"/>
  <c r="CY36" i="21"/>
  <c r="CY24" i="21"/>
  <c r="CY40" i="21"/>
  <c r="CY25" i="21"/>
  <c r="CY34" i="21"/>
  <c r="CY42" i="21"/>
  <c r="DA2" i="21" l="1"/>
  <c r="CZ36" i="21"/>
  <c r="CZ38" i="21"/>
  <c r="CZ24" i="21"/>
  <c r="CZ40" i="21"/>
  <c r="CZ25" i="21"/>
  <c r="CZ34" i="21"/>
  <c r="CZ42" i="21"/>
  <c r="DB2" i="21" l="1"/>
  <c r="DA24" i="21"/>
  <c r="DA34" i="21"/>
  <c r="DA25" i="21"/>
  <c r="DA38" i="21"/>
  <c r="DA40" i="21"/>
  <c r="DA36" i="21"/>
  <c r="DA42" i="21"/>
  <c r="DC2" i="21" l="1"/>
  <c r="DB25" i="21"/>
  <c r="DB34" i="21"/>
  <c r="DB36" i="21"/>
  <c r="DB40" i="21"/>
  <c r="DB24" i="21"/>
  <c r="DB38" i="21"/>
  <c r="DB42" i="21"/>
  <c r="DE2" i="21" l="1"/>
  <c r="DC38" i="21"/>
  <c r="DC24" i="21"/>
  <c r="CV24" i="21" s="1"/>
  <c r="DC36" i="21"/>
  <c r="DC19" i="21"/>
  <c r="CV19" i="21" s="1"/>
  <c r="DC4" i="21"/>
  <c r="CV4" i="21" s="1"/>
  <c r="DC17" i="21"/>
  <c r="DC5" i="21"/>
  <c r="DC16" i="21"/>
  <c r="CV16" i="21" s="1"/>
  <c r="DC20" i="21"/>
  <c r="AN95" i="15" s="1"/>
  <c r="DC40" i="21"/>
  <c r="DC25" i="21"/>
  <c r="CV25" i="21" s="1"/>
  <c r="DC34" i="21"/>
  <c r="DC42" i="21"/>
  <c r="DF2" i="21" l="1"/>
  <c r="DE24" i="21"/>
  <c r="DE25" i="21"/>
  <c r="DE16" i="21"/>
  <c r="DE10" i="21"/>
  <c r="DE40" i="21"/>
  <c r="DE17" i="21"/>
  <c r="DE18" i="21" s="1"/>
  <c r="DE11" i="21"/>
  <c r="DE12" i="21" s="1"/>
  <c r="DE38" i="21"/>
  <c r="DE34" i="21"/>
  <c r="DE36" i="21"/>
  <c r="DE4" i="21"/>
  <c r="DE5" i="21"/>
  <c r="DE6" i="21" s="1"/>
  <c r="DE42" i="21"/>
  <c r="DE22" i="21" l="1"/>
  <c r="DG2" i="21"/>
  <c r="DF34" i="21"/>
  <c r="DF25" i="21"/>
  <c r="DF24" i="21"/>
  <c r="DF4" i="21"/>
  <c r="DF16" i="21"/>
  <c r="DF38" i="21"/>
  <c r="DF10" i="21"/>
  <c r="DF36" i="21"/>
  <c r="DF5" i="21"/>
  <c r="DF17" i="21"/>
  <c r="DF11" i="21"/>
  <c r="DF12" i="21" s="1"/>
  <c r="DF40" i="21"/>
  <c r="DF42" i="21"/>
  <c r="DF18" i="21" l="1"/>
  <c r="DH2" i="21"/>
  <c r="DG38" i="21"/>
  <c r="DG10" i="21"/>
  <c r="DG16" i="21"/>
  <c r="DG36" i="21"/>
  <c r="DG34" i="21"/>
  <c r="DG24" i="21"/>
  <c r="DG4" i="21"/>
  <c r="DG25" i="21"/>
  <c r="DG40" i="21"/>
  <c r="DG5" i="21"/>
  <c r="DG6" i="21" s="1"/>
  <c r="DG11" i="21"/>
  <c r="DG12" i="21" s="1"/>
  <c r="DG17" i="21"/>
  <c r="DG42" i="21"/>
  <c r="DF6" i="21"/>
  <c r="DG18" i="21" l="1"/>
  <c r="DG22" i="21" s="1"/>
  <c r="DI2" i="21"/>
  <c r="DH5" i="21"/>
  <c r="DH36" i="21"/>
  <c r="DH25" i="21"/>
  <c r="DH34" i="21"/>
  <c r="DH38" i="21"/>
  <c r="DH16" i="21"/>
  <c r="DH24" i="21"/>
  <c r="DH40" i="21"/>
  <c r="DH4" i="21"/>
  <c r="DH10" i="21"/>
  <c r="DH11" i="21"/>
  <c r="DH12" i="21" s="1"/>
  <c r="DH17" i="21"/>
  <c r="DH42" i="21"/>
  <c r="DF22" i="21"/>
  <c r="DH6" i="21" l="1"/>
  <c r="DH18" i="21"/>
  <c r="DH22" i="21" s="1"/>
  <c r="DJ2" i="21"/>
  <c r="DI34" i="21"/>
  <c r="DI38" i="21"/>
  <c r="DI36" i="21"/>
  <c r="DI10" i="21"/>
  <c r="DI5" i="21"/>
  <c r="DI17" i="21"/>
  <c r="DI11" i="21"/>
  <c r="DI25" i="21"/>
  <c r="DI40" i="21"/>
  <c r="DI24" i="21"/>
  <c r="DI16" i="21"/>
  <c r="DI42" i="21"/>
  <c r="DI4" i="21"/>
  <c r="DI6" i="21" s="1"/>
  <c r="DI18" i="21" l="1"/>
  <c r="DK2" i="21"/>
  <c r="DJ36" i="21"/>
  <c r="DJ40" i="21"/>
  <c r="DJ16" i="21"/>
  <c r="DJ4" i="21"/>
  <c r="DJ6" i="21" s="1"/>
  <c r="DJ25" i="21"/>
  <c r="DJ38" i="21"/>
  <c r="DJ10" i="21"/>
  <c r="DJ24" i="21"/>
  <c r="DJ17" i="21"/>
  <c r="DJ11" i="21"/>
  <c r="DJ5" i="21"/>
  <c r="DJ34" i="21"/>
  <c r="DJ42" i="21"/>
  <c r="DI12" i="21"/>
  <c r="DI22" i="21" s="1"/>
  <c r="DJ12" i="21" l="1"/>
  <c r="DJ18" i="21"/>
  <c r="DD18" i="21" s="1"/>
  <c r="DM2" i="21"/>
  <c r="DK24" i="21"/>
  <c r="DD24" i="21" s="1"/>
  <c r="DK20" i="21"/>
  <c r="AN102" i="15" s="1"/>
  <c r="DK36" i="21"/>
  <c r="DK38" i="21"/>
  <c r="DK4" i="21"/>
  <c r="DD4" i="21" s="1"/>
  <c r="DK11" i="21"/>
  <c r="DK17" i="21"/>
  <c r="DK19" i="21"/>
  <c r="DD19" i="21" s="1"/>
  <c r="DK34" i="21"/>
  <c r="DK40" i="21"/>
  <c r="DK16" i="21"/>
  <c r="DD16" i="21" s="1"/>
  <c r="DK10" i="21"/>
  <c r="DD10" i="21" s="1"/>
  <c r="DK25" i="21"/>
  <c r="DD25" i="21" s="1"/>
  <c r="DK5" i="21"/>
  <c r="DK42" i="21"/>
  <c r="DD6" i="21"/>
  <c r="DN2" i="21" l="1"/>
  <c r="DM36" i="21"/>
  <c r="DM34" i="21"/>
  <c r="DM38" i="21"/>
  <c r="DM24" i="21"/>
  <c r="DM40" i="21"/>
  <c r="DM25" i="21"/>
  <c r="DM42" i="21"/>
  <c r="DK12" i="21"/>
  <c r="DJ22" i="21"/>
  <c r="DK22" i="21" l="1"/>
  <c r="DD22" i="21" s="1"/>
  <c r="DD12" i="21"/>
  <c r="DO2" i="21"/>
  <c r="DN34" i="21"/>
  <c r="DN36" i="21"/>
  <c r="DN25" i="21"/>
  <c r="DN40" i="21"/>
  <c r="DN24" i="21"/>
  <c r="DN38" i="21"/>
  <c r="DN42" i="21"/>
  <c r="DP2" i="21" l="1"/>
  <c r="DO24" i="21"/>
  <c r="DO38" i="21"/>
  <c r="DO34" i="21"/>
  <c r="DO36" i="21"/>
  <c r="DO25" i="21"/>
  <c r="DO40" i="21"/>
  <c r="DO42" i="21"/>
  <c r="DQ2" i="21" l="1"/>
  <c r="DP38" i="21"/>
  <c r="DP34" i="21"/>
  <c r="DP24" i="21"/>
  <c r="DP36" i="21"/>
  <c r="DP40" i="21"/>
  <c r="DP25" i="21"/>
  <c r="DP42" i="21"/>
  <c r="DR2" i="21" l="1"/>
  <c r="DQ40" i="21"/>
  <c r="DQ25" i="21"/>
  <c r="DQ34" i="21"/>
  <c r="DQ38" i="21"/>
  <c r="DQ36" i="21"/>
  <c r="DQ24" i="21"/>
  <c r="DQ42" i="21"/>
  <c r="DS2" i="21" l="1"/>
  <c r="DR36" i="21"/>
  <c r="DR25" i="21"/>
  <c r="DR38" i="21"/>
  <c r="DR34" i="21"/>
  <c r="DR40" i="21"/>
  <c r="DR24" i="21"/>
  <c r="DR42" i="21"/>
  <c r="DU2" i="21" l="1"/>
  <c r="DS36" i="21"/>
  <c r="DS38" i="21"/>
  <c r="DS24" i="21"/>
  <c r="DL24" i="21" s="1"/>
  <c r="DS19" i="21"/>
  <c r="DL19" i="21" s="1"/>
  <c r="DS16" i="21"/>
  <c r="DL16" i="21" s="1"/>
  <c r="DS34" i="21"/>
  <c r="DS20" i="21"/>
  <c r="AN109" i="15" s="1"/>
  <c r="DS25" i="21"/>
  <c r="DL25" i="21" s="1"/>
  <c r="DS17" i="21"/>
  <c r="DS40" i="21"/>
  <c r="DS4" i="21"/>
  <c r="DL4" i="21" s="1"/>
  <c r="DS5" i="21"/>
  <c r="DS42" i="21"/>
  <c r="DV2" i="21" l="1"/>
  <c r="DU25" i="21"/>
  <c r="DU40" i="21"/>
  <c r="DU36" i="21"/>
  <c r="DU38" i="21"/>
  <c r="DU24" i="21"/>
  <c r="DU34" i="21"/>
  <c r="DU19" i="21"/>
  <c r="DU20" i="21"/>
  <c r="AN110" i="15" s="1"/>
  <c r="DU42" i="21"/>
  <c r="AG110" i="15" l="1"/>
  <c r="DU21" i="21"/>
  <c r="DW2" i="21"/>
  <c r="DV38" i="21"/>
  <c r="DV36" i="21"/>
  <c r="DV34" i="21"/>
  <c r="DV24" i="21"/>
  <c r="DV42" i="21"/>
  <c r="DV40" i="21"/>
  <c r="DV25" i="21"/>
  <c r="AL110" i="15" l="1"/>
  <c r="DU23" i="21"/>
  <c r="DU31" i="21"/>
  <c r="DV31" i="21" s="1"/>
  <c r="DW31" i="21" s="1"/>
  <c r="DX2" i="21"/>
  <c r="DW38" i="21"/>
  <c r="DW25" i="21"/>
  <c r="DW40" i="21"/>
  <c r="DW34" i="21"/>
  <c r="DW36" i="21"/>
  <c r="DW24" i="21"/>
  <c r="DW42" i="21"/>
  <c r="DY2" i="21" l="1"/>
  <c r="DX36" i="21"/>
  <c r="DX38" i="21"/>
  <c r="DX34" i="21"/>
  <c r="DX24" i="21"/>
  <c r="DX40" i="21"/>
  <c r="DX25" i="21"/>
  <c r="DX42" i="21"/>
  <c r="DZ2" i="21" l="1"/>
  <c r="DY25" i="21"/>
  <c r="DY40" i="21"/>
  <c r="DY24" i="21"/>
  <c r="DY38" i="21"/>
  <c r="DY36" i="21"/>
  <c r="DY34" i="21"/>
  <c r="DY42" i="21"/>
  <c r="EA2" i="21" l="1"/>
  <c r="DZ38" i="21"/>
  <c r="DZ24" i="21"/>
  <c r="DZ25" i="21"/>
  <c r="DZ36" i="21"/>
  <c r="DZ40" i="21"/>
  <c r="DZ34" i="21"/>
  <c r="DZ42" i="21"/>
  <c r="EC2" i="21" l="1"/>
  <c r="EA36" i="21"/>
  <c r="EA38" i="21"/>
  <c r="EA17" i="21"/>
  <c r="EA20" i="21"/>
  <c r="AN116" i="15" s="1"/>
  <c r="EA4" i="21"/>
  <c r="DT4" i="21" s="1"/>
  <c r="EA24" i="21"/>
  <c r="DT24" i="21" s="1"/>
  <c r="EA5" i="21"/>
  <c r="EA34" i="21"/>
  <c r="EA19" i="21"/>
  <c r="EA40" i="21"/>
  <c r="EA16" i="21"/>
  <c r="DT16" i="21" s="1"/>
  <c r="EA25" i="21"/>
  <c r="DT25" i="21" s="1"/>
  <c r="EA42" i="21"/>
  <c r="EA21" i="21" l="1"/>
  <c r="DT19" i="21"/>
  <c r="ED2" i="21"/>
  <c r="EC17" i="21"/>
  <c r="EC11" i="21"/>
  <c r="EC16" i="21"/>
  <c r="EC18" i="21" s="1"/>
  <c r="EC24" i="21"/>
  <c r="EC34" i="21"/>
  <c r="EC38" i="21"/>
  <c r="EC4" i="21"/>
  <c r="EC36" i="21"/>
  <c r="EC40" i="21"/>
  <c r="EC25" i="21"/>
  <c r="EC5" i="21"/>
  <c r="EC6" i="21" s="1"/>
  <c r="EC10" i="21"/>
  <c r="EC12" i="21" s="1"/>
  <c r="EC42" i="21"/>
  <c r="EC22" i="21" l="1"/>
  <c r="EE2" i="21"/>
  <c r="ED36" i="21"/>
  <c r="ED4" i="21"/>
  <c r="ED38" i="21"/>
  <c r="ED10" i="21"/>
  <c r="ED17" i="21"/>
  <c r="ED25" i="21"/>
  <c r="ED16" i="21"/>
  <c r="ED11" i="21"/>
  <c r="ED40" i="21"/>
  <c r="ED24" i="21"/>
  <c r="ED34" i="21"/>
  <c r="ED5" i="21"/>
  <c r="ED42" i="21"/>
  <c r="EA23" i="21"/>
  <c r="DT23" i="21" s="1"/>
  <c r="EA31" i="21"/>
  <c r="EC31" i="21" s="1"/>
  <c r="DT21" i="21"/>
  <c r="ED12" i="21" l="1"/>
  <c r="EF2" i="21"/>
  <c r="EE38" i="21"/>
  <c r="EE24" i="21"/>
  <c r="EE36" i="21"/>
  <c r="EE17" i="21"/>
  <c r="EE11" i="21"/>
  <c r="EE12" i="21" s="1"/>
  <c r="EE16" i="21"/>
  <c r="EE4" i="21"/>
  <c r="EE34" i="21"/>
  <c r="EE10" i="21"/>
  <c r="EE40" i="21"/>
  <c r="EE5" i="21"/>
  <c r="EE25" i="21"/>
  <c r="EE42" i="21"/>
  <c r="ED6" i="21"/>
  <c r="ED18" i="21"/>
  <c r="EE18" i="21" l="1"/>
  <c r="ED22" i="21"/>
  <c r="EG2" i="21"/>
  <c r="EF36" i="21"/>
  <c r="EF24" i="21"/>
  <c r="EF25" i="21"/>
  <c r="EF34" i="21"/>
  <c r="EF10" i="21"/>
  <c r="EF4" i="21"/>
  <c r="EF11" i="21"/>
  <c r="EF5" i="21"/>
  <c r="EF38" i="21"/>
  <c r="EF40" i="21"/>
  <c r="EF16" i="21"/>
  <c r="EF17" i="21"/>
  <c r="EF18" i="21" s="1"/>
  <c r="EF42" i="21"/>
  <c r="EE6" i="21"/>
  <c r="EE22" i="21" s="1"/>
  <c r="EH2" i="21" l="1"/>
  <c r="EG34" i="21"/>
  <c r="EG24" i="21"/>
  <c r="EG38" i="21"/>
  <c r="EG16" i="21"/>
  <c r="EG36" i="21"/>
  <c r="EG17" i="21"/>
  <c r="EG18" i="21" s="1"/>
  <c r="EG5" i="21"/>
  <c r="EG11" i="21"/>
  <c r="EG40" i="21"/>
  <c r="EG25" i="21"/>
  <c r="EG10" i="21"/>
  <c r="EG4" i="21"/>
  <c r="EG42" i="21"/>
  <c r="EF12" i="21"/>
  <c r="EF6" i="21"/>
  <c r="EG6" i="21" l="1"/>
  <c r="EF22" i="21"/>
  <c r="EG12" i="21"/>
  <c r="EI2" i="21"/>
  <c r="EH40" i="21"/>
  <c r="EH4" i="21"/>
  <c r="EH25" i="21"/>
  <c r="EH24" i="21"/>
  <c r="EH16" i="21"/>
  <c r="EH10" i="21"/>
  <c r="EH11" i="21"/>
  <c r="EH12" i="21" s="1"/>
  <c r="EH5" i="21"/>
  <c r="EH17" i="21"/>
  <c r="EH18" i="21" s="1"/>
  <c r="EB18" i="21" s="1"/>
  <c r="EH36" i="21"/>
  <c r="EH34" i="21"/>
  <c r="EH38" i="21"/>
  <c r="EH42" i="21"/>
  <c r="EH6" i="21" l="1"/>
  <c r="EH22" i="21" s="1"/>
  <c r="EB6" i="21"/>
  <c r="EG22" i="21"/>
  <c r="EK2" i="21"/>
  <c r="EI38" i="21"/>
  <c r="EI24" i="21"/>
  <c r="EB24" i="21" s="1"/>
  <c r="EI36" i="21"/>
  <c r="EI11" i="21"/>
  <c r="EI12" i="21" s="1"/>
  <c r="EI25" i="21"/>
  <c r="EB25" i="21" s="1"/>
  <c r="EI19" i="21"/>
  <c r="EB19" i="21" s="1"/>
  <c r="EB21" i="21" s="1"/>
  <c r="EI4" i="21"/>
  <c r="EB4" i="21" s="1"/>
  <c r="EI34" i="21"/>
  <c r="EI16" i="21"/>
  <c r="EB16" i="21" s="1"/>
  <c r="EI10" i="21"/>
  <c r="EB10" i="21" s="1"/>
  <c r="EI5" i="21"/>
  <c r="EI20" i="21"/>
  <c r="AN123" i="15" s="1"/>
  <c r="EI40" i="21"/>
  <c r="EI17" i="21"/>
  <c r="EI42" i="21"/>
  <c r="EL2" i="21" l="1"/>
  <c r="EK10" i="21"/>
  <c r="EK24" i="21"/>
  <c r="EK4" i="21"/>
  <c r="EK38" i="21"/>
  <c r="EK5" i="21"/>
  <c r="EK16" i="21"/>
  <c r="EK34" i="21"/>
  <c r="EK36" i="21"/>
  <c r="EK17" i="21"/>
  <c r="EK11" i="21"/>
  <c r="EK40" i="21"/>
  <c r="EK25" i="21"/>
  <c r="EK42" i="21"/>
  <c r="EI22" i="21"/>
  <c r="EB22" i="21" s="1"/>
  <c r="EB12" i="21"/>
  <c r="EK12" i="21" l="1"/>
  <c r="EK6" i="21"/>
  <c r="EK18" i="21"/>
  <c r="EM2" i="21"/>
  <c r="EL16" i="21"/>
  <c r="EL34" i="21"/>
  <c r="EL36" i="21"/>
  <c r="EL40" i="21"/>
  <c r="EL17" i="21"/>
  <c r="EL25" i="21"/>
  <c r="EL11" i="21"/>
  <c r="EL10" i="21"/>
  <c r="EL24" i="21"/>
  <c r="EL4" i="21"/>
  <c r="EL5" i="21"/>
  <c r="EL38" i="21"/>
  <c r="EL42" i="21"/>
  <c r="EL6" i="21" l="1"/>
  <c r="EN2" i="21"/>
  <c r="EM36" i="21"/>
  <c r="EM38" i="21"/>
  <c r="EM24" i="21"/>
  <c r="EM5" i="21"/>
  <c r="EM10" i="21"/>
  <c r="EM17" i="21"/>
  <c r="EM18" i="21" s="1"/>
  <c r="EM40" i="21"/>
  <c r="EM25" i="21"/>
  <c r="EM4" i="21"/>
  <c r="EM16" i="21"/>
  <c r="EM34" i="21"/>
  <c r="EM11" i="21"/>
  <c r="EM42" i="21"/>
  <c r="EL12" i="21"/>
  <c r="EK22" i="21"/>
  <c r="EL18" i="21"/>
  <c r="EM12" i="21" l="1"/>
  <c r="EM6" i="21"/>
  <c r="EO2" i="21"/>
  <c r="EN38" i="21"/>
  <c r="EN16" i="21"/>
  <c r="EN5" i="21"/>
  <c r="EN34" i="21"/>
  <c r="EN17" i="21"/>
  <c r="EN24" i="21"/>
  <c r="EN10" i="21"/>
  <c r="EN4" i="21"/>
  <c r="EN25" i="21"/>
  <c r="EN11" i="21"/>
  <c r="EN12" i="21" s="1"/>
  <c r="EN36" i="21"/>
  <c r="EN40" i="21"/>
  <c r="EN42" i="21"/>
  <c r="EL22" i="21"/>
  <c r="EM22" i="21" l="1"/>
  <c r="EN6" i="21"/>
  <c r="EP2" i="21"/>
  <c r="EO38" i="21"/>
  <c r="EO36" i="21"/>
  <c r="EO24" i="21"/>
  <c r="EO11" i="21"/>
  <c r="EO12" i="21" s="1"/>
  <c r="EO40" i="21"/>
  <c r="EO17" i="21"/>
  <c r="EO25" i="21"/>
  <c r="EO34" i="21"/>
  <c r="EO10" i="21"/>
  <c r="EO4" i="21"/>
  <c r="EO16" i="21"/>
  <c r="EO5" i="21"/>
  <c r="EO42" i="21"/>
  <c r="EN18" i="21"/>
  <c r="EO6" i="21" l="1"/>
  <c r="EQ2" i="21"/>
  <c r="EP34" i="21"/>
  <c r="EP17" i="21"/>
  <c r="EP18" i="21" s="1"/>
  <c r="EJ18" i="21" s="1"/>
  <c r="EP11" i="21"/>
  <c r="EP25" i="21"/>
  <c r="EP36" i="21"/>
  <c r="EP10" i="21"/>
  <c r="EP38" i="21"/>
  <c r="EP16" i="21"/>
  <c r="EP5" i="21"/>
  <c r="EP24" i="21"/>
  <c r="EP40" i="21"/>
  <c r="EP4" i="21"/>
  <c r="EP6" i="21" s="1"/>
  <c r="EP42" i="21"/>
  <c r="EN22" i="21"/>
  <c r="EO18" i="21"/>
  <c r="EJ6" i="21" l="1"/>
  <c r="EP12" i="21"/>
  <c r="EP22" i="21" s="1"/>
  <c r="ES2" i="21"/>
  <c r="EQ24" i="21"/>
  <c r="EJ24" i="21" s="1"/>
  <c r="EQ36" i="21"/>
  <c r="EQ38" i="21"/>
  <c r="EQ17" i="21"/>
  <c r="EQ4" i="21"/>
  <c r="EJ4" i="21" s="1"/>
  <c r="EQ5" i="21"/>
  <c r="EQ10" i="21"/>
  <c r="EJ10" i="21" s="1"/>
  <c r="EQ16" i="21"/>
  <c r="EJ16" i="21" s="1"/>
  <c r="EQ20" i="21"/>
  <c r="AN130" i="15" s="1"/>
  <c r="EQ34" i="21"/>
  <c r="EQ25" i="21"/>
  <c r="EJ25" i="21" s="1"/>
  <c r="EQ19" i="21"/>
  <c r="EJ19" i="21" s="1"/>
  <c r="EQ11" i="21"/>
  <c r="EQ40" i="21"/>
  <c r="EQ42" i="21"/>
  <c r="EO22" i="21"/>
  <c r="ET2" i="21" l="1"/>
  <c r="ES40" i="21"/>
  <c r="ES38" i="21"/>
  <c r="ES34" i="21"/>
  <c r="ES36" i="21"/>
  <c r="ES24" i="21"/>
  <c r="ES25" i="21"/>
  <c r="ES42" i="21"/>
  <c r="EQ12" i="21"/>
  <c r="EQ22" i="21" l="1"/>
  <c r="EJ22" i="21" s="1"/>
  <c r="EJ12" i="21"/>
  <c r="EU2" i="21"/>
  <c r="ET40" i="21"/>
  <c r="ET34" i="21"/>
  <c r="ET24" i="21"/>
  <c r="ET38" i="21"/>
  <c r="ET36" i="21"/>
  <c r="ET25" i="21"/>
  <c r="ET42" i="21"/>
  <c r="EV2" i="21" l="1"/>
  <c r="EU24" i="21"/>
  <c r="EU25" i="21"/>
  <c r="EU38" i="21"/>
  <c r="EU40" i="21"/>
  <c r="EU36" i="21"/>
  <c r="EU34" i="21"/>
  <c r="EU42" i="21"/>
  <c r="EW2" i="21" l="1"/>
  <c r="EV24" i="21"/>
  <c r="EV38" i="21"/>
  <c r="EV36" i="21"/>
  <c r="EV40" i="21"/>
  <c r="EV25" i="21"/>
  <c r="EV34" i="21"/>
  <c r="EV42" i="21"/>
  <c r="EX2" i="21" l="1"/>
  <c r="EW34" i="21"/>
  <c r="EW24" i="21"/>
  <c r="EW36" i="21"/>
  <c r="EW40" i="21"/>
  <c r="EW38" i="21"/>
  <c r="EW25" i="21"/>
  <c r="EW42" i="21"/>
  <c r="EY2" i="21" l="1"/>
  <c r="EX24" i="21"/>
  <c r="EX36" i="21"/>
  <c r="EX34" i="21"/>
  <c r="EX25" i="21"/>
  <c r="EX38" i="21"/>
  <c r="EX40" i="21"/>
  <c r="EX42" i="21"/>
  <c r="FA2" i="21" l="1"/>
  <c r="EY36" i="21"/>
  <c r="EY5" i="21"/>
  <c r="EY20" i="21"/>
  <c r="AN137" i="15" s="1"/>
  <c r="EY38" i="21"/>
  <c r="EY17" i="21"/>
  <c r="EY24" i="21"/>
  <c r="ER24" i="21" s="1"/>
  <c r="EY25" i="21"/>
  <c r="ER25" i="21" s="1"/>
  <c r="EY19" i="21"/>
  <c r="ER19" i="21" s="1"/>
  <c r="EY40" i="21"/>
  <c r="EY34" i="21"/>
  <c r="EY16" i="21"/>
  <c r="ER16" i="21" s="1"/>
  <c r="EY4" i="21"/>
  <c r="ER4" i="21" s="1"/>
  <c r="EY42" i="21"/>
  <c r="FB2" i="21" l="1"/>
  <c r="FA34" i="21"/>
  <c r="FA38" i="21"/>
  <c r="FA36" i="21"/>
  <c r="FA24" i="21"/>
  <c r="FA40" i="21"/>
  <c r="FA25" i="21"/>
  <c r="FA42" i="21"/>
  <c r="FC2" i="21" l="1"/>
  <c r="FB40" i="21"/>
  <c r="FB34" i="21"/>
  <c r="FB25" i="21"/>
  <c r="FB24" i="21"/>
  <c r="FB36" i="21"/>
  <c r="FB38" i="21"/>
  <c r="FB42" i="21"/>
  <c r="FD2" i="21" l="1"/>
  <c r="FC38" i="21"/>
  <c r="FC36" i="21"/>
  <c r="FC24" i="21"/>
  <c r="FC34" i="21"/>
  <c r="FC25" i="21"/>
  <c r="FC40" i="21"/>
  <c r="FC42" i="21"/>
  <c r="FE2" i="21" l="1"/>
  <c r="FD25" i="21"/>
  <c r="FD36" i="21"/>
  <c r="FD40" i="21"/>
  <c r="FD24" i="21"/>
  <c r="FD38" i="21"/>
  <c r="FD34" i="21"/>
  <c r="FD42" i="21"/>
  <c r="FF2" i="21" l="1"/>
  <c r="FE36" i="21"/>
  <c r="FE24" i="21"/>
  <c r="FE38" i="21"/>
  <c r="FE25" i="21"/>
  <c r="FE34" i="21"/>
  <c r="FE40" i="21"/>
  <c r="FE42" i="21"/>
  <c r="FG2" i="21" l="1"/>
  <c r="FF24" i="21"/>
  <c r="FF36" i="21"/>
  <c r="FF40" i="21"/>
  <c r="FF25" i="21"/>
  <c r="FF34" i="21"/>
  <c r="FF38" i="21"/>
  <c r="FF42" i="21"/>
  <c r="FI2" i="21" l="1"/>
  <c r="FG38" i="21"/>
  <c r="FG36" i="21"/>
  <c r="FG24" i="21"/>
  <c r="EZ24" i="21" s="1"/>
  <c r="FG5" i="21"/>
  <c r="FG34" i="21"/>
  <c r="FG4" i="21"/>
  <c r="EZ4" i="21" s="1"/>
  <c r="FG25" i="21"/>
  <c r="EZ25" i="21" s="1"/>
  <c r="FG19" i="21"/>
  <c r="EZ19" i="21" s="1"/>
  <c r="FG16" i="21"/>
  <c r="EZ16" i="21" s="1"/>
  <c r="FG40" i="21"/>
  <c r="FG17" i="21"/>
  <c r="FG20" i="21"/>
  <c r="AN144" i="15" s="1"/>
  <c r="FG42" i="21"/>
  <c r="FJ2" i="21" l="1"/>
  <c r="FI25" i="21"/>
  <c r="FI24" i="21"/>
  <c r="FI40" i="21"/>
  <c r="FI36" i="21"/>
  <c r="FI38" i="21"/>
  <c r="FI34" i="21"/>
  <c r="FI42" i="21"/>
  <c r="FK2" i="21" l="1"/>
  <c r="FJ24" i="21"/>
  <c r="FJ38" i="21"/>
  <c r="FJ36" i="21"/>
  <c r="FJ25" i="21"/>
  <c r="FJ40" i="21"/>
  <c r="FJ34" i="21"/>
  <c r="FJ42" i="21"/>
  <c r="FL2" i="21" l="1"/>
  <c r="FK36" i="21"/>
  <c r="FK40" i="21"/>
  <c r="FK25" i="21"/>
  <c r="FK34" i="21"/>
  <c r="FK38" i="21"/>
  <c r="FK24" i="21"/>
  <c r="FK42" i="21"/>
  <c r="FM2" i="21" l="1"/>
  <c r="FL24" i="21"/>
  <c r="FL36" i="21"/>
  <c r="FL38" i="21"/>
  <c r="FL25" i="21"/>
  <c r="FL40" i="21"/>
  <c r="FL20" i="21"/>
  <c r="AN148" i="15" s="1"/>
  <c r="FL34" i="21"/>
  <c r="FL19" i="21"/>
  <c r="FL42" i="21"/>
  <c r="FL21" i="21" l="1"/>
  <c r="FN2" i="21"/>
  <c r="FM24" i="21"/>
  <c r="FM38" i="21"/>
  <c r="FM36" i="21"/>
  <c r="FM34" i="21"/>
  <c r="FM25" i="21"/>
  <c r="FM40" i="21"/>
  <c r="FM42" i="21"/>
  <c r="FO2" i="21" l="1"/>
  <c r="FN36" i="21"/>
  <c r="FN24" i="21"/>
  <c r="FN40" i="21"/>
  <c r="FN34" i="21"/>
  <c r="FN38" i="21"/>
  <c r="FN25" i="21"/>
  <c r="FN42" i="21"/>
  <c r="FH21" i="21"/>
  <c r="FL31" i="21"/>
  <c r="FM31" i="21" s="1"/>
  <c r="FL23" i="21"/>
  <c r="FH23" i="21" s="1"/>
  <c r="FQ2" i="21" l="1"/>
  <c r="FO4" i="21"/>
  <c r="FH4" i="21" s="1"/>
  <c r="FO16" i="21"/>
  <c r="FH16" i="21" s="1"/>
  <c r="FO19" i="21"/>
  <c r="FH19" i="21" s="1"/>
  <c r="FO34" i="21"/>
  <c r="FO5" i="21"/>
  <c r="FO25" i="21"/>
  <c r="FH25" i="21" s="1"/>
  <c r="FO24" i="21"/>
  <c r="FH24" i="21" s="1"/>
  <c r="FO20" i="21"/>
  <c r="AN151" i="15" s="1"/>
  <c r="FO40" i="21"/>
  <c r="FO36" i="21"/>
  <c r="FO17" i="21"/>
  <c r="FO38" i="21"/>
  <c r="FO42" i="21"/>
  <c r="FR2" i="21" l="1"/>
  <c r="FQ24" i="21"/>
  <c r="FQ25" i="21"/>
  <c r="FQ40" i="21"/>
  <c r="FQ34" i="21"/>
  <c r="FQ36" i="21"/>
  <c r="FQ38" i="21"/>
  <c r="FQ42" i="21"/>
  <c r="FS2" i="21" l="1"/>
  <c r="FR24" i="21"/>
  <c r="FR36" i="21"/>
  <c r="FR34" i="21"/>
  <c r="FR38" i="21"/>
  <c r="FR25" i="21"/>
  <c r="FR40" i="21"/>
  <c r="FR42" i="21"/>
  <c r="FT2" i="21" l="1"/>
  <c r="FS34" i="21"/>
  <c r="FS38" i="21"/>
  <c r="FS36" i="21"/>
  <c r="FS24" i="21"/>
  <c r="FS40" i="21"/>
  <c r="FS25" i="21"/>
  <c r="FS42" i="21"/>
  <c r="FU2" i="21" l="1"/>
  <c r="FT38" i="21"/>
  <c r="FT24" i="21"/>
  <c r="FT36" i="21"/>
  <c r="FT25" i="21"/>
  <c r="FT40" i="21"/>
  <c r="FT34" i="21"/>
  <c r="FT42" i="21"/>
  <c r="FV2" i="21" l="1"/>
  <c r="FU40" i="21"/>
  <c r="FU36" i="21"/>
  <c r="FU38" i="21"/>
  <c r="FU34" i="21"/>
  <c r="FU24" i="21"/>
  <c r="FU25" i="21"/>
  <c r="FU42" i="21"/>
  <c r="FW2" i="21" l="1"/>
  <c r="FV38" i="21"/>
  <c r="FV24" i="21"/>
  <c r="FV40" i="21"/>
  <c r="FV25" i="21"/>
  <c r="FV34" i="21"/>
  <c r="FV36" i="21"/>
  <c r="FV42" i="21"/>
  <c r="FY2" i="21" l="1"/>
  <c r="FW5" i="21"/>
  <c r="FW4" i="21"/>
  <c r="FP4" i="21" s="1"/>
  <c r="FW16" i="21"/>
  <c r="FP16" i="21" s="1"/>
  <c r="FW34" i="21"/>
  <c r="FP34" i="21" s="1"/>
  <c r="FW25" i="21"/>
  <c r="FP25" i="21" s="1"/>
  <c r="FW19" i="21"/>
  <c r="FP19" i="21" s="1"/>
  <c r="FW17" i="21"/>
  <c r="FW24" i="21"/>
  <c r="FP24" i="21" s="1"/>
  <c r="FW20" i="21"/>
  <c r="AN158" i="15" s="1"/>
  <c r="FZ2" i="21" l="1"/>
  <c r="FY34" i="21"/>
  <c r="FY36" i="21"/>
  <c r="FY38" i="21"/>
  <c r="FY24" i="21"/>
  <c r="FY25" i="21"/>
  <c r="FY20" i="21"/>
  <c r="AN159" i="15" s="1"/>
  <c r="FY40" i="21"/>
  <c r="FY19" i="21"/>
  <c r="FY42" i="21"/>
  <c r="FY21" i="21" l="1"/>
  <c r="GA2" i="21"/>
  <c r="FZ40" i="21"/>
  <c r="FZ25" i="21"/>
  <c r="FZ36" i="21"/>
  <c r="FZ34" i="21"/>
  <c r="FZ38" i="21"/>
  <c r="FZ24" i="21"/>
  <c r="FZ42" i="21"/>
  <c r="GB2" i="21" l="1"/>
  <c r="GA40" i="21"/>
  <c r="GA38" i="21"/>
  <c r="GA34" i="21"/>
  <c r="GA36" i="21"/>
  <c r="GA24" i="21"/>
  <c r="GA25" i="21"/>
  <c r="GA42" i="21"/>
  <c r="FY23" i="21"/>
  <c r="FX23" i="21" s="1"/>
  <c r="FY31" i="21"/>
  <c r="FZ31" i="21" s="1"/>
  <c r="FX21" i="21"/>
  <c r="GC2" i="21" l="1"/>
  <c r="GB36" i="21"/>
  <c r="GB24" i="21"/>
  <c r="GB34" i="21"/>
  <c r="GB38" i="21"/>
  <c r="GB25" i="21"/>
  <c r="GB40" i="21"/>
  <c r="GB42" i="21"/>
  <c r="GD2" i="21" l="1"/>
  <c r="GC36" i="21"/>
  <c r="GC24" i="21"/>
  <c r="GC25" i="21"/>
  <c r="GC40" i="21"/>
  <c r="GC34" i="21"/>
  <c r="GC38" i="21"/>
  <c r="GC42" i="21"/>
  <c r="GE2" i="21" l="1"/>
  <c r="GD34" i="21"/>
  <c r="GD38" i="21"/>
  <c r="GD40" i="21"/>
  <c r="GD24" i="21"/>
  <c r="GD25" i="21"/>
  <c r="GD36" i="21"/>
  <c r="GD42" i="21"/>
  <c r="GG2" i="21" l="1"/>
  <c r="GE25" i="21"/>
  <c r="FX25" i="21" s="1"/>
  <c r="GE17" i="21"/>
  <c r="GE24" i="21"/>
  <c r="FX24" i="21" s="1"/>
  <c r="GE34" i="21"/>
  <c r="FX34" i="21" s="1"/>
  <c r="GE19" i="21"/>
  <c r="FX19" i="21" s="1"/>
  <c r="GE16" i="21"/>
  <c r="FX16" i="21" s="1"/>
  <c r="GE20" i="21"/>
  <c r="AN165" i="15" s="1"/>
  <c r="GE4" i="21"/>
  <c r="FX4" i="21" s="1"/>
  <c r="GE5" i="21"/>
  <c r="GH2" i="21" l="1"/>
  <c r="GG25" i="21"/>
  <c r="GG24" i="21"/>
  <c r="GG40" i="21"/>
  <c r="GG38" i="21"/>
  <c r="GG34" i="21"/>
  <c r="GG36" i="21"/>
  <c r="GG42" i="21"/>
  <c r="GI2" i="21" l="1"/>
  <c r="GH25" i="21"/>
  <c r="GH40" i="21"/>
  <c r="GH34" i="21"/>
  <c r="GH38" i="21"/>
  <c r="GH36" i="21"/>
  <c r="GH24" i="21"/>
  <c r="GH42" i="21"/>
  <c r="GJ2" i="21" l="1"/>
  <c r="GI38" i="21"/>
  <c r="GI36" i="21"/>
  <c r="GI34" i="21"/>
  <c r="GI24" i="21"/>
  <c r="GI40" i="21"/>
  <c r="GI25" i="21"/>
  <c r="GI42" i="21"/>
  <c r="GK2" i="21" l="1"/>
  <c r="GJ34" i="21"/>
  <c r="GJ36" i="21"/>
  <c r="GJ38" i="21"/>
  <c r="GJ25" i="21"/>
  <c r="GJ40" i="21"/>
  <c r="GJ24" i="21"/>
  <c r="GJ42" i="21"/>
  <c r="GL2" i="21" l="1"/>
  <c r="GK24" i="21"/>
  <c r="GK38" i="21"/>
  <c r="GK34" i="21"/>
  <c r="GK25" i="21"/>
  <c r="GK36" i="21"/>
  <c r="GK40" i="21"/>
  <c r="GK42" i="21"/>
  <c r="GM2" i="21" l="1"/>
  <c r="GL38" i="21"/>
  <c r="GL36" i="21"/>
  <c r="GL24" i="21"/>
  <c r="GL25" i="21"/>
  <c r="GL40" i="21"/>
  <c r="GL34" i="21"/>
  <c r="GL42" i="21"/>
  <c r="GO2" i="21" l="1"/>
  <c r="GM20" i="21"/>
  <c r="AN172" i="15" s="1"/>
  <c r="GM17" i="21"/>
  <c r="GM4" i="21"/>
  <c r="GF4" i="21" s="1"/>
  <c r="GM34" i="21"/>
  <c r="GF34" i="21" s="1"/>
  <c r="GM5" i="21"/>
  <c r="GM25" i="21"/>
  <c r="GF25" i="21" s="1"/>
  <c r="GM16" i="21"/>
  <c r="GF16" i="21" s="1"/>
  <c r="GM19" i="21"/>
  <c r="GF19" i="21" s="1"/>
  <c r="GM24" i="21"/>
  <c r="GF24" i="21" s="1"/>
  <c r="GP2" i="21" l="1"/>
  <c r="GO25" i="21"/>
  <c r="GO24" i="21"/>
  <c r="GO40" i="21"/>
  <c r="GO38" i="21"/>
  <c r="GO36" i="21"/>
  <c r="GO34" i="21"/>
  <c r="GO42" i="21"/>
  <c r="GQ2" i="21" l="1"/>
  <c r="GP25" i="21"/>
  <c r="GP40" i="21"/>
  <c r="GP34" i="21"/>
  <c r="GP36" i="21"/>
  <c r="GP24" i="21"/>
  <c r="GP38" i="21"/>
  <c r="GP42" i="21"/>
  <c r="GR2" i="21" l="1"/>
  <c r="GQ34" i="21"/>
  <c r="GQ36" i="21"/>
  <c r="GQ38" i="21"/>
  <c r="GQ25" i="21"/>
  <c r="GQ24" i="21"/>
  <c r="GQ40" i="21"/>
  <c r="GQ42" i="21"/>
  <c r="GS2" i="21" l="1"/>
  <c r="GR34" i="21"/>
  <c r="GR24" i="21"/>
  <c r="GR38" i="21"/>
  <c r="GR25" i="21"/>
  <c r="GR36" i="21"/>
  <c r="GR40" i="21"/>
  <c r="GR42" i="21"/>
  <c r="GT2" i="21" l="1"/>
  <c r="GS38" i="21"/>
  <c r="GS24" i="21"/>
  <c r="GS36" i="21"/>
  <c r="GS34" i="21"/>
  <c r="GS40" i="21"/>
  <c r="GS25" i="21"/>
  <c r="GS42" i="21"/>
  <c r="GU2" i="21" l="1"/>
  <c r="GT34" i="21"/>
  <c r="GT38" i="21"/>
  <c r="GN38" i="21" s="1"/>
  <c r="GT24" i="21"/>
  <c r="GT40" i="21"/>
  <c r="GN40" i="21" s="1"/>
  <c r="GT36" i="21"/>
  <c r="GN36" i="21" s="1"/>
  <c r="GT25" i="21"/>
  <c r="GT42" i="21"/>
  <c r="GN42" i="21" s="1"/>
  <c r="GW2" i="21" l="1"/>
  <c r="GU5" i="21"/>
  <c r="GU16" i="21"/>
  <c r="GN16" i="21" s="1"/>
  <c r="GU19" i="21"/>
  <c r="GN19" i="21" s="1"/>
  <c r="GU34" i="21"/>
  <c r="GN34" i="21" s="1"/>
  <c r="GU4" i="21"/>
  <c r="GN4" i="21" s="1"/>
  <c r="GU24" i="21"/>
  <c r="GN24" i="21" s="1"/>
  <c r="GU17" i="21"/>
  <c r="GU20" i="21"/>
  <c r="AN179" i="15" s="1"/>
  <c r="GU25" i="21"/>
  <c r="GN25" i="21" s="1"/>
  <c r="GX2" i="21" l="1"/>
  <c r="GW10" i="21"/>
  <c r="GW17" i="21"/>
  <c r="GW16" i="21"/>
  <c r="GW4" i="21"/>
  <c r="GW25" i="21"/>
  <c r="GW11" i="21"/>
  <c r="GW12" i="21" s="1"/>
  <c r="GW24" i="21"/>
  <c r="GW40" i="21"/>
  <c r="GW38" i="21"/>
  <c r="GW34" i="21"/>
  <c r="GW5" i="21"/>
  <c r="GW36" i="21"/>
  <c r="GW42" i="21"/>
  <c r="GW6" i="21" l="1"/>
  <c r="GW18" i="21"/>
  <c r="GY2" i="21"/>
  <c r="GX16" i="21"/>
  <c r="GX25" i="21"/>
  <c r="GX40" i="21"/>
  <c r="GX34" i="21"/>
  <c r="GX24" i="21"/>
  <c r="GX38" i="21"/>
  <c r="GX36" i="21"/>
  <c r="GX17" i="21"/>
  <c r="GX5" i="21"/>
  <c r="GX11" i="21"/>
  <c r="GX10" i="21"/>
  <c r="GX4" i="21"/>
  <c r="GX42" i="21"/>
  <c r="GW22" i="21" l="1"/>
  <c r="GX18" i="21"/>
  <c r="GZ2" i="21"/>
  <c r="GY17" i="21"/>
  <c r="GY11" i="21"/>
  <c r="GY12" i="21" s="1"/>
  <c r="GY40" i="21"/>
  <c r="GY16" i="21"/>
  <c r="GY36" i="21"/>
  <c r="GY10" i="21"/>
  <c r="GY38" i="21"/>
  <c r="GY24" i="21"/>
  <c r="GY5" i="21"/>
  <c r="GY25" i="21"/>
  <c r="GY34" i="21"/>
  <c r="GY4" i="21"/>
  <c r="GY6" i="21" s="1"/>
  <c r="GY42" i="21"/>
  <c r="GX6" i="21"/>
  <c r="GX12" i="21"/>
  <c r="GY18" i="21" l="1"/>
  <c r="GY22" i="21" s="1"/>
  <c r="HA2" i="21"/>
  <c r="GZ38" i="21"/>
  <c r="GZ34" i="21"/>
  <c r="GZ36" i="21"/>
  <c r="GZ24" i="21"/>
  <c r="GZ16" i="21"/>
  <c r="GZ5" i="21"/>
  <c r="GZ6" i="21" s="1"/>
  <c r="GZ25" i="21"/>
  <c r="GZ40" i="21"/>
  <c r="GZ10" i="21"/>
  <c r="GZ11" i="21"/>
  <c r="GZ12" i="21" s="1"/>
  <c r="GZ42" i="21"/>
  <c r="GZ4" i="21"/>
  <c r="GZ17" i="21"/>
  <c r="GZ18" i="21" s="1"/>
  <c r="GX22" i="21"/>
  <c r="HB2" i="21" l="1"/>
  <c r="HA4" i="21"/>
  <c r="HA38" i="21"/>
  <c r="HA36" i="21"/>
  <c r="HA24" i="21"/>
  <c r="HA11" i="21"/>
  <c r="HA17" i="21"/>
  <c r="HA16" i="21"/>
  <c r="HA34" i="21"/>
  <c r="HA40" i="21"/>
  <c r="HA25" i="21"/>
  <c r="HA5" i="21"/>
  <c r="HA6" i="21" s="1"/>
  <c r="HA10" i="21"/>
  <c r="HA42" i="21"/>
  <c r="GZ22" i="21"/>
  <c r="HC2" i="21" l="1"/>
  <c r="HB24" i="21"/>
  <c r="HB4" i="21"/>
  <c r="HB10" i="21"/>
  <c r="HB40" i="21"/>
  <c r="GV40" i="21" s="1"/>
  <c r="HB38" i="21"/>
  <c r="GV38" i="21" s="1"/>
  <c r="HB17" i="21"/>
  <c r="HB5" i="21"/>
  <c r="HB36" i="21"/>
  <c r="GV36" i="21" s="1"/>
  <c r="HB11" i="21"/>
  <c r="HB25" i="21"/>
  <c r="HB16" i="21"/>
  <c r="HB34" i="21"/>
  <c r="HB42" i="21"/>
  <c r="GV42" i="21" s="1"/>
  <c r="HA18" i="21"/>
  <c r="HA12" i="21"/>
  <c r="HA22" i="21" s="1"/>
  <c r="HB6" i="21" l="1"/>
  <c r="HB12" i="21"/>
  <c r="HE2" i="21"/>
  <c r="HC25" i="21"/>
  <c r="GV25" i="21" s="1"/>
  <c r="HC5" i="21"/>
  <c r="HC17" i="21"/>
  <c r="HC24" i="21"/>
  <c r="GV24" i="21" s="1"/>
  <c r="HC34" i="21"/>
  <c r="GV34" i="21" s="1"/>
  <c r="HC20" i="21"/>
  <c r="AN186" i="15" s="1"/>
  <c r="HC4" i="21"/>
  <c r="GV4" i="21" s="1"/>
  <c r="HC10" i="21"/>
  <c r="HC11" i="21"/>
  <c r="HC12" i="21" s="1"/>
  <c r="HC19" i="21"/>
  <c r="GV19" i="21" s="1"/>
  <c r="HC16" i="21"/>
  <c r="GV16" i="21" s="1"/>
  <c r="HB18" i="21"/>
  <c r="GV18" i="21" s="1"/>
  <c r="GV6" i="21"/>
  <c r="HC22" i="21" l="1"/>
  <c r="GV12" i="21"/>
  <c r="HC13" i="21"/>
  <c r="GV10" i="21"/>
  <c r="HF2" i="21"/>
  <c r="HE40" i="21"/>
  <c r="HE25" i="21"/>
  <c r="HE36" i="21"/>
  <c r="HE34" i="21"/>
  <c r="HE38" i="21"/>
  <c r="HE24" i="21"/>
  <c r="HE42" i="21"/>
  <c r="HB22" i="21"/>
  <c r="HG2" i="21" l="1"/>
  <c r="HF36" i="21"/>
  <c r="HF34" i="21"/>
  <c r="HF40" i="21"/>
  <c r="HF24" i="21"/>
  <c r="HF25" i="21"/>
  <c r="HF38" i="21"/>
  <c r="HF42" i="21"/>
  <c r="GV13" i="21"/>
  <c r="HC15" i="21"/>
  <c r="GV22" i="21"/>
  <c r="GV15" i="21" l="1"/>
  <c r="HC31" i="21"/>
  <c r="HE31" i="21" s="1"/>
  <c r="HC23" i="21"/>
  <c r="GV23" i="21" s="1"/>
  <c r="HH2" i="21"/>
  <c r="HG36" i="21"/>
  <c r="HG38" i="21"/>
  <c r="HG24" i="21"/>
  <c r="HG25" i="21"/>
  <c r="HG40" i="21"/>
  <c r="HG34" i="21"/>
  <c r="HG42" i="21"/>
  <c r="HI2" i="21" l="1"/>
  <c r="HH34" i="21"/>
  <c r="HH36" i="21"/>
  <c r="HH38" i="21"/>
  <c r="HH25" i="21"/>
  <c r="HH24" i="21"/>
  <c r="HH40" i="21"/>
  <c r="HH42" i="21"/>
  <c r="HJ2" i="21" l="1"/>
  <c r="HI24" i="21"/>
  <c r="HI38" i="21"/>
  <c r="HI36" i="21"/>
  <c r="HI25" i="21"/>
  <c r="HI40" i="21"/>
  <c r="HI34" i="21"/>
  <c r="HI42" i="21"/>
  <c r="HK2" i="21" l="1"/>
  <c r="HJ40" i="21"/>
  <c r="HD40" i="21" s="1"/>
  <c r="HJ34" i="21"/>
  <c r="HJ24" i="21"/>
  <c r="HJ36" i="21"/>
  <c r="HD36" i="21" s="1"/>
  <c r="HJ38" i="21"/>
  <c r="HD38" i="21" s="1"/>
  <c r="HJ25" i="21"/>
  <c r="HJ42" i="21"/>
  <c r="HD42" i="21" s="1"/>
  <c r="HM2" i="21" l="1"/>
  <c r="HK25" i="21"/>
  <c r="HD25" i="21" s="1"/>
  <c r="HK5" i="21"/>
  <c r="HK4" i="21"/>
  <c r="HK34" i="21"/>
  <c r="HD34" i="21" s="1"/>
  <c r="HK17" i="21"/>
  <c r="HK24" i="21"/>
  <c r="HD24" i="21" s="1"/>
  <c r="HK20" i="21"/>
  <c r="AN193" i="15" s="1"/>
  <c r="HK19" i="21"/>
  <c r="HD19" i="21" s="1"/>
  <c r="HK16" i="21"/>
  <c r="HN2" i="21" l="1"/>
  <c r="HM10" i="21"/>
  <c r="HM24" i="21"/>
  <c r="HM4" i="21"/>
  <c r="HM34" i="21"/>
  <c r="HM36" i="21"/>
  <c r="HM38" i="21"/>
  <c r="HM16" i="21"/>
  <c r="HM5" i="21"/>
  <c r="HM25" i="21"/>
  <c r="HM40" i="21"/>
  <c r="HM17" i="21"/>
  <c r="HM11" i="21"/>
  <c r="HM42" i="21"/>
  <c r="HM12" i="21" l="1"/>
  <c r="HM18" i="21"/>
  <c r="HM6" i="21"/>
  <c r="HO2" i="21"/>
  <c r="HN4" i="21"/>
  <c r="HN36" i="21"/>
  <c r="HN11" i="21"/>
  <c r="HN34" i="21"/>
  <c r="HN16" i="21"/>
  <c r="HN24" i="21"/>
  <c r="HN38" i="21"/>
  <c r="HN5" i="21"/>
  <c r="HN40" i="21"/>
  <c r="HN17" i="21"/>
  <c r="HN10" i="21"/>
  <c r="HN25" i="21"/>
  <c r="HN42" i="21"/>
  <c r="HN18" i="21" l="1"/>
  <c r="HN6" i="21"/>
  <c r="HP2" i="21"/>
  <c r="HO36" i="21"/>
  <c r="HO17" i="21"/>
  <c r="HO38" i="21"/>
  <c r="HO5" i="21"/>
  <c r="HO24" i="21"/>
  <c r="HO4" i="21"/>
  <c r="HO11" i="21"/>
  <c r="HO25" i="21"/>
  <c r="HO40" i="21"/>
  <c r="HO34" i="21"/>
  <c r="HO10" i="21"/>
  <c r="HO16" i="21"/>
  <c r="HO42" i="21"/>
  <c r="HM22" i="21"/>
  <c r="HN12" i="21"/>
  <c r="HO18" i="21" l="1"/>
  <c r="HQ2" i="21"/>
  <c r="HP34" i="21"/>
  <c r="HP5" i="21"/>
  <c r="HP40" i="21"/>
  <c r="HP38" i="21"/>
  <c r="HP25" i="21"/>
  <c r="HP36" i="21"/>
  <c r="HP24" i="21"/>
  <c r="HP4" i="21"/>
  <c r="HP42" i="21"/>
  <c r="HO12" i="21"/>
  <c r="HN22" i="21"/>
  <c r="HO6" i="21"/>
  <c r="HR2" i="21" l="1"/>
  <c r="HQ36" i="21"/>
  <c r="HQ38" i="21"/>
  <c r="HQ34" i="21"/>
  <c r="HQ16" i="21"/>
  <c r="HQ17" i="21"/>
  <c r="HQ18" i="21" s="1"/>
  <c r="HQ25" i="21"/>
  <c r="HQ4" i="21"/>
  <c r="HQ40" i="21"/>
  <c r="HQ11" i="21"/>
  <c r="HQ24" i="21"/>
  <c r="HQ5" i="21"/>
  <c r="HQ10" i="21"/>
  <c r="HQ42" i="21"/>
  <c r="HP6" i="21"/>
  <c r="HP22" i="21" s="1"/>
  <c r="HO22" i="21"/>
  <c r="HQ12" i="21" l="1"/>
  <c r="HS2" i="21"/>
  <c r="HR38" i="21"/>
  <c r="HL38" i="21" s="1"/>
  <c r="HR11" i="21"/>
  <c r="HR17" i="21"/>
  <c r="HR18" i="21" s="1"/>
  <c r="HL18" i="21" s="1"/>
  <c r="HR10" i="21"/>
  <c r="HR34" i="21"/>
  <c r="HR4" i="21"/>
  <c r="HR16" i="21"/>
  <c r="HR5" i="21"/>
  <c r="HR25" i="21"/>
  <c r="HR24" i="21"/>
  <c r="HR40" i="21"/>
  <c r="HL40" i="21" s="1"/>
  <c r="HR36" i="21"/>
  <c r="HL36" i="21" s="1"/>
  <c r="HR42" i="21"/>
  <c r="HL42" i="21" s="1"/>
  <c r="HQ6" i="21"/>
  <c r="HQ22" i="21" s="1"/>
  <c r="HR12" i="21" l="1"/>
  <c r="HU2" i="21"/>
  <c r="HS25" i="21"/>
  <c r="HL25" i="21" s="1"/>
  <c r="HS19" i="21"/>
  <c r="HL19" i="21" s="1"/>
  <c r="HS16" i="21"/>
  <c r="HL16" i="21" s="1"/>
  <c r="HS10" i="21"/>
  <c r="HS11" i="21"/>
  <c r="HS20" i="21"/>
  <c r="AN200" i="15" s="1"/>
  <c r="HS5" i="21"/>
  <c r="HS4" i="21"/>
  <c r="HL4" i="21" s="1"/>
  <c r="HS17" i="21"/>
  <c r="HS24" i="21"/>
  <c r="HL24" i="21" s="1"/>
  <c r="HS34" i="21"/>
  <c r="HL34" i="21" s="1"/>
  <c r="HR6" i="21"/>
  <c r="HR22" i="21" s="1"/>
  <c r="HS12" i="21" l="1"/>
  <c r="HS14" i="21"/>
  <c r="HL6" i="21"/>
  <c r="HS13" i="21"/>
  <c r="HL10" i="21"/>
  <c r="HV2" i="21"/>
  <c r="HU24" i="21"/>
  <c r="HU25" i="21"/>
  <c r="HU40" i="21"/>
  <c r="HU34" i="21"/>
  <c r="HU38" i="21"/>
  <c r="HU36" i="21"/>
  <c r="HU42" i="21"/>
  <c r="HW2" i="21" l="1"/>
  <c r="HV24" i="21"/>
  <c r="HV38" i="21"/>
  <c r="HV34" i="21"/>
  <c r="HV36" i="21"/>
  <c r="HV40" i="21"/>
  <c r="HV25" i="21"/>
  <c r="HV42" i="21"/>
  <c r="HL13" i="21"/>
  <c r="HS15" i="21"/>
  <c r="HS22" i="21"/>
  <c r="HL22" i="21" s="1"/>
  <c r="HL12" i="21"/>
  <c r="HS23" i="21" l="1"/>
  <c r="HL23" i="21" s="1"/>
  <c r="HL15" i="21"/>
  <c r="HS31" i="21"/>
  <c r="HU31" i="21" s="1"/>
  <c r="HX2" i="21"/>
  <c r="HW38" i="21"/>
  <c r="HW36" i="21"/>
  <c r="HW34" i="21"/>
  <c r="HW25" i="21"/>
  <c r="HW24" i="21"/>
  <c r="HW40" i="21"/>
  <c r="HY2" i="21" l="1"/>
  <c r="HX36" i="21"/>
  <c r="HX19" i="21"/>
  <c r="HX25" i="21"/>
  <c r="HX24" i="21"/>
  <c r="HX40" i="21"/>
  <c r="HX34" i="21"/>
  <c r="HX20" i="21"/>
  <c r="AN204" i="15" s="1"/>
  <c r="HX38" i="21"/>
  <c r="HX42" i="21"/>
  <c r="HX21" i="21" l="1"/>
  <c r="HZ2" i="21"/>
  <c r="HY36" i="21"/>
  <c r="HY24" i="21"/>
  <c r="HY34" i="21"/>
  <c r="HY38" i="21"/>
  <c r="HY25" i="21"/>
  <c r="HY40" i="21"/>
  <c r="HY42" i="21"/>
  <c r="IA2" i="21" l="1"/>
  <c r="HZ34" i="21"/>
  <c r="HZ36" i="21"/>
  <c r="HT36" i="21" s="1"/>
  <c r="HZ38" i="21"/>
  <c r="HT38" i="21" s="1"/>
  <c r="HZ25" i="21"/>
  <c r="HZ24" i="21"/>
  <c r="HZ40" i="21"/>
  <c r="HT40" i="21" s="1"/>
  <c r="HZ42" i="21"/>
  <c r="HT42" i="21" s="1"/>
  <c r="HX31" i="21"/>
  <c r="HY31" i="21" s="1"/>
  <c r="HT21" i="21"/>
  <c r="HX23" i="21"/>
  <c r="HT23" i="21" s="1"/>
  <c r="IC2" i="21" l="1"/>
  <c r="IA38" i="21"/>
  <c r="IA24" i="21"/>
  <c r="HT24" i="21" s="1"/>
  <c r="IA36" i="21"/>
  <c r="IA40" i="21"/>
  <c r="IA25" i="21"/>
  <c r="HT25" i="21" s="1"/>
  <c r="IA16" i="21"/>
  <c r="HT16" i="21" s="1"/>
  <c r="IA5" i="21"/>
  <c r="IA17" i="21"/>
  <c r="IA19" i="21"/>
  <c r="HT19" i="21" s="1"/>
  <c r="IA34" i="21"/>
  <c r="HT34" i="21" s="1"/>
  <c r="IA20" i="21"/>
  <c r="AN207" i="15" s="1"/>
  <c r="IA4" i="21"/>
  <c r="HT4" i="21" s="1"/>
  <c r="IA42" i="21"/>
  <c r="ID2" i="21" l="1"/>
  <c r="IC25" i="21"/>
  <c r="IC10" i="21"/>
  <c r="IC17" i="21"/>
  <c r="IC18" i="21" s="1"/>
  <c r="IC40" i="21"/>
  <c r="IC11" i="21"/>
  <c r="IC36" i="21"/>
  <c r="IC34" i="21"/>
  <c r="IC16" i="21"/>
  <c r="IC38" i="21"/>
  <c r="IC24" i="21"/>
  <c r="IC4" i="21"/>
  <c r="IC5" i="21"/>
  <c r="IC6" i="21" s="1"/>
  <c r="IC42" i="21"/>
  <c r="IC12" i="21" l="1"/>
  <c r="IC22" i="21" s="1"/>
  <c r="IE2" i="21"/>
  <c r="ID17" i="21"/>
  <c r="ID18" i="21" s="1"/>
  <c r="ID25" i="21"/>
  <c r="ID5" i="21"/>
  <c r="ID11" i="21"/>
  <c r="ID12" i="21" s="1"/>
  <c r="ID24" i="21"/>
  <c r="ID38" i="21"/>
  <c r="ID16" i="21"/>
  <c r="ID36" i="21"/>
  <c r="ID34" i="21"/>
  <c r="ID4" i="21"/>
  <c r="ID10" i="21"/>
  <c r="ID40" i="21"/>
  <c r="ID42" i="21"/>
  <c r="ID6" i="21" l="1"/>
  <c r="ID22" i="21" s="1"/>
  <c r="IF2" i="21"/>
  <c r="IE36" i="21"/>
  <c r="IE24" i="21"/>
  <c r="IE4" i="21"/>
  <c r="IE40" i="21"/>
  <c r="IE5" i="21"/>
  <c r="IE25" i="21"/>
  <c r="IE34" i="21"/>
  <c r="IE38" i="21"/>
  <c r="IE17" i="21"/>
  <c r="IE11" i="21"/>
  <c r="IE16" i="21"/>
  <c r="IE10" i="21"/>
  <c r="IE42" i="21"/>
  <c r="IE6" i="21" l="1"/>
  <c r="IE12" i="21"/>
  <c r="IE18" i="21"/>
  <c r="IG2" i="21"/>
  <c r="IF24" i="21"/>
  <c r="IF36" i="21"/>
  <c r="IF38" i="21"/>
  <c r="IF17" i="21"/>
  <c r="IF16" i="21"/>
  <c r="IF4" i="21"/>
  <c r="IF11" i="21"/>
  <c r="IF10" i="21"/>
  <c r="IF5" i="21"/>
  <c r="IF25" i="21"/>
  <c r="IF40" i="21"/>
  <c r="IF34" i="21"/>
  <c r="IF42" i="21"/>
  <c r="IF12" i="21" l="1"/>
  <c r="IF6" i="21"/>
  <c r="IE22" i="21"/>
  <c r="IH2" i="21"/>
  <c r="IG16" i="21"/>
  <c r="IG24" i="21"/>
  <c r="IG25" i="21"/>
  <c r="IG5" i="21"/>
  <c r="IG4" i="21"/>
  <c r="IG40" i="21"/>
  <c r="IG36" i="21"/>
  <c r="IG10" i="21"/>
  <c r="IG17" i="21"/>
  <c r="IG18" i="21" s="1"/>
  <c r="IG34" i="21"/>
  <c r="IG38" i="21"/>
  <c r="IG11" i="21"/>
  <c r="IG12" i="21" s="1"/>
  <c r="IG42" i="21"/>
  <c r="IF18" i="21"/>
  <c r="IF22" i="21" l="1"/>
  <c r="II2" i="21"/>
  <c r="IH36" i="21"/>
  <c r="IH38" i="21"/>
  <c r="IH4" i="21"/>
  <c r="IH5" i="21"/>
  <c r="IH11" i="21"/>
  <c r="IH10" i="21"/>
  <c r="IH24" i="21"/>
  <c r="IH25" i="21"/>
  <c r="IH16" i="21"/>
  <c r="IH40" i="21"/>
  <c r="IH34" i="21"/>
  <c r="IH17" i="21"/>
  <c r="IH18" i="21" s="1"/>
  <c r="IB18" i="21" s="1"/>
  <c r="IH42" i="21"/>
  <c r="IG6" i="21"/>
  <c r="IG22" i="21" s="1"/>
  <c r="IH6" i="21" l="1"/>
  <c r="IB6" i="21"/>
  <c r="IH12" i="21"/>
  <c r="IH22" i="21" s="1"/>
  <c r="IK2" i="21"/>
  <c r="II11" i="21"/>
  <c r="II16" i="21"/>
  <c r="IB16" i="21" s="1"/>
  <c r="II4" i="21"/>
  <c r="IB4" i="21" s="1"/>
  <c r="II24" i="21"/>
  <c r="IB24" i="21" s="1"/>
  <c r="II34" i="21"/>
  <c r="II19" i="21"/>
  <c r="IB19" i="21" s="1"/>
  <c r="II40" i="21"/>
  <c r="II10" i="21"/>
  <c r="II25" i="21"/>
  <c r="IB25" i="21" s="1"/>
  <c r="II20" i="21"/>
  <c r="AN214" i="15" s="1"/>
  <c r="II36" i="21"/>
  <c r="II38" i="21"/>
  <c r="II5" i="21"/>
  <c r="II17" i="21"/>
  <c r="II42" i="21"/>
  <c r="II14" i="21" l="1"/>
  <c r="II12" i="21"/>
  <c r="II13" i="21"/>
  <c r="IB10" i="21"/>
  <c r="IL2" i="21"/>
  <c r="IK38" i="21"/>
  <c r="IK36" i="21"/>
  <c r="IK34" i="21"/>
  <c r="IK24" i="21"/>
  <c r="IK25" i="21"/>
  <c r="IK40" i="21"/>
  <c r="IK42" i="21"/>
  <c r="IM2" i="21" l="1"/>
  <c r="IL25" i="21"/>
  <c r="IL40" i="21"/>
  <c r="IL24" i="21"/>
  <c r="IL34" i="21"/>
  <c r="IL36" i="21"/>
  <c r="IL38" i="21"/>
  <c r="IL42" i="21"/>
  <c r="IB13" i="21"/>
  <c r="II15" i="21"/>
  <c r="II22" i="21"/>
  <c r="IB22" i="21" s="1"/>
  <c r="IB12" i="21"/>
  <c r="II23" i="21" l="1"/>
  <c r="IB23" i="21" s="1"/>
  <c r="II31" i="21"/>
  <c r="IK31" i="21" s="1"/>
  <c r="IB15" i="21"/>
  <c r="IN2" i="21"/>
  <c r="IM24" i="21"/>
  <c r="IM36" i="21"/>
  <c r="IM38" i="21"/>
  <c r="IM25" i="21"/>
  <c r="IM34" i="21"/>
  <c r="IM40" i="21"/>
  <c r="IM42" i="21"/>
  <c r="IO2" i="21" l="1"/>
  <c r="IN24" i="21"/>
  <c r="IN40" i="21"/>
  <c r="IN25" i="21"/>
  <c r="IN34" i="21"/>
  <c r="IN38" i="21"/>
  <c r="IN36" i="21"/>
  <c r="IN42" i="21"/>
  <c r="IP2" i="21" l="1"/>
  <c r="IO24" i="21"/>
  <c r="IO38" i="21"/>
  <c r="IO40" i="21"/>
  <c r="IO34" i="21"/>
  <c r="IO25" i="21"/>
  <c r="IO36" i="21"/>
  <c r="IO42" i="21"/>
  <c r="IQ2" i="21" l="1"/>
  <c r="IP36" i="21"/>
  <c r="IP40" i="21"/>
  <c r="IP25" i="21"/>
  <c r="IP34" i="21"/>
  <c r="IP38" i="21"/>
  <c r="IP24" i="21"/>
  <c r="IP42" i="21"/>
  <c r="IS2" i="21" l="1"/>
  <c r="IQ38" i="21"/>
  <c r="IQ24" i="21"/>
  <c r="IJ24" i="21" s="1"/>
  <c r="IQ36" i="21"/>
  <c r="IQ11" i="21"/>
  <c r="IQ25" i="21"/>
  <c r="IJ25" i="21" s="1"/>
  <c r="IQ34" i="21"/>
  <c r="IQ17" i="21"/>
  <c r="IQ40" i="21"/>
  <c r="IQ20" i="21"/>
  <c r="AN221" i="15" s="1"/>
  <c r="IQ16" i="21"/>
  <c r="IJ16" i="21" s="1"/>
  <c r="IQ19" i="21"/>
  <c r="IJ19" i="21" s="1"/>
  <c r="IQ10" i="21"/>
  <c r="IQ5" i="21"/>
  <c r="IQ4" i="21"/>
  <c r="IJ4" i="21" s="1"/>
  <c r="IQ42" i="21"/>
  <c r="IQ14" i="21" l="1"/>
  <c r="IQ12" i="21"/>
  <c r="IQ13" i="21"/>
  <c r="IJ10" i="21"/>
  <c r="IT2" i="21"/>
  <c r="IS24" i="21"/>
  <c r="IS40" i="21"/>
  <c r="IS25" i="21"/>
  <c r="IS36" i="21"/>
  <c r="IS34" i="21"/>
  <c r="IS38" i="21"/>
  <c r="IS42" i="21"/>
  <c r="IU2" i="21" l="1"/>
  <c r="IT34" i="21"/>
  <c r="IT36" i="21"/>
  <c r="IT38" i="21"/>
  <c r="IT24" i="21"/>
  <c r="IT40" i="21"/>
  <c r="IT25" i="21"/>
  <c r="IT42" i="21"/>
  <c r="IQ22" i="21"/>
  <c r="IJ22" i="21" s="1"/>
  <c r="IJ12" i="21"/>
  <c r="IJ13" i="21"/>
  <c r="IQ15" i="21"/>
  <c r="IQ23" i="21" l="1"/>
  <c r="IJ23" i="21" s="1"/>
  <c r="IJ15" i="21"/>
  <c r="IQ31" i="21"/>
  <c r="IS31" i="21" s="1"/>
  <c r="IV2" i="21"/>
  <c r="IU34" i="21"/>
  <c r="IU38" i="21"/>
  <c r="IU36" i="21"/>
  <c r="IU40" i="21"/>
  <c r="IU25" i="21"/>
  <c r="IU24" i="21"/>
  <c r="IU42" i="21"/>
  <c r="IW2" i="21" l="1"/>
  <c r="IV38" i="21"/>
  <c r="IV36" i="21"/>
  <c r="IV40" i="21"/>
  <c r="IV25" i="21"/>
  <c r="IV24" i="21"/>
  <c r="IV34" i="21"/>
  <c r="IV42" i="21"/>
  <c r="IX2" i="21" l="1"/>
  <c r="IW24" i="21"/>
  <c r="IW40" i="21"/>
  <c r="IW25" i="21"/>
  <c r="IW34" i="21"/>
  <c r="IW38" i="21"/>
  <c r="IW36" i="21"/>
  <c r="IW42" i="21"/>
  <c r="IY2" i="21" l="1"/>
  <c r="IX24" i="21"/>
  <c r="IX25" i="21"/>
  <c r="IX34" i="21"/>
  <c r="IX40" i="21"/>
  <c r="IX38" i="21"/>
  <c r="IX36" i="21"/>
  <c r="IX42" i="21"/>
  <c r="JA2" i="21" l="1"/>
  <c r="IY34" i="21"/>
  <c r="IY19" i="21"/>
  <c r="IR19" i="21" s="1"/>
  <c r="IY4" i="21"/>
  <c r="IR4" i="21" s="1"/>
  <c r="IY16" i="21"/>
  <c r="IR16" i="21" s="1"/>
  <c r="IY38" i="21"/>
  <c r="IY5" i="21"/>
  <c r="IY20" i="21"/>
  <c r="AN228" i="15" s="1"/>
  <c r="IY10" i="21"/>
  <c r="IY17" i="21"/>
  <c r="IY24" i="21"/>
  <c r="IR24" i="21" s="1"/>
  <c r="IY25" i="21"/>
  <c r="IR25" i="21" s="1"/>
  <c r="IY11" i="21"/>
  <c r="IY40" i="21"/>
  <c r="IY36" i="21"/>
  <c r="IY42" i="21"/>
  <c r="IY13" i="21" l="1"/>
  <c r="IR10" i="21"/>
  <c r="JB2" i="21"/>
  <c r="JA25" i="21"/>
  <c r="JA24" i="21"/>
  <c r="JA40" i="21"/>
  <c r="JA16" i="21"/>
  <c r="JA19" i="21"/>
  <c r="JA17" i="21"/>
  <c r="JA20" i="21"/>
  <c r="AN229" i="15" s="1"/>
  <c r="JA11" i="21"/>
  <c r="JA36" i="21"/>
  <c r="JA38" i="21"/>
  <c r="JA10" i="21"/>
  <c r="JA34" i="21"/>
  <c r="JA4" i="21"/>
  <c r="JA5" i="21"/>
  <c r="JA8" i="21" s="1"/>
  <c r="AM229" i="15" s="1"/>
  <c r="JA42" i="21"/>
  <c r="IY14" i="21"/>
  <c r="IY12" i="21"/>
  <c r="IY22" i="21" l="1"/>
  <c r="IR22" i="21" s="1"/>
  <c r="IR12" i="21"/>
  <c r="JA7" i="21"/>
  <c r="JA6" i="21"/>
  <c r="JA14" i="21"/>
  <c r="JA12" i="21"/>
  <c r="JC2" i="21"/>
  <c r="JB24" i="21"/>
  <c r="JB16" i="21"/>
  <c r="JB38" i="21"/>
  <c r="JB34" i="21"/>
  <c r="JB4" i="21"/>
  <c r="JB11" i="21"/>
  <c r="JB5" i="21"/>
  <c r="JB17" i="21"/>
  <c r="JB18" i="21" s="1"/>
  <c r="JB25" i="21"/>
  <c r="JB40" i="21"/>
  <c r="JB36" i="21"/>
  <c r="JB10" i="21"/>
  <c r="JB42" i="21"/>
  <c r="AG229" i="15"/>
  <c r="JA21" i="21"/>
  <c r="IZ21" i="21" s="1"/>
  <c r="JA13" i="21"/>
  <c r="JA18" i="21"/>
  <c r="IY15" i="21"/>
  <c r="IR13" i="21"/>
  <c r="JA22" i="21" l="1"/>
  <c r="AF229" i="15"/>
  <c r="AE229" i="15" s="1"/>
  <c r="JA15" i="21"/>
  <c r="JD2" i="21"/>
  <c r="JC24" i="21"/>
  <c r="JC38" i="21"/>
  <c r="JC36" i="21"/>
  <c r="JC16" i="21"/>
  <c r="JC4" i="21"/>
  <c r="JC40" i="21"/>
  <c r="JC11" i="21"/>
  <c r="JC5" i="21"/>
  <c r="JC25" i="21"/>
  <c r="JC34" i="21"/>
  <c r="JC10" i="21"/>
  <c r="JC17" i="21"/>
  <c r="JC42" i="21"/>
  <c r="JB12" i="21"/>
  <c r="JB6" i="21"/>
  <c r="JB22" i="21" s="1"/>
  <c r="IR15" i="21"/>
  <c r="IY31" i="21"/>
  <c r="IY23" i="21"/>
  <c r="IR23" i="21" s="1"/>
  <c r="JA9" i="21"/>
  <c r="IZ7" i="21"/>
  <c r="JC12" i="21" l="1"/>
  <c r="JC18" i="21"/>
  <c r="JE2" i="21"/>
  <c r="JD17" i="21"/>
  <c r="JD25" i="21"/>
  <c r="JD36" i="21"/>
  <c r="JD10" i="21"/>
  <c r="JD11" i="21"/>
  <c r="JD5" i="21"/>
  <c r="JD38" i="21"/>
  <c r="JD24" i="21"/>
  <c r="JD40" i="21"/>
  <c r="JD4" i="21"/>
  <c r="JD6" i="21" s="1"/>
  <c r="JD34" i="21"/>
  <c r="JD16" i="21"/>
  <c r="JD42" i="21"/>
  <c r="JC6" i="21"/>
  <c r="AK229" i="15"/>
  <c r="JA23" i="21"/>
  <c r="IZ9" i="21"/>
  <c r="JA31" i="21"/>
  <c r="JB31" i="21" s="1"/>
  <c r="JC22" i="21" l="1"/>
  <c r="JD12" i="21"/>
  <c r="JD18" i="21"/>
  <c r="JD22" i="21" s="1"/>
  <c r="JF2" i="21"/>
  <c r="JE36" i="21"/>
  <c r="JE38" i="21"/>
  <c r="JE24" i="21"/>
  <c r="JE34" i="21"/>
  <c r="JE5" i="21"/>
  <c r="JE16" i="21"/>
  <c r="JE17" i="21"/>
  <c r="JE18" i="21" s="1"/>
  <c r="JE11" i="21"/>
  <c r="JE10" i="21"/>
  <c r="JE4" i="21"/>
  <c r="JE25" i="21"/>
  <c r="JE40" i="21"/>
  <c r="JE42" i="21"/>
  <c r="JE12" i="21" l="1"/>
  <c r="JE6" i="21"/>
  <c r="JE22" i="21" s="1"/>
  <c r="JG2" i="21"/>
  <c r="JF38" i="21"/>
  <c r="JF24" i="21"/>
  <c r="JF40" i="21"/>
  <c r="JF34" i="21"/>
  <c r="JF25" i="21"/>
  <c r="JF4" i="21"/>
  <c r="JF10" i="21"/>
  <c r="JF36" i="21"/>
  <c r="JF17" i="21"/>
  <c r="JF16" i="21"/>
  <c r="JF5" i="21"/>
  <c r="JF11" i="21"/>
  <c r="JF42" i="21"/>
  <c r="JF6" i="21" l="1"/>
  <c r="IZ6" i="21" s="1"/>
  <c r="JF12" i="21"/>
  <c r="JF18" i="21"/>
  <c r="IZ18" i="21" s="1"/>
  <c r="JI2" i="21"/>
  <c r="JG38" i="21"/>
  <c r="JG24" i="21"/>
  <c r="IZ24" i="21" s="1"/>
  <c r="JG36" i="21"/>
  <c r="JG11" i="21"/>
  <c r="JG19" i="21"/>
  <c r="IZ19" i="21" s="1"/>
  <c r="JG5" i="21"/>
  <c r="JG20" i="21"/>
  <c r="AN235" i="15" s="1"/>
  <c r="JG16" i="21"/>
  <c r="IZ16" i="21" s="1"/>
  <c r="JG25" i="21"/>
  <c r="IZ25" i="21" s="1"/>
  <c r="JG17" i="21"/>
  <c r="JG34" i="21"/>
  <c r="JG4" i="21"/>
  <c r="IZ4" i="21" s="1"/>
  <c r="JG10" i="21"/>
  <c r="JG40" i="21"/>
  <c r="JG42" i="21"/>
  <c r="JF22" i="21" l="1"/>
  <c r="JG12" i="21"/>
  <c r="JG14" i="21"/>
  <c r="JJ2" i="21"/>
  <c r="JI40" i="21"/>
  <c r="JI24" i="21"/>
  <c r="JI25" i="21"/>
  <c r="JI36" i="21"/>
  <c r="JI38" i="21"/>
  <c r="JI34" i="21"/>
  <c r="JI42" i="21"/>
  <c r="JG13" i="21"/>
  <c r="IZ10" i="21"/>
  <c r="JG15" i="21" l="1"/>
  <c r="IZ13" i="21"/>
  <c r="JK2" i="21"/>
  <c r="JJ25" i="21"/>
  <c r="JJ34" i="21"/>
  <c r="JJ38" i="21"/>
  <c r="JJ36" i="21"/>
  <c r="JJ24" i="21"/>
  <c r="JJ40" i="21"/>
  <c r="JJ42" i="21"/>
  <c r="JG22" i="21"/>
  <c r="IZ22" i="21" s="1"/>
  <c r="IZ12" i="21"/>
  <c r="JL2" i="21" l="1"/>
  <c r="JK36" i="21"/>
  <c r="JK38" i="21"/>
  <c r="JK42" i="21"/>
  <c r="JK40" i="21"/>
  <c r="JK24" i="21"/>
  <c r="JK25" i="21"/>
  <c r="JK34" i="21"/>
  <c r="JG31" i="21"/>
  <c r="JI31" i="21" s="1"/>
  <c r="JG23" i="21"/>
  <c r="IZ23" i="21" s="1"/>
  <c r="IZ15" i="21"/>
  <c r="JM2" i="21" l="1"/>
  <c r="JL38" i="21"/>
  <c r="JL25" i="21"/>
  <c r="JL40" i="21"/>
  <c r="JL36" i="21"/>
  <c r="JL24" i="21"/>
  <c r="JL34" i="21"/>
  <c r="JL42" i="21"/>
  <c r="JN2" i="21" l="1"/>
  <c r="JM36" i="21"/>
  <c r="JM38" i="21"/>
  <c r="JM34" i="21"/>
  <c r="JM25" i="21"/>
  <c r="JM40" i="21"/>
  <c r="JM24" i="21"/>
  <c r="JM42" i="21"/>
  <c r="JO2" i="21" l="1"/>
  <c r="JN24" i="21"/>
  <c r="JN38" i="21"/>
  <c r="JN25" i="21"/>
  <c r="JN40" i="21"/>
  <c r="JN36" i="21"/>
  <c r="JN34" i="21"/>
  <c r="JN42" i="21"/>
  <c r="JQ2" i="21" l="1"/>
  <c r="JO16" i="21"/>
  <c r="JH16" i="21" s="1"/>
  <c r="JO5" i="21"/>
  <c r="JO20" i="21"/>
  <c r="AN242" i="15" s="1"/>
  <c r="JO19" i="21"/>
  <c r="JH19" i="21" s="1"/>
  <c r="JO24" i="21"/>
  <c r="JH24" i="21" s="1"/>
  <c r="JO34" i="21"/>
  <c r="JO17" i="21"/>
  <c r="JO36" i="21"/>
  <c r="JO11" i="21"/>
  <c r="JO4" i="21"/>
  <c r="JH4" i="21" s="1"/>
  <c r="JO40" i="21"/>
  <c r="JO25" i="21"/>
  <c r="JH25" i="21" s="1"/>
  <c r="JO10" i="21"/>
  <c r="JO38" i="21"/>
  <c r="JO42" i="21"/>
  <c r="JH10" i="21" l="1"/>
  <c r="JO13" i="21"/>
  <c r="JO14" i="21"/>
  <c r="JO12" i="21"/>
  <c r="JR2" i="21"/>
  <c r="JQ24" i="21"/>
  <c r="JQ17" i="21"/>
  <c r="JQ5" i="21"/>
  <c r="JQ36" i="21"/>
  <c r="JQ11" i="21"/>
  <c r="JQ10" i="21"/>
  <c r="JQ34" i="21"/>
  <c r="JQ16" i="21"/>
  <c r="JQ40" i="21"/>
  <c r="JQ38" i="21"/>
  <c r="JQ25" i="21"/>
  <c r="JQ4" i="21"/>
  <c r="JQ42" i="21"/>
  <c r="JQ18" i="21" l="1"/>
  <c r="JS2" i="21"/>
  <c r="JR24" i="21"/>
  <c r="JR36" i="21"/>
  <c r="JR40" i="21"/>
  <c r="JR4" i="21"/>
  <c r="JR25" i="21"/>
  <c r="JR34" i="21"/>
  <c r="JR5" i="21"/>
  <c r="JR38" i="21"/>
  <c r="JR17" i="21"/>
  <c r="JR16" i="21"/>
  <c r="JR10" i="21"/>
  <c r="JR11" i="21"/>
  <c r="JR42" i="21"/>
  <c r="JH12" i="21"/>
  <c r="JO22" i="21"/>
  <c r="JH22" i="21" s="1"/>
  <c r="JQ12" i="21"/>
  <c r="JH13" i="21"/>
  <c r="JO15" i="21"/>
  <c r="JQ6" i="21"/>
  <c r="JQ22" i="21" s="1"/>
  <c r="JR12" i="21" l="1"/>
  <c r="JO31" i="21"/>
  <c r="JQ31" i="21" s="1"/>
  <c r="JO23" i="21"/>
  <c r="JH23" i="21" s="1"/>
  <c r="JH15" i="21"/>
  <c r="JR6" i="21"/>
  <c r="JR18" i="21"/>
  <c r="JT2" i="21"/>
  <c r="JS36" i="21"/>
  <c r="JS24" i="21"/>
  <c r="JS5" i="21"/>
  <c r="JS17" i="21"/>
  <c r="JS38" i="21"/>
  <c r="JS11" i="21"/>
  <c r="JS12" i="21" s="1"/>
  <c r="JS16" i="21"/>
  <c r="JS25" i="21"/>
  <c r="JS40" i="21"/>
  <c r="JS4" i="21"/>
  <c r="JS34" i="21"/>
  <c r="JS10" i="21"/>
  <c r="JS42" i="21"/>
  <c r="JR22" i="21" l="1"/>
  <c r="JS18" i="21"/>
  <c r="JS6" i="21"/>
  <c r="JU2" i="21"/>
  <c r="JT11" i="21"/>
  <c r="JT17" i="21"/>
  <c r="JT18" i="21" s="1"/>
  <c r="JT5" i="21"/>
  <c r="JT36" i="21"/>
  <c r="JT34" i="21"/>
  <c r="JT25" i="21"/>
  <c r="JT38" i="21"/>
  <c r="JT16" i="21"/>
  <c r="JT40" i="21"/>
  <c r="JT24" i="21"/>
  <c r="JT10" i="21"/>
  <c r="JT4" i="21"/>
  <c r="JT6" i="21" s="1"/>
  <c r="JT42" i="21"/>
  <c r="JS22" i="21" l="1"/>
  <c r="JT12" i="21"/>
  <c r="JV2" i="21"/>
  <c r="JU34" i="21"/>
  <c r="JU24" i="21"/>
  <c r="JU36" i="21"/>
  <c r="JU38" i="21"/>
  <c r="JU10" i="21"/>
  <c r="JU11" i="21"/>
  <c r="JU16" i="21"/>
  <c r="JU40" i="21"/>
  <c r="JU4" i="21"/>
  <c r="JU17" i="21"/>
  <c r="JU18" i="21" s="1"/>
  <c r="JU25" i="21"/>
  <c r="JU5" i="21"/>
  <c r="JU42" i="21"/>
  <c r="JT22" i="21"/>
  <c r="JU12" i="21" l="1"/>
  <c r="JU6" i="21"/>
  <c r="JW2" i="21"/>
  <c r="JV17" i="21"/>
  <c r="JV34" i="21"/>
  <c r="JV24" i="21"/>
  <c r="JV11" i="21"/>
  <c r="JV12" i="21" s="1"/>
  <c r="JV36" i="21"/>
  <c r="JV38" i="21"/>
  <c r="JV40" i="21"/>
  <c r="JV25" i="21"/>
  <c r="JV10" i="21"/>
  <c r="JV4" i="21"/>
  <c r="JV16" i="21"/>
  <c r="JV5" i="21"/>
  <c r="JV42" i="21"/>
  <c r="JV6" i="21" l="1"/>
  <c r="JP6" i="21" s="1"/>
  <c r="JY2" i="21"/>
  <c r="JW38" i="21"/>
  <c r="JW36" i="21"/>
  <c r="JW24" i="21"/>
  <c r="JP24" i="21" s="1"/>
  <c r="JW40" i="21"/>
  <c r="JW34" i="21"/>
  <c r="JW19" i="21"/>
  <c r="JP19" i="21" s="1"/>
  <c r="JW25" i="21"/>
  <c r="JP25" i="21" s="1"/>
  <c r="JW17" i="21"/>
  <c r="JW4" i="21"/>
  <c r="JP4" i="21" s="1"/>
  <c r="JW5" i="21"/>
  <c r="JW16" i="21"/>
  <c r="JP16" i="21" s="1"/>
  <c r="JW11" i="21"/>
  <c r="JW20" i="21"/>
  <c r="AN249" i="15" s="1"/>
  <c r="JW10" i="21"/>
  <c r="JW42" i="21"/>
  <c r="JV18" i="21"/>
  <c r="JP18" i="21" s="1"/>
  <c r="JW13" i="21" l="1"/>
  <c r="JP10" i="21"/>
  <c r="JW14" i="21"/>
  <c r="JW12" i="21"/>
  <c r="JZ2" i="21"/>
  <c r="JY16" i="21"/>
  <c r="JY25" i="21"/>
  <c r="JY36" i="21"/>
  <c r="JY34" i="21"/>
  <c r="JY40" i="21"/>
  <c r="JY24" i="21"/>
  <c r="JY38" i="21"/>
  <c r="JY5" i="21"/>
  <c r="JY10" i="21"/>
  <c r="JY17" i="21"/>
  <c r="JY18" i="21" s="1"/>
  <c r="JY11" i="21"/>
  <c r="JY12" i="21" s="1"/>
  <c r="JY42" i="21"/>
  <c r="JY4" i="21"/>
  <c r="KA2" i="21" l="1"/>
  <c r="JZ11" i="21"/>
  <c r="JZ17" i="21"/>
  <c r="JZ34" i="21"/>
  <c r="JZ36" i="21"/>
  <c r="JZ38" i="21"/>
  <c r="JZ10" i="21"/>
  <c r="JZ25" i="21"/>
  <c r="JZ24" i="21"/>
  <c r="JZ5" i="21"/>
  <c r="JZ40" i="21"/>
  <c r="JZ42" i="21"/>
  <c r="JZ16" i="21"/>
  <c r="JZ18" i="21" s="1"/>
  <c r="JZ4" i="21"/>
  <c r="JZ6" i="21" s="1"/>
  <c r="JY6" i="21"/>
  <c r="JY22" i="21" s="1"/>
  <c r="JW22" i="21"/>
  <c r="JP22" i="21" s="1"/>
  <c r="JP12" i="21"/>
  <c r="JW15" i="21"/>
  <c r="JP13" i="21"/>
  <c r="KB2" i="21" l="1"/>
  <c r="KA5" i="21"/>
  <c r="KA40" i="21"/>
  <c r="KA4" i="21"/>
  <c r="KA6" i="21" s="1"/>
  <c r="KA25" i="21"/>
  <c r="KA24" i="21"/>
  <c r="KA16" i="21"/>
  <c r="KA38" i="21"/>
  <c r="KA36" i="21"/>
  <c r="KA34" i="21"/>
  <c r="KA17" i="21"/>
  <c r="KA11" i="21"/>
  <c r="KA10" i="21"/>
  <c r="KA42" i="21"/>
  <c r="JP15" i="21"/>
  <c r="JW31" i="21"/>
  <c r="JY31" i="21" s="1"/>
  <c r="JW23" i="21"/>
  <c r="JP23" i="21" s="1"/>
  <c r="JZ12" i="21"/>
  <c r="KA12" i="21" l="1"/>
  <c r="KA18" i="21"/>
  <c r="KA22" i="21" s="1"/>
  <c r="JZ22" i="21"/>
  <c r="KC2" i="21"/>
  <c r="KB36" i="21"/>
  <c r="KB24" i="21"/>
  <c r="KB10" i="21"/>
  <c r="KB12" i="21" s="1"/>
  <c r="KB4" i="21"/>
  <c r="KB6" i="21" s="1"/>
  <c r="KB22" i="21" s="1"/>
  <c r="KB25" i="21"/>
  <c r="KB40" i="21"/>
  <c r="KB38" i="21"/>
  <c r="KB16" i="21"/>
  <c r="KB18" i="21" s="1"/>
  <c r="KB34" i="21"/>
  <c r="KB42" i="21"/>
  <c r="KD2" i="21" l="1"/>
  <c r="KC38" i="21"/>
  <c r="KC4" i="21"/>
  <c r="KC6" i="21" s="1"/>
  <c r="KC40" i="21"/>
  <c r="KC25" i="21"/>
  <c r="KC10" i="21"/>
  <c r="KC12" i="21" s="1"/>
  <c r="KC34" i="21"/>
  <c r="KC24" i="21"/>
  <c r="KC36" i="21"/>
  <c r="KC16" i="21"/>
  <c r="KC18" i="21" s="1"/>
  <c r="KC42" i="21"/>
  <c r="KE2" i="21" l="1"/>
  <c r="KD36" i="21"/>
  <c r="KD24" i="21"/>
  <c r="KD34" i="21"/>
  <c r="KD25" i="21"/>
  <c r="KD38" i="21"/>
  <c r="KD16" i="21"/>
  <c r="KD18" i="21" s="1"/>
  <c r="JX18" i="21" s="1"/>
  <c r="KD40" i="21"/>
  <c r="KD4" i="21"/>
  <c r="KD10" i="21"/>
  <c r="KD12" i="21" s="1"/>
  <c r="KD5" i="21"/>
  <c r="KD42" i="21"/>
  <c r="KD6" i="21" l="1"/>
  <c r="JX6" i="21" s="1"/>
  <c r="KG2" i="21"/>
  <c r="KE25" i="21"/>
  <c r="JX25" i="21" s="1"/>
  <c r="KE17" i="21"/>
  <c r="KE4" i="21"/>
  <c r="JX4" i="21" s="1"/>
  <c r="KE40" i="21"/>
  <c r="KE36" i="21"/>
  <c r="KE24" i="21"/>
  <c r="JX24" i="21" s="1"/>
  <c r="KE5" i="21"/>
  <c r="KE10" i="21"/>
  <c r="KE11" i="21"/>
  <c r="KE38" i="21"/>
  <c r="KE34" i="21"/>
  <c r="KE20" i="21"/>
  <c r="AN256" i="15" s="1"/>
  <c r="KE19" i="21"/>
  <c r="JX19" i="21" s="1"/>
  <c r="KE16" i="21"/>
  <c r="JX16" i="21" s="1"/>
  <c r="KE42" i="21"/>
  <c r="KE12" i="21" l="1"/>
  <c r="KE14" i="21"/>
  <c r="KH2" i="21"/>
  <c r="KG11" i="21"/>
  <c r="KG25" i="21"/>
  <c r="KG16" i="21"/>
  <c r="KG17" i="21"/>
  <c r="KG18" i="21" s="1"/>
  <c r="KG40" i="21"/>
  <c r="KG36" i="21"/>
  <c r="KG38" i="21"/>
  <c r="KG34" i="21"/>
  <c r="KG24" i="21"/>
  <c r="KG10" i="21"/>
  <c r="KG5" i="21"/>
  <c r="KG4" i="21"/>
  <c r="KG42" i="21"/>
  <c r="KE13" i="21"/>
  <c r="JX13" i="21" s="1"/>
  <c r="JX10" i="21"/>
  <c r="KG6" i="21" l="1"/>
  <c r="KE15" i="21"/>
  <c r="KG12" i="21"/>
  <c r="KI2" i="21"/>
  <c r="KH34" i="21"/>
  <c r="KH38" i="21"/>
  <c r="KH36" i="21"/>
  <c r="KH11" i="21"/>
  <c r="KH42" i="21"/>
  <c r="KH24" i="21"/>
  <c r="KH25" i="21"/>
  <c r="KH10" i="21"/>
  <c r="KH40" i="21"/>
  <c r="KH4" i="21"/>
  <c r="KH17" i="21"/>
  <c r="KH5" i="21"/>
  <c r="KH16" i="21"/>
  <c r="KE31" i="21"/>
  <c r="KG31" i="21" s="1"/>
  <c r="KE23" i="21"/>
  <c r="JX23" i="21" s="1"/>
  <c r="JX15" i="21"/>
  <c r="KE22" i="21"/>
  <c r="JX22" i="21" s="1"/>
  <c r="JX12" i="21"/>
  <c r="KH18" i="21" l="1"/>
  <c r="KH6" i="21"/>
  <c r="KJ2" i="21"/>
  <c r="KI36" i="21"/>
  <c r="KI38" i="21"/>
  <c r="KI40" i="21"/>
  <c r="KI4" i="21"/>
  <c r="KI6" i="21" s="1"/>
  <c r="KI17" i="21"/>
  <c r="KI18" i="21" s="1"/>
  <c r="KI34" i="21"/>
  <c r="KI5" i="21"/>
  <c r="KI11" i="21"/>
  <c r="KI16" i="21"/>
  <c r="KI10" i="21"/>
  <c r="KI25" i="21"/>
  <c r="KI24" i="21"/>
  <c r="KI42" i="21"/>
  <c r="KH12" i="21"/>
  <c r="KG22" i="21"/>
  <c r="KH22" i="21" l="1"/>
  <c r="KI12" i="21"/>
  <c r="KI22" i="21"/>
  <c r="KK2" i="21"/>
  <c r="KJ11" i="21"/>
  <c r="KJ38" i="21"/>
  <c r="KJ36" i="21"/>
  <c r="KJ5" i="21"/>
  <c r="KJ34" i="21"/>
  <c r="KJ17" i="21"/>
  <c r="KJ4" i="21"/>
  <c r="KJ24" i="21"/>
  <c r="KJ25" i="21"/>
  <c r="KJ40" i="21"/>
  <c r="KJ16" i="21"/>
  <c r="KJ10" i="21"/>
  <c r="KJ42" i="21"/>
  <c r="KJ12" i="21" l="1"/>
  <c r="KJ6" i="21"/>
  <c r="KJ18" i="21"/>
  <c r="KL2" i="21"/>
  <c r="KK38" i="21"/>
  <c r="KK4" i="21"/>
  <c r="KK16" i="21"/>
  <c r="KK36" i="21"/>
  <c r="KK34" i="21"/>
  <c r="KK10" i="21"/>
  <c r="KK40" i="21"/>
  <c r="KK11" i="21"/>
  <c r="KK24" i="21"/>
  <c r="KK25" i="21"/>
  <c r="KK5" i="21"/>
  <c r="KK17" i="21"/>
  <c r="KK42" i="21"/>
  <c r="KK18" i="21" l="1"/>
  <c r="KJ22" i="21"/>
  <c r="KK12" i="21"/>
  <c r="KM2" i="21"/>
  <c r="KL10" i="21"/>
  <c r="KL12" i="21" s="1"/>
  <c r="KL36" i="21"/>
  <c r="KL34" i="21"/>
  <c r="KL25" i="21"/>
  <c r="KL24" i="21"/>
  <c r="KL40" i="21"/>
  <c r="KL16" i="21"/>
  <c r="KL18" i="21" s="1"/>
  <c r="KF18" i="21" s="1"/>
  <c r="KL4" i="21"/>
  <c r="KL6" i="21" s="1"/>
  <c r="KL38" i="21"/>
  <c r="KL42" i="21"/>
  <c r="KK6" i="21"/>
  <c r="KK22" i="21" s="1"/>
  <c r="KL22" i="21" l="1"/>
  <c r="KF6" i="21"/>
  <c r="KO2" i="21"/>
  <c r="KM24" i="21"/>
  <c r="KF24" i="21" s="1"/>
  <c r="KM36" i="21"/>
  <c r="KM38" i="21"/>
  <c r="KM34" i="21"/>
  <c r="KM20" i="21"/>
  <c r="AN263" i="15" s="1"/>
  <c r="KM11" i="21"/>
  <c r="KM19" i="21"/>
  <c r="KF19" i="21" s="1"/>
  <c r="KM5" i="21"/>
  <c r="KM17" i="21"/>
  <c r="KM10" i="21"/>
  <c r="KM4" i="21"/>
  <c r="KF4" i="21" s="1"/>
  <c r="KM25" i="21"/>
  <c r="KF25" i="21" s="1"/>
  <c r="KM40" i="21"/>
  <c r="KM16" i="21"/>
  <c r="KF16" i="21" s="1"/>
  <c r="KM42" i="21"/>
  <c r="KP2" i="21" l="1"/>
  <c r="KO25" i="21"/>
  <c r="KO24" i="21"/>
  <c r="KO34" i="21"/>
  <c r="KO38" i="21"/>
  <c r="KO40" i="21"/>
  <c r="KO36" i="21"/>
  <c r="KO42" i="21"/>
  <c r="KM13" i="21"/>
  <c r="KF13" i="21" s="1"/>
  <c r="KF10" i="21"/>
  <c r="KM14" i="21"/>
  <c r="KM15" i="21" s="1"/>
  <c r="KM12" i="21"/>
  <c r="KM22" i="21" l="1"/>
  <c r="KF22" i="21" s="1"/>
  <c r="KF12" i="21"/>
  <c r="KM23" i="21"/>
  <c r="KF23" i="21" s="1"/>
  <c r="KM31" i="21"/>
  <c r="KO31" i="21" s="1"/>
  <c r="KF15" i="21"/>
  <c r="KQ2" i="21"/>
  <c r="KP24" i="21"/>
  <c r="KP40" i="21"/>
  <c r="KP25" i="21"/>
  <c r="KP34" i="21"/>
  <c r="KP36" i="21"/>
  <c r="KP38" i="21"/>
  <c r="KP42" i="21"/>
  <c r="KR2" i="21" l="1"/>
  <c r="KQ34" i="21"/>
  <c r="KQ38" i="21"/>
  <c r="KQ24" i="21"/>
  <c r="KQ36" i="21"/>
  <c r="KQ40" i="21"/>
  <c r="KQ25" i="21"/>
  <c r="KQ42" i="21"/>
  <c r="KS2" i="21" l="1"/>
  <c r="KR24" i="21"/>
  <c r="KR38" i="21"/>
  <c r="KR36" i="21"/>
  <c r="KR34" i="21"/>
  <c r="KR40" i="21"/>
  <c r="KR25" i="21"/>
  <c r="KR42" i="21"/>
  <c r="KT2" i="21" l="1"/>
  <c r="KS24" i="21"/>
  <c r="KS36" i="21"/>
  <c r="KS38" i="21"/>
  <c r="KS40" i="21"/>
  <c r="KS34" i="21"/>
  <c r="KS25" i="21"/>
  <c r="KS42" i="21"/>
  <c r="KU2" i="21" l="1"/>
  <c r="KT38" i="21"/>
  <c r="KT40" i="21"/>
  <c r="KT25" i="21"/>
  <c r="KT24" i="21"/>
  <c r="KT36" i="21"/>
  <c r="KT34" i="21"/>
  <c r="KT42" i="21"/>
  <c r="KW2" i="21" l="1"/>
  <c r="KU40" i="21"/>
  <c r="KU36" i="21"/>
  <c r="KU19" i="21"/>
  <c r="KN19" i="21" s="1"/>
  <c r="KU25" i="21"/>
  <c r="KN25" i="21" s="1"/>
  <c r="KU34" i="21"/>
  <c r="KU4" i="21"/>
  <c r="KN4" i="21" s="1"/>
  <c r="KU5" i="21"/>
  <c r="KU17" i="21"/>
  <c r="KU16" i="21"/>
  <c r="KN16" i="21" s="1"/>
  <c r="KU38" i="21"/>
  <c r="KU24" i="21"/>
  <c r="KN24" i="21" s="1"/>
  <c r="KU20" i="21"/>
  <c r="AN270" i="15" s="1"/>
  <c r="KU42" i="21"/>
  <c r="KX2" i="21" l="1"/>
  <c r="KW36" i="21"/>
  <c r="KW34" i="21"/>
  <c r="KW24" i="21"/>
  <c r="KW38" i="21"/>
  <c r="KW25" i="21"/>
  <c r="KW40" i="21"/>
  <c r="KW42" i="21"/>
  <c r="KY2" i="21" l="1"/>
  <c r="KX38" i="21"/>
  <c r="KX24" i="21"/>
  <c r="KX40" i="21"/>
  <c r="KX25" i="21"/>
  <c r="KX36" i="21"/>
  <c r="KX34" i="21"/>
  <c r="KX42" i="21"/>
  <c r="KZ2" i="21" l="1"/>
  <c r="KY24" i="21"/>
  <c r="KY36" i="21"/>
  <c r="KY40" i="21"/>
  <c r="KY38" i="21"/>
  <c r="KY34" i="21"/>
  <c r="KY25" i="21"/>
  <c r="KY42" i="21"/>
  <c r="LA2" i="21" l="1"/>
  <c r="KZ24" i="21"/>
  <c r="KZ36" i="21"/>
  <c r="KZ38" i="21"/>
  <c r="KZ25" i="21"/>
  <c r="KZ40" i="21"/>
  <c r="KZ34" i="21"/>
  <c r="KZ42" i="21"/>
  <c r="LB2" i="21" l="1"/>
  <c r="LA24" i="21"/>
  <c r="LA38" i="21"/>
  <c r="LA25" i="21"/>
  <c r="LA34" i="21"/>
  <c r="LA40" i="21"/>
  <c r="LA36" i="21"/>
  <c r="LA42" i="21"/>
  <c r="LC2" i="21" l="1"/>
  <c r="LB24" i="21"/>
  <c r="LB34" i="21"/>
  <c r="LB40" i="21"/>
  <c r="LB36" i="21"/>
  <c r="LB25" i="21"/>
  <c r="LB38" i="21"/>
  <c r="LB42" i="21"/>
  <c r="LE2" i="21" l="1"/>
  <c r="LC24" i="21"/>
  <c r="KV24" i="21" s="1"/>
  <c r="LC36" i="21"/>
  <c r="LC38" i="21"/>
  <c r="LC5" i="21"/>
  <c r="LC17" i="21"/>
  <c r="LC11" i="21"/>
  <c r="LC40" i="21"/>
  <c r="LC34" i="21"/>
  <c r="LC20" i="21"/>
  <c r="AN277" i="15" s="1"/>
  <c r="LC19" i="21"/>
  <c r="KV19" i="21" s="1"/>
  <c r="LC10" i="21"/>
  <c r="LC25" i="21"/>
  <c r="KV25" i="21" s="1"/>
  <c r="LC16" i="21"/>
  <c r="KV16" i="21" s="1"/>
  <c r="LC4" i="21"/>
  <c r="KV4" i="21" s="1"/>
  <c r="LC42" i="21"/>
  <c r="LC14" i="21" l="1"/>
  <c r="LC12" i="21"/>
  <c r="LC13" i="21"/>
  <c r="KV10" i="21"/>
  <c r="LF2" i="21"/>
  <c r="LE25" i="21"/>
  <c r="LE40" i="21"/>
  <c r="LE24" i="21"/>
  <c r="LE34" i="21"/>
  <c r="LE38" i="21"/>
  <c r="LE36" i="21"/>
  <c r="LE42" i="21"/>
  <c r="LG2" i="21" l="1"/>
  <c r="LF24" i="21"/>
  <c r="LF38" i="21"/>
  <c r="LF36" i="21"/>
  <c r="LF34" i="21"/>
  <c r="LF40" i="21"/>
  <c r="LF25" i="21"/>
  <c r="LF42" i="21"/>
  <c r="LC15" i="21"/>
  <c r="KV13" i="21"/>
  <c r="LC22" i="21"/>
  <c r="KV22" i="21" s="1"/>
  <c r="KV12" i="21"/>
  <c r="KV15" i="21" l="1"/>
  <c r="LC31" i="21"/>
  <c r="LE31" i="21" s="1"/>
  <c r="LC23" i="21"/>
  <c r="KV23" i="21" s="1"/>
  <c r="LH2" i="21"/>
  <c r="LG34" i="21"/>
  <c r="LG38" i="21"/>
  <c r="LG36" i="21"/>
  <c r="LG25" i="21"/>
  <c r="LG42" i="21"/>
  <c r="LG24" i="21"/>
  <c r="LG40" i="21"/>
  <c r="LI2" i="21" l="1"/>
  <c r="LH24" i="21"/>
  <c r="LH38" i="21"/>
  <c r="LH36" i="21"/>
  <c r="LH34" i="21"/>
  <c r="LH25" i="21"/>
  <c r="LH40" i="21"/>
  <c r="LH42" i="21"/>
  <c r="LJ2" i="21" l="1"/>
  <c r="LI34" i="21"/>
  <c r="LI38" i="21"/>
  <c r="LI25" i="21"/>
  <c r="LI36" i="21"/>
  <c r="LI24" i="21"/>
  <c r="LI40" i="21"/>
  <c r="LI42" i="21"/>
  <c r="LK2" i="21" l="1"/>
  <c r="LJ38" i="21"/>
  <c r="LJ36" i="21"/>
  <c r="LJ24" i="21"/>
  <c r="LJ25" i="21"/>
  <c r="LJ34" i="21"/>
  <c r="LJ40" i="21"/>
  <c r="LJ42" i="21"/>
  <c r="LM2" i="21" l="1"/>
  <c r="LK20" i="21"/>
  <c r="AN284" i="15" s="1"/>
  <c r="LK4" i="21"/>
  <c r="LD4" i="21" s="1"/>
  <c r="LK38" i="21"/>
  <c r="LK19" i="21"/>
  <c r="LD19" i="21" s="1"/>
  <c r="LK17" i="21"/>
  <c r="LK11" i="21"/>
  <c r="LK16" i="21"/>
  <c r="LD16" i="21" s="1"/>
  <c r="LK25" i="21"/>
  <c r="LD25" i="21" s="1"/>
  <c r="LK5" i="21"/>
  <c r="LK10" i="21"/>
  <c r="LK34" i="21"/>
  <c r="LK24" i="21"/>
  <c r="LD24" i="21" s="1"/>
  <c r="LK40" i="21"/>
  <c r="LK36" i="21"/>
  <c r="LK42" i="21"/>
  <c r="LK14" i="21" l="1"/>
  <c r="LK12" i="21"/>
  <c r="LK13" i="21"/>
  <c r="LD10" i="21"/>
  <c r="LN2" i="21"/>
  <c r="LM24" i="21"/>
  <c r="LM38" i="21"/>
  <c r="LM36" i="21"/>
  <c r="LM25" i="21"/>
  <c r="LM34" i="21"/>
  <c r="LM40" i="21"/>
  <c r="LM42" i="21"/>
  <c r="LO2" i="21" l="1"/>
  <c r="LN24" i="21"/>
  <c r="LN34" i="21"/>
  <c r="LN38" i="21"/>
  <c r="LN36" i="21"/>
  <c r="LN40" i="21"/>
  <c r="LN25" i="21"/>
  <c r="LN42" i="21"/>
  <c r="LK22" i="21"/>
  <c r="LD22" i="21" s="1"/>
  <c r="LD12" i="21"/>
  <c r="LK15" i="21"/>
  <c r="LD13" i="21"/>
  <c r="LD15" i="21" l="1"/>
  <c r="LK23" i="21"/>
  <c r="LD23" i="21" s="1"/>
  <c r="LK31" i="21"/>
  <c r="LM31" i="21" s="1"/>
  <c r="LP2" i="21"/>
  <c r="LO38" i="21"/>
  <c r="LO40" i="21"/>
  <c r="LO25" i="21"/>
  <c r="LO24" i="21"/>
  <c r="LO34" i="21"/>
  <c r="LO36" i="21"/>
  <c r="LO42" i="21"/>
  <c r="LQ2" i="21" l="1"/>
  <c r="LP36" i="21"/>
  <c r="LP24" i="21"/>
  <c r="LP25" i="21"/>
  <c r="LP34" i="21"/>
  <c r="LP38" i="21"/>
  <c r="LP40" i="21"/>
  <c r="LP42" i="21"/>
  <c r="LR2" i="21" l="1"/>
  <c r="LQ36" i="21"/>
  <c r="LQ34" i="21"/>
  <c r="LQ24" i="21"/>
  <c r="LQ38" i="21"/>
  <c r="LQ25" i="21"/>
  <c r="LQ40" i="21"/>
  <c r="LQ42" i="21"/>
  <c r="LS2" i="21" l="1"/>
  <c r="LR24" i="21"/>
  <c r="LR38" i="21"/>
  <c r="LR34" i="21"/>
  <c r="LR40" i="21"/>
  <c r="LR25" i="21"/>
  <c r="LR36" i="21"/>
  <c r="LR42" i="21"/>
  <c r="LU2" i="21" l="1"/>
  <c r="LS16" i="21"/>
  <c r="LL16" i="21" s="1"/>
  <c r="LS4" i="21"/>
  <c r="LL4" i="21" s="1"/>
  <c r="LS19" i="21"/>
  <c r="LL19" i="21" s="1"/>
  <c r="LS38" i="21"/>
  <c r="LS17" i="21"/>
  <c r="LS25" i="21"/>
  <c r="LL25" i="21" s="1"/>
  <c r="LS20" i="21"/>
  <c r="AN291" i="15" s="1"/>
  <c r="LS40" i="21"/>
  <c r="LS24" i="21"/>
  <c r="LL24" i="21" s="1"/>
  <c r="LS11" i="21"/>
  <c r="LS10" i="21"/>
  <c r="LS5" i="21"/>
  <c r="LS34" i="21"/>
  <c r="LS36" i="21"/>
  <c r="LS42" i="21"/>
  <c r="LL10" i="21" l="1"/>
  <c r="LS13" i="21"/>
  <c r="LS12" i="21"/>
  <c r="LS14" i="21"/>
  <c r="LV2" i="21"/>
  <c r="LU34" i="21"/>
  <c r="LU40" i="21"/>
  <c r="LU36" i="21"/>
  <c r="LU38" i="21"/>
  <c r="LU24" i="21"/>
  <c r="LU25" i="21"/>
  <c r="LU42" i="21"/>
  <c r="LW2" i="21" l="1"/>
  <c r="LV36" i="21"/>
  <c r="LV38" i="21"/>
  <c r="LV34" i="21"/>
  <c r="LV25" i="21"/>
  <c r="LV24" i="21"/>
  <c r="LV40" i="21"/>
  <c r="LV42" i="21"/>
  <c r="LL12" i="21"/>
  <c r="LS22" i="21"/>
  <c r="LL22" i="21" s="1"/>
  <c r="LS15" i="21"/>
  <c r="LL13" i="21"/>
  <c r="LS31" i="21" l="1"/>
  <c r="LU31" i="21" s="1"/>
  <c r="LL15" i="21"/>
  <c r="LS23" i="21"/>
  <c r="LL23" i="21" s="1"/>
  <c r="LX2" i="21"/>
  <c r="LW36" i="21"/>
  <c r="LW38" i="21"/>
  <c r="LW34" i="21"/>
  <c r="LW24" i="21"/>
  <c r="LW40" i="21"/>
  <c r="LW25" i="21"/>
  <c r="LW42" i="21"/>
  <c r="LY2" i="21" l="1"/>
  <c r="LX36" i="21"/>
  <c r="LX34" i="21"/>
  <c r="LX25" i="21"/>
  <c r="LX40" i="21"/>
  <c r="LX24" i="21"/>
  <c r="LX38" i="21"/>
  <c r="LX42" i="21"/>
  <c r="LZ2" i="21" l="1"/>
  <c r="LY38" i="21"/>
  <c r="LY36" i="21"/>
  <c r="LY34" i="21"/>
  <c r="LY24" i="21"/>
  <c r="LY25" i="21"/>
  <c r="LY40" i="21"/>
  <c r="LY42" i="21"/>
  <c r="MA2" i="21" l="1"/>
  <c r="LZ36" i="21"/>
  <c r="LZ24" i="21"/>
  <c r="LZ34" i="21"/>
  <c r="LZ40" i="21"/>
  <c r="LZ25" i="21"/>
  <c r="LZ38" i="21"/>
  <c r="LZ42" i="21"/>
  <c r="MC2" i="21" l="1"/>
  <c r="MA24" i="21"/>
  <c r="LT24" i="21" s="1"/>
  <c r="MA38" i="21"/>
  <c r="MA36" i="21"/>
  <c r="MA19" i="21"/>
  <c r="LT19" i="21" s="1"/>
  <c r="MA34" i="21"/>
  <c r="MA16" i="21"/>
  <c r="LT16" i="21" s="1"/>
  <c r="MA40" i="21"/>
  <c r="MA11" i="21"/>
  <c r="MA25" i="21"/>
  <c r="LT25" i="21" s="1"/>
  <c r="MA10" i="21"/>
  <c r="MA4" i="21"/>
  <c r="LT4" i="21" s="1"/>
  <c r="MA20" i="21"/>
  <c r="AN298" i="15" s="1"/>
  <c r="MA5" i="21"/>
  <c r="MA17" i="21"/>
  <c r="MA42" i="21"/>
  <c r="MA13" i="21" l="1"/>
  <c r="LT10" i="21"/>
  <c r="MA12" i="21"/>
  <c r="MA14" i="21"/>
  <c r="MD2" i="21"/>
  <c r="MC5" i="21"/>
  <c r="MC38" i="21"/>
  <c r="MC36" i="21"/>
  <c r="MC34" i="21"/>
  <c r="MC10" i="21"/>
  <c r="MC40" i="21"/>
  <c r="MC16" i="21"/>
  <c r="MC24" i="21"/>
  <c r="MC11" i="21"/>
  <c r="MC12" i="21" s="1"/>
  <c r="MC25" i="21"/>
  <c r="MC4" i="21"/>
  <c r="MC6" i="21" s="1"/>
  <c r="MC17" i="21"/>
  <c r="MC42" i="21"/>
  <c r="LT12" i="21" l="1"/>
  <c r="MA22" i="21"/>
  <c r="LT22" i="21" s="1"/>
  <c r="ME2" i="21"/>
  <c r="MD36" i="21"/>
  <c r="MD24" i="21"/>
  <c r="MD40" i="21"/>
  <c r="MD17" i="21"/>
  <c r="MD18" i="21" s="1"/>
  <c r="MD25" i="21"/>
  <c r="MD4" i="21"/>
  <c r="MD11" i="21"/>
  <c r="MD38" i="21"/>
  <c r="MD5" i="21"/>
  <c r="MD16" i="21"/>
  <c r="MD10" i="21"/>
  <c r="MD34" i="21"/>
  <c r="MD42" i="21"/>
  <c r="MC18" i="21"/>
  <c r="MC22" i="21" s="1"/>
  <c r="MA15" i="21"/>
  <c r="LT13" i="21"/>
  <c r="MD12" i="21" l="1"/>
  <c r="MA31" i="21"/>
  <c r="LT15" i="21"/>
  <c r="MA23" i="21"/>
  <c r="LT23" i="21" s="1"/>
  <c r="MF2" i="21"/>
  <c r="ME36" i="21"/>
  <c r="ME38" i="21"/>
  <c r="ME17" i="21"/>
  <c r="ME16" i="21"/>
  <c r="ME24" i="21"/>
  <c r="ME11" i="21"/>
  <c r="ME34" i="21"/>
  <c r="ME10" i="21"/>
  <c r="ME5" i="21"/>
  <c r="ME25" i="21"/>
  <c r="ME4" i="21"/>
  <c r="ME40" i="21"/>
  <c r="ME42" i="21"/>
  <c r="MD6" i="21"/>
  <c r="MD22" i="21" s="1"/>
  <c r="MG2" i="21" l="1"/>
  <c r="MF36" i="21"/>
  <c r="MF16" i="21"/>
  <c r="MF25" i="21"/>
  <c r="MF17" i="21"/>
  <c r="MF40" i="21"/>
  <c r="MF34" i="21"/>
  <c r="MF10" i="21"/>
  <c r="MF4" i="21"/>
  <c r="MF24" i="21"/>
  <c r="MF38" i="21"/>
  <c r="MF11" i="21"/>
  <c r="MF5" i="21"/>
  <c r="MF42" i="21"/>
  <c r="ME12" i="21"/>
  <c r="ME6" i="21"/>
  <c r="ME18" i="21"/>
  <c r="MF12" i="21" l="1"/>
  <c r="MF18" i="21"/>
  <c r="ME22" i="21"/>
  <c r="MF6" i="21"/>
  <c r="MF22" i="21" s="1"/>
  <c r="MH2" i="21"/>
  <c r="MG38" i="21"/>
  <c r="MG24" i="21"/>
  <c r="MG36" i="21"/>
  <c r="MG17" i="21"/>
  <c r="MG40" i="21"/>
  <c r="MG16" i="21"/>
  <c r="MG25" i="21"/>
  <c r="MG5" i="21"/>
  <c r="MG10" i="21"/>
  <c r="MG34" i="21"/>
  <c r="MG4" i="21"/>
  <c r="MG6" i="21" s="1"/>
  <c r="MG11" i="21"/>
  <c r="MG42" i="21"/>
  <c r="MI2" i="21" l="1"/>
  <c r="MH5" i="21"/>
  <c r="MH10" i="21"/>
  <c r="MH40" i="21"/>
  <c r="MH4" i="21"/>
  <c r="MH6" i="21" s="1"/>
  <c r="MH25" i="21"/>
  <c r="MH38" i="21"/>
  <c r="MH17" i="21"/>
  <c r="MH18" i="21" s="1"/>
  <c r="MB18" i="21" s="1"/>
  <c r="MH34" i="21"/>
  <c r="MH16" i="21"/>
  <c r="MH11" i="21"/>
  <c r="MH24" i="21"/>
  <c r="MH36" i="21"/>
  <c r="MH42" i="21"/>
  <c r="MG12" i="21"/>
  <c r="MG22" i="21" s="1"/>
  <c r="MG18" i="21"/>
  <c r="MB6" i="21" l="1"/>
  <c r="MH12" i="21"/>
  <c r="MH22" i="21" s="1"/>
  <c r="MK2" i="21"/>
  <c r="MI38" i="21"/>
  <c r="MI24" i="21"/>
  <c r="MB24" i="21" s="1"/>
  <c r="MI36" i="21"/>
  <c r="MI25" i="21"/>
  <c r="MB25" i="21" s="1"/>
  <c r="MI16" i="21"/>
  <c r="MB16" i="21" s="1"/>
  <c r="MI40" i="21"/>
  <c r="MI34" i="21"/>
  <c r="MI10" i="21"/>
  <c r="MI4" i="21"/>
  <c r="MB4" i="21" s="1"/>
  <c r="MI19" i="21"/>
  <c r="MB19" i="21" s="1"/>
  <c r="MI17" i="21"/>
  <c r="MI5" i="21"/>
  <c r="MI20" i="21"/>
  <c r="AN305" i="15" s="1"/>
  <c r="MI11" i="21"/>
  <c r="MI42" i="21"/>
  <c r="MI13" i="21" l="1"/>
  <c r="MB13" i="21" s="1"/>
  <c r="MB10" i="21"/>
  <c r="ML2" i="21"/>
  <c r="MK24" i="21"/>
  <c r="MK40" i="21"/>
  <c r="MK38" i="21"/>
  <c r="MK36" i="21"/>
  <c r="MK25" i="21"/>
  <c r="MK42" i="21"/>
  <c r="MI14" i="21"/>
  <c r="MI15" i="21" s="1"/>
  <c r="MI12" i="21"/>
  <c r="MI22" i="21" l="1"/>
  <c r="MB22" i="21" s="1"/>
  <c r="MB12" i="21"/>
  <c r="MM2" i="21"/>
  <c r="ML38" i="21"/>
  <c r="ML36" i="21"/>
  <c r="ML19" i="21"/>
  <c r="ML34" i="21"/>
  <c r="ML20" i="21"/>
  <c r="ML42" i="21"/>
  <c r="ML40" i="21"/>
  <c r="ML25" i="21"/>
  <c r="ML24" i="21"/>
  <c r="MB15" i="21"/>
  <c r="MI31" i="21"/>
  <c r="MK31" i="21" s="1"/>
  <c r="MI23" i="21"/>
  <c r="MB23" i="21" s="1"/>
  <c r="AG307" i="15" l="1"/>
  <c r="ML21" i="21"/>
  <c r="MN2" i="21"/>
  <c r="MM24" i="21"/>
  <c r="MM34" i="21"/>
  <c r="MM40" i="21"/>
  <c r="MM38" i="21"/>
  <c r="MM36" i="21"/>
  <c r="MM25" i="21"/>
  <c r="MM42" i="21"/>
  <c r="ML31" i="21" l="1"/>
  <c r="MM31" i="21" s="1"/>
  <c r="MJ21" i="21"/>
  <c r="ML23" i="21"/>
  <c r="MO2" i="21"/>
  <c r="MN34" i="21"/>
  <c r="MN36" i="21"/>
  <c r="MN24" i="21"/>
  <c r="MN40" i="21"/>
  <c r="MN38" i="21"/>
  <c r="MN25" i="21"/>
  <c r="MN42" i="21"/>
  <c r="MP2" i="21" l="1"/>
  <c r="MO38" i="21"/>
  <c r="MO36" i="21"/>
  <c r="MO25" i="21"/>
  <c r="MO40" i="21"/>
  <c r="MO24" i="21"/>
  <c r="MO34" i="21"/>
  <c r="MO42" i="21"/>
  <c r="MQ2" i="21" l="1"/>
  <c r="MP40" i="21"/>
  <c r="MP25" i="21"/>
  <c r="MP34" i="21"/>
  <c r="MP38" i="21"/>
  <c r="MP36" i="21"/>
  <c r="MP24" i="21"/>
  <c r="MP42" i="21"/>
  <c r="MS2" i="21" l="1"/>
  <c r="MQ36" i="21"/>
  <c r="MJ36" i="21" s="1"/>
  <c r="MQ38" i="21"/>
  <c r="MJ38" i="21" s="1"/>
  <c r="MQ24" i="21"/>
  <c r="MJ24" i="21" s="1"/>
  <c r="MQ11" i="21"/>
  <c r="MQ17" i="21"/>
  <c r="MQ4" i="21"/>
  <c r="MJ4" i="21" s="1"/>
  <c r="MQ20" i="21"/>
  <c r="AN312" i="15" s="1"/>
  <c r="MQ40" i="21"/>
  <c r="MJ40" i="21" s="1"/>
  <c r="MQ19" i="21"/>
  <c r="MJ19" i="21" s="1"/>
  <c r="MQ5" i="21"/>
  <c r="MQ25" i="21"/>
  <c r="MJ25" i="21" s="1"/>
  <c r="MQ34" i="21"/>
  <c r="MJ34" i="21" s="1"/>
  <c r="MQ10" i="21"/>
  <c r="MQ16" i="21"/>
  <c r="MJ16" i="21" s="1"/>
  <c r="MQ42" i="21"/>
  <c r="MJ42" i="21" s="1"/>
  <c r="MQ13" i="21" l="1"/>
  <c r="MJ10" i="21"/>
  <c r="MQ12" i="21"/>
  <c r="MQ14" i="21"/>
  <c r="MT2" i="21"/>
  <c r="MS40" i="21"/>
  <c r="MS24" i="21"/>
  <c r="MS25" i="21"/>
  <c r="MS36" i="21"/>
  <c r="MS38" i="21"/>
  <c r="MS34" i="21"/>
  <c r="MS42" i="21"/>
  <c r="MU2" i="21" l="1"/>
  <c r="MT25" i="21"/>
  <c r="MT40" i="21"/>
  <c r="MT38" i="21"/>
  <c r="MT36" i="21"/>
  <c r="MT34" i="21"/>
  <c r="MT24" i="21"/>
  <c r="MT42" i="21"/>
  <c r="MJ12" i="21"/>
  <c r="MQ22" i="21"/>
  <c r="MJ22" i="21" s="1"/>
  <c r="MJ13" i="21"/>
  <c r="MQ15" i="21"/>
  <c r="MJ15" i="21" l="1"/>
  <c r="MQ23" i="21"/>
  <c r="MJ23" i="21" s="1"/>
  <c r="MQ31" i="21"/>
  <c r="MS31" i="21" s="1"/>
  <c r="MV2" i="21"/>
  <c r="MU36" i="21"/>
  <c r="MU24" i="21"/>
  <c r="MU34" i="21"/>
  <c r="MU38" i="21"/>
  <c r="MU25" i="21"/>
  <c r="MU40" i="21"/>
  <c r="MU42" i="21"/>
  <c r="MW2" i="21" l="1"/>
  <c r="MV34" i="21"/>
  <c r="MV36" i="21"/>
  <c r="MV38" i="21"/>
  <c r="MV25" i="21"/>
  <c r="MV40" i="21"/>
  <c r="MV24" i="21"/>
  <c r="MV42" i="21"/>
  <c r="MX2" i="21" l="1"/>
  <c r="MW40" i="21"/>
  <c r="MW19" i="21"/>
  <c r="MW20" i="21"/>
  <c r="AN317" i="15" s="1"/>
  <c r="MW38" i="21"/>
  <c r="MW25" i="21"/>
  <c r="MW24" i="21"/>
  <c r="MW34" i="21"/>
  <c r="MW36" i="21"/>
  <c r="MW42" i="21"/>
  <c r="MW21" i="21" l="1"/>
  <c r="MY2" i="21"/>
  <c r="MX36" i="21"/>
  <c r="MX38" i="21"/>
  <c r="MX24" i="21"/>
  <c r="MX25" i="21"/>
  <c r="MX40" i="21"/>
  <c r="MX34" i="21"/>
  <c r="MX42" i="21"/>
  <c r="NA2" i="21" l="1"/>
  <c r="MY4" i="21"/>
  <c r="MR4" i="21" s="1"/>
  <c r="MY34" i="21"/>
  <c r="MR34" i="21" s="1"/>
  <c r="MY10" i="21"/>
  <c r="MY16" i="21"/>
  <c r="MR16" i="21" s="1"/>
  <c r="MY24" i="21"/>
  <c r="MR24" i="21" s="1"/>
  <c r="MY20" i="21"/>
  <c r="AN319" i="15" s="1"/>
  <c r="MY17" i="21"/>
  <c r="MY19" i="21"/>
  <c r="MR19" i="21" s="1"/>
  <c r="MY38" i="21"/>
  <c r="MR38" i="21" s="1"/>
  <c r="MY36" i="21"/>
  <c r="MR36" i="21" s="1"/>
  <c r="MY5" i="21"/>
  <c r="MY25" i="21"/>
  <c r="MR25" i="21" s="1"/>
  <c r="MY11" i="21"/>
  <c r="MY40" i="21"/>
  <c r="MR40" i="21" s="1"/>
  <c r="MY42" i="21"/>
  <c r="MR42" i="21" s="1"/>
  <c r="MR21" i="21"/>
  <c r="MW31" i="21"/>
  <c r="MX31" i="21" s="1"/>
  <c r="MW23" i="21"/>
  <c r="MY14" i="21" l="1"/>
  <c r="MY12" i="21"/>
  <c r="MY13" i="21"/>
  <c r="MR10" i="21"/>
  <c r="NB2" i="21"/>
  <c r="NA24" i="21"/>
  <c r="NA38" i="21"/>
  <c r="NA36" i="21"/>
  <c r="NA40" i="21"/>
  <c r="NA20" i="21"/>
  <c r="NA21" i="21" s="1"/>
  <c r="NA25" i="21"/>
  <c r="NA34" i="21"/>
  <c r="NA42" i="21"/>
  <c r="MR13" i="21" l="1"/>
  <c r="MY15" i="21"/>
  <c r="MR12" i="21"/>
  <c r="MY22" i="21"/>
  <c r="MR22" i="21" s="1"/>
  <c r="NC2" i="21"/>
  <c r="NB34" i="21"/>
  <c r="NB38" i="21"/>
  <c r="NB36" i="21"/>
  <c r="NB24" i="21"/>
  <c r="NB40" i="21"/>
  <c r="NB25" i="21"/>
  <c r="NB44" i="21" s="1"/>
  <c r="NB42" i="21"/>
  <c r="NA44" i="21"/>
  <c r="MZ21" i="21"/>
  <c r="NA23" i="21"/>
  <c r="ND2" i="21" l="1"/>
  <c r="NC38" i="21"/>
  <c r="NC24" i="21"/>
  <c r="NC34" i="21"/>
  <c r="NC36" i="21"/>
  <c r="NC40" i="21"/>
  <c r="NC25" i="21"/>
  <c r="NC44" i="21" s="1"/>
  <c r="NC42" i="21"/>
  <c r="MY23" i="21"/>
  <c r="MR23" i="21" s="1"/>
  <c r="MY31" i="21"/>
  <c r="NA31" i="21" s="1"/>
  <c r="MR15" i="21"/>
  <c r="NE2" i="21" l="1"/>
  <c r="ND38" i="21"/>
  <c r="ND36" i="21"/>
  <c r="ND34" i="21"/>
  <c r="ND24" i="21"/>
  <c r="ND42" i="21"/>
  <c r="ND25" i="21"/>
  <c r="ND44" i="21" s="1"/>
  <c r="ND40" i="21"/>
  <c r="NF2" i="21" l="1"/>
  <c r="NE38" i="21"/>
  <c r="NE24" i="21"/>
  <c r="NE36" i="21"/>
  <c r="NE34" i="21"/>
  <c r="NE40" i="21"/>
  <c r="NE25" i="21"/>
  <c r="NE42" i="21"/>
  <c r="NE44" i="21" l="1"/>
  <c r="NG2" i="21"/>
  <c r="NF40" i="21"/>
  <c r="NF25" i="21"/>
  <c r="NF24" i="21"/>
  <c r="NF38" i="21"/>
  <c r="NF36" i="21"/>
  <c r="NF34" i="21"/>
  <c r="NF42" i="21"/>
  <c r="NF44" i="21" l="1"/>
  <c r="NI2" i="21"/>
  <c r="NG36" i="21"/>
  <c r="MZ36" i="21" s="1"/>
  <c r="NG4" i="21"/>
  <c r="MZ4" i="21" s="1"/>
  <c r="NG38" i="21"/>
  <c r="MZ38" i="21" s="1"/>
  <c r="NG20" i="21"/>
  <c r="AN326" i="15" s="1"/>
  <c r="NG5" i="21"/>
  <c r="NG34" i="21"/>
  <c r="MZ34" i="21" s="1"/>
  <c r="NG17" i="21"/>
  <c r="NG24" i="21"/>
  <c r="MZ24" i="21" s="1"/>
  <c r="NG10" i="21"/>
  <c r="NG16" i="21"/>
  <c r="MZ16" i="21" s="1"/>
  <c r="NG11" i="21"/>
  <c r="NG25" i="21"/>
  <c r="MZ25" i="21" s="1"/>
  <c r="NG40" i="21"/>
  <c r="MZ40" i="21" s="1"/>
  <c r="NG19" i="21"/>
  <c r="MZ19" i="21" s="1"/>
  <c r="NG42" i="21"/>
  <c r="MZ42" i="21" s="1"/>
  <c r="NG14" i="21" l="1"/>
  <c r="NG12" i="21"/>
  <c r="MZ10" i="21"/>
  <c r="NG13" i="21"/>
  <c r="NJ2" i="21"/>
  <c r="NI38" i="21"/>
  <c r="NI24" i="21"/>
  <c r="NI36" i="21"/>
  <c r="NI25" i="21"/>
  <c r="NI34" i="21"/>
  <c r="NI40" i="21"/>
  <c r="NI42" i="21"/>
  <c r="NG22" i="21" l="1"/>
  <c r="MZ22" i="21" s="1"/>
  <c r="MZ12" i="21"/>
  <c r="NK2" i="21"/>
  <c r="NJ24" i="21"/>
  <c r="NJ34" i="21"/>
  <c r="NJ38" i="21"/>
  <c r="NJ36" i="21"/>
  <c r="NJ25" i="21"/>
  <c r="NJ40" i="21"/>
  <c r="NJ42" i="21"/>
  <c r="NG15" i="21"/>
  <c r="MZ13" i="21"/>
  <c r="NL2" i="21" l="1"/>
  <c r="NK36" i="21"/>
  <c r="NK38" i="21"/>
  <c r="NK24" i="21"/>
  <c r="NK40" i="21"/>
  <c r="NK34" i="21"/>
  <c r="NK25" i="21"/>
  <c r="NK42" i="21"/>
  <c r="AK326" i="15"/>
  <c r="NG31" i="21"/>
  <c r="NI31" i="21" s="1"/>
  <c r="MZ15" i="21"/>
  <c r="NG23" i="21"/>
  <c r="MZ23" i="21" s="1"/>
  <c r="NM2" i="21" l="1"/>
  <c r="NL38" i="21"/>
  <c r="NL34" i="21"/>
  <c r="NL25" i="21"/>
  <c r="NL40" i="21"/>
  <c r="NL36" i="21"/>
  <c r="NL24" i="21"/>
  <c r="NL42" i="21"/>
  <c r="NN2" i="21" l="1"/>
  <c r="NM36" i="21"/>
  <c r="NM34" i="21"/>
  <c r="NM38" i="21"/>
  <c r="NM25" i="21"/>
  <c r="NM40" i="21"/>
  <c r="NM42" i="21" s="1"/>
  <c r="NM24" i="21"/>
  <c r="NO2" i="21" l="1"/>
  <c r="NN24" i="21"/>
  <c r="NN25" i="21"/>
  <c r="NN40" i="21"/>
  <c r="NN34" i="21"/>
  <c r="NN38" i="21"/>
  <c r="NN36" i="21"/>
  <c r="NN42" i="21"/>
  <c r="NQ2" i="21" l="1"/>
  <c r="NO38" i="21"/>
  <c r="NO24" i="21"/>
  <c r="NH24" i="21" s="1"/>
  <c r="NO36" i="21"/>
  <c r="NO17" i="21"/>
  <c r="NO4" i="21"/>
  <c r="NH4" i="21" s="1"/>
  <c r="NO19" i="21"/>
  <c r="NH19" i="21" s="1"/>
  <c r="NO20" i="21"/>
  <c r="AN333" i="15" s="1"/>
  <c r="NO40" i="21"/>
  <c r="NO10" i="21"/>
  <c r="NO5" i="21"/>
  <c r="NO25" i="21"/>
  <c r="NH25" i="21" s="1"/>
  <c r="NO11" i="21"/>
  <c r="NO16" i="21"/>
  <c r="NH16" i="21" s="1"/>
  <c r="NO34" i="21"/>
  <c r="NO42" i="21"/>
  <c r="NH42" i="21" s="1"/>
  <c r="NO35" i="21" l="1"/>
  <c r="NH34" i="21"/>
  <c r="NO14" i="21"/>
  <c r="NO12" i="21"/>
  <c r="NO37" i="21"/>
  <c r="NH37" i="21" s="1"/>
  <c r="NH36" i="21"/>
  <c r="NO39" i="21"/>
  <c r="NH39" i="21" s="1"/>
  <c r="NH38" i="21"/>
  <c r="NO13" i="21"/>
  <c r="NH10" i="21"/>
  <c r="NO41" i="21"/>
  <c r="NH41" i="21" s="1"/>
  <c r="NH40" i="21"/>
  <c r="NR2" i="21"/>
  <c r="NQ40" i="21"/>
  <c r="NQ25" i="21"/>
  <c r="NQ24" i="21"/>
  <c r="NQ34" i="21"/>
  <c r="NQ36" i="21"/>
  <c r="NQ38" i="21"/>
  <c r="NQ42" i="21"/>
  <c r="NS2" i="21" l="1"/>
  <c r="NR24" i="21"/>
  <c r="NR38" i="21"/>
  <c r="NR36" i="21"/>
  <c r="NR34" i="21"/>
  <c r="NR25" i="21"/>
  <c r="NR40" i="21"/>
  <c r="NR42" i="21"/>
  <c r="NH12" i="21"/>
  <c r="NO22" i="21"/>
  <c r="NH22" i="21" s="1"/>
  <c r="NH13" i="21"/>
  <c r="NO15" i="21"/>
  <c r="NH35" i="21"/>
  <c r="NO43" i="21"/>
  <c r="NH43" i="21" s="1"/>
  <c r="NH15" i="21" l="1"/>
  <c r="NO23" i="21"/>
  <c r="NH23" i="21" s="1"/>
  <c r="NO31" i="21"/>
  <c r="NQ31" i="21" s="1"/>
  <c r="NT2" i="21"/>
  <c r="NS34" i="21"/>
  <c r="NS36" i="21"/>
  <c r="NS25" i="21"/>
  <c r="NS38" i="21"/>
  <c r="NS24" i="21"/>
  <c r="NS40" i="21"/>
  <c r="NS42" i="21"/>
  <c r="NU2" i="21" l="1"/>
  <c r="NT24" i="21"/>
  <c r="NT38" i="21"/>
  <c r="NT36" i="21"/>
  <c r="NT25" i="21"/>
  <c r="NT40" i="21"/>
  <c r="NT34" i="21"/>
  <c r="NT42" i="21"/>
  <c r="AN338" i="15" l="1"/>
  <c r="NV2" i="21"/>
  <c r="NU36" i="21"/>
  <c r="NU34" i="21"/>
  <c r="NU25" i="21"/>
  <c r="NU40" i="21"/>
  <c r="NU24" i="21"/>
  <c r="NU38" i="21"/>
  <c r="NU42" i="21"/>
  <c r="NW2" i="21" l="1"/>
  <c r="NV24" i="21"/>
  <c r="NV38" i="21"/>
  <c r="NV25" i="21"/>
  <c r="NV40" i="21"/>
  <c r="NV36" i="21"/>
  <c r="NV34" i="21"/>
  <c r="NV42" i="21"/>
  <c r="NY2" i="21" l="1"/>
  <c r="NW36" i="21"/>
  <c r="NP36" i="21" s="1"/>
  <c r="NW11" i="21"/>
  <c r="NW20" i="21"/>
  <c r="AN340" i="15" s="1"/>
  <c r="NW4" i="21"/>
  <c r="NP4" i="21" s="1"/>
  <c r="NW34" i="21"/>
  <c r="NP34" i="21" s="1"/>
  <c r="NW16" i="21"/>
  <c r="NP16" i="21" s="1"/>
  <c r="NW5" i="21"/>
  <c r="NW38" i="21"/>
  <c r="NP38" i="21" s="1"/>
  <c r="NW10" i="21"/>
  <c r="NW40" i="21"/>
  <c r="NP40" i="21" s="1"/>
  <c r="NW24" i="21"/>
  <c r="NP24" i="21" s="1"/>
  <c r="NW25" i="21"/>
  <c r="NP25" i="21" s="1"/>
  <c r="NW17" i="21"/>
  <c r="NW19" i="21"/>
  <c r="NP19" i="21" s="1"/>
  <c r="NW42" i="21"/>
  <c r="NP42" i="21" s="1"/>
  <c r="NP10" i="21" l="1"/>
  <c r="NW13" i="21"/>
  <c r="NW14" i="21"/>
  <c r="NW12" i="21"/>
  <c r="NY40" i="21"/>
  <c r="NY34" i="21"/>
  <c r="NY38" i="21"/>
  <c r="NY36" i="21"/>
  <c r="NY42" i="21"/>
  <c r="NY16" i="21"/>
  <c r="NY24" i="21"/>
  <c r="NY10" i="21"/>
  <c r="NY17" i="21"/>
  <c r="NY11" i="21"/>
  <c r="NY12" i="21" s="1"/>
  <c r="NZ2" i="21"/>
  <c r="NY25" i="21"/>
  <c r="NY5" i="21"/>
  <c r="NY4" i="21"/>
  <c r="NY6" i="21" s="1"/>
  <c r="NY18" i="21" l="1"/>
  <c r="NY22" i="21"/>
  <c r="NZ36" i="21"/>
  <c r="NZ38" i="21"/>
  <c r="NZ34" i="21"/>
  <c r="NZ40" i="21"/>
  <c r="NZ42" i="21"/>
  <c r="NZ11" i="21"/>
  <c r="NZ12" i="21" s="1"/>
  <c r="NZ4" i="21"/>
  <c r="NZ24" i="21"/>
  <c r="NZ5" i="21"/>
  <c r="AM342" i="15" s="1"/>
  <c r="NZ16" i="21"/>
  <c r="NZ10" i="21"/>
  <c r="AF342" i="15" s="1"/>
  <c r="NZ17" i="21"/>
  <c r="NZ18" i="21" s="1"/>
  <c r="NZ25" i="21"/>
  <c r="OA2" i="21"/>
  <c r="NW22" i="21"/>
  <c r="NP22" i="21" s="1"/>
  <c r="NP12" i="21"/>
  <c r="NW15" i="21"/>
  <c r="NP13" i="21"/>
  <c r="NZ6" i="21" l="1"/>
  <c r="NZ22" i="21" s="1"/>
  <c r="OA36" i="21"/>
  <c r="OA38" i="21"/>
  <c r="OA34" i="21"/>
  <c r="OA40" i="21"/>
  <c r="OA42" i="21"/>
  <c r="OA11" i="21"/>
  <c r="OA4" i="21"/>
  <c r="OA6" i="21" s="1"/>
  <c r="OA16" i="21"/>
  <c r="OA25" i="21"/>
  <c r="OA5" i="21"/>
  <c r="AM343" i="15" s="1"/>
  <c r="OB2" i="21"/>
  <c r="OA17" i="21"/>
  <c r="OA18" i="21" s="1"/>
  <c r="OA24" i="21"/>
  <c r="OA10" i="21"/>
  <c r="NP15" i="21"/>
  <c r="NW23" i="21"/>
  <c r="NP23" i="21" s="1"/>
  <c r="NW31" i="21"/>
  <c r="NY31" i="21" s="1"/>
  <c r="OB38" i="21" l="1"/>
  <c r="OB40" i="21"/>
  <c r="OB36" i="21"/>
  <c r="OB34" i="21"/>
  <c r="OB42" i="21"/>
  <c r="OB5" i="21"/>
  <c r="AM344" i="15" s="1"/>
  <c r="OB16" i="21"/>
  <c r="OB17" i="21"/>
  <c r="OB10" i="21"/>
  <c r="OC2" i="21"/>
  <c r="OB4" i="21"/>
  <c r="OB11" i="21"/>
  <c r="OB12" i="21" s="1"/>
  <c r="OB24" i="21"/>
  <c r="OB25" i="21"/>
  <c r="OA12" i="21"/>
  <c r="OA22" i="21" s="1"/>
  <c r="OB6" i="21" l="1"/>
  <c r="OC34" i="21"/>
  <c r="OC38" i="21"/>
  <c r="OC40" i="21"/>
  <c r="OC36" i="21"/>
  <c r="OC42" i="21"/>
  <c r="OC4" i="21"/>
  <c r="OC6" i="21" s="1"/>
  <c r="OC11" i="21"/>
  <c r="OC17" i="21"/>
  <c r="OC10" i="21"/>
  <c r="OC5" i="21"/>
  <c r="AM345" i="15" s="1"/>
  <c r="OC24" i="21"/>
  <c r="OD2" i="21"/>
  <c r="OC16" i="21"/>
  <c r="OC25" i="21"/>
  <c r="OB18" i="21"/>
  <c r="OC12" i="21" l="1"/>
  <c r="OD40" i="21"/>
  <c r="OD34" i="21"/>
  <c r="OD36" i="21"/>
  <c r="OD38" i="21"/>
  <c r="OD42" i="21"/>
  <c r="OD10" i="21"/>
  <c r="OD4" i="21"/>
  <c r="OD6" i="21" s="1"/>
  <c r="OD24" i="21"/>
  <c r="OE2" i="21"/>
  <c r="OD16" i="21"/>
  <c r="OD5" i="21"/>
  <c r="AM346" i="15" s="1"/>
  <c r="OD25" i="21"/>
  <c r="OD17" i="21"/>
  <c r="OD18" i="21" s="1"/>
  <c r="NX18" i="21" s="1"/>
  <c r="OD11" i="21"/>
  <c r="AF345" i="15"/>
  <c r="OC18" i="21"/>
  <c r="OC22" i="21" s="1"/>
  <c r="OB22" i="21"/>
  <c r="OD12" i="21" l="1"/>
  <c r="OD22" i="21" s="1"/>
  <c r="NX6" i="21"/>
  <c r="OE40" i="21"/>
  <c r="OE36" i="21"/>
  <c r="OE38" i="21"/>
  <c r="OE34" i="21"/>
  <c r="OE42" i="21"/>
  <c r="OG2" i="21"/>
  <c r="OE17" i="21"/>
  <c r="OE11" i="21"/>
  <c r="OE20" i="21"/>
  <c r="AN347" i="15" s="1"/>
  <c r="OE5" i="21"/>
  <c r="OE4" i="21"/>
  <c r="NX4" i="21" s="1"/>
  <c r="OE19" i="21"/>
  <c r="NX19" i="21" s="1"/>
  <c r="OE25" i="21"/>
  <c r="NX25" i="21" s="1"/>
  <c r="OE24" i="21"/>
  <c r="NX24" i="21" s="1"/>
  <c r="OE16" i="21"/>
  <c r="NX16" i="21" s="1"/>
  <c r="OE10" i="21"/>
  <c r="OE14" i="21" l="1"/>
  <c r="OE12" i="21"/>
  <c r="OE13" i="21"/>
  <c r="NX13" i="21" s="1"/>
  <c r="NX10" i="21"/>
  <c r="OG40" i="21"/>
  <c r="OG36" i="21"/>
  <c r="OG38" i="21"/>
  <c r="OG34" i="21"/>
  <c r="OG42" i="21"/>
  <c r="OG24" i="21"/>
  <c r="OG25" i="21"/>
  <c r="OH2" i="21"/>
  <c r="OH36" i="21" l="1"/>
  <c r="OH40" i="21"/>
  <c r="OH38" i="21"/>
  <c r="OH34" i="21"/>
  <c r="OH42" i="21"/>
  <c r="OH24" i="21"/>
  <c r="OI2" i="21"/>
  <c r="OH25" i="21"/>
  <c r="OE22" i="21"/>
  <c r="NX22" i="21" s="1"/>
  <c r="NX12" i="21"/>
  <c r="OE15" i="21"/>
  <c r="OI36" i="21" l="1"/>
  <c r="OI38" i="21"/>
  <c r="OI34" i="21"/>
  <c r="OI40" i="21"/>
  <c r="OI42" i="21"/>
  <c r="OJ2" i="21"/>
  <c r="OI25" i="21"/>
  <c r="OI24" i="21"/>
  <c r="OE23" i="21"/>
  <c r="NX23" i="21" s="1"/>
  <c r="NX15" i="21"/>
  <c r="OE31" i="21"/>
  <c r="OG31" i="21" s="1"/>
  <c r="OJ34" i="21" l="1"/>
  <c r="OJ40" i="21"/>
  <c r="OJ36" i="21"/>
  <c r="OJ38" i="21"/>
  <c r="OJ42" i="21"/>
  <c r="OJ25" i="21"/>
  <c r="OJ24" i="21"/>
  <c r="OK2" i="21"/>
  <c r="OK40" i="21" l="1"/>
  <c r="OK34" i="21"/>
  <c r="OK38" i="21"/>
  <c r="OK36" i="21"/>
  <c r="OK42" i="21"/>
  <c r="OL2" i="21"/>
  <c r="OK24" i="21"/>
  <c r="OK25" i="21"/>
  <c r="OL38" i="21" l="1"/>
  <c r="OL36" i="21"/>
  <c r="OL40" i="21"/>
  <c r="OL34" i="21"/>
  <c r="OL42" i="21"/>
  <c r="OF42" i="21" s="1"/>
  <c r="OM2" i="21"/>
  <c r="OL24" i="21"/>
  <c r="OL25" i="21"/>
  <c r="OM34" i="21" l="1"/>
  <c r="OM38" i="21"/>
  <c r="OM36" i="21"/>
  <c r="OM40" i="21"/>
  <c r="OM42" i="21"/>
  <c r="OM20" i="21"/>
  <c r="AN354" i="15" s="1"/>
  <c r="OM24" i="21"/>
  <c r="OF24" i="21" s="1"/>
  <c r="OM19" i="21"/>
  <c r="OM10" i="21"/>
  <c r="OM17" i="21"/>
  <c r="OM16" i="21"/>
  <c r="OF16" i="21" s="1"/>
  <c r="OO2" i="21"/>
  <c r="OM25" i="21"/>
  <c r="OF25" i="21" s="1"/>
  <c r="OM5" i="21"/>
  <c r="OM4" i="21"/>
  <c r="OF4" i="21" s="1"/>
  <c r="OM11" i="21"/>
  <c r="OM14" i="21" l="1"/>
  <c r="OM12" i="21"/>
  <c r="AG354" i="15"/>
  <c r="OF19" i="21"/>
  <c r="OO40" i="21"/>
  <c r="OO34" i="21"/>
  <c r="OO36" i="21"/>
  <c r="OO38" i="21"/>
  <c r="OO42" i="21"/>
  <c r="OO4" i="21"/>
  <c r="OO17" i="21"/>
  <c r="OO25" i="21"/>
  <c r="OP2" i="21"/>
  <c r="OO10" i="21"/>
  <c r="OO11" i="21"/>
  <c r="OO16" i="21"/>
  <c r="OO24" i="21"/>
  <c r="OO5" i="21"/>
  <c r="AM355" i="15" s="1"/>
  <c r="OF10" i="21"/>
  <c r="OM13" i="21"/>
  <c r="OO12" i="21" l="1"/>
  <c r="OF13" i="21"/>
  <c r="OM15" i="21"/>
  <c r="OO18" i="21"/>
  <c r="OM22" i="21"/>
  <c r="OF22" i="21" s="1"/>
  <c r="OF12" i="21"/>
  <c r="OP38" i="21"/>
  <c r="OP40" i="21"/>
  <c r="OP34" i="21"/>
  <c r="OP36" i="21"/>
  <c r="OP42" i="21"/>
  <c r="OP24" i="21"/>
  <c r="OP25" i="21"/>
  <c r="OP16" i="21"/>
  <c r="OP11" i="21"/>
  <c r="OP12" i="21" s="1"/>
  <c r="OP5" i="21"/>
  <c r="AM356" i="15" s="1"/>
  <c r="OQ2" i="21"/>
  <c r="OP10" i="21"/>
  <c r="OP17" i="21"/>
  <c r="OP4" i="21"/>
  <c r="OO6" i="21"/>
  <c r="OP6" i="21" l="1"/>
  <c r="OO22" i="21"/>
  <c r="OP18" i="21"/>
  <c r="OP22" i="21" s="1"/>
  <c r="OM31" i="21"/>
  <c r="OO31" i="21" s="1"/>
  <c r="OP31" i="21" s="1"/>
  <c r="OM23" i="21"/>
  <c r="OF23" i="21" s="1"/>
  <c r="OF15" i="21"/>
  <c r="OQ40" i="21"/>
  <c r="OQ17" i="21"/>
  <c r="OQ38" i="21"/>
  <c r="OQ36" i="21"/>
  <c r="OQ34" i="21"/>
  <c r="OQ42" i="21"/>
  <c r="OQ25" i="21"/>
  <c r="OQ10" i="21"/>
  <c r="OQ5" i="21"/>
  <c r="AM357" i="15" s="1"/>
  <c r="OQ24" i="21"/>
  <c r="OQ4" i="21"/>
  <c r="OQ11" i="21"/>
  <c r="OQ16" i="21"/>
  <c r="OR2" i="21"/>
  <c r="OQ12" i="21" l="1"/>
  <c r="OQ6" i="21"/>
  <c r="OQ18" i="21"/>
  <c r="OQ22" i="21"/>
  <c r="OR38" i="21"/>
  <c r="OR34" i="21"/>
  <c r="OR36" i="21"/>
  <c r="OR40" i="21"/>
  <c r="OR42" i="21"/>
  <c r="OS2" i="21"/>
  <c r="OR11" i="21"/>
  <c r="OR10" i="21"/>
  <c r="OR5" i="21"/>
  <c r="AM358" i="15" s="1"/>
  <c r="OR17" i="21"/>
  <c r="OR18" i="21" s="1"/>
  <c r="OR25" i="21"/>
  <c r="OR24" i="21"/>
  <c r="OR4" i="21"/>
  <c r="OR16" i="21"/>
  <c r="OR12" i="21" l="1"/>
  <c r="OS36" i="21"/>
  <c r="OS38" i="21"/>
  <c r="OS17" i="21"/>
  <c r="OS34" i="21"/>
  <c r="OS40" i="21"/>
  <c r="OS16" i="21"/>
  <c r="OS24" i="21"/>
  <c r="OS25" i="21"/>
  <c r="OS42" i="21"/>
  <c r="OS4" i="21"/>
  <c r="OS5" i="21"/>
  <c r="AM359" i="15" s="1"/>
  <c r="OT2" i="21"/>
  <c r="OS11" i="21"/>
  <c r="OS10" i="21"/>
  <c r="OR6" i="21"/>
  <c r="OS12" i="21" l="1"/>
  <c r="OS6" i="21"/>
  <c r="OT36" i="21"/>
  <c r="OT40" i="21"/>
  <c r="OT38" i="21"/>
  <c r="OT34" i="21"/>
  <c r="OT42" i="21"/>
  <c r="ON42" i="21" s="1"/>
  <c r="OT17" i="21"/>
  <c r="OT10" i="21"/>
  <c r="OT4" i="21"/>
  <c r="OT24" i="21"/>
  <c r="OT5" i="21"/>
  <c r="OT20" i="21"/>
  <c r="AN360" i="15" s="1"/>
  <c r="OT16" i="21"/>
  <c r="OU2" i="21"/>
  <c r="OT19" i="21"/>
  <c r="OT11" i="21"/>
  <c r="OT25" i="21"/>
  <c r="OS18" i="21"/>
  <c r="OR22" i="21"/>
  <c r="OT21" i="21" l="1"/>
  <c r="OU36" i="21"/>
  <c r="OU34" i="21"/>
  <c r="OU40" i="21"/>
  <c r="OU38" i="21"/>
  <c r="OU42" i="21"/>
  <c r="OU10" i="21"/>
  <c r="OU11" i="21"/>
  <c r="OU5" i="21"/>
  <c r="OU25" i="21"/>
  <c r="ON25" i="21" s="1"/>
  <c r="OU17" i="21"/>
  <c r="OU20" i="21"/>
  <c r="AN361" i="15" s="1"/>
  <c r="OU4" i="21"/>
  <c r="ON4" i="21" s="1"/>
  <c r="OU24" i="21"/>
  <c r="ON24" i="21" s="1"/>
  <c r="OW2" i="21"/>
  <c r="OU16" i="21"/>
  <c r="ON16" i="21" s="1"/>
  <c r="OU19" i="21"/>
  <c r="ON19" i="21" s="1"/>
  <c r="OT12" i="21"/>
  <c r="OT18" i="21"/>
  <c r="ON18" i="21" s="1"/>
  <c r="OT6" i="21"/>
  <c r="OS22" i="21"/>
  <c r="OU13" i="21" l="1"/>
  <c r="ON13" i="21" s="1"/>
  <c r="ON10" i="21"/>
  <c r="OT22" i="21"/>
  <c r="ON6" i="21"/>
  <c r="OW40" i="21"/>
  <c r="OW34" i="21"/>
  <c r="OW36" i="21"/>
  <c r="OW38" i="21"/>
  <c r="OW42" i="21"/>
  <c r="OX2" i="21"/>
  <c r="OW17" i="21"/>
  <c r="OW10" i="21"/>
  <c r="OW16" i="21"/>
  <c r="OW5" i="21"/>
  <c r="AM362" i="15" s="1"/>
  <c r="OW24" i="21"/>
  <c r="OW25" i="21"/>
  <c r="OW11" i="21"/>
  <c r="OW4" i="21"/>
  <c r="OU14" i="21"/>
  <c r="OU15" i="21" s="1"/>
  <c r="OU12" i="21"/>
  <c r="AL360" i="15"/>
  <c r="ON21" i="21"/>
  <c r="OT31" i="21"/>
  <c r="OU31" i="21" s="1"/>
  <c r="OW31" i="21" s="1"/>
  <c r="OX31" i="21" s="1"/>
  <c r="OT23" i="21"/>
  <c r="OU22" i="21" l="1"/>
  <c r="ON22" i="21" s="1"/>
  <c r="ON12" i="21"/>
  <c r="OU23" i="21"/>
  <c r="ON23" i="21" s="1"/>
  <c r="ON15" i="21"/>
  <c r="OW6" i="21"/>
  <c r="OX38" i="21"/>
  <c r="OX34" i="21"/>
  <c r="OX40" i="21"/>
  <c r="OX36" i="21"/>
  <c r="OX42" i="21"/>
  <c r="OX4" i="21"/>
  <c r="OX24" i="21"/>
  <c r="OX11" i="21"/>
  <c r="OX16" i="21"/>
  <c r="OY2" i="21"/>
  <c r="OX10" i="21"/>
  <c r="AF363" i="15" s="1"/>
  <c r="OX25" i="21"/>
  <c r="OX17" i="21"/>
  <c r="OX5" i="21"/>
  <c r="AM363" i="15" s="1"/>
  <c r="OW18" i="21"/>
  <c r="OW12" i="21"/>
  <c r="OY40" i="21" l="1"/>
  <c r="OY38" i="21"/>
  <c r="OY36" i="21"/>
  <c r="OY34" i="21"/>
  <c r="OY42" i="21"/>
  <c r="OY24" i="21"/>
  <c r="OY16" i="21"/>
  <c r="OZ2" i="21"/>
  <c r="OY25" i="21"/>
  <c r="OY4" i="21"/>
  <c r="OY5" i="21"/>
  <c r="AM364" i="15" s="1"/>
  <c r="OY17" i="21"/>
  <c r="OY10" i="21"/>
  <c r="OY11" i="21"/>
  <c r="OX12" i="21"/>
  <c r="OW22" i="21"/>
  <c r="OX6" i="21"/>
  <c r="OX18" i="21"/>
  <c r="OY12" i="21" l="1"/>
  <c r="OY18" i="21"/>
  <c r="OX22" i="21"/>
  <c r="OY6" i="21"/>
  <c r="OY22" i="21" s="1"/>
  <c r="OZ36" i="21"/>
  <c r="OZ40" i="21"/>
  <c r="OZ34" i="21"/>
  <c r="OZ38" i="21"/>
  <c r="OZ42" i="21"/>
  <c r="OZ16" i="21"/>
  <c r="OZ10" i="21"/>
  <c r="OZ4" i="21"/>
  <c r="OZ24" i="21"/>
  <c r="PA2" i="21"/>
  <c r="OZ11" i="21"/>
  <c r="OZ5" i="21"/>
  <c r="AM365" i="15" s="1"/>
  <c r="OZ25" i="21"/>
  <c r="OZ17" i="21"/>
  <c r="OZ18" i="21" s="1"/>
  <c r="OZ6" i="21" l="1"/>
  <c r="PA38" i="21"/>
  <c r="PA40" i="21"/>
  <c r="PA34" i="21"/>
  <c r="PA36" i="21"/>
  <c r="PA42" i="21"/>
  <c r="PA4" i="21"/>
  <c r="PA6" i="21" s="1"/>
  <c r="PA11" i="21"/>
  <c r="PA12" i="21" s="1"/>
  <c r="PA16" i="21"/>
  <c r="PA5" i="21"/>
  <c r="PA10" i="21"/>
  <c r="PB2" i="21"/>
  <c r="PA24" i="21"/>
  <c r="PA25" i="21"/>
  <c r="PA17" i="21"/>
  <c r="OZ12" i="21"/>
  <c r="OZ22" i="21" s="1"/>
  <c r="PB34" i="21" l="1"/>
  <c r="PB40" i="21"/>
  <c r="PB36" i="21"/>
  <c r="PB38" i="21"/>
  <c r="PB42" i="21"/>
  <c r="OV42" i="21" s="1"/>
  <c r="PB24" i="21"/>
  <c r="PB19" i="21"/>
  <c r="PB4" i="21"/>
  <c r="PB10" i="21"/>
  <c r="OV10" i="21" s="1"/>
  <c r="PB25" i="21"/>
  <c r="PB11" i="21"/>
  <c r="PB12" i="21" s="1"/>
  <c r="OV12" i="21" s="1"/>
  <c r="PB20" i="21"/>
  <c r="AN367" i="15" s="1"/>
  <c r="PB5" i="21"/>
  <c r="AM367" i="15" s="1"/>
  <c r="PB16" i="21"/>
  <c r="PC2" i="21"/>
  <c r="PB17" i="21"/>
  <c r="PA18" i="21"/>
  <c r="PA22" i="21" s="1"/>
  <c r="PB18" i="21" l="1"/>
  <c r="OV18" i="21" s="1"/>
  <c r="PB6" i="21"/>
  <c r="AI210" i="15"/>
  <c r="AL232" i="15"/>
  <c r="PC34" i="21"/>
  <c r="AM131" i="15"/>
  <c r="AM26" i="15"/>
  <c r="AI336" i="15"/>
  <c r="PC40" i="21"/>
  <c r="AN147" i="15"/>
  <c r="PC36" i="21"/>
  <c r="PC38" i="21"/>
  <c r="AG49" i="15"/>
  <c r="AI150" i="15"/>
  <c r="AG153" i="15"/>
  <c r="AN166" i="15"/>
  <c r="AD185" i="15"/>
  <c r="AN89" i="15"/>
  <c r="AL226" i="15"/>
  <c r="AK145" i="15"/>
  <c r="AN164" i="15"/>
  <c r="AL162" i="15"/>
  <c r="AF111" i="15"/>
  <c r="AD93" i="15"/>
  <c r="AF184" i="15"/>
  <c r="AK133" i="15"/>
  <c r="AM23" i="15"/>
  <c r="AL296" i="15"/>
  <c r="PC42" i="21"/>
  <c r="AG154" i="15"/>
  <c r="AD134" i="15"/>
  <c r="AL105" i="15"/>
  <c r="AN99" i="15"/>
  <c r="AD64" i="15"/>
  <c r="AI226" i="15"/>
  <c r="AI282" i="15"/>
  <c r="AL65" i="15"/>
  <c r="AK103" i="15"/>
  <c r="AM226" i="15"/>
  <c r="AM166" i="15"/>
  <c r="AI153" i="15"/>
  <c r="AN72" i="15"/>
  <c r="AK231" i="15"/>
  <c r="AN194" i="15"/>
  <c r="AN171" i="15"/>
  <c r="AM218" i="15"/>
  <c r="AK310" i="15"/>
  <c r="AL29" i="15"/>
  <c r="AF40" i="15"/>
  <c r="AF177" i="15"/>
  <c r="AM174" i="15"/>
  <c r="AG206" i="15"/>
  <c r="AM111" i="15"/>
  <c r="AG211" i="15"/>
  <c r="AI304" i="15"/>
  <c r="AD181" i="15"/>
  <c r="AM183" i="15"/>
  <c r="AD218" i="15"/>
  <c r="AF35" i="15"/>
  <c r="AM195" i="15"/>
  <c r="AL271" i="15"/>
  <c r="AK241" i="15"/>
  <c r="AL128" i="15"/>
  <c r="AK189" i="15"/>
  <c r="AN36" i="15"/>
  <c r="AF93" i="15"/>
  <c r="AL25" i="15"/>
  <c r="AG118" i="15"/>
  <c r="AK111" i="15"/>
  <c r="AN108" i="15"/>
  <c r="AM148" i="15"/>
  <c r="AG84" i="15"/>
  <c r="AG147" i="15"/>
  <c r="AM28" i="15"/>
  <c r="AD187" i="15"/>
  <c r="AI25" i="15"/>
  <c r="AN115" i="15"/>
  <c r="AN114" i="15"/>
  <c r="AM307" i="15"/>
  <c r="AN155" i="15"/>
  <c r="AG22" i="15"/>
  <c r="AE22" i="15" s="1"/>
  <c r="AC22" i="15" s="1"/>
  <c r="AD176" i="15"/>
  <c r="AD197" i="15"/>
  <c r="AF28" i="15"/>
  <c r="AI292" i="15"/>
  <c r="AN104" i="15"/>
  <c r="AG203" i="15"/>
  <c r="AL278" i="15"/>
  <c r="AL68" i="15"/>
  <c r="AN107" i="15"/>
  <c r="AG34" i="15"/>
  <c r="AK317" i="15"/>
  <c r="AL167" i="15"/>
  <c r="AI105" i="15"/>
  <c r="AF156" i="15"/>
  <c r="AK61" i="15"/>
  <c r="AF128" i="15"/>
  <c r="AL201" i="15"/>
  <c r="AL315" i="15"/>
  <c r="AK202" i="15"/>
  <c r="AD152" i="15"/>
  <c r="AF126" i="15"/>
  <c r="AM224" i="15"/>
  <c r="AK132" i="15"/>
  <c r="AN218" i="15"/>
  <c r="AM47" i="15"/>
  <c r="AM125" i="15"/>
  <c r="AL133" i="15"/>
  <c r="AF140" i="15"/>
  <c r="AF163" i="15"/>
  <c r="AM93" i="15"/>
  <c r="AL131" i="15"/>
  <c r="AK211" i="15"/>
  <c r="AN223" i="15"/>
  <c r="AD171" i="15"/>
  <c r="AD204" i="15"/>
  <c r="AF106" i="15"/>
  <c r="AI39" i="15"/>
  <c r="AG227" i="15"/>
  <c r="AM140" i="15"/>
  <c r="AF127" i="15"/>
  <c r="AL313" i="15"/>
  <c r="AG202" i="15"/>
  <c r="AK300" i="15"/>
  <c r="AI164" i="15"/>
  <c r="AG66" i="15"/>
  <c r="AL288" i="15"/>
  <c r="AI265" i="15"/>
  <c r="AL169" i="15"/>
  <c r="AL27" i="15"/>
  <c r="AK322" i="15"/>
  <c r="AL111" i="15"/>
  <c r="AN215" i="15"/>
  <c r="AK309" i="15"/>
  <c r="AL147" i="15"/>
  <c r="AN98" i="15"/>
  <c r="AM37" i="15"/>
  <c r="AK69" i="15"/>
  <c r="AG51" i="15"/>
  <c r="AI237" i="15"/>
  <c r="AF175" i="15"/>
  <c r="AL190" i="15"/>
  <c r="AL51" i="15"/>
  <c r="AF230" i="15"/>
  <c r="AI138" i="15"/>
  <c r="AN195" i="15"/>
  <c r="AF121" i="15"/>
  <c r="AF219" i="15"/>
  <c r="AK271" i="15"/>
  <c r="AJ271" i="15" s="1"/>
  <c r="AL154" i="15"/>
  <c r="AN126" i="15"/>
  <c r="AK244" i="15"/>
  <c r="AM123" i="15"/>
  <c r="AL230" i="15"/>
  <c r="AF29" i="15"/>
  <c r="AG68" i="15"/>
  <c r="AI87" i="15"/>
  <c r="AL292" i="15"/>
  <c r="AM157" i="15"/>
  <c r="AG170" i="15"/>
  <c r="AL138" i="15"/>
  <c r="AL280" i="15"/>
  <c r="AN138" i="15"/>
  <c r="AK86" i="15"/>
  <c r="AL129" i="15"/>
  <c r="AM232" i="15"/>
  <c r="AM117" i="15"/>
  <c r="AL23" i="15"/>
  <c r="AI195" i="15"/>
  <c r="AL266" i="15"/>
  <c r="AF38" i="15"/>
  <c r="AI99" i="15"/>
  <c r="AL112" i="15"/>
  <c r="AF107" i="15"/>
  <c r="AM135" i="15"/>
  <c r="AK24" i="15"/>
  <c r="AM31" i="15"/>
  <c r="AD168" i="15"/>
  <c r="AM170" i="15"/>
  <c r="AG231" i="15"/>
  <c r="AL197" i="15"/>
  <c r="AL334" i="15"/>
  <c r="AF227" i="15"/>
  <c r="AE227" i="15" s="1"/>
  <c r="AL321" i="15"/>
  <c r="AI56" i="15"/>
  <c r="AL259" i="15"/>
  <c r="AK321" i="15"/>
  <c r="AL178" i="15"/>
  <c r="AG124" i="15"/>
  <c r="AN182" i="15"/>
  <c r="AL282" i="15"/>
  <c r="AL58" i="15"/>
  <c r="AG209" i="15"/>
  <c r="AI208" i="15"/>
  <c r="AM139" i="15"/>
  <c r="AI65" i="15"/>
  <c r="AD111" i="15"/>
  <c r="AI324" i="15"/>
  <c r="AL258" i="15"/>
  <c r="AI151" i="15"/>
  <c r="AL273" i="15"/>
  <c r="AG195" i="15"/>
  <c r="AN125" i="15"/>
  <c r="AK75" i="15"/>
  <c r="AK35" i="15"/>
  <c r="AI174" i="15"/>
  <c r="AK184" i="15"/>
  <c r="AF173" i="15"/>
  <c r="AM33" i="15"/>
  <c r="AG127" i="15"/>
  <c r="AN224" i="15"/>
  <c r="AG212" i="15"/>
  <c r="AK174" i="15"/>
  <c r="AK269" i="15"/>
  <c r="AN61" i="15"/>
  <c r="AI181" i="15"/>
  <c r="AO181" i="15" s="1"/>
  <c r="AI196" i="15"/>
  <c r="AG171" i="15"/>
  <c r="AN197" i="15"/>
  <c r="AI318" i="15"/>
  <c r="AL132" i="15"/>
  <c r="AK315" i="15"/>
  <c r="AJ315" i="15" s="1"/>
  <c r="AK168" i="15"/>
  <c r="AI34" i="15"/>
  <c r="AM114" i="15"/>
  <c r="AM201" i="15"/>
  <c r="AK53" i="15"/>
  <c r="AF182" i="15"/>
  <c r="AM138" i="15"/>
  <c r="AI261" i="15"/>
  <c r="AG187" i="15"/>
  <c r="AK48" i="15"/>
  <c r="AM43" i="15"/>
  <c r="AM184" i="15"/>
  <c r="AL89" i="15"/>
  <c r="AM124" i="15"/>
  <c r="AI302" i="15"/>
  <c r="AN78" i="15"/>
  <c r="AG182" i="15"/>
  <c r="AF161" i="15"/>
  <c r="AM189" i="15"/>
  <c r="AI143" i="15"/>
  <c r="AK295" i="15"/>
  <c r="AI245" i="15"/>
  <c r="AF46" i="15"/>
  <c r="AI175" i="15"/>
  <c r="AO175" i="15" s="1"/>
  <c r="AF44" i="15"/>
  <c r="AK128" i="15"/>
  <c r="AJ128" i="15" s="1"/>
  <c r="AI224" i="15"/>
  <c r="AG163" i="15"/>
  <c r="AM163" i="15"/>
  <c r="AK161" i="15"/>
  <c r="AF181" i="15"/>
  <c r="AM98" i="15"/>
  <c r="AF196" i="15"/>
  <c r="AK153" i="15"/>
  <c r="AF55" i="15"/>
  <c r="AK91" i="15"/>
  <c r="AI79" i="15"/>
  <c r="AF191" i="15"/>
  <c r="AL106" i="15"/>
  <c r="AG180" i="15"/>
  <c r="AK29" i="15"/>
  <c r="AJ29" i="15" s="1"/>
  <c r="AF210" i="15"/>
  <c r="AL240" i="15"/>
  <c r="AF100" i="15"/>
  <c r="AI205" i="15"/>
  <c r="AN199" i="15"/>
  <c r="AM134" i="15"/>
  <c r="AD91" i="15"/>
  <c r="AI334" i="15"/>
  <c r="AN56" i="15"/>
  <c r="AD175" i="15"/>
  <c r="AI216" i="15"/>
  <c r="AK320" i="15"/>
  <c r="AF101" i="15"/>
  <c r="AL285" i="15"/>
  <c r="AI243" i="15"/>
  <c r="AL98" i="15"/>
  <c r="AD213" i="15"/>
  <c r="AG73" i="15"/>
  <c r="AL252" i="15"/>
  <c r="AG219" i="15"/>
  <c r="AF148" i="15"/>
  <c r="AK238" i="15"/>
  <c r="AI80" i="15"/>
  <c r="AK108" i="15"/>
  <c r="AJ108" i="15" s="1"/>
  <c r="AK307" i="15"/>
  <c r="AI98" i="15"/>
  <c r="AN117" i="15"/>
  <c r="AD208" i="15"/>
  <c r="AL30" i="15"/>
  <c r="AF225" i="15"/>
  <c r="AK332" i="15"/>
  <c r="AL61" i="15"/>
  <c r="AI140" i="15"/>
  <c r="AL108" i="15"/>
  <c r="AI260" i="15"/>
  <c r="AI45" i="15"/>
  <c r="AD202" i="15"/>
  <c r="AI218" i="15"/>
  <c r="AO218" i="15" s="1"/>
  <c r="AK280" i="15"/>
  <c r="AJ280" i="15" s="1"/>
  <c r="AG93" i="15"/>
  <c r="AL287" i="15"/>
  <c r="AN69" i="15"/>
  <c r="AF68" i="15"/>
  <c r="AE68" i="15" s="1"/>
  <c r="AM44" i="15"/>
  <c r="AK87" i="15"/>
  <c r="AI128" i="15"/>
  <c r="AK137" i="15"/>
  <c r="AK126" i="15"/>
  <c r="AN140" i="15"/>
  <c r="AK82" i="15"/>
  <c r="AK251" i="15"/>
  <c r="AM225" i="15"/>
  <c r="AK276" i="15"/>
  <c r="AL199" i="15"/>
  <c r="AI111" i="15"/>
  <c r="AK196" i="15"/>
  <c r="AK301" i="15"/>
  <c r="AI321" i="15"/>
  <c r="AK288" i="15"/>
  <c r="AJ288" i="15" s="1"/>
  <c r="AD190" i="15"/>
  <c r="AM127" i="15"/>
  <c r="AN230" i="15"/>
  <c r="AM55" i="15"/>
  <c r="AI327" i="15"/>
  <c r="AN202" i="15"/>
  <c r="AN206" i="15"/>
  <c r="AL225" i="15"/>
  <c r="AK140" i="15"/>
  <c r="AG65" i="15"/>
  <c r="AG47" i="15"/>
  <c r="AF218" i="15"/>
  <c r="AM227" i="15"/>
  <c r="AK205" i="15"/>
  <c r="AF124" i="15"/>
  <c r="AE124" i="15" s="1"/>
  <c r="AF94" i="15"/>
  <c r="AK328" i="15"/>
  <c r="AK56" i="15"/>
  <c r="AM95" i="15"/>
  <c r="AL231" i="15"/>
  <c r="AL80" i="15"/>
  <c r="AN86" i="15"/>
  <c r="AM150" i="15"/>
  <c r="AF89" i="15"/>
  <c r="AF118" i="15"/>
  <c r="AE118" i="15" s="1"/>
  <c r="AD60" i="15"/>
  <c r="AK278" i="15"/>
  <c r="AJ278" i="15" s="1"/>
  <c r="AK183" i="15"/>
  <c r="AK199" i="15"/>
  <c r="AL314" i="15"/>
  <c r="AL151" i="15"/>
  <c r="AN28" i="15"/>
  <c r="AD110" i="15"/>
  <c r="AK31" i="15"/>
  <c r="AK294" i="15"/>
  <c r="AI152" i="15"/>
  <c r="AO152" i="15" s="1"/>
  <c r="AL209" i="15"/>
  <c r="AD150" i="15"/>
  <c r="AN26" i="15"/>
  <c r="AI127" i="15"/>
  <c r="AI126" i="15"/>
  <c r="AD205" i="15"/>
  <c r="AK66" i="15"/>
  <c r="AI169" i="15"/>
  <c r="AI81" i="15"/>
  <c r="AK118" i="15"/>
  <c r="AL54" i="15"/>
  <c r="AD158" i="15"/>
  <c r="AK124" i="15"/>
  <c r="AD193" i="15"/>
  <c r="AG50" i="15"/>
  <c r="AF123" i="15"/>
  <c r="AN162" i="15"/>
  <c r="AK131" i="15"/>
  <c r="AJ131" i="15" s="1"/>
  <c r="AM288" i="15"/>
  <c r="AD227" i="15"/>
  <c r="AF103" i="15"/>
  <c r="AI252" i="15"/>
  <c r="AF168" i="15"/>
  <c r="AN35" i="15"/>
  <c r="AN121" i="15"/>
  <c r="AL91" i="15"/>
  <c r="AK156" i="15"/>
  <c r="AK79" i="15"/>
  <c r="AG190" i="15"/>
  <c r="AK71" i="15"/>
  <c r="AG77" i="15"/>
  <c r="AK77" i="15"/>
  <c r="AL122" i="15"/>
  <c r="AK98" i="15"/>
  <c r="AJ98" i="15" s="1"/>
  <c r="AI296" i="15"/>
  <c r="AM32" i="15"/>
  <c r="AN91" i="15"/>
  <c r="AG104" i="15"/>
  <c r="AI176" i="15"/>
  <c r="AO176" i="15" s="1"/>
  <c r="AL316" i="15"/>
  <c r="AF43" i="15"/>
  <c r="AN209" i="15"/>
  <c r="AK114" i="15"/>
  <c r="AL114" i="15"/>
  <c r="AK299" i="15"/>
  <c r="AI144" i="15"/>
  <c r="AG113" i="15"/>
  <c r="AL33" i="15"/>
  <c r="AI288" i="15"/>
  <c r="AI125" i="15"/>
  <c r="AL236" i="15"/>
  <c r="AI70" i="15"/>
  <c r="AK112" i="15"/>
  <c r="AJ112" i="15" s="1"/>
  <c r="AN188" i="15"/>
  <c r="AL272" i="15"/>
  <c r="AG135" i="15"/>
  <c r="AL185" i="15"/>
  <c r="AL198" i="15"/>
  <c r="AL181" i="15"/>
  <c r="AM145" i="15"/>
  <c r="AM179" i="15"/>
  <c r="AD109" i="15"/>
  <c r="AL49" i="15"/>
  <c r="AF88" i="15"/>
  <c r="AL152" i="15"/>
  <c r="AG201" i="15"/>
  <c r="AK236" i="15"/>
  <c r="AJ236" i="15" s="1"/>
  <c r="AF74" i="15"/>
  <c r="AK42" i="15"/>
  <c r="AL157" i="15"/>
  <c r="AF149" i="15"/>
  <c r="AF185" i="15"/>
  <c r="AD219" i="15"/>
  <c r="AN100" i="15"/>
  <c r="AN120" i="15"/>
  <c r="AL86" i="15"/>
  <c r="AK243" i="15"/>
  <c r="AF134" i="15"/>
  <c r="AK50" i="15"/>
  <c r="AF78" i="15"/>
  <c r="AL24" i="15"/>
  <c r="AK177" i="15"/>
  <c r="AI114" i="15"/>
  <c r="AF152" i="15"/>
  <c r="AI148" i="15"/>
  <c r="AK226" i="15"/>
  <c r="AJ226" i="15" s="1"/>
  <c r="AI26" i="15"/>
  <c r="AD128" i="15"/>
  <c r="AK146" i="15"/>
  <c r="AK197" i="15"/>
  <c r="AJ197" i="15" s="1"/>
  <c r="AI166" i="15"/>
  <c r="AF222" i="15"/>
  <c r="AF150" i="15"/>
  <c r="AD162" i="15"/>
  <c r="AF129" i="15"/>
  <c r="AD32" i="15"/>
  <c r="AI136" i="15"/>
  <c r="AF69" i="15"/>
  <c r="AL189" i="15"/>
  <c r="AI135" i="15"/>
  <c r="AM24" i="15"/>
  <c r="AD55" i="15"/>
  <c r="AL28" i="15"/>
  <c r="AF131" i="15"/>
  <c r="AL37" i="15"/>
  <c r="AN217" i="15"/>
  <c r="AL332" i="15"/>
  <c r="AG208" i="15"/>
  <c r="AI85" i="15"/>
  <c r="AL123" i="15"/>
  <c r="AG164" i="15"/>
  <c r="AI230" i="15"/>
  <c r="AK180" i="15"/>
  <c r="AL42" i="15"/>
  <c r="AL76" i="15"/>
  <c r="AG181" i="15"/>
  <c r="AN94" i="15"/>
  <c r="AK44" i="15"/>
  <c r="AL139" i="15"/>
  <c r="AL173" i="15"/>
  <c r="AD216" i="15"/>
  <c r="AK225" i="15"/>
  <c r="AJ225" i="15" s="1"/>
  <c r="AM65" i="15"/>
  <c r="AL164" i="15"/>
  <c r="AI29" i="15"/>
  <c r="AI129" i="15"/>
  <c r="AI149" i="15"/>
  <c r="AG61" i="15"/>
  <c r="AL146" i="15"/>
  <c r="AI145" i="15"/>
  <c r="AK176" i="15"/>
  <c r="AN128" i="15"/>
  <c r="AD101" i="15"/>
  <c r="AN309" i="15"/>
  <c r="AM126" i="15"/>
  <c r="AI102" i="15"/>
  <c r="AI69" i="15"/>
  <c r="AF41" i="15"/>
  <c r="AK138" i="15"/>
  <c r="AJ138" i="15" s="1"/>
  <c r="AK59" i="15"/>
  <c r="AK21" i="15"/>
  <c r="AJ21" i="15" s="1"/>
  <c r="AK323" i="15"/>
  <c r="AI22" i="15"/>
  <c r="AO22" i="15" s="1"/>
  <c r="AI311" i="15"/>
  <c r="AD49" i="15"/>
  <c r="AI76" i="15"/>
  <c r="AF64" i="15"/>
  <c r="AI90" i="15"/>
  <c r="AK129" i="15"/>
  <c r="AJ129" i="15" s="1"/>
  <c r="AK163" i="15"/>
  <c r="AK252" i="15"/>
  <c r="AJ252" i="15" s="1"/>
  <c r="AL219" i="15"/>
  <c r="AF36" i="15"/>
  <c r="AL96" i="15"/>
  <c r="AI23" i="15"/>
  <c r="AI101" i="15"/>
  <c r="AG213" i="15"/>
  <c r="AI211" i="15"/>
  <c r="AG185" i="15"/>
  <c r="AG62" i="15"/>
  <c r="AE62" i="15" s="1"/>
  <c r="AF57" i="15"/>
  <c r="AL337" i="15"/>
  <c r="AL276" i="15"/>
  <c r="AI203" i="15"/>
  <c r="AI38" i="15"/>
  <c r="AK23" i="15"/>
  <c r="AJ23" i="15" s="1"/>
  <c r="AK325" i="15"/>
  <c r="AI61" i="15"/>
  <c r="AI93" i="15"/>
  <c r="AO93" i="15" s="1"/>
  <c r="AM39" i="15"/>
  <c r="AK217" i="15"/>
  <c r="AI202" i="15"/>
  <c r="AO202" i="15" s="1"/>
  <c r="AL119" i="15"/>
  <c r="AL90" i="15"/>
  <c r="AG72" i="15"/>
  <c r="AM172" i="15"/>
  <c r="AG83" i="15"/>
  <c r="AM120" i="15"/>
  <c r="AL149" i="15"/>
  <c r="AL142" i="15"/>
  <c r="AG98" i="15"/>
  <c r="AI219" i="15"/>
  <c r="AO219" i="15" s="1"/>
  <c r="AM221" i="15"/>
  <c r="AD51" i="15"/>
  <c r="AI330" i="15"/>
  <c r="AI213" i="15"/>
  <c r="AO213" i="15" s="1"/>
  <c r="AG40" i="15"/>
  <c r="AM162" i="15"/>
  <c r="AL166" i="15"/>
  <c r="AM194" i="15"/>
  <c r="AL145" i="15"/>
  <c r="AK26" i="15"/>
  <c r="AI262" i="15"/>
  <c r="AN97" i="15"/>
  <c r="AN233" i="15"/>
  <c r="AM214" i="15"/>
  <c r="AI71" i="15"/>
  <c r="AK223" i="15"/>
  <c r="AN54" i="15"/>
  <c r="AD196" i="15"/>
  <c r="AD82" i="15"/>
  <c r="AK337" i="15"/>
  <c r="AJ337" i="15" s="1"/>
  <c r="AI118" i="15"/>
  <c r="AM181" i="15"/>
  <c r="AL63" i="15"/>
  <c r="AK123" i="15"/>
  <c r="AJ123" i="15" s="1"/>
  <c r="AN175" i="15"/>
  <c r="AG161" i="15"/>
  <c r="AN190" i="15"/>
  <c r="AF197" i="15"/>
  <c r="AF23" i="15"/>
  <c r="AD164" i="15"/>
  <c r="AI120" i="15"/>
  <c r="AI42" i="15"/>
  <c r="AI251" i="15"/>
  <c r="AL188" i="15"/>
  <c r="AK201" i="15"/>
  <c r="AJ201" i="15" s="1"/>
  <c r="AM49" i="15"/>
  <c r="AL191" i="15"/>
  <c r="AL182" i="15"/>
  <c r="AK84" i="15"/>
  <c r="AN212" i="15"/>
  <c r="AL336" i="15"/>
  <c r="AI37" i="15"/>
  <c r="AM58" i="15"/>
  <c r="AF120" i="15"/>
  <c r="AM161" i="15"/>
  <c r="AD138" i="15"/>
  <c r="AI199" i="15"/>
  <c r="AG141" i="15"/>
  <c r="AL31" i="15"/>
  <c r="AM63" i="15"/>
  <c r="AI178" i="15"/>
  <c r="AM177" i="15"/>
  <c r="AL55" i="15"/>
  <c r="AF96" i="15"/>
  <c r="AI112" i="15"/>
  <c r="AG136" i="15"/>
  <c r="AL38" i="15"/>
  <c r="AL120" i="15"/>
  <c r="AK179" i="15"/>
  <c r="AD125" i="15"/>
  <c r="AM192" i="15"/>
  <c r="AK191" i="15"/>
  <c r="AJ191" i="15" s="1"/>
  <c r="AD124" i="15"/>
  <c r="AC124" i="15" s="1"/>
  <c r="AF95" i="15"/>
  <c r="AK68" i="15"/>
  <c r="AJ68" i="15" s="1"/>
  <c r="AI307" i="15"/>
  <c r="AG160" i="15"/>
  <c r="AN106" i="15"/>
  <c r="AL329" i="15"/>
  <c r="AG156" i="15"/>
  <c r="AI109" i="15"/>
  <c r="AO109" i="15" s="1"/>
  <c r="AI177" i="15"/>
  <c r="AG216" i="15"/>
  <c r="AK304" i="15"/>
  <c r="AI299" i="15"/>
  <c r="AK139" i="15"/>
  <c r="AD217" i="15"/>
  <c r="AM22" i="15"/>
  <c r="AL124" i="15"/>
  <c r="AI40" i="15"/>
  <c r="AI313" i="15"/>
  <c r="AD48" i="15"/>
  <c r="AI162" i="15"/>
  <c r="AO162" i="15" s="1"/>
  <c r="AK220" i="15"/>
  <c r="AI103" i="15"/>
  <c r="AK162" i="15"/>
  <c r="AJ162" i="15" s="1"/>
  <c r="AG63" i="15"/>
  <c r="AK49" i="15"/>
  <c r="AJ49" i="15" s="1"/>
  <c r="AK40" i="15"/>
  <c r="AK335" i="15"/>
  <c r="AL52" i="15"/>
  <c r="AL195" i="15"/>
  <c r="AM185" i="15"/>
  <c r="AF76" i="15"/>
  <c r="AI287" i="15"/>
  <c r="AF102" i="15"/>
  <c r="AF135" i="15"/>
  <c r="AE135" i="15" s="1"/>
  <c r="AL155" i="15"/>
  <c r="AD149" i="15"/>
  <c r="AL192" i="15"/>
  <c r="AK209" i="15"/>
  <c r="AJ209" i="15" s="1"/>
  <c r="AG126" i="15"/>
  <c r="AL35" i="15"/>
  <c r="AK150" i="15"/>
  <c r="AL22" i="15"/>
  <c r="AJ22" i="15" s="1"/>
  <c r="AI222" i="15"/>
  <c r="AD96" i="15"/>
  <c r="AN112" i="15"/>
  <c r="AI215" i="15"/>
  <c r="AF30" i="15"/>
  <c r="AK155" i="15"/>
  <c r="AN131" i="15"/>
  <c r="AL135" i="15"/>
  <c r="AI131" i="15"/>
  <c r="AK58" i="15"/>
  <c r="AJ58" i="15" s="1"/>
  <c r="AK152" i="15"/>
  <c r="AJ152" i="15" s="1"/>
  <c r="AF209" i="15"/>
  <c r="AE209" i="15" s="1"/>
  <c r="AI275" i="15"/>
  <c r="AL107" i="15"/>
  <c r="AL121" i="15"/>
  <c r="AL239" i="15"/>
  <c r="AN192" i="15"/>
  <c r="AD173" i="15"/>
  <c r="AK37" i="15"/>
  <c r="AJ37" i="15" s="1"/>
  <c r="AM186" i="15"/>
  <c r="AD120" i="15"/>
  <c r="AL297" i="15"/>
  <c r="AI113" i="15"/>
  <c r="AM52" i="15"/>
  <c r="AN84" i="15"/>
  <c r="AL103" i="15"/>
  <c r="AL70" i="15"/>
  <c r="AG103" i="15"/>
  <c r="AL77" i="15"/>
  <c r="AK259" i="15"/>
  <c r="AJ259" i="15" s="1"/>
  <c r="AL308" i="15"/>
  <c r="AF231" i="15"/>
  <c r="AE231" i="15" s="1"/>
  <c r="AK72" i="15"/>
  <c r="AK116" i="15"/>
  <c r="AK125" i="15"/>
  <c r="AL274" i="15"/>
  <c r="AF153" i="15"/>
  <c r="AE153" i="15" s="1"/>
  <c r="AL66" i="15"/>
  <c r="AK336" i="15"/>
  <c r="AN65" i="15"/>
  <c r="AK173" i="15"/>
  <c r="AJ173" i="15" s="1"/>
  <c r="AD166" i="15"/>
  <c r="AN146" i="15"/>
  <c r="AG146" i="15"/>
  <c r="AL299" i="15"/>
  <c r="AL184" i="15"/>
  <c r="AI64" i="15"/>
  <c r="AO64" i="15" s="1"/>
  <c r="AK85" i="15"/>
  <c r="AN73" i="15"/>
  <c r="AF47" i="15"/>
  <c r="AE47" i="15" s="1"/>
  <c r="AI139" i="15"/>
  <c r="AF151" i="15"/>
  <c r="AN93" i="15"/>
  <c r="AD42" i="15"/>
  <c r="AK247" i="15"/>
  <c r="AN96" i="15"/>
  <c r="AI301" i="15"/>
  <c r="AK115" i="15"/>
  <c r="AK175" i="15"/>
  <c r="AL171" i="15"/>
  <c r="AN70" i="15"/>
  <c r="AG122" i="15"/>
  <c r="AI53" i="15"/>
  <c r="AI207" i="15"/>
  <c r="AI142" i="15"/>
  <c r="AL214" i="15"/>
  <c r="AM193" i="15"/>
  <c r="AF42" i="15"/>
  <c r="AM165" i="15"/>
  <c r="AF112" i="15"/>
  <c r="AG247" i="15"/>
  <c r="AM56" i="15"/>
  <c r="AN160" i="15"/>
  <c r="AI41" i="15"/>
  <c r="AN142" i="15"/>
  <c r="AK25" i="15"/>
  <c r="AJ25" i="15" s="1"/>
  <c r="AL327" i="15"/>
  <c r="AG78" i="15"/>
  <c r="AM268" i="15"/>
  <c r="AI266" i="15"/>
  <c r="AG253" i="15"/>
  <c r="AM107" i="15"/>
  <c r="AL286" i="15"/>
  <c r="AG36" i="15"/>
  <c r="AM73" i="15"/>
  <c r="AD232" i="15"/>
  <c r="AG70" i="15"/>
  <c r="AN178" i="15"/>
  <c r="AF99" i="15"/>
  <c r="AK285" i="15"/>
  <c r="AJ285" i="15" s="1"/>
  <c r="AM61" i="15"/>
  <c r="AG76" i="15"/>
  <c r="AN330" i="15"/>
  <c r="AN232" i="15"/>
  <c r="AG90" i="15"/>
  <c r="AI249" i="15"/>
  <c r="AL303" i="15"/>
  <c r="AG150" i="15"/>
  <c r="AL223" i="15"/>
  <c r="AL26" i="15"/>
  <c r="AF318" i="15"/>
  <c r="AL312" i="15"/>
  <c r="AN254" i="15"/>
  <c r="AI291" i="15"/>
  <c r="AN149" i="15"/>
  <c r="AK219" i="15"/>
  <c r="AJ219" i="15" s="1"/>
  <c r="AG278" i="15"/>
  <c r="AL40" i="15"/>
  <c r="AI160" i="15"/>
  <c r="AL140" i="15"/>
  <c r="AF322" i="15"/>
  <c r="AD325" i="15"/>
  <c r="AF198" i="15"/>
  <c r="AM275" i="15"/>
  <c r="AF292" i="15"/>
  <c r="AD76" i="15"/>
  <c r="AM257" i="15"/>
  <c r="AL246" i="15"/>
  <c r="AM233" i="15"/>
  <c r="AF308" i="15"/>
  <c r="AK266" i="15"/>
  <c r="AJ266" i="15" s="1"/>
  <c r="AG230" i="15"/>
  <c r="AN163" i="15"/>
  <c r="AF202" i="15"/>
  <c r="AE202" i="15" s="1"/>
  <c r="AC202" i="15" s="1"/>
  <c r="AG79" i="15"/>
  <c r="AN169" i="15"/>
  <c r="AI46" i="15"/>
  <c r="AF132" i="15"/>
  <c r="AK237" i="15"/>
  <c r="AN222" i="15"/>
  <c r="AM147" i="15"/>
  <c r="AD59" i="15"/>
  <c r="AK167" i="15"/>
  <c r="AJ167" i="15" s="1"/>
  <c r="AD247" i="15"/>
  <c r="AF259" i="15"/>
  <c r="AM104" i="15"/>
  <c r="AN216" i="15"/>
  <c r="AI319" i="15"/>
  <c r="AM298" i="15"/>
  <c r="AM277" i="15"/>
  <c r="AD330" i="15"/>
  <c r="AD282" i="15"/>
  <c r="AF51" i="15"/>
  <c r="AE51" i="15" s="1"/>
  <c r="AC51" i="15" s="1"/>
  <c r="AM175" i="15"/>
  <c r="AL217" i="15"/>
  <c r="AF115" i="15"/>
  <c r="AI276" i="15"/>
  <c r="AM34" i="15"/>
  <c r="AM215" i="15"/>
  <c r="AI286" i="15"/>
  <c r="AD223" i="15"/>
  <c r="AG133" i="15"/>
  <c r="AD324" i="15"/>
  <c r="AD188" i="15"/>
  <c r="AG166" i="15"/>
  <c r="AI186" i="15"/>
  <c r="AM116" i="15"/>
  <c r="AF45" i="15"/>
  <c r="AK134" i="15"/>
  <c r="AG145" i="15"/>
  <c r="AI158" i="15"/>
  <c r="AO158" i="15" s="1"/>
  <c r="AI28" i="15"/>
  <c r="AL88" i="15"/>
  <c r="AN177" i="15"/>
  <c r="AL193" i="15"/>
  <c r="AD74" i="15"/>
  <c r="AN250" i="15"/>
  <c r="AD174" i="15"/>
  <c r="AM247" i="15"/>
  <c r="AK154" i="15"/>
  <c r="AJ154" i="15" s="1"/>
  <c r="AK334" i="15"/>
  <c r="AJ334" i="15" s="1"/>
  <c r="AG335" i="15"/>
  <c r="AF71" i="15"/>
  <c r="AI163" i="15"/>
  <c r="AN92" i="15"/>
  <c r="AM142" i="15"/>
  <c r="AN304" i="15"/>
  <c r="AG52" i="15"/>
  <c r="AN136" i="15"/>
  <c r="AN135" i="15"/>
  <c r="AK210" i="15"/>
  <c r="AM158" i="15"/>
  <c r="AF220" i="15"/>
  <c r="AM53" i="15"/>
  <c r="AM210" i="15"/>
  <c r="AG115" i="15"/>
  <c r="AD98" i="15"/>
  <c r="AG300" i="15"/>
  <c r="AG304" i="15"/>
  <c r="AM30" i="15"/>
  <c r="AD122" i="15"/>
  <c r="AD86" i="15"/>
  <c r="AL319" i="15"/>
  <c r="AM130" i="15"/>
  <c r="AG210" i="15"/>
  <c r="AF104" i="15"/>
  <c r="AE104" i="15" s="1"/>
  <c r="AM220" i="15"/>
  <c r="AM89" i="15"/>
  <c r="AD62" i="15"/>
  <c r="AD177" i="15"/>
  <c r="AN184" i="15"/>
  <c r="AD34" i="15"/>
  <c r="AK54" i="15"/>
  <c r="AJ54" i="15" s="1"/>
  <c r="AG37" i="15"/>
  <c r="AG243" i="15"/>
  <c r="AD198" i="15"/>
  <c r="AF270" i="15"/>
  <c r="AN33" i="15"/>
  <c r="AD145" i="15"/>
  <c r="AG237" i="15"/>
  <c r="AI328" i="15"/>
  <c r="AN322" i="15"/>
  <c r="AK195" i="15"/>
  <c r="AJ195" i="15" s="1"/>
  <c r="AI31" i="15"/>
  <c r="AD302" i="15"/>
  <c r="AF269" i="15"/>
  <c r="AL277" i="15"/>
  <c r="AL67" i="15"/>
  <c r="AG276" i="15"/>
  <c r="AD45" i="15"/>
  <c r="AM238" i="15"/>
  <c r="AF293" i="15"/>
  <c r="AG35" i="15"/>
  <c r="AD126" i="15"/>
  <c r="AN334" i="15"/>
  <c r="AK330" i="15"/>
  <c r="AM94" i="15"/>
  <c r="AF48" i="15"/>
  <c r="AD53" i="15"/>
  <c r="AF299" i="15"/>
  <c r="AF50" i="15"/>
  <c r="AE50" i="15" s="1"/>
  <c r="AD23" i="15"/>
  <c r="AI77" i="15"/>
  <c r="AM42" i="15"/>
  <c r="AI221" i="15"/>
  <c r="AF254" i="15"/>
  <c r="AM128" i="15"/>
  <c r="AM182" i="15"/>
  <c r="AG292" i="15"/>
  <c r="AD242" i="15"/>
  <c r="AI278" i="15"/>
  <c r="AD298" i="15"/>
  <c r="AF273" i="15"/>
  <c r="AM92" i="15"/>
  <c r="AK121" i="15"/>
  <c r="AJ121" i="15" s="1"/>
  <c r="AI130" i="15"/>
  <c r="AL323" i="15"/>
  <c r="AM81" i="15"/>
  <c r="AF138" i="15"/>
  <c r="AL100" i="15"/>
  <c r="AK74" i="15"/>
  <c r="AD201" i="15"/>
  <c r="AL144" i="15"/>
  <c r="AF193" i="15"/>
  <c r="AF116" i="15"/>
  <c r="AF208" i="15"/>
  <c r="AE208" i="15" s="1"/>
  <c r="AC208" i="15" s="1"/>
  <c r="AD192" i="15"/>
  <c r="AN156" i="15"/>
  <c r="AL249" i="15"/>
  <c r="AD221" i="15"/>
  <c r="AF304" i="15"/>
  <c r="AE304" i="15" s="1"/>
  <c r="AG131" i="15"/>
  <c r="AM317" i="15"/>
  <c r="AN124" i="15"/>
  <c r="AI119" i="15"/>
  <c r="AL82" i="15"/>
  <c r="AM271" i="15"/>
  <c r="AF75" i="15"/>
  <c r="AI100" i="15"/>
  <c r="AK135" i="15"/>
  <c r="AJ135" i="15" s="1"/>
  <c r="AG274" i="15"/>
  <c r="AM167" i="15"/>
  <c r="AN288" i="15"/>
  <c r="AN62" i="15"/>
  <c r="AK147" i="15"/>
  <c r="AJ147" i="15" s="1"/>
  <c r="AN335" i="15"/>
  <c r="AK99" i="15"/>
  <c r="AI179" i="15"/>
  <c r="AI193" i="15"/>
  <c r="AO193" i="15" s="1"/>
  <c r="AN303" i="15"/>
  <c r="AD267" i="15"/>
  <c r="AI280" i="15"/>
  <c r="AN183" i="15"/>
  <c r="AL95" i="15"/>
  <c r="AM149" i="15"/>
  <c r="AF180" i="15"/>
  <c r="AE180" i="15" s="1"/>
  <c r="AM279" i="15"/>
  <c r="AI290" i="15"/>
  <c r="AL309" i="15"/>
  <c r="AL310" i="15"/>
  <c r="AD102" i="15"/>
  <c r="AD70" i="15"/>
  <c r="AN161" i="15"/>
  <c r="AM97" i="15"/>
  <c r="AN83" i="15"/>
  <c r="AL302" i="15"/>
  <c r="AM200" i="15"/>
  <c r="AG282" i="15"/>
  <c r="AM328" i="15"/>
  <c r="AL237" i="15"/>
  <c r="AG336" i="15"/>
  <c r="AL174" i="15"/>
  <c r="AD43" i="15"/>
  <c r="AD165" i="15"/>
  <c r="AK92" i="15"/>
  <c r="AD326" i="15"/>
  <c r="AL202" i="15"/>
  <c r="AG234" i="15"/>
  <c r="AD311" i="15"/>
  <c r="AD322" i="15"/>
  <c r="AM327" i="15"/>
  <c r="AD215" i="15"/>
  <c r="AI161" i="15"/>
  <c r="AD244" i="15"/>
  <c r="AI289" i="15"/>
  <c r="AM109" i="15"/>
  <c r="AG43" i="15"/>
  <c r="AI254" i="15"/>
  <c r="AF281" i="15"/>
  <c r="AM285" i="15"/>
  <c r="AN210" i="15"/>
  <c r="AF199" i="15"/>
  <c r="AF174" i="15"/>
  <c r="AD252" i="15"/>
  <c r="AM71" i="15"/>
  <c r="AK208" i="15"/>
  <c r="AN118" i="15"/>
  <c r="AG54" i="15"/>
  <c r="AI147" i="15"/>
  <c r="AI190" i="15"/>
  <c r="AO190" i="15" s="1"/>
  <c r="AM301" i="15"/>
  <c r="AN311" i="15"/>
  <c r="AM79" i="15"/>
  <c r="AM38" i="15"/>
  <c r="AM290" i="15"/>
  <c r="AG120" i="15"/>
  <c r="AM206" i="15"/>
  <c r="AM99" i="15"/>
  <c r="AF213" i="15"/>
  <c r="AE213" i="15" s="1"/>
  <c r="AC213" i="15" s="1"/>
  <c r="AG69" i="15"/>
  <c r="AM208" i="15"/>
  <c r="AF172" i="15"/>
  <c r="AN122" i="15"/>
  <c r="AD28" i="15"/>
  <c r="AL117" i="15"/>
  <c r="AL261" i="15"/>
  <c r="AM287" i="15"/>
  <c r="AG129" i="15"/>
  <c r="AI33" i="15"/>
  <c r="AD78" i="15"/>
  <c r="AN327" i="15"/>
  <c r="AN119" i="15"/>
  <c r="AI172" i="15"/>
  <c r="AL73" i="15"/>
  <c r="AD54" i="15"/>
  <c r="AI223" i="15"/>
  <c r="AN127" i="15"/>
  <c r="AF217" i="15"/>
  <c r="AG59" i="15"/>
  <c r="AM110" i="15"/>
  <c r="AL137" i="15"/>
  <c r="AF215" i="15"/>
  <c r="AN180" i="15"/>
  <c r="AK83" i="15"/>
  <c r="AL264" i="15"/>
  <c r="AM260" i="15"/>
  <c r="AG114" i="15"/>
  <c r="AK297" i="15"/>
  <c r="AJ297" i="15" s="1"/>
  <c r="AM144" i="15"/>
  <c r="AI132" i="15"/>
  <c r="AG174" i="15"/>
  <c r="AK286" i="15"/>
  <c r="AJ286" i="15" s="1"/>
  <c r="AM300" i="15"/>
  <c r="AI326" i="15"/>
  <c r="AD46" i="15"/>
  <c r="AN279" i="15"/>
  <c r="AN38" i="15"/>
  <c r="AM333" i="15"/>
  <c r="AM269" i="15"/>
  <c r="AK257" i="15"/>
  <c r="AD234" i="15"/>
  <c r="AM239" i="15"/>
  <c r="AF158" i="15"/>
  <c r="AL260" i="15"/>
  <c r="AF77" i="15"/>
  <c r="AE77" i="15" s="1"/>
  <c r="AD237" i="15"/>
  <c r="AD246" i="15"/>
  <c r="AD285" i="15"/>
  <c r="AK76" i="15"/>
  <c r="AJ76" i="15" s="1"/>
  <c r="AM243" i="15"/>
  <c r="AI314" i="15"/>
  <c r="AK88" i="15"/>
  <c r="AJ88" i="15" s="1"/>
  <c r="AD160" i="15"/>
  <c r="AL265" i="15"/>
  <c r="AG324" i="15"/>
  <c r="AF286" i="15"/>
  <c r="AN27" i="15"/>
  <c r="AM278" i="15"/>
  <c r="AD68" i="15"/>
  <c r="AL125" i="15"/>
  <c r="AM76" i="15"/>
  <c r="AL47" i="15"/>
  <c r="AK306" i="15"/>
  <c r="AD129" i="15"/>
  <c r="AF171" i="15"/>
  <c r="AE171" i="15" s="1"/>
  <c r="AM115" i="15"/>
  <c r="AK93" i="15"/>
  <c r="AG220" i="15"/>
  <c r="AG173" i="15"/>
  <c r="AL228" i="15"/>
  <c r="AN143" i="15"/>
  <c r="AD106" i="15"/>
  <c r="AL130" i="15"/>
  <c r="AG183" i="15"/>
  <c r="AD92" i="15"/>
  <c r="AF332" i="15"/>
  <c r="AG311" i="15"/>
  <c r="AF268" i="15"/>
  <c r="AD61" i="15"/>
  <c r="AF80" i="15"/>
  <c r="AF246" i="15"/>
  <c r="AM219" i="15"/>
  <c r="AM199" i="15"/>
  <c r="AN103" i="15"/>
  <c r="AD30" i="15"/>
  <c r="AL325" i="15"/>
  <c r="AI124" i="15"/>
  <c r="AO124" i="15" s="1"/>
  <c r="AG288" i="15"/>
  <c r="AN246" i="15"/>
  <c r="AF52" i="15"/>
  <c r="AE52" i="15" s="1"/>
  <c r="AL333" i="15"/>
  <c r="AF330" i="15"/>
  <c r="AD334" i="15"/>
  <c r="AD230" i="15"/>
  <c r="AD112" i="15"/>
  <c r="AK36" i="15"/>
  <c r="AD268" i="15"/>
  <c r="AN296" i="15"/>
  <c r="AG24" i="15"/>
  <c r="AN310" i="15"/>
  <c r="AG294" i="15"/>
  <c r="AF72" i="15"/>
  <c r="AE72" i="15" s="1"/>
  <c r="AL60" i="15"/>
  <c r="AG105" i="15"/>
  <c r="AG261" i="15"/>
  <c r="AI303" i="15"/>
  <c r="AF136" i="15"/>
  <c r="AE136" i="15" s="1"/>
  <c r="AM252" i="15"/>
  <c r="AF240" i="15"/>
  <c r="AN111" i="15"/>
  <c r="AG265" i="15"/>
  <c r="AF147" i="15"/>
  <c r="AE147" i="15" s="1"/>
  <c r="AF110" i="15"/>
  <c r="AE110" i="15" s="1"/>
  <c r="AC110" i="15" s="1"/>
  <c r="AK171" i="15"/>
  <c r="AJ171" i="15" s="1"/>
  <c r="AF295" i="15"/>
  <c r="AN248" i="15"/>
  <c r="AI323" i="15"/>
  <c r="AG85" i="15"/>
  <c r="AM198" i="15"/>
  <c r="AM82" i="15"/>
  <c r="AD107" i="15"/>
  <c r="AL113" i="15"/>
  <c r="AN185" i="15"/>
  <c r="AI201" i="15"/>
  <c r="AO201" i="15" s="1"/>
  <c r="AD228" i="15"/>
  <c r="AL150" i="15"/>
  <c r="AF25" i="15"/>
  <c r="AE25" i="15" s="1"/>
  <c r="AF325" i="15"/>
  <c r="AF122" i="15"/>
  <c r="AE122" i="15" s="1"/>
  <c r="AC122" i="15" s="1"/>
  <c r="AI228" i="15"/>
  <c r="AM276" i="15"/>
  <c r="AI67" i="15"/>
  <c r="AF283" i="15"/>
  <c r="AD270" i="15"/>
  <c r="AF328" i="15"/>
  <c r="AM272" i="15"/>
  <c r="AM159" i="15"/>
  <c r="AK227" i="15"/>
  <c r="AI133" i="15"/>
  <c r="AK57" i="15"/>
  <c r="AG89" i="15"/>
  <c r="AF97" i="15"/>
  <c r="AN243" i="15"/>
  <c r="AN42" i="15"/>
  <c r="AD131" i="15"/>
  <c r="AI180" i="15"/>
  <c r="AF190" i="15"/>
  <c r="AE190" i="15" s="1"/>
  <c r="AC190" i="15" s="1"/>
  <c r="AL62" i="15"/>
  <c r="AD38" i="15"/>
  <c r="AF247" i="15"/>
  <c r="AE247" i="15" s="1"/>
  <c r="AC247" i="15" s="1"/>
  <c r="AD97" i="15"/>
  <c r="AM180" i="15"/>
  <c r="AG162" i="15"/>
  <c r="AI259" i="15"/>
  <c r="AN101" i="15"/>
  <c r="AL41" i="15"/>
  <c r="AG191" i="15"/>
  <c r="AN167" i="15"/>
  <c r="AL143" i="15"/>
  <c r="AD273" i="15"/>
  <c r="AD89" i="15"/>
  <c r="AD183" i="15"/>
  <c r="AD115" i="15"/>
  <c r="AM27" i="15"/>
  <c r="AK327" i="15"/>
  <c r="AJ327" i="15" s="1"/>
  <c r="AD133" i="15"/>
  <c r="AG80" i="15"/>
  <c r="AG157" i="15"/>
  <c r="AN80" i="15"/>
  <c r="AG140" i="15"/>
  <c r="AN154" i="15"/>
  <c r="AN283" i="15"/>
  <c r="AF329" i="15"/>
  <c r="AI248" i="15"/>
  <c r="AI59" i="15"/>
  <c r="AO59" i="15" s="1"/>
  <c r="AN282" i="15"/>
  <c r="AK27" i="15"/>
  <c r="AJ27" i="15" s="1"/>
  <c r="AF61" i="15"/>
  <c r="AE61" i="15" s="1"/>
  <c r="AF194" i="15"/>
  <c r="AD142" i="15"/>
  <c r="AF67" i="15"/>
  <c r="AK73" i="15"/>
  <c r="AJ73" i="15" s="1"/>
  <c r="AL158" i="15"/>
  <c r="AD75" i="15"/>
  <c r="AD329" i="15"/>
  <c r="AK203" i="15"/>
  <c r="AD301" i="15"/>
  <c r="AG315" i="15"/>
  <c r="AI298" i="15"/>
  <c r="AK216" i="15"/>
  <c r="AG272" i="15"/>
  <c r="AD161" i="15"/>
  <c r="AD186" i="15"/>
  <c r="AM223" i="15"/>
  <c r="AN170" i="15"/>
  <c r="AK39" i="15"/>
  <c r="AL48" i="15"/>
  <c r="AD195" i="15"/>
  <c r="AN189" i="15"/>
  <c r="AL53" i="15"/>
  <c r="AM323" i="15"/>
  <c r="AD259" i="15"/>
  <c r="AF324" i="15"/>
  <c r="AD155" i="15"/>
  <c r="AG91" i="15"/>
  <c r="AG269" i="15"/>
  <c r="AG303" i="15"/>
  <c r="AG286" i="15"/>
  <c r="AF260" i="15"/>
  <c r="AG246" i="15"/>
  <c r="AN324" i="15"/>
  <c r="AL104" i="15"/>
  <c r="AG320" i="15"/>
  <c r="AK311" i="15"/>
  <c r="AK292" i="15"/>
  <c r="AJ292" i="15" s="1"/>
  <c r="AN269" i="15"/>
  <c r="AF250" i="15"/>
  <c r="AG321" i="15"/>
  <c r="AD254" i="15"/>
  <c r="AD250" i="15"/>
  <c r="AI198" i="15"/>
  <c r="AO198" i="15" s="1"/>
  <c r="AD136" i="15"/>
  <c r="AC136" i="15" s="1"/>
  <c r="AK258" i="15"/>
  <c r="AJ258" i="15" s="1"/>
  <c r="AI241" i="15"/>
  <c r="AI306" i="15"/>
  <c r="AN152" i="15"/>
  <c r="AD84" i="15"/>
  <c r="AG223" i="15"/>
  <c r="AK63" i="15"/>
  <c r="AJ63" i="15" s="1"/>
  <c r="AL50" i="15"/>
  <c r="AF267" i="15"/>
  <c r="AL268" i="15"/>
  <c r="AI268" i="15"/>
  <c r="AG244" i="15"/>
  <c r="AI331" i="15"/>
  <c r="AD44" i="15"/>
  <c r="AG309" i="15"/>
  <c r="AL126" i="15"/>
  <c r="AJ126" i="15" s="1"/>
  <c r="AN251" i="15"/>
  <c r="AD206" i="15"/>
  <c r="AF271" i="15"/>
  <c r="AF334" i="15"/>
  <c r="AD79" i="15"/>
  <c r="AG225" i="15"/>
  <c r="AM152" i="15"/>
  <c r="AN329" i="15"/>
  <c r="AM36" i="15"/>
  <c r="AL216" i="15"/>
  <c r="AN57" i="15"/>
  <c r="AG297" i="15"/>
  <c r="AI187" i="15"/>
  <c r="AO187" i="15" s="1"/>
  <c r="AN55" i="15"/>
  <c r="AG27" i="15"/>
  <c r="AM207" i="15"/>
  <c r="AK141" i="15"/>
  <c r="AF98" i="15"/>
  <c r="AE98" i="15" s="1"/>
  <c r="AN75" i="15"/>
  <c r="AF282" i="15"/>
  <c r="AE282" i="15" s="1"/>
  <c r="AG155" i="15"/>
  <c r="AL305" i="15"/>
  <c r="AK268" i="15"/>
  <c r="AJ268" i="15" s="1"/>
  <c r="AN238" i="15"/>
  <c r="AI234" i="15"/>
  <c r="AK245" i="15"/>
  <c r="AK264" i="15"/>
  <c r="AJ264" i="15" s="1"/>
  <c r="AN198" i="15"/>
  <c r="AN262" i="15"/>
  <c r="AG142" i="15"/>
  <c r="AG23" i="15"/>
  <c r="AN145" i="15"/>
  <c r="AL127" i="15"/>
  <c r="AI267" i="15"/>
  <c r="AO267" i="15" s="1"/>
  <c r="AM29" i="15"/>
  <c r="AL115" i="15"/>
  <c r="AM78" i="15"/>
  <c r="AI182" i="15"/>
  <c r="AK206" i="15"/>
  <c r="AK122" i="15"/>
  <c r="AJ122" i="15" s="1"/>
  <c r="AP122" i="15" s="1"/>
  <c r="AI44" i="15"/>
  <c r="AF297" i="15"/>
  <c r="AI257" i="15"/>
  <c r="AD50" i="15"/>
  <c r="AF288" i="15"/>
  <c r="AE288" i="15" s="1"/>
  <c r="AG139" i="15"/>
  <c r="AF125" i="15"/>
  <c r="AD253" i="15"/>
  <c r="AL294" i="15"/>
  <c r="AD113" i="15"/>
  <c r="AF154" i="15"/>
  <c r="AE154" i="15" s="1"/>
  <c r="AM178" i="15"/>
  <c r="AK160" i="15"/>
  <c r="AL256" i="15"/>
  <c r="AF187" i="15"/>
  <c r="AE187" i="15" s="1"/>
  <c r="AC187" i="15" s="1"/>
  <c r="AG33" i="15"/>
  <c r="AL46" i="15"/>
  <c r="AG64" i="15"/>
  <c r="AF239" i="15"/>
  <c r="AF81" i="15"/>
  <c r="AI94" i="15"/>
  <c r="AM196" i="15"/>
  <c r="AD132" i="15"/>
  <c r="AN267" i="15"/>
  <c r="AM122" i="15"/>
  <c r="AD87" i="15"/>
  <c r="AD69" i="15"/>
  <c r="AN90" i="15"/>
  <c r="AD280" i="15"/>
  <c r="AK81" i="15"/>
  <c r="AM256" i="15"/>
  <c r="AN187" i="15"/>
  <c r="AG224" i="15"/>
  <c r="AD99" i="15"/>
  <c r="AN240" i="15"/>
  <c r="AF189" i="15"/>
  <c r="AF302" i="15"/>
  <c r="AI325" i="15"/>
  <c r="AO325" i="15" s="1"/>
  <c r="AL291" i="15"/>
  <c r="AL227" i="15"/>
  <c r="AF313" i="15"/>
  <c r="AG241" i="15"/>
  <c r="AK172" i="15"/>
  <c r="AF24" i="15"/>
  <c r="AE24" i="15" s="1"/>
  <c r="AM173" i="15"/>
  <c r="AD314" i="15"/>
  <c r="AG245" i="15"/>
  <c r="AD182" i="15"/>
  <c r="AI62" i="15"/>
  <c r="AO62" i="15" s="1"/>
  <c r="AD231" i="15"/>
  <c r="AI204" i="15"/>
  <c r="AK290" i="15"/>
  <c r="AN281" i="15"/>
  <c r="AK60" i="15"/>
  <c r="AN48" i="15"/>
  <c r="AI273" i="15"/>
  <c r="AO273" i="15" s="1"/>
  <c r="AF145" i="15"/>
  <c r="AE145" i="15" s="1"/>
  <c r="AC145" i="15" s="1"/>
  <c r="AD269" i="15"/>
  <c r="AD199" i="15"/>
  <c r="AM87" i="15"/>
  <c r="AM188" i="15"/>
  <c r="AF79" i="15"/>
  <c r="AE79" i="15" s="1"/>
  <c r="AC79" i="15" s="1"/>
  <c r="AM212" i="15"/>
  <c r="AD56" i="15"/>
  <c r="AG218" i="15"/>
  <c r="AI107" i="15"/>
  <c r="AO107" i="15" s="1"/>
  <c r="AK224" i="15"/>
  <c r="AL238" i="15"/>
  <c r="AD261" i="15"/>
  <c r="AF195" i="15"/>
  <c r="AE195" i="15" s="1"/>
  <c r="AC195" i="15" s="1"/>
  <c r="AD251" i="15"/>
  <c r="AN308" i="15"/>
  <c r="AM306" i="15"/>
  <c r="AF244" i="15"/>
  <c r="AK230" i="15"/>
  <c r="AJ230" i="15" s="1"/>
  <c r="AK47" i="15"/>
  <c r="AJ47" i="15" s="1"/>
  <c r="AD306" i="15"/>
  <c r="AM141" i="15"/>
  <c r="AD281" i="15"/>
  <c r="AK80" i="15"/>
  <c r="AJ80" i="15" s="1"/>
  <c r="AD58" i="15"/>
  <c r="AD283" i="15"/>
  <c r="AD248" i="15"/>
  <c r="AI270" i="15"/>
  <c r="AO270" i="15" s="1"/>
  <c r="AI88" i="15"/>
  <c r="AM222" i="15"/>
  <c r="AL156" i="15"/>
  <c r="AK212" i="15"/>
  <c r="AF248" i="15"/>
  <c r="AM326" i="15"/>
  <c r="AM143" i="15"/>
  <c r="AF119" i="15"/>
  <c r="AD169" i="15"/>
  <c r="AF162" i="15"/>
  <c r="AE162" i="15" s="1"/>
  <c r="AC162" i="15" s="1"/>
  <c r="AF165" i="15"/>
  <c r="AF223" i="15"/>
  <c r="AE223" i="15" s="1"/>
  <c r="AC223" i="15" s="1"/>
  <c r="AD262" i="15"/>
  <c r="AF117" i="15"/>
  <c r="AD163" i="15"/>
  <c r="AN23" i="15"/>
  <c r="AF167" i="15"/>
  <c r="AK169" i="15"/>
  <c r="AJ169" i="15" s="1"/>
  <c r="AF159" i="15"/>
  <c r="AD167" i="15"/>
  <c r="AK120" i="15"/>
  <c r="AJ120" i="15" s="1"/>
  <c r="AK316" i="15"/>
  <c r="AJ316" i="15" s="1"/>
  <c r="AD323" i="15"/>
  <c r="AK302" i="15"/>
  <c r="AJ302" i="15" s="1"/>
  <c r="AD233" i="15"/>
  <c r="AN52" i="15"/>
  <c r="AF331" i="15"/>
  <c r="AG255" i="15"/>
  <c r="AM262" i="15"/>
  <c r="AG287" i="15"/>
  <c r="AK254" i="15"/>
  <c r="AK43" i="15"/>
  <c r="AN278" i="15"/>
  <c r="AI48" i="15"/>
  <c r="AO48" i="15" s="1"/>
  <c r="AF276" i="15"/>
  <c r="AE276" i="15" s="1"/>
  <c r="AF294" i="15"/>
  <c r="AE294" i="15" s="1"/>
  <c r="AN239" i="15"/>
  <c r="AK279" i="15"/>
  <c r="AF65" i="15"/>
  <c r="AE65" i="15" s="1"/>
  <c r="AI206" i="15"/>
  <c r="AO206" i="15" s="1"/>
  <c r="AL267" i="15"/>
  <c r="AL253" i="15"/>
  <c r="AM331" i="15"/>
  <c r="AG56" i="15"/>
  <c r="AD264" i="15"/>
  <c r="AM296" i="15"/>
  <c r="AI332" i="15"/>
  <c r="AD296" i="15"/>
  <c r="AL326" i="15"/>
  <c r="AJ326" i="15" s="1"/>
  <c r="AL235" i="15"/>
  <c r="AG330" i="15"/>
  <c r="AM284" i="15"/>
  <c r="AF37" i="15"/>
  <c r="AE37" i="15" s="1"/>
  <c r="AM101" i="15"/>
  <c r="AM211" i="15"/>
  <c r="AI209" i="15"/>
  <c r="AM205" i="15"/>
  <c r="AD328" i="15"/>
  <c r="AI185" i="15"/>
  <c r="AO185" i="15" s="1"/>
  <c r="AD287" i="15"/>
  <c r="AN141" i="15"/>
  <c r="AD77" i="15"/>
  <c r="AG189" i="15"/>
  <c r="AK95" i="15"/>
  <c r="AJ95" i="15" s="1"/>
  <c r="AG215" i="15"/>
  <c r="AG184" i="15"/>
  <c r="AF84" i="15"/>
  <c r="AE84" i="15" s="1"/>
  <c r="AD307" i="15"/>
  <c r="AK240" i="15"/>
  <c r="AJ240" i="15" s="1"/>
  <c r="AM261" i="15"/>
  <c r="AF137" i="15"/>
  <c r="AK194" i="15"/>
  <c r="AD313" i="15"/>
  <c r="AN134" i="15"/>
  <c r="AG299" i="15"/>
  <c r="AD214" i="15"/>
  <c r="AN306" i="15"/>
  <c r="AD121" i="15"/>
  <c r="AL179" i="15"/>
  <c r="AM213" i="15"/>
  <c r="AL290" i="15"/>
  <c r="AF70" i="15"/>
  <c r="AE70" i="15" s="1"/>
  <c r="AC70" i="15" s="1"/>
  <c r="AN245" i="15"/>
  <c r="AI60" i="15"/>
  <c r="AO60" i="15" s="1"/>
  <c r="AF279" i="15"/>
  <c r="AN318" i="15"/>
  <c r="AM119" i="15"/>
  <c r="AN68" i="15"/>
  <c r="AD212" i="15"/>
  <c r="AL32" i="15"/>
  <c r="AF139" i="15"/>
  <c r="AM57" i="15"/>
  <c r="AG86" i="15"/>
  <c r="AI117" i="15"/>
  <c r="AF113" i="15"/>
  <c r="AE113" i="15" s="1"/>
  <c r="AC113" i="15" s="1"/>
  <c r="AM41" i="15"/>
  <c r="AM96" i="15"/>
  <c r="AG99" i="15"/>
  <c r="AD114" i="15"/>
  <c r="AK38" i="15"/>
  <c r="AJ38" i="15" s="1"/>
  <c r="AM68" i="15"/>
  <c r="AN139" i="15"/>
  <c r="AL281" i="15"/>
  <c r="AN211" i="15"/>
  <c r="AG289" i="15"/>
  <c r="AM320" i="15"/>
  <c r="AL81" i="15"/>
  <c r="AL57" i="15"/>
  <c r="AM322" i="15"/>
  <c r="AM60" i="15"/>
  <c r="AF183" i="15"/>
  <c r="AE183" i="15" s="1"/>
  <c r="AC183" i="15" s="1"/>
  <c r="AF203" i="15"/>
  <c r="AE203" i="15" s="1"/>
  <c r="AL83" i="15"/>
  <c r="AF91" i="15"/>
  <c r="AE91" i="15" s="1"/>
  <c r="AC91" i="15" s="1"/>
  <c r="AG177" i="15"/>
  <c r="AG58" i="15"/>
  <c r="AF179" i="15"/>
  <c r="AN24" i="15"/>
  <c r="AI220" i="15"/>
  <c r="AG108" i="15"/>
  <c r="AF272" i="15"/>
  <c r="AG198" i="15"/>
  <c r="AI74" i="15"/>
  <c r="AO74" i="15" s="1"/>
  <c r="AN321" i="15"/>
  <c r="AG233" i="15"/>
  <c r="AI312" i="15"/>
  <c r="AD151" i="15"/>
  <c r="AI294" i="15"/>
  <c r="AF251" i="15"/>
  <c r="AK248" i="15"/>
  <c r="AK233" i="15"/>
  <c r="AD119" i="15"/>
  <c r="AI173" i="15"/>
  <c r="AO173" i="15" s="1"/>
  <c r="AG112" i="15"/>
  <c r="AD321" i="15"/>
  <c r="AM133" i="15"/>
  <c r="AD159" i="15"/>
  <c r="AK187" i="15"/>
  <c r="AD191" i="15"/>
  <c r="AF245" i="15"/>
  <c r="AD41" i="15"/>
  <c r="AM311" i="15"/>
  <c r="AL213" i="15"/>
  <c r="AD226" i="15"/>
  <c r="AG107" i="15"/>
  <c r="AF114" i="15"/>
  <c r="AE114" i="15" s="1"/>
  <c r="AI116" i="15"/>
  <c r="AM217" i="15"/>
  <c r="AF232" i="15"/>
  <c r="AD156" i="15"/>
  <c r="AD140" i="15"/>
  <c r="AF262" i="15"/>
  <c r="AF164" i="15"/>
  <c r="AE164" i="15" s="1"/>
  <c r="AC164" i="15" s="1"/>
  <c r="AG232" i="15"/>
  <c r="AG275" i="15"/>
  <c r="AK52" i="15"/>
  <c r="AJ52" i="15" s="1"/>
  <c r="AP52" i="15" s="1"/>
  <c r="AF66" i="15"/>
  <c r="AE66" i="15" s="1"/>
  <c r="AD194" i="15"/>
  <c r="AN271" i="15"/>
  <c r="AF204" i="15"/>
  <c r="AG41" i="15"/>
  <c r="AF170" i="15"/>
  <c r="AE170" i="15" s="1"/>
  <c r="AK55" i="15"/>
  <c r="AJ55" i="15" s="1"/>
  <c r="AI89" i="15"/>
  <c r="AO89" i="15" s="1"/>
  <c r="AD29" i="15"/>
  <c r="AK142" i="15"/>
  <c r="AJ142" i="15" s="1"/>
  <c r="AF300" i="15"/>
  <c r="AE300" i="15" s="1"/>
  <c r="AI97" i="15"/>
  <c r="AM112" i="15"/>
  <c r="AI281" i="15"/>
  <c r="AO281" i="15" s="1"/>
  <c r="AG152" i="15"/>
  <c r="AL187" i="15"/>
  <c r="AF49" i="15"/>
  <c r="AE49" i="15" s="1"/>
  <c r="AC49" i="15" s="1"/>
  <c r="AG55" i="15"/>
  <c r="AL257" i="15"/>
  <c r="AG96" i="15"/>
  <c r="AG128" i="15"/>
  <c r="AF303" i="15"/>
  <c r="AD40" i="15"/>
  <c r="AI78" i="15"/>
  <c r="AO78" i="15" s="1"/>
  <c r="AN43" i="15"/>
  <c r="AM75" i="15"/>
  <c r="AF192" i="15"/>
  <c r="AF255" i="15"/>
  <c r="AG175" i="15"/>
  <c r="AF155" i="15"/>
  <c r="AE155" i="15" s="1"/>
  <c r="AC155" i="15" s="1"/>
  <c r="AD146" i="15"/>
  <c r="AK104" i="15"/>
  <c r="AJ104" i="15" s="1"/>
  <c r="AP104" i="15" s="1"/>
  <c r="AG57" i="15"/>
  <c r="AN201" i="15"/>
  <c r="AL218" i="15"/>
  <c r="AM244" i="15"/>
  <c r="AL141" i="15"/>
  <c r="AL234" i="15"/>
  <c r="AL241" i="15"/>
  <c r="AF212" i="15"/>
  <c r="AE212" i="15" s="1"/>
  <c r="AC212" i="15" s="1"/>
  <c r="AG143" i="15"/>
  <c r="AM51" i="15"/>
  <c r="AG82" i="15"/>
  <c r="AI283" i="15"/>
  <c r="AO283" i="15" s="1"/>
  <c r="AN174" i="15"/>
  <c r="AM67" i="15"/>
  <c r="AF285" i="15"/>
  <c r="AL92" i="15"/>
  <c r="AL101" i="15"/>
  <c r="AD180" i="15"/>
  <c r="AK94" i="15"/>
  <c r="AF234" i="15"/>
  <c r="AE234" i="15" s="1"/>
  <c r="AC234" i="15" s="1"/>
  <c r="AD291" i="15"/>
  <c r="AD137" i="15"/>
  <c r="AN272" i="15"/>
  <c r="AM302" i="15"/>
  <c r="AD103" i="15"/>
  <c r="AD35" i="15"/>
  <c r="AD27" i="15"/>
  <c r="AM230" i="15"/>
  <c r="AM132" i="15"/>
  <c r="AG264" i="15"/>
  <c r="AM46" i="15"/>
  <c r="AG316" i="15"/>
  <c r="AI305" i="15"/>
  <c r="AG178" i="15"/>
  <c r="AM176" i="15"/>
  <c r="AL93" i="15"/>
  <c r="AK170" i="15"/>
  <c r="AM171" i="15"/>
  <c r="AD172" i="15"/>
  <c r="AK287" i="15"/>
  <c r="AJ287" i="15" s="1"/>
  <c r="AM330" i="15"/>
  <c r="AI333" i="15"/>
  <c r="AM45" i="15"/>
  <c r="AD141" i="15"/>
  <c r="AK255" i="15"/>
  <c r="AN105" i="15"/>
  <c r="AN176" i="15"/>
  <c r="AI58" i="15"/>
  <c r="AD170" i="15"/>
  <c r="AI197" i="15"/>
  <c r="AO197" i="15" s="1"/>
  <c r="AF60" i="15"/>
  <c r="AF257" i="15"/>
  <c r="AG188" i="15"/>
  <c r="AM105" i="15"/>
  <c r="AL97" i="15"/>
  <c r="AF63" i="15"/>
  <c r="AE63" i="15" s="1"/>
  <c r="AD95" i="15"/>
  <c r="AG92" i="15"/>
  <c r="AM35" i="15"/>
  <c r="AM248" i="15"/>
  <c r="AD293" i="15"/>
  <c r="AG28" i="15"/>
  <c r="AI95" i="15"/>
  <c r="AD116" i="15"/>
  <c r="AD189" i="15"/>
  <c r="AM242" i="15"/>
  <c r="AM249" i="15"/>
  <c r="AN257" i="15"/>
  <c r="AL161" i="15"/>
  <c r="AD305" i="15"/>
  <c r="AF157" i="15"/>
  <c r="AE157" i="15" s="1"/>
  <c r="AK275" i="15"/>
  <c r="AN50" i="15"/>
  <c r="AF226" i="15"/>
  <c r="AD288" i="15"/>
  <c r="AF236" i="15"/>
  <c r="AK283" i="15"/>
  <c r="AG176" i="15"/>
  <c r="AF317" i="15"/>
  <c r="AI191" i="15"/>
  <c r="AN264" i="15"/>
  <c r="AI212" i="15"/>
  <c r="AI217" i="15"/>
  <c r="AO217" i="15" s="1"/>
  <c r="AI170" i="15"/>
  <c r="AM50" i="15"/>
  <c r="AF274" i="15"/>
  <c r="AE274" i="15" s="1"/>
  <c r="AD276" i="15"/>
  <c r="AD71" i="15"/>
  <c r="AD333" i="15"/>
  <c r="AG138" i="15"/>
  <c r="AL215" i="15"/>
  <c r="AL208" i="15"/>
  <c r="AN286" i="15"/>
  <c r="AN168" i="15"/>
  <c r="AI256" i="15"/>
  <c r="AG149" i="15"/>
  <c r="AD81" i="15"/>
  <c r="AM151" i="15"/>
  <c r="AM88" i="15"/>
  <c r="AI258" i="15"/>
  <c r="AG283" i="15"/>
  <c r="AM64" i="15"/>
  <c r="AF33" i="15"/>
  <c r="AE33" i="15" s="1"/>
  <c r="AL118" i="15"/>
  <c r="AM216" i="15"/>
  <c r="AF142" i="15"/>
  <c r="AE142" i="15" s="1"/>
  <c r="AC142" i="15" s="1"/>
  <c r="AG310" i="15"/>
  <c r="AM129" i="15"/>
  <c r="AF280" i="15"/>
  <c r="AN261" i="15"/>
  <c r="AM85" i="15"/>
  <c r="AL136" i="15"/>
  <c r="AG42" i="15"/>
  <c r="AL74" i="15"/>
  <c r="AI154" i="15"/>
  <c r="AD157" i="15"/>
  <c r="AF87" i="15"/>
  <c r="AF290" i="15"/>
  <c r="AF130" i="15"/>
  <c r="AD94" i="15"/>
  <c r="AD80" i="15"/>
  <c r="AK331" i="15"/>
  <c r="AM251" i="15"/>
  <c r="AM25" i="15"/>
  <c r="AM91" i="15"/>
  <c r="AL262" i="15"/>
  <c r="AG267" i="15"/>
  <c r="AK34" i="15"/>
  <c r="AD143" i="15"/>
  <c r="AD178" i="15"/>
  <c r="AF211" i="15"/>
  <c r="AE211" i="15" s="1"/>
  <c r="AN227" i="15"/>
  <c r="AG30" i="15"/>
  <c r="AG226" i="15"/>
  <c r="AM319" i="15"/>
  <c r="AI83" i="15"/>
  <c r="AN31" i="15"/>
  <c r="AG125" i="15"/>
  <c r="AG97" i="15"/>
  <c r="AG329" i="15"/>
  <c r="AG101" i="15"/>
  <c r="AD117" i="15"/>
  <c r="AI75" i="15"/>
  <c r="AO75" i="15" s="1"/>
  <c r="AD275" i="15"/>
  <c r="AI246" i="15"/>
  <c r="AO246" i="15" s="1"/>
  <c r="AN247" i="15"/>
  <c r="AL242" i="15"/>
  <c r="AI165" i="15"/>
  <c r="AO165" i="15" s="1"/>
  <c r="AN275" i="15"/>
  <c r="AM253" i="15"/>
  <c r="AF243" i="15"/>
  <c r="AE243" i="15" s="1"/>
  <c r="AI320" i="15"/>
  <c r="AK267" i="15"/>
  <c r="AD271" i="15"/>
  <c r="AL318" i="15"/>
  <c r="AD315" i="15"/>
  <c r="AG273" i="15"/>
  <c r="AF83" i="15"/>
  <c r="AE83" i="15" s="1"/>
  <c r="AN236" i="15"/>
  <c r="AM318" i="15"/>
  <c r="AL324" i="15"/>
  <c r="AG240" i="15"/>
  <c r="AD24" i="15"/>
  <c r="AD211" i="15"/>
  <c r="AF252" i="15"/>
  <c r="AD318" i="15"/>
  <c r="AG334" i="15"/>
  <c r="AM325" i="15"/>
  <c r="AK272" i="15"/>
  <c r="AJ272" i="15" s="1"/>
  <c r="AI309" i="15"/>
  <c r="AF241" i="15"/>
  <c r="AE241" i="15" s="1"/>
  <c r="AM156" i="15"/>
  <c r="AM59" i="15"/>
  <c r="AG318" i="15"/>
  <c r="AD73" i="15"/>
  <c r="AI96" i="15"/>
  <c r="AO96" i="15" s="1"/>
  <c r="AD153" i="15"/>
  <c r="AL36" i="15"/>
  <c r="AD179" i="15"/>
  <c r="AM292" i="15"/>
  <c r="AD39" i="15"/>
  <c r="AM83" i="15"/>
  <c r="AL311" i="15"/>
  <c r="AD123" i="15"/>
  <c r="AL79" i="15"/>
  <c r="AG205" i="15"/>
  <c r="AG106" i="15"/>
  <c r="AN37" i="15"/>
  <c r="AD286" i="15"/>
  <c r="AK127" i="15"/>
  <c r="AM308" i="15"/>
  <c r="AI263" i="15"/>
  <c r="AL39" i="15"/>
  <c r="AD207" i="15"/>
  <c r="AN157" i="15"/>
  <c r="AF53" i="15"/>
  <c r="AF109" i="15"/>
  <c r="AD316" i="15"/>
  <c r="AM136" i="15"/>
  <c r="AF316" i="15"/>
  <c r="AE316" i="15" s="1"/>
  <c r="AF56" i="15"/>
  <c r="AE56" i="15" s="1"/>
  <c r="AC56" i="15" s="1"/>
  <c r="AD289" i="15"/>
  <c r="AL306" i="15"/>
  <c r="AM240" i="15"/>
  <c r="AG260" i="15"/>
  <c r="AG29" i="15"/>
  <c r="AF31" i="15"/>
  <c r="AK250" i="15"/>
  <c r="AL279" i="15"/>
  <c r="AN292" i="15"/>
  <c r="AD258" i="15"/>
  <c r="AI293" i="15"/>
  <c r="AK234" i="15"/>
  <c r="AJ234" i="15" s="1"/>
  <c r="AP234" i="15" s="1"/>
  <c r="AF166" i="15"/>
  <c r="AE166" i="15" s="1"/>
  <c r="AC166" i="15" s="1"/>
  <c r="AI200" i="15"/>
  <c r="AM90" i="15"/>
  <c r="AD90" i="15"/>
  <c r="AF144" i="15"/>
  <c r="AN273" i="15"/>
  <c r="AD327" i="15"/>
  <c r="AK215" i="15"/>
  <c r="AG258" i="15"/>
  <c r="AN268" i="15"/>
  <c r="AM190" i="15"/>
  <c r="AG48" i="15"/>
  <c r="AI214" i="15"/>
  <c r="AM197" i="15"/>
  <c r="AD278" i="15"/>
  <c r="AL183" i="15"/>
  <c r="AN49" i="15"/>
  <c r="AM80" i="15"/>
  <c r="AD320" i="15"/>
  <c r="AL233" i="15"/>
  <c r="AN274" i="15"/>
  <c r="AM118" i="15"/>
  <c r="AN316" i="15"/>
  <c r="AN59" i="15"/>
  <c r="AI284" i="15"/>
  <c r="AG168" i="15"/>
  <c r="AD200" i="15"/>
  <c r="AF90" i="15"/>
  <c r="AE90" i="15" s="1"/>
  <c r="AC90" i="15" s="1"/>
  <c r="AL284" i="15"/>
  <c r="AF27" i="15"/>
  <c r="AE27" i="15" s="1"/>
  <c r="AC27" i="15" s="1"/>
  <c r="AL224" i="15"/>
  <c r="AD279" i="15"/>
  <c r="AL175" i="15"/>
  <c r="AG238" i="15"/>
  <c r="AK45" i="15"/>
  <c r="AK324" i="15"/>
  <c r="AJ324" i="15" s="1"/>
  <c r="AD36" i="15"/>
  <c r="AK65" i="15"/>
  <c r="AJ65" i="15" s="1"/>
  <c r="AF85" i="15"/>
  <c r="AE85" i="15" s="1"/>
  <c r="AM305" i="15"/>
  <c r="AG301" i="15"/>
  <c r="AF32" i="15"/>
  <c r="AG332" i="15"/>
  <c r="AM121" i="15"/>
  <c r="AI232" i="15"/>
  <c r="AO232" i="15" s="1"/>
  <c r="AG132" i="15"/>
  <c r="AG290" i="15"/>
  <c r="AD222" i="15"/>
  <c r="AN153" i="15"/>
  <c r="AN29" i="15"/>
  <c r="AM228" i="15"/>
  <c r="AN77" i="15"/>
  <c r="AI24" i="15"/>
  <c r="AO24" i="15" s="1"/>
  <c r="AD239" i="15"/>
  <c r="AN203" i="15"/>
  <c r="AK143" i="15"/>
  <c r="AD31" i="15"/>
  <c r="AM241" i="15"/>
  <c r="AN71" i="15"/>
  <c r="AM280" i="15"/>
  <c r="AL75" i="15"/>
  <c r="AM169" i="15"/>
  <c r="AG100" i="15"/>
  <c r="AK293" i="15"/>
  <c r="AM255" i="15"/>
  <c r="AD255" i="15"/>
  <c r="AG197" i="15"/>
  <c r="AD209" i="15"/>
  <c r="AD210" i="15"/>
  <c r="AN40" i="15"/>
  <c r="AL293" i="15"/>
  <c r="AI68" i="15"/>
  <c r="AO68" i="15" s="1"/>
  <c r="AN63" i="15"/>
  <c r="AI106" i="15"/>
  <c r="AO106" i="15" s="1"/>
  <c r="AG167" i="15"/>
  <c r="AN226" i="15"/>
  <c r="AK51" i="15"/>
  <c r="AJ51" i="15" s="1"/>
  <c r="AP51" i="15" s="1"/>
  <c r="AI121" i="15"/>
  <c r="AO121" i="15" s="1"/>
  <c r="AM321" i="15"/>
  <c r="AD265" i="15"/>
  <c r="AK314" i="15"/>
  <c r="AJ314" i="15" s="1"/>
  <c r="AN331" i="15"/>
  <c r="AK188" i="15"/>
  <c r="AJ188" i="15" s="1"/>
  <c r="AI134" i="15"/>
  <c r="AO134" i="15" s="1"/>
  <c r="AM250" i="15"/>
  <c r="AF261" i="15"/>
  <c r="AE261" i="15" s="1"/>
  <c r="AC261" i="15" s="1"/>
  <c r="AD256" i="15"/>
  <c r="AL330" i="15"/>
  <c r="AN213" i="15"/>
  <c r="AG217" i="15"/>
  <c r="AN255" i="15"/>
  <c r="AL300" i="15"/>
  <c r="AM231" i="15"/>
  <c r="AM237" i="15"/>
  <c r="AF146" i="15"/>
  <c r="AE146" i="15" s="1"/>
  <c r="AC146" i="15" s="1"/>
  <c r="AG94" i="15"/>
  <c r="AK303" i="15"/>
  <c r="AJ303" i="15" s="1"/>
  <c r="AG248" i="15"/>
  <c r="AM86" i="15"/>
  <c r="AI51" i="15"/>
  <c r="AK33" i="15"/>
  <c r="AJ33" i="15" s="1"/>
  <c r="AF233" i="15"/>
  <c r="AK296" i="15"/>
  <c r="AJ296" i="15" s="1"/>
  <c r="AL251" i="15"/>
  <c r="AG222" i="15"/>
  <c r="AF34" i="15"/>
  <c r="AE34" i="15" s="1"/>
  <c r="AC34" i="15" s="1"/>
  <c r="AG279" i="15"/>
  <c r="AL250" i="15"/>
  <c r="AD263" i="15"/>
  <c r="AN297" i="15"/>
  <c r="AD292" i="15"/>
  <c r="AD139" i="15"/>
  <c r="AF315" i="15"/>
  <c r="AE315" i="15" s="1"/>
  <c r="AM266" i="15"/>
  <c r="AD266" i="15"/>
  <c r="AD300" i="15"/>
  <c r="AK262" i="15"/>
  <c r="AD319" i="15"/>
  <c r="AI63" i="15"/>
  <c r="AM316" i="15"/>
  <c r="AM160" i="15"/>
  <c r="AM146" i="15"/>
  <c r="AM154" i="15"/>
  <c r="AK181" i="15"/>
  <c r="AJ181" i="15" s="1"/>
  <c r="AM153" i="15"/>
  <c r="AG117" i="15"/>
  <c r="AN173" i="15"/>
  <c r="AI137" i="15"/>
  <c r="AO137" i="15" s="1"/>
  <c r="AK119" i="15"/>
  <c r="AJ119" i="15" s="1"/>
  <c r="AG293" i="15"/>
  <c r="AD135" i="15"/>
  <c r="AI27" i="15"/>
  <c r="AO27" i="15" s="1"/>
  <c r="AF143" i="15"/>
  <c r="AG236" i="15"/>
  <c r="AF309" i="15"/>
  <c r="AE309" i="15" s="1"/>
  <c r="AL207" i="15"/>
  <c r="AG44" i="15"/>
  <c r="AL43" i="15"/>
  <c r="AK117" i="15"/>
  <c r="AJ117" i="15" s="1"/>
  <c r="AN265" i="15"/>
  <c r="AF39" i="15"/>
  <c r="AD154" i="15"/>
  <c r="AM293" i="15"/>
  <c r="AD104" i="15"/>
  <c r="AM100" i="15"/>
  <c r="AM324" i="15"/>
  <c r="AN294" i="15"/>
  <c r="AI271" i="15"/>
  <c r="AO271" i="15" s="1"/>
  <c r="AD220" i="15"/>
  <c r="AL200" i="15"/>
  <c r="AF275" i="15"/>
  <c r="AE275" i="15" s="1"/>
  <c r="AC275" i="15" s="1"/>
  <c r="AF86" i="15"/>
  <c r="AN220" i="15"/>
  <c r="AM103" i="15"/>
  <c r="AI32" i="15"/>
  <c r="AO32" i="15" s="1"/>
  <c r="AG111" i="15"/>
  <c r="AN150" i="15"/>
  <c r="AL186" i="15"/>
  <c r="AG121" i="15"/>
  <c r="AN82" i="15"/>
  <c r="AM187" i="15"/>
  <c r="AG328" i="15"/>
  <c r="AF188" i="15"/>
  <c r="AE188" i="15" s="1"/>
  <c r="AC188" i="15" s="1"/>
  <c r="AL109" i="15"/>
  <c r="AL212" i="15"/>
  <c r="AL45" i="15"/>
  <c r="AM313" i="15"/>
  <c r="AL172" i="15"/>
  <c r="AK113" i="15"/>
  <c r="AJ113" i="15" s="1"/>
  <c r="AL196" i="15"/>
  <c r="AD63" i="15"/>
  <c r="AL205" i="15"/>
  <c r="AD332" i="15"/>
  <c r="AG31" i="15"/>
  <c r="AM72" i="15"/>
  <c r="AM334" i="15"/>
  <c r="AI183" i="15"/>
  <c r="AL211" i="15"/>
  <c r="AG251" i="15"/>
  <c r="AM234" i="15"/>
  <c r="AK70" i="15"/>
  <c r="AJ70" i="15" s="1"/>
  <c r="AI225" i="15"/>
  <c r="AN332" i="15"/>
  <c r="AI123" i="15"/>
  <c r="AO123" i="15" s="1"/>
  <c r="AF105" i="15"/>
  <c r="AE105" i="15" s="1"/>
  <c r="AF108" i="15"/>
  <c r="AE108" i="15" s="1"/>
  <c r="AK281" i="15"/>
  <c r="AJ281" i="15" s="1"/>
  <c r="AM236" i="15"/>
  <c r="AM332" i="15"/>
  <c r="AK289" i="15"/>
  <c r="AD243" i="15"/>
  <c r="AM62" i="15"/>
  <c r="AF141" i="15"/>
  <c r="AE141" i="15" s="1"/>
  <c r="AC141" i="15" s="1"/>
  <c r="AM263" i="15"/>
  <c r="AG169" i="15"/>
  <c r="AN295" i="15"/>
  <c r="AG26" i="15"/>
  <c r="AD241" i="15"/>
  <c r="AD26" i="15"/>
  <c r="AG87" i="15"/>
  <c r="AN315" i="15"/>
  <c r="AI227" i="15"/>
  <c r="AO227" i="15" s="1"/>
  <c r="AN133" i="15"/>
  <c r="AM69" i="15"/>
  <c r="AK190" i="15"/>
  <c r="AJ190" i="15" s="1"/>
  <c r="AK318" i="15"/>
  <c r="AJ318" i="15" s="1"/>
  <c r="AL153" i="15"/>
  <c r="AN45" i="15"/>
  <c r="AI277" i="15"/>
  <c r="AG322" i="15"/>
  <c r="AF26" i="15"/>
  <c r="AM74" i="15"/>
  <c r="AL269" i="15"/>
  <c r="AL220" i="15"/>
  <c r="AN290" i="15"/>
  <c r="AM310" i="15"/>
  <c r="AD184" i="15"/>
  <c r="AG313" i="15"/>
  <c r="AL64" i="15"/>
  <c r="AK106" i="15"/>
  <c r="AJ106" i="15" s="1"/>
  <c r="AI122" i="15"/>
  <c r="AL102" i="15"/>
  <c r="AK97" i="15"/>
  <c r="AJ97" i="15" s="1"/>
  <c r="AG75" i="15"/>
  <c r="AD105" i="15"/>
  <c r="AK198" i="15"/>
  <c r="AJ198" i="15" s="1"/>
  <c r="AI156" i="15"/>
  <c r="AO156" i="15" s="1"/>
  <c r="AG192" i="15"/>
  <c r="AL194" i="15"/>
  <c r="AD249" i="15"/>
  <c r="AD88" i="15"/>
  <c r="AD274" i="15"/>
  <c r="AM329" i="15"/>
  <c r="AN129" i="15"/>
  <c r="AL222" i="15"/>
  <c r="AF224" i="15"/>
  <c r="AE224" i="15" s="1"/>
  <c r="AK30" i="15"/>
  <c r="AJ30" i="15" s="1"/>
  <c r="AN231" i="15"/>
  <c r="AD47" i="15"/>
  <c r="AM164" i="15"/>
  <c r="AN205" i="15"/>
  <c r="AM168" i="15"/>
  <c r="AN44" i="15"/>
  <c r="AM203" i="15"/>
  <c r="AG38" i="15"/>
  <c r="AM66" i="15"/>
  <c r="AM137" i="15"/>
  <c r="AK185" i="15"/>
  <c r="AJ185" i="15" s="1"/>
  <c r="AN208" i="15"/>
  <c r="AK218" i="15"/>
  <c r="AJ218" i="15" s="1"/>
  <c r="AD66" i="15"/>
  <c r="AD100" i="15"/>
  <c r="AF207" i="15"/>
  <c r="AG196" i="15"/>
  <c r="AD225" i="15"/>
  <c r="AM77" i="15"/>
  <c r="AI168" i="15"/>
  <c r="AO168" i="15" s="1"/>
  <c r="AM48" i="15"/>
  <c r="AM106" i="15"/>
  <c r="AN51" i="15"/>
  <c r="AD33" i="15"/>
  <c r="AF311" i="15"/>
  <c r="AE311" i="15" s="1"/>
  <c r="AC311" i="15" s="1"/>
  <c r="AF206" i="15"/>
  <c r="AE206" i="15" s="1"/>
  <c r="AC206" i="15" s="1"/>
  <c r="AF323" i="15"/>
  <c r="AM299" i="15"/>
  <c r="AK157" i="15"/>
  <c r="AJ157" i="15" s="1"/>
  <c r="AP157" i="15" s="1"/>
  <c r="AM102" i="15"/>
  <c r="AN302" i="15"/>
  <c r="AN219" i="15"/>
  <c r="AF82" i="15"/>
  <c r="AE82" i="15" s="1"/>
  <c r="AC82" i="15" s="1"/>
  <c r="AM40" i="15"/>
  <c r="AN244" i="15"/>
  <c r="AN314" i="15"/>
  <c r="AD272" i="15"/>
  <c r="AL328" i="15"/>
  <c r="AN41" i="15"/>
  <c r="AN30" i="15"/>
  <c r="AM312" i="15"/>
  <c r="AD294" i="15"/>
  <c r="AM204" i="15"/>
  <c r="AM304" i="15"/>
  <c r="AK273" i="15"/>
  <c r="AJ273" i="15" s="1"/>
  <c r="AM309" i="15"/>
  <c r="AI238" i="15"/>
  <c r="AM297" i="15"/>
  <c r="AN252" i="15"/>
  <c r="AM273" i="15"/>
  <c r="AG199" i="15"/>
  <c r="AG306" i="15"/>
  <c r="AM265" i="15"/>
  <c r="AF278" i="15"/>
  <c r="AE278" i="15" s="1"/>
  <c r="AC278" i="15" s="1"/>
  <c r="AM286" i="15"/>
  <c r="AM108" i="15"/>
  <c r="AG281" i="15"/>
  <c r="AD130" i="15"/>
  <c r="AG295" i="15"/>
  <c r="AL254" i="15"/>
  <c r="AN323" i="15"/>
  <c r="AF133" i="15"/>
  <c r="AE133" i="15" s="1"/>
  <c r="AC133" i="15" s="1"/>
  <c r="AK28" i="15"/>
  <c r="AJ28" i="15" s="1"/>
  <c r="AN225" i="15"/>
  <c r="AD312" i="15"/>
  <c r="AD25" i="15"/>
  <c r="AG259" i="15"/>
  <c r="AG325" i="15"/>
  <c r="AD144" i="15"/>
  <c r="AD317" i="15"/>
  <c r="AL163" i="15"/>
  <c r="AN66" i="15"/>
  <c r="AF310" i="15"/>
  <c r="AE310" i="15" s="1"/>
  <c r="AD303" i="15"/>
  <c r="AF169" i="15"/>
  <c r="AE169" i="15" s="1"/>
  <c r="AC169" i="15" s="1"/>
  <c r="AD67" i="15"/>
  <c r="AK329" i="15"/>
  <c r="AJ329" i="15" s="1"/>
  <c r="AI316" i="15"/>
  <c r="AO316" i="15" s="1"/>
  <c r="AF266" i="15"/>
  <c r="AN47" i="15"/>
  <c r="AL85" i="15"/>
  <c r="AF216" i="15"/>
  <c r="AE216" i="15" s="1"/>
  <c r="AM295" i="15"/>
  <c r="AG323" i="15"/>
  <c r="AK182" i="15"/>
  <c r="AJ182" i="15" s="1"/>
  <c r="AL210" i="15"/>
  <c r="AJ210" i="15" s="1"/>
  <c r="AK64" i="15"/>
  <c r="AI279" i="15"/>
  <c r="AK232" i="15"/>
  <c r="AJ232" i="15" s="1"/>
  <c r="AK109" i="15"/>
  <c r="AI231" i="15"/>
  <c r="AK213" i="15"/>
  <c r="AJ213" i="15" s="1"/>
  <c r="AK136" i="15"/>
  <c r="AJ136" i="15" s="1"/>
  <c r="AI91" i="15"/>
  <c r="AL59" i="15"/>
  <c r="AJ59" i="15" s="1"/>
  <c r="AD224" i="15"/>
  <c r="AL78" i="15"/>
  <c r="AM314" i="15"/>
  <c r="AL243" i="15"/>
  <c r="AD277" i="15"/>
  <c r="AI244" i="15"/>
  <c r="AO244" i="15" s="1"/>
  <c r="AF289" i="15"/>
  <c r="AE289" i="15" s="1"/>
  <c r="AC289" i="15" s="1"/>
  <c r="AD299" i="15"/>
  <c r="AD290" i="15"/>
  <c r="AL244" i="15"/>
  <c r="AL44" i="15"/>
  <c r="AL248" i="15"/>
  <c r="AM315" i="15"/>
  <c r="AF301" i="15"/>
  <c r="AE301" i="15" s="1"/>
  <c r="AF59" i="15"/>
  <c r="AE59" i="15" s="1"/>
  <c r="AC59" i="15" s="1"/>
  <c r="AD52" i="15"/>
  <c r="AL331" i="15"/>
  <c r="AM155" i="15"/>
  <c r="AN87" i="15"/>
  <c r="AK274" i="15"/>
  <c r="AJ274" i="15" s="1"/>
  <c r="AG262" i="15"/>
  <c r="AL283" i="15"/>
  <c r="AI47" i="15"/>
  <c r="AG134" i="15"/>
  <c r="AL94" i="15"/>
  <c r="AN276" i="15"/>
  <c r="AD65" i="15"/>
  <c r="AC65" i="15" s="1"/>
  <c r="AG308" i="15"/>
  <c r="AI189" i="15"/>
  <c r="AK270" i="15"/>
  <c r="AI250" i="15"/>
  <c r="AF335" i="15"/>
  <c r="AE335" i="15" s="1"/>
  <c r="AK144" i="15"/>
  <c r="AJ144" i="15" s="1"/>
  <c r="AI310" i="15"/>
  <c r="AK165" i="15"/>
  <c r="AK107" i="15"/>
  <c r="AJ107" i="15" s="1"/>
  <c r="AI92" i="15"/>
  <c r="AI272" i="15"/>
  <c r="AI285" i="15"/>
  <c r="AI141" i="15"/>
  <c r="AK192" i="15"/>
  <c r="AJ192" i="15" s="1"/>
  <c r="AK151" i="15"/>
  <c r="AJ151" i="15" s="1"/>
  <c r="AI171" i="15"/>
  <c r="AO171" i="15" s="1"/>
  <c r="AN293" i="15"/>
  <c r="AN76" i="15"/>
  <c r="AM209" i="15"/>
  <c r="AD37" i="15"/>
  <c r="AM291" i="15"/>
  <c r="AF54" i="15"/>
  <c r="AE54" i="15" s="1"/>
  <c r="AC54" i="15" s="1"/>
  <c r="AM54" i="15"/>
  <c r="AI269" i="15"/>
  <c r="AO269" i="15" s="1"/>
  <c r="AD310" i="15"/>
  <c r="AN258" i="15"/>
  <c r="AK164" i="15"/>
  <c r="AJ164" i="15" s="1"/>
  <c r="AK265" i="15"/>
  <c r="AJ265" i="15" s="1"/>
  <c r="AG194" i="15"/>
  <c r="AF296" i="15"/>
  <c r="AI308" i="15"/>
  <c r="AM245" i="15"/>
  <c r="AI317" i="15"/>
  <c r="AD260" i="15"/>
  <c r="AD57" i="15"/>
  <c r="AI295" i="15"/>
  <c r="AD85" i="15"/>
  <c r="AL84" i="15"/>
  <c r="AN181" i="15"/>
  <c r="AL247" i="15"/>
  <c r="AM281" i="15"/>
  <c r="AG268" i="15"/>
  <c r="AG252" i="15"/>
  <c r="AI146" i="15"/>
  <c r="AK149" i="15"/>
  <c r="AJ149" i="15" s="1"/>
  <c r="AI329" i="15"/>
  <c r="AI335" i="15"/>
  <c r="AK148" i="15"/>
  <c r="AI84" i="15"/>
  <c r="AI73" i="15"/>
  <c r="AK41" i="15"/>
  <c r="AJ41" i="15" s="1"/>
  <c r="AK178" i="15"/>
  <c r="AJ178" i="15" s="1"/>
  <c r="AN58" i="15"/>
  <c r="AF264" i="15"/>
  <c r="AE264" i="15" s="1"/>
  <c r="AI155" i="15"/>
  <c r="AN113" i="15"/>
  <c r="AD297" i="15"/>
  <c r="AI255" i="15"/>
  <c r="AM191" i="15"/>
  <c r="AN313" i="15"/>
  <c r="AM283" i="15"/>
  <c r="AN234" i="15"/>
  <c r="AM270" i="15"/>
  <c r="AF258" i="15"/>
  <c r="AE258" i="15" s="1"/>
  <c r="AC258" i="15" s="1"/>
  <c r="AD257" i="15"/>
  <c r="AN253" i="15"/>
  <c r="AL263" i="15"/>
  <c r="AM84" i="15"/>
  <c r="AL322" i="15"/>
  <c r="AK282" i="15"/>
  <c r="AJ282" i="15" s="1"/>
  <c r="AK207" i="15"/>
  <c r="AM259" i="15"/>
  <c r="AF58" i="15"/>
  <c r="AE58" i="15" s="1"/>
  <c r="AK253" i="15"/>
  <c r="AJ253" i="15" s="1"/>
  <c r="AD238" i="15"/>
  <c r="AC238" i="15" s="1"/>
  <c r="AF306" i="15"/>
  <c r="AF237" i="15"/>
  <c r="AE237" i="15" s="1"/>
  <c r="AC237" i="15" s="1"/>
  <c r="AG271" i="15"/>
  <c r="AI192" i="15"/>
  <c r="AO192" i="15" s="1"/>
  <c r="AF320" i="15"/>
  <c r="AE320" i="15" s="1"/>
  <c r="AC320" i="15" s="1"/>
  <c r="AD336" i="15"/>
  <c r="AK158" i="15"/>
  <c r="AI36" i="15"/>
  <c r="AL87" i="15"/>
  <c r="AJ87" i="15" s="1"/>
  <c r="AI315" i="15"/>
  <c r="AI30" i="15"/>
  <c r="AI55" i="15"/>
  <c r="AL72" i="15"/>
  <c r="AM258" i="15"/>
  <c r="AN85" i="15"/>
  <c r="AG302" i="15"/>
  <c r="AI236" i="15"/>
  <c r="AD284" i="15"/>
  <c r="AL304" i="15"/>
  <c r="AN287" i="15"/>
  <c r="AL177" i="15"/>
  <c r="AD295" i="15"/>
  <c r="AN325" i="15"/>
  <c r="AN285" i="15"/>
  <c r="AF327" i="15"/>
  <c r="AN299" i="15"/>
  <c r="AM202" i="15"/>
  <c r="AI297" i="15"/>
  <c r="AD308" i="15"/>
  <c r="AD245" i="15"/>
  <c r="AN237" i="15"/>
  <c r="AK313" i="15"/>
  <c r="AJ313" i="15" s="1"/>
  <c r="AM303" i="15"/>
  <c r="AL301" i="15"/>
  <c r="AM335" i="15"/>
  <c r="AF238" i="15"/>
  <c r="AE238" i="15" s="1"/>
  <c r="AF253" i="15"/>
  <c r="AE253" i="15" s="1"/>
  <c r="AC253" i="15" s="1"/>
  <c r="AN191" i="15"/>
  <c r="AF92" i="15"/>
  <c r="AE92" i="15" s="1"/>
  <c r="AC92" i="15" s="1"/>
  <c r="AG314" i="15"/>
  <c r="AL69" i="15"/>
  <c r="AK32" i="15"/>
  <c r="AJ32" i="15" s="1"/>
  <c r="AK193" i="15"/>
  <c r="AJ193" i="15" s="1"/>
  <c r="AL180" i="15"/>
  <c r="AJ180" i="15" s="1"/>
  <c r="AI52" i="15"/>
  <c r="AI86" i="15"/>
  <c r="AI157" i="15"/>
  <c r="AL168" i="15"/>
  <c r="AJ168" i="15" s="1"/>
  <c r="AI300" i="15"/>
  <c r="AI66" i="15"/>
  <c r="AL203" i="15"/>
  <c r="AJ203" i="15" s="1"/>
  <c r="AK46" i="15"/>
  <c r="AL245" i="15"/>
  <c r="AD108" i="15"/>
  <c r="AF287" i="15"/>
  <c r="AE287" i="15" s="1"/>
  <c r="AC287" i="15" s="1"/>
  <c r="AL160" i="15"/>
  <c r="AI240" i="15"/>
  <c r="AD240" i="15"/>
  <c r="AN300" i="15"/>
  <c r="AK260" i="15"/>
  <c r="AJ260" i="15" s="1"/>
  <c r="AN34" i="15"/>
  <c r="AL298" i="15"/>
  <c r="AM254" i="15"/>
  <c r="AF176" i="15"/>
  <c r="AE176" i="15" s="1"/>
  <c r="AC176" i="15" s="1"/>
  <c r="AL295" i="15"/>
  <c r="AD203" i="15"/>
  <c r="AC203" i="15" s="1"/>
  <c r="AF73" i="15"/>
  <c r="AE73" i="15" s="1"/>
  <c r="AC73" i="15" s="1"/>
  <c r="AL165" i="15"/>
  <c r="AI235" i="15"/>
  <c r="AN79" i="15"/>
  <c r="AG280" i="15"/>
  <c r="AF178" i="15"/>
  <c r="AE178" i="15" s="1"/>
  <c r="AC178" i="15" s="1"/>
  <c r="AN266" i="15"/>
  <c r="AI264" i="15"/>
  <c r="AO264" i="15" s="1"/>
  <c r="AD83" i="15"/>
  <c r="AD127" i="15"/>
  <c r="AM264" i="15"/>
  <c r="AI247" i="15"/>
  <c r="AO247" i="15" s="1"/>
  <c r="AG296" i="15"/>
  <c r="AF314" i="15"/>
  <c r="AE314" i="15" s="1"/>
  <c r="AC314" i="15" s="1"/>
  <c r="AF336" i="15"/>
  <c r="AE336" i="15" s="1"/>
  <c r="AC336" i="15" s="1"/>
  <c r="AK78" i="15"/>
  <c r="AK67" i="15"/>
  <c r="AJ67" i="15" s="1"/>
  <c r="AM336" i="15"/>
  <c r="AN336" i="15"/>
  <c r="AI35" i="15"/>
  <c r="AI108" i="15"/>
  <c r="AN241" i="15"/>
  <c r="AM246" i="15"/>
  <c r="AD118" i="15"/>
  <c r="AI194" i="15"/>
  <c r="AO194" i="15" s="1"/>
  <c r="AF321" i="15"/>
  <c r="AE321" i="15" s="1"/>
  <c r="AD331" i="15"/>
  <c r="AG119" i="15"/>
  <c r="AF201" i="15"/>
  <c r="AE201" i="15" s="1"/>
  <c r="AC201" i="15" s="1"/>
  <c r="AD236" i="15"/>
  <c r="AF205" i="15"/>
  <c r="AE205" i="15" s="1"/>
  <c r="AC205" i="15" s="1"/>
  <c r="AG239" i="15"/>
  <c r="AI274" i="15"/>
  <c r="AI253" i="15"/>
  <c r="AO253" i="15" s="1"/>
  <c r="AN289" i="15"/>
  <c r="AI322" i="15"/>
  <c r="AO322" i="15" s="1"/>
  <c r="AM70" i="15"/>
  <c r="AM267" i="15"/>
  <c r="AK246" i="15"/>
  <c r="AJ246" i="15" s="1"/>
  <c r="AN196" i="15"/>
  <c r="AL289" i="15"/>
  <c r="AD309" i="15"/>
  <c r="AG250" i="15"/>
  <c r="AI239" i="15"/>
  <c r="AM294" i="15"/>
  <c r="AK308" i="15"/>
  <c r="AJ308" i="15" s="1"/>
  <c r="AN301" i="15"/>
  <c r="AD147" i="15"/>
  <c r="AI50" i="15"/>
  <c r="AK100" i="15"/>
  <c r="AJ100" i="15" s="1"/>
  <c r="AL176" i="15"/>
  <c r="AJ176" i="15" s="1"/>
  <c r="AI184" i="15"/>
  <c r="AL255" i="15"/>
  <c r="AJ255" i="15" s="1"/>
  <c r="AK204" i="15"/>
  <c r="AI82" i="15"/>
  <c r="AK89" i="15"/>
  <c r="AJ89" i="15" s="1"/>
  <c r="AM282" i="15"/>
  <c r="AK166" i="15"/>
  <c r="AJ166" i="15" s="1"/>
  <c r="AN259" i="15"/>
  <c r="AI242" i="15"/>
  <c r="AN280" i="15"/>
  <c r="AM289" i="15"/>
  <c r="AL270" i="15"/>
  <c r="AF307" i="15"/>
  <c r="AE307" i="15" s="1"/>
  <c r="AC307" i="15" s="1"/>
  <c r="AL275" i="15"/>
  <c r="AD304" i="15"/>
  <c r="AG331" i="15"/>
  <c r="AF160" i="15"/>
  <c r="AE160" i="15" s="1"/>
  <c r="AN328" i="15"/>
  <c r="AN132" i="15"/>
  <c r="AM113" i="15"/>
  <c r="AN260" i="15"/>
  <c r="AL34" i="15"/>
  <c r="AJ34" i="15" s="1"/>
  <c r="AP34" i="15" s="1"/>
  <c r="AK239" i="15"/>
  <c r="AJ239" i="15" s="1"/>
  <c r="AG257" i="15"/>
  <c r="AK261" i="15"/>
  <c r="AJ261" i="15" s="1"/>
  <c r="AG285" i="15"/>
  <c r="AG45" i="15"/>
  <c r="AG254" i="15"/>
  <c r="AD235" i="15"/>
  <c r="AL221" i="15"/>
  <c r="AM274" i="15"/>
  <c r="AG266" i="15"/>
  <c r="AN64" i="15"/>
  <c r="AM235" i="15"/>
  <c r="AF265" i="15"/>
  <c r="AG327" i="15"/>
  <c r="AI54" i="15"/>
  <c r="AD148" i="15"/>
  <c r="AL56" i="15"/>
  <c r="AJ56" i="15" s="1"/>
  <c r="AK96" i="15"/>
  <c r="AJ96" i="15" s="1"/>
  <c r="AL99" i="15"/>
  <c r="AJ99" i="15" s="1"/>
  <c r="AI233" i="15"/>
  <c r="AK102" i="15"/>
  <c r="AJ102" i="15" s="1"/>
  <c r="AL134" i="15"/>
  <c r="AJ134" i="15" s="1"/>
  <c r="AK101" i="15"/>
  <c r="AJ101" i="15" s="1"/>
  <c r="AK90" i="15"/>
  <c r="AJ90" i="15" s="1"/>
  <c r="AL170" i="15"/>
  <c r="AJ170" i="15" s="1"/>
  <c r="AI167" i="15"/>
  <c r="AL206" i="15"/>
  <c r="AJ206" i="15" s="1"/>
  <c r="AI57" i="15"/>
  <c r="AI188" i="15"/>
  <c r="AK105" i="15"/>
  <c r="AJ105" i="15" s="1"/>
  <c r="AK130" i="15"/>
  <c r="AJ130" i="15" s="1"/>
  <c r="AI115" i="15"/>
  <c r="AI43" i="15"/>
  <c r="AI104" i="15"/>
  <c r="AK222" i="15"/>
  <c r="AJ222" i="15" s="1"/>
  <c r="AI49" i="15"/>
  <c r="AI110" i="15"/>
  <c r="AO110" i="15" s="1"/>
  <c r="AN337" i="15"/>
  <c r="AD229" i="15"/>
  <c r="AC229" i="15" s="1"/>
  <c r="AL335" i="15"/>
  <c r="AJ335" i="15" s="1"/>
  <c r="AK339" i="15"/>
  <c r="AI229" i="15"/>
  <c r="AG338" i="15"/>
  <c r="AD339" i="15"/>
  <c r="AG159" i="15"/>
  <c r="AE159" i="15" s="1"/>
  <c r="AC159" i="15" s="1"/>
  <c r="AL229" i="15"/>
  <c r="AJ229" i="15" s="1"/>
  <c r="AP229" i="15" s="1"/>
  <c r="AK159" i="15"/>
  <c r="AD335" i="15"/>
  <c r="AL338" i="15"/>
  <c r="AM337" i="15"/>
  <c r="AF338" i="15"/>
  <c r="AM339" i="15"/>
  <c r="AI338" i="15"/>
  <c r="AI339" i="15"/>
  <c r="AK110" i="15"/>
  <c r="AJ110" i="15" s="1"/>
  <c r="AK338" i="15"/>
  <c r="AF337" i="15"/>
  <c r="AD338" i="15"/>
  <c r="AG337" i="15"/>
  <c r="AM338" i="15"/>
  <c r="AD337" i="15"/>
  <c r="AI159" i="15"/>
  <c r="AG148" i="15"/>
  <c r="AE148" i="15" s="1"/>
  <c r="AM340" i="15"/>
  <c r="AK62" i="15"/>
  <c r="AJ62" i="15" s="1"/>
  <c r="AL340" i="15"/>
  <c r="AN307" i="15"/>
  <c r="AI340" i="15"/>
  <c r="AL339" i="15"/>
  <c r="AJ339" i="15" s="1"/>
  <c r="AN320" i="15"/>
  <c r="AI337" i="15"/>
  <c r="AL204" i="15"/>
  <c r="AG341" i="15"/>
  <c r="AL159" i="15"/>
  <c r="AN339" i="15"/>
  <c r="AG339" i="15"/>
  <c r="AG317" i="15"/>
  <c r="AE317" i="15" s="1"/>
  <c r="AC317" i="15" s="1"/>
  <c r="AF339" i="15"/>
  <c r="AG204" i="15"/>
  <c r="AE204" i="15" s="1"/>
  <c r="AC204" i="15" s="1"/>
  <c r="AL320" i="15"/>
  <c r="AJ320" i="15" s="1"/>
  <c r="AL307" i="15"/>
  <c r="AJ307" i="15" s="1"/>
  <c r="AL317" i="15"/>
  <c r="AJ317" i="15" s="1"/>
  <c r="AG207" i="15"/>
  <c r="AE207" i="15" s="1"/>
  <c r="AG102" i="15"/>
  <c r="AE102" i="15" s="1"/>
  <c r="AL148" i="15"/>
  <c r="AJ148" i="15" s="1"/>
  <c r="AG71" i="15"/>
  <c r="AE71" i="15" s="1"/>
  <c r="AC71" i="15" s="1"/>
  <c r="AD340" i="15"/>
  <c r="AN342" i="15"/>
  <c r="AN341" i="15"/>
  <c r="AL342" i="15"/>
  <c r="AG81" i="15"/>
  <c r="AE81" i="15" s="1"/>
  <c r="AG319" i="15"/>
  <c r="AF319" i="15"/>
  <c r="AL116" i="15"/>
  <c r="AJ116" i="15" s="1"/>
  <c r="AK341" i="15"/>
  <c r="AM341" i="15"/>
  <c r="AG60" i="15"/>
  <c r="AE60" i="15" s="1"/>
  <c r="AG165" i="15"/>
  <c r="AE165" i="15" s="1"/>
  <c r="AL341" i="15"/>
  <c r="AG326" i="15"/>
  <c r="AG172" i="15"/>
  <c r="AE172" i="15" s="1"/>
  <c r="AK342" i="15"/>
  <c r="AL71" i="15"/>
  <c r="AJ71" i="15" s="1"/>
  <c r="AG179" i="15"/>
  <c r="AG116" i="15"/>
  <c r="AE116" i="15" s="1"/>
  <c r="AC116" i="15" s="1"/>
  <c r="AG67" i="15"/>
  <c r="AE67" i="15" s="1"/>
  <c r="AG291" i="15"/>
  <c r="AG186" i="15"/>
  <c r="AD72" i="15"/>
  <c r="AC72" i="15" s="1"/>
  <c r="AG342" i="15"/>
  <c r="AE342" i="15" s="1"/>
  <c r="AF186" i="15"/>
  <c r="AG151" i="15"/>
  <c r="AE151" i="15" s="1"/>
  <c r="AG305" i="15"/>
  <c r="AG39" i="15"/>
  <c r="AE39" i="15" s="1"/>
  <c r="AG277" i="15"/>
  <c r="AF340" i="15"/>
  <c r="AE340" i="15" s="1"/>
  <c r="AG214" i="15"/>
  <c r="AG340" i="15"/>
  <c r="AG284" i="15"/>
  <c r="AD342" i="15"/>
  <c r="AN343" i="15"/>
  <c r="AG249" i="15"/>
  <c r="AG256" i="15"/>
  <c r="AF242" i="15"/>
  <c r="AG158" i="15"/>
  <c r="AE158" i="15" s="1"/>
  <c r="AF305" i="15"/>
  <c r="AG235" i="15"/>
  <c r="AG312" i="15"/>
  <c r="AG88" i="15"/>
  <c r="AE88" i="15" s="1"/>
  <c r="AL345" i="15"/>
  <c r="AG123" i="15"/>
  <c r="AE123" i="15" s="1"/>
  <c r="AF214" i="15"/>
  <c r="AG298" i="15"/>
  <c r="AF341" i="15"/>
  <c r="AF343" i="15"/>
  <c r="AF291" i="15"/>
  <c r="AG228" i="15"/>
  <c r="AG193" i="15"/>
  <c r="AE193" i="15" s="1"/>
  <c r="AK343" i="15"/>
  <c r="AF326" i="15"/>
  <c r="AE326" i="15" s="1"/>
  <c r="AC326" i="15" s="1"/>
  <c r="AF235" i="15"/>
  <c r="AK319" i="15"/>
  <c r="AJ319" i="15" s="1"/>
  <c r="AD341" i="15"/>
  <c r="AG95" i="15"/>
  <c r="AE95" i="15" s="1"/>
  <c r="AL343" i="15"/>
  <c r="AG46" i="15"/>
  <c r="AE46" i="15" s="1"/>
  <c r="AG333" i="15"/>
  <c r="AF284" i="15"/>
  <c r="AG130" i="15"/>
  <c r="AE130" i="15" s="1"/>
  <c r="AK256" i="15"/>
  <c r="AJ256" i="15" s="1"/>
  <c r="AG343" i="15"/>
  <c r="AG137" i="15"/>
  <c r="AE137" i="15" s="1"/>
  <c r="AF256" i="15"/>
  <c r="AK214" i="15"/>
  <c r="AJ214" i="15" s="1"/>
  <c r="AG53" i="15"/>
  <c r="AE53" i="15" s="1"/>
  <c r="AG344" i="15"/>
  <c r="AL344" i="15"/>
  <c r="AG242" i="15"/>
  <c r="AF249" i="15"/>
  <c r="AK345" i="15"/>
  <c r="AG200" i="15"/>
  <c r="AK186" i="15"/>
  <c r="AJ186" i="15" s="1"/>
  <c r="AI72" i="15"/>
  <c r="AF228" i="15"/>
  <c r="AE228" i="15" s="1"/>
  <c r="AC228" i="15" s="1"/>
  <c r="AG270" i="15"/>
  <c r="AE270" i="15" s="1"/>
  <c r="AG144" i="15"/>
  <c r="AE144" i="15" s="1"/>
  <c r="AG32" i="15"/>
  <c r="AE32" i="15" s="1"/>
  <c r="AK284" i="15"/>
  <c r="AJ284" i="15" s="1"/>
  <c r="AF200" i="15"/>
  <c r="AE200" i="15" s="1"/>
  <c r="AC200" i="15" s="1"/>
  <c r="AF312" i="15"/>
  <c r="AK291" i="15"/>
  <c r="AJ291" i="15" s="1"/>
  <c r="AG74" i="15"/>
  <c r="AE74" i="15" s="1"/>
  <c r="AF263" i="15"/>
  <c r="AG109" i="15"/>
  <c r="AE109" i="15" s="1"/>
  <c r="AF221" i="15"/>
  <c r="AI341" i="15"/>
  <c r="AK340" i="15"/>
  <c r="AG263" i="15"/>
  <c r="AN344" i="15"/>
  <c r="AG221" i="15"/>
  <c r="AK263" i="15"/>
  <c r="AJ263" i="15" s="1"/>
  <c r="AK249" i="15"/>
  <c r="AJ249" i="15" s="1"/>
  <c r="AI342" i="15"/>
  <c r="AN345" i="15"/>
  <c r="AF298" i="15"/>
  <c r="AK242" i="15"/>
  <c r="AJ242" i="15" s="1"/>
  <c r="AF277" i="15"/>
  <c r="AE277" i="15" s="1"/>
  <c r="AF333" i="15"/>
  <c r="AE333" i="15" s="1"/>
  <c r="AK228" i="15"/>
  <c r="AJ228" i="15" s="1"/>
  <c r="AK298" i="15"/>
  <c r="AJ298" i="15" s="1"/>
  <c r="AK305" i="15"/>
  <c r="AJ305" i="15" s="1"/>
  <c r="AD343" i="15"/>
  <c r="AI343" i="15"/>
  <c r="AD344" i="15"/>
  <c r="AK235" i="15"/>
  <c r="AJ235" i="15" s="1"/>
  <c r="AK200" i="15"/>
  <c r="AJ200" i="15" s="1"/>
  <c r="AP200" i="15" s="1"/>
  <c r="AN348" i="15"/>
  <c r="AK346" i="15"/>
  <c r="AK277" i="15"/>
  <c r="AJ277" i="15" s="1"/>
  <c r="AK344" i="15"/>
  <c r="AG345" i="15"/>
  <c r="AE345" i="15" s="1"/>
  <c r="AK333" i="15"/>
  <c r="AJ333" i="15" s="1"/>
  <c r="AN346" i="15"/>
  <c r="AL346" i="15"/>
  <c r="AD346" i="15"/>
  <c r="AF344" i="15"/>
  <c r="AD345" i="15"/>
  <c r="AK312" i="15"/>
  <c r="AJ312" i="15" s="1"/>
  <c r="AK221" i="15"/>
  <c r="AJ221" i="15" s="1"/>
  <c r="AM348" i="15"/>
  <c r="AI344" i="15"/>
  <c r="AF346" i="15"/>
  <c r="AG346" i="15"/>
  <c r="AF347" i="15"/>
  <c r="AF350" i="15"/>
  <c r="AI345" i="15"/>
  <c r="AI346" i="15"/>
  <c r="AF349" i="15"/>
  <c r="AG347" i="15"/>
  <c r="AL348" i="15"/>
  <c r="AL349" i="15"/>
  <c r="AG348" i="15"/>
  <c r="AN349" i="15"/>
  <c r="AM349" i="15"/>
  <c r="AG349" i="15"/>
  <c r="AM352" i="15"/>
  <c r="AI348" i="15"/>
  <c r="AD349" i="15"/>
  <c r="AN350" i="15"/>
  <c r="AL351" i="15"/>
  <c r="AM351" i="15"/>
  <c r="AK348" i="15"/>
  <c r="AM350" i="15"/>
  <c r="AN351" i="15"/>
  <c r="AG350" i="15"/>
  <c r="AD348" i="15"/>
  <c r="AF351" i="15"/>
  <c r="AL352" i="15"/>
  <c r="AN352" i="15"/>
  <c r="AI349" i="15"/>
  <c r="AK353" i="15"/>
  <c r="AK351" i="15"/>
  <c r="AG352" i="15"/>
  <c r="AM353" i="15"/>
  <c r="AD351" i="15"/>
  <c r="AG351" i="15"/>
  <c r="AN353" i="15"/>
  <c r="AL350" i="15"/>
  <c r="AG353" i="15"/>
  <c r="AD352" i="15"/>
  <c r="AN355" i="15"/>
  <c r="AI351" i="15"/>
  <c r="AL353" i="15"/>
  <c r="AJ353" i="15" s="1"/>
  <c r="AL356" i="15"/>
  <c r="AK356" i="15"/>
  <c r="AL357" i="15"/>
  <c r="AL355" i="15"/>
  <c r="AD355" i="15"/>
  <c r="AG356" i="15"/>
  <c r="AN356" i="15"/>
  <c r="AF355" i="15"/>
  <c r="AN357" i="15"/>
  <c r="AF356" i="15"/>
  <c r="AF354" i="15"/>
  <c r="AE354" i="15" s="1"/>
  <c r="AI352" i="15"/>
  <c r="AK357" i="15"/>
  <c r="AG358" i="15"/>
  <c r="AF357" i="15"/>
  <c r="AG357" i="15"/>
  <c r="AN359" i="15"/>
  <c r="AN358" i="15"/>
  <c r="AK355" i="15"/>
  <c r="AD358" i="15"/>
  <c r="AG359" i="15"/>
  <c r="PC19" i="21"/>
  <c r="OV19" i="21" s="1"/>
  <c r="PC16" i="21"/>
  <c r="OV16" i="21" s="1"/>
  <c r="PC24" i="21"/>
  <c r="OV24" i="21" s="1"/>
  <c r="AD357" i="15"/>
  <c r="PC4" i="21"/>
  <c r="OV4" i="21" s="1"/>
  <c r="PC17" i="21"/>
  <c r="PC5" i="21"/>
  <c r="AK360" i="15"/>
  <c r="AJ360" i="15" s="1"/>
  <c r="PC20" i="21"/>
  <c r="PC25" i="21"/>
  <c r="OV25" i="21" s="1"/>
  <c r="AF358" i="15"/>
  <c r="AK359" i="15"/>
  <c r="AK358" i="15"/>
  <c r="AL358" i="15"/>
  <c r="AI357" i="15"/>
  <c r="AL359" i="15"/>
  <c r="AF362" i="15"/>
  <c r="AE362" i="15" s="1"/>
  <c r="AG361" i="15"/>
  <c r="AI358" i="15"/>
  <c r="AF361" i="15"/>
  <c r="AG360" i="15"/>
  <c r="AN362" i="15"/>
  <c r="AD360" i="15"/>
  <c r="AL363" i="15"/>
  <c r="AL362" i="15"/>
  <c r="AK363" i="15"/>
  <c r="AN363" i="15"/>
  <c r="AG362" i="15"/>
  <c r="AD362" i="15"/>
  <c r="AK362" i="15"/>
  <c r="AG363" i="15"/>
  <c r="AE363" i="15" s="1"/>
  <c r="AL364" i="15"/>
  <c r="AN364" i="15"/>
  <c r="AK364" i="15"/>
  <c r="AN365" i="15"/>
  <c r="AG364" i="15"/>
  <c r="AL366" i="15"/>
  <c r="AI363" i="15"/>
  <c r="AF364" i="15"/>
  <c r="AI362" i="15"/>
  <c r="AK366" i="15"/>
  <c r="AG365" i="15"/>
  <c r="AN366" i="15"/>
  <c r="AG367" i="15"/>
  <c r="AK367" i="15"/>
  <c r="AL365" i="15"/>
  <c r="AG366" i="15"/>
  <c r="AF366" i="15"/>
  <c r="AK365" i="15"/>
  <c r="AD366" i="15"/>
  <c r="AI366" i="15"/>
  <c r="AD363" i="15"/>
  <c r="AL3" i="15"/>
  <c r="AD354" i="15"/>
  <c r="AC354" i="15" s="1"/>
  <c r="AI350" i="15"/>
  <c r="AD350" i="15"/>
  <c r="AG3" i="15"/>
  <c r="AK352" i="15"/>
  <c r="AJ352" i="15" s="1"/>
  <c r="AF348" i="15"/>
  <c r="AK350" i="15"/>
  <c r="AF352" i="15"/>
  <c r="AE352" i="15" s="1"/>
  <c r="AC352" i="15" s="1"/>
  <c r="AD361" i="15"/>
  <c r="AK4" i="15"/>
  <c r="AI360" i="15"/>
  <c r="AI4" i="15"/>
  <c r="AI347" i="15"/>
  <c r="AF353" i="15"/>
  <c r="AE353" i="15" s="1"/>
  <c r="AP353" i="15" s="1"/>
  <c r="AN3" i="15"/>
  <c r="AI3" i="15"/>
  <c r="AF4" i="15"/>
  <c r="AD3" i="15"/>
  <c r="AL354" i="15"/>
  <c r="AI355" i="15"/>
  <c r="AI365" i="15"/>
  <c r="AD364" i="15"/>
  <c r="AD359" i="15"/>
  <c r="AI356" i="15"/>
  <c r="AI354" i="15"/>
  <c r="AK347" i="15"/>
  <c r="AN4" i="15"/>
  <c r="AG4" i="15"/>
  <c r="AM3" i="15"/>
  <c r="AD356" i="15"/>
  <c r="AD347" i="15"/>
  <c r="AI353" i="15"/>
  <c r="AK361" i="15"/>
  <c r="AM361" i="15"/>
  <c r="AL361" i="15"/>
  <c r="AK3" i="15"/>
  <c r="AI367" i="15"/>
  <c r="AI359" i="15"/>
  <c r="AI361" i="15"/>
  <c r="AM4" i="15"/>
  <c r="AF359" i="15"/>
  <c r="AE359" i="15" s="1"/>
  <c r="AK354" i="15"/>
  <c r="AJ354" i="15" s="1"/>
  <c r="AP354" i="15" s="1"/>
  <c r="AD367" i="15"/>
  <c r="AM366" i="15"/>
  <c r="AK349" i="15"/>
  <c r="AJ349" i="15" s="1"/>
  <c r="AG355" i="15"/>
  <c r="AE355" i="15" s="1"/>
  <c r="AL4" i="15"/>
  <c r="AI364" i="15"/>
  <c r="AD353" i="15"/>
  <c r="AC353" i="15" s="1"/>
  <c r="AF365" i="15"/>
  <c r="AM347" i="15"/>
  <c r="AF3" i="15"/>
  <c r="AM354" i="15"/>
  <c r="AF367" i="15"/>
  <c r="AF360" i="15"/>
  <c r="AM360" i="15"/>
  <c r="AD4" i="15"/>
  <c r="AL347" i="15"/>
  <c r="AD365" i="15"/>
  <c r="PB21" i="21"/>
  <c r="AE360" i="15" l="1"/>
  <c r="AJ359" i="15"/>
  <c r="AJ342" i="15"/>
  <c r="AO240" i="15"/>
  <c r="AO47" i="15"/>
  <c r="AO58" i="15"/>
  <c r="AE235" i="15"/>
  <c r="AC235" i="15" s="1"/>
  <c r="AP148" i="15"/>
  <c r="AE265" i="15"/>
  <c r="AC265" i="15" s="1"/>
  <c r="AO95" i="15"/>
  <c r="AJ364" i="15"/>
  <c r="AJ363" i="15"/>
  <c r="AP363" i="15" s="1"/>
  <c r="AE357" i="15"/>
  <c r="AE346" i="15"/>
  <c r="AC333" i="15"/>
  <c r="AE284" i="15"/>
  <c r="AC284" i="15" s="1"/>
  <c r="AE214" i="15"/>
  <c r="AC214" i="15" s="1"/>
  <c r="AE242" i="15"/>
  <c r="AC242" i="15" s="1"/>
  <c r="AC340" i="15"/>
  <c r="AJ158" i="15"/>
  <c r="AC315" i="15"/>
  <c r="AJ127" i="15"/>
  <c r="AE290" i="15"/>
  <c r="AE303" i="15"/>
  <c r="AP303" i="15" s="1"/>
  <c r="AC170" i="15"/>
  <c r="AJ60" i="15"/>
  <c r="AJ366" i="15"/>
  <c r="AP366" i="15" s="1"/>
  <c r="AE350" i="15"/>
  <c r="AC58" i="15"/>
  <c r="AE86" i="15"/>
  <c r="AC86" i="15" s="1"/>
  <c r="AJ293" i="15"/>
  <c r="AJ143" i="15"/>
  <c r="AH143" i="15" s="1"/>
  <c r="AE272" i="15"/>
  <c r="AE324" i="15"/>
  <c r="AC324" i="15" s="1"/>
  <c r="AJ159" i="15"/>
  <c r="AJ109" i="15"/>
  <c r="AC25" i="15"/>
  <c r="AO170" i="15"/>
  <c r="AO97" i="15"/>
  <c r="AJ321" i="15"/>
  <c r="AJ340" i="15"/>
  <c r="AP307" i="15"/>
  <c r="AJ46" i="15"/>
  <c r="AE233" i="15"/>
  <c r="AC233" i="15" s="1"/>
  <c r="AP359" i="15"/>
  <c r="AJ355" i="15"/>
  <c r="AE179" i="15"/>
  <c r="AP320" i="15"/>
  <c r="AC335" i="15"/>
  <c r="AP335" i="15"/>
  <c r="AC264" i="15"/>
  <c r="AE143" i="15"/>
  <c r="AC143" i="15" s="1"/>
  <c r="AO3" i="15"/>
  <c r="AJ358" i="15"/>
  <c r="AC345" i="15"/>
  <c r="AC148" i="15"/>
  <c r="AJ78" i="15"/>
  <c r="AJ350" i="15"/>
  <c r="AP350" i="15" s="1"/>
  <c r="AC363" i="15"/>
  <c r="AE341" i="15"/>
  <c r="AE305" i="15"/>
  <c r="AC305" i="15" s="1"/>
  <c r="AP116" i="15"/>
  <c r="AO236" i="15"/>
  <c r="AE306" i="15"/>
  <c r="AC306" i="15" s="1"/>
  <c r="AE26" i="15"/>
  <c r="AJ45" i="15"/>
  <c r="AJ250" i="15"/>
  <c r="AO191" i="15"/>
  <c r="AE245" i="15"/>
  <c r="AJ216" i="15"/>
  <c r="AO248" i="15"/>
  <c r="AH340" i="15"/>
  <c r="AC114" i="15"/>
  <c r="AJ81" i="15"/>
  <c r="AJ40" i="15"/>
  <c r="AO128" i="15"/>
  <c r="AE181" i="15"/>
  <c r="AP181" i="15" s="1"/>
  <c r="AJ365" i="15"/>
  <c r="AP235" i="15"/>
  <c r="AJ343" i="15"/>
  <c r="AC310" i="15"/>
  <c r="AJ215" i="15"/>
  <c r="AO53" i="15"/>
  <c r="AE366" i="15"/>
  <c r="AC366" i="15" s="1"/>
  <c r="AJ357" i="15"/>
  <c r="AE312" i="15"/>
  <c r="AC312" i="15" s="1"/>
  <c r="AP317" i="15"/>
  <c r="AP159" i="15"/>
  <c r="AO258" i="15"/>
  <c r="AE189" i="15"/>
  <c r="AJ155" i="15"/>
  <c r="AO120" i="15"/>
  <c r="AJ42" i="15"/>
  <c r="AJ204" i="15"/>
  <c r="AP204" i="15" s="1"/>
  <c r="AC362" i="15"/>
  <c r="AE356" i="15"/>
  <c r="AJ356" i="15"/>
  <c r="AH277" i="15"/>
  <c r="AP277" i="15"/>
  <c r="AP305" i="15"/>
  <c r="AH342" i="15"/>
  <c r="AO342" i="15"/>
  <c r="AE221" i="15"/>
  <c r="AC221" i="15" s="1"/>
  <c r="AE249" i="15"/>
  <c r="AC249" i="15" s="1"/>
  <c r="AC341" i="15"/>
  <c r="AE343" i="15"/>
  <c r="AE186" i="15"/>
  <c r="AC186" i="15" s="1"/>
  <c r="AP71" i="15"/>
  <c r="AJ341" i="15"/>
  <c r="AO340" i="15"/>
  <c r="AH337" i="15"/>
  <c r="AO337" i="15"/>
  <c r="AH110" i="15"/>
  <c r="AP110" i="15"/>
  <c r="AH130" i="15"/>
  <c r="AP130" i="15"/>
  <c r="AH101" i="15"/>
  <c r="AO54" i="15"/>
  <c r="AH54" i="15"/>
  <c r="AH89" i="15"/>
  <c r="AH78" i="15"/>
  <c r="AO66" i="15"/>
  <c r="AH32" i="15"/>
  <c r="AP32" i="15"/>
  <c r="AO315" i="15"/>
  <c r="AH315" i="15"/>
  <c r="AH149" i="15"/>
  <c r="AO141" i="15"/>
  <c r="AH59" i="15"/>
  <c r="AP59" i="15"/>
  <c r="AJ64" i="15"/>
  <c r="AE266" i="15"/>
  <c r="AC266" i="15" s="1"/>
  <c r="AH28" i="15"/>
  <c r="AO238" i="15"/>
  <c r="AC224" i="15"/>
  <c r="AH106" i="15"/>
  <c r="AH181" i="15"/>
  <c r="AO51" i="15"/>
  <c r="AH51" i="15"/>
  <c r="AH324" i="15"/>
  <c r="AP324" i="15"/>
  <c r="AP272" i="15"/>
  <c r="AJ267" i="15"/>
  <c r="AC81" i="15"/>
  <c r="AC95" i="15"/>
  <c r="AO305" i="15"/>
  <c r="AH305" i="15"/>
  <c r="AC66" i="15"/>
  <c r="AE232" i="15"/>
  <c r="AC232" i="15" s="1"/>
  <c r="AE279" i="15"/>
  <c r="AC279" i="15" s="1"/>
  <c r="AH240" i="15"/>
  <c r="AC37" i="15"/>
  <c r="AH120" i="15"/>
  <c r="AE248" i="15"/>
  <c r="AC248" i="15" s="1"/>
  <c r="AE313" i="15"/>
  <c r="AC313" i="15" s="1"/>
  <c r="AO44" i="15"/>
  <c r="AO234" i="15"/>
  <c r="AH234" i="15"/>
  <c r="AJ141" i="15"/>
  <c r="AP141" i="15" s="1"/>
  <c r="AE267" i="15"/>
  <c r="AC267" i="15" s="1"/>
  <c r="AH258" i="15"/>
  <c r="AP258" i="15"/>
  <c r="AH292" i="15"/>
  <c r="AE328" i="15"/>
  <c r="AC328" i="15" s="1"/>
  <c r="AC61" i="15"/>
  <c r="AJ306" i="15"/>
  <c r="AE174" i="15"/>
  <c r="AC174" i="15" s="1"/>
  <c r="AO289" i="15"/>
  <c r="AC102" i="15"/>
  <c r="AH147" i="15"/>
  <c r="AP147" i="15"/>
  <c r="AJ74" i="15"/>
  <c r="AE273" i="15"/>
  <c r="AC273" i="15" s="1"/>
  <c r="AO221" i="15"/>
  <c r="AH221" i="15"/>
  <c r="AO328" i="15"/>
  <c r="AP54" i="15"/>
  <c r="AC98" i="15"/>
  <c r="AH334" i="15"/>
  <c r="AO276" i="15"/>
  <c r="AE292" i="15"/>
  <c r="AC292" i="15" s="1"/>
  <c r="AJ175" i="15"/>
  <c r="AO139" i="15"/>
  <c r="AJ125" i="15"/>
  <c r="AH37" i="15"/>
  <c r="AP37" i="15"/>
  <c r="AH152" i="15"/>
  <c r="AJ220" i="15"/>
  <c r="AJ139" i="15"/>
  <c r="AE120" i="15"/>
  <c r="AC120" i="15" s="1"/>
  <c r="AE197" i="15"/>
  <c r="AC197" i="15" s="1"/>
  <c r="AO76" i="15"/>
  <c r="AE41" i="15"/>
  <c r="AC41" i="15" s="1"/>
  <c r="AO145" i="15"/>
  <c r="AH225" i="15"/>
  <c r="AE69" i="15"/>
  <c r="AC69" i="15" s="1"/>
  <c r="AH197" i="15"/>
  <c r="AJ177" i="15"/>
  <c r="AO125" i="15"/>
  <c r="AH98" i="15"/>
  <c r="AP98" i="15"/>
  <c r="AH131" i="15"/>
  <c r="AJ118" i="15"/>
  <c r="AJ205" i="15"/>
  <c r="AJ301" i="15"/>
  <c r="AO140" i="15"/>
  <c r="AE210" i="15"/>
  <c r="AC210" i="15" s="1"/>
  <c r="AJ153" i="15"/>
  <c r="AH128" i="15"/>
  <c r="AE161" i="15"/>
  <c r="AJ48" i="15"/>
  <c r="AO34" i="15"/>
  <c r="AH34" i="15"/>
  <c r="AE173" i="15"/>
  <c r="AC173" i="15" s="1"/>
  <c r="AO151" i="15"/>
  <c r="AJ24" i="15"/>
  <c r="AJ244" i="15"/>
  <c r="AE230" i="15"/>
  <c r="AC230" i="15" s="1"/>
  <c r="AO265" i="15"/>
  <c r="AJ132" i="15"/>
  <c r="AJ61" i="15"/>
  <c r="AJ189" i="15"/>
  <c r="AP189" i="15" s="1"/>
  <c r="AC181" i="15"/>
  <c r="AO336" i="15"/>
  <c r="AE361" i="15"/>
  <c r="AC357" i="15"/>
  <c r="AE347" i="15"/>
  <c r="AE344" i="15"/>
  <c r="AJ346" i="15"/>
  <c r="AP346" i="15" s="1"/>
  <c r="AP249" i="15"/>
  <c r="AP342" i="15"/>
  <c r="AE339" i="15"/>
  <c r="AC339" i="15" s="1"/>
  <c r="AO159" i="15"/>
  <c r="AH159" i="15"/>
  <c r="AO339" i="15"/>
  <c r="AH339" i="15"/>
  <c r="AH105" i="15"/>
  <c r="AP105" i="15"/>
  <c r="AH134" i="15"/>
  <c r="AO82" i="15"/>
  <c r="AH246" i="15"/>
  <c r="AO300" i="15"/>
  <c r="AE327" i="15"/>
  <c r="AC327" i="15" s="1"/>
  <c r="AH178" i="15"/>
  <c r="AP178" i="15"/>
  <c r="AO146" i="15"/>
  <c r="AO295" i="15"/>
  <c r="AH265" i="15"/>
  <c r="AP265" i="15"/>
  <c r="AO285" i="15"/>
  <c r="AH285" i="15"/>
  <c r="AO250" i="15"/>
  <c r="AH250" i="15"/>
  <c r="AO91" i="15"/>
  <c r="AH210" i="15"/>
  <c r="AH281" i="15"/>
  <c r="AH117" i="15"/>
  <c r="AP188" i="15"/>
  <c r="AH45" i="15"/>
  <c r="AO263" i="15"/>
  <c r="AH263" i="15"/>
  <c r="AC123" i="15"/>
  <c r="AO320" i="15"/>
  <c r="AH320" i="15"/>
  <c r="AO83" i="15"/>
  <c r="AJ275" i="15"/>
  <c r="AP275" i="15" s="1"/>
  <c r="AC63" i="15"/>
  <c r="AH287" i="15"/>
  <c r="AP287" i="15"/>
  <c r="AC245" i="15"/>
  <c r="AH38" i="15"/>
  <c r="AC294" i="15"/>
  <c r="AJ212" i="15"/>
  <c r="AP212" i="15" s="1"/>
  <c r="AH80" i="15"/>
  <c r="AH126" i="15"/>
  <c r="AJ311" i="15"/>
  <c r="AH216" i="15"/>
  <c r="AP216" i="15"/>
  <c r="AP73" i="15"/>
  <c r="AE97" i="15"/>
  <c r="AC97" i="15" s="1"/>
  <c r="AC270" i="15"/>
  <c r="AE268" i="15"/>
  <c r="AC268" i="15" s="1"/>
  <c r="AO132" i="15"/>
  <c r="AE215" i="15"/>
  <c r="AC215" i="15" s="1"/>
  <c r="AE199" i="15"/>
  <c r="AC199" i="15" s="1"/>
  <c r="AO280" i="15"/>
  <c r="AJ330" i="15"/>
  <c r="AH154" i="15"/>
  <c r="AP154" i="15"/>
  <c r="AO28" i="15"/>
  <c r="AE115" i="15"/>
  <c r="AC115" i="15" s="1"/>
  <c r="AO319" i="15"/>
  <c r="AH319" i="15"/>
  <c r="AH219" i="15"/>
  <c r="AO41" i="15"/>
  <c r="AJ115" i="15"/>
  <c r="AC47" i="15"/>
  <c r="AH58" i="15"/>
  <c r="AP58" i="15"/>
  <c r="AO299" i="15"/>
  <c r="AJ179" i="15"/>
  <c r="AO178" i="15"/>
  <c r="AH201" i="15"/>
  <c r="AP201" i="15"/>
  <c r="AO262" i="15"/>
  <c r="AO330" i="15"/>
  <c r="AE57" i="15"/>
  <c r="AC57" i="15" s="1"/>
  <c r="AE36" i="15"/>
  <c r="AO69" i="15"/>
  <c r="AC216" i="15"/>
  <c r="AO136" i="15"/>
  <c r="AJ146" i="15"/>
  <c r="AP146" i="15" s="1"/>
  <c r="AO288" i="15"/>
  <c r="AE43" i="15"/>
  <c r="AC43" i="15" s="1"/>
  <c r="AO81" i="15"/>
  <c r="AJ199" i="15"/>
  <c r="AO327" i="15"/>
  <c r="AJ196" i="15"/>
  <c r="AP108" i="15"/>
  <c r="AO334" i="15"/>
  <c r="AH29" i="15"/>
  <c r="AE196" i="15"/>
  <c r="AC196" i="15" s="1"/>
  <c r="AE44" i="15"/>
  <c r="AC44" i="15" s="1"/>
  <c r="AJ184" i="15"/>
  <c r="AC227" i="15"/>
  <c r="AE156" i="15"/>
  <c r="AC156" i="15" s="1"/>
  <c r="AO304" i="15"/>
  <c r="AJ310" i="15"/>
  <c r="AP310" i="15" s="1"/>
  <c r="AE111" i="15"/>
  <c r="AC111" i="15" s="1"/>
  <c r="AO361" i="15"/>
  <c r="AC347" i="15"/>
  <c r="AC359" i="15"/>
  <c r="AE367" i="15"/>
  <c r="AH359" i="15"/>
  <c r="AO359" i="15"/>
  <c r="AC356" i="15"/>
  <c r="AE348" i="15"/>
  <c r="AO366" i="15"/>
  <c r="AH366" i="15"/>
  <c r="AH358" i="15"/>
  <c r="AO358" i="15"/>
  <c r="AE358" i="15"/>
  <c r="AP358" i="15" s="1"/>
  <c r="AE351" i="15"/>
  <c r="AC351" i="15" s="1"/>
  <c r="AC346" i="15"/>
  <c r="AP228" i="15"/>
  <c r="AE263" i="15"/>
  <c r="AC263" i="15" s="1"/>
  <c r="AE319" i="15"/>
  <c r="AC319" i="15" s="1"/>
  <c r="AP339" i="15"/>
  <c r="AO338" i="15"/>
  <c r="AO188" i="15"/>
  <c r="AH188" i="15"/>
  <c r="AH102" i="15"/>
  <c r="AP102" i="15"/>
  <c r="AH168" i="15"/>
  <c r="AH313" i="15"/>
  <c r="AP313" i="15"/>
  <c r="AO36" i="15"/>
  <c r="AH41" i="15"/>
  <c r="AP41" i="15"/>
  <c r="AH164" i="15"/>
  <c r="AP164" i="15"/>
  <c r="AO272" i="15"/>
  <c r="AH272" i="15"/>
  <c r="AJ270" i="15"/>
  <c r="AH136" i="15"/>
  <c r="AP136" i="15"/>
  <c r="AH182" i="15"/>
  <c r="AC144" i="15"/>
  <c r="AH273" i="15"/>
  <c r="AP273" i="15"/>
  <c r="AH218" i="15"/>
  <c r="AH198" i="15"/>
  <c r="AC108" i="15"/>
  <c r="AO200" i="15"/>
  <c r="AH200" i="15"/>
  <c r="AE31" i="15"/>
  <c r="AC31" i="15" s="1"/>
  <c r="AC243" i="15"/>
  <c r="AC33" i="15"/>
  <c r="AO256" i="15"/>
  <c r="AH256" i="15"/>
  <c r="AC157" i="15"/>
  <c r="AC172" i="15"/>
  <c r="AE285" i="15"/>
  <c r="AC285" i="15" s="1"/>
  <c r="AO116" i="15"/>
  <c r="AH116" i="15"/>
  <c r="AJ233" i="15"/>
  <c r="AP233" i="15" s="1"/>
  <c r="AE139" i="15"/>
  <c r="AC139" i="15" s="1"/>
  <c r="AC84" i="15"/>
  <c r="AC276" i="15"/>
  <c r="AE331" i="15"/>
  <c r="AC331" i="15" s="1"/>
  <c r="AE125" i="15"/>
  <c r="AC125" i="15" s="1"/>
  <c r="AP268" i="15"/>
  <c r="AH63" i="15"/>
  <c r="AP63" i="15"/>
  <c r="AO298" i="15"/>
  <c r="AH298" i="15"/>
  <c r="AE329" i="15"/>
  <c r="AC329" i="15" s="1"/>
  <c r="AH327" i="15"/>
  <c r="AE283" i="15"/>
  <c r="AC283" i="15" s="1"/>
  <c r="AO323" i="15"/>
  <c r="AE240" i="15"/>
  <c r="AC240" i="15" s="1"/>
  <c r="AC160" i="15"/>
  <c r="AC77" i="15"/>
  <c r="AO172" i="15"/>
  <c r="AO147" i="15"/>
  <c r="AO161" i="15"/>
  <c r="AJ92" i="15"/>
  <c r="AP92" i="15" s="1"/>
  <c r="AO119" i="15"/>
  <c r="AE138" i="15"/>
  <c r="AC138" i="15" s="1"/>
  <c r="AO278" i="15"/>
  <c r="AO77" i="15"/>
  <c r="AJ237" i="15"/>
  <c r="AH266" i="15"/>
  <c r="AP266" i="15"/>
  <c r="AE198" i="15"/>
  <c r="AC198" i="15" s="1"/>
  <c r="AE99" i="15"/>
  <c r="AC99" i="15" s="1"/>
  <c r="AO142" i="15"/>
  <c r="AH142" i="15"/>
  <c r="AO301" i="15"/>
  <c r="AH173" i="15"/>
  <c r="AP173" i="15"/>
  <c r="AJ72" i="15"/>
  <c r="AP72" i="15" s="1"/>
  <c r="AO131" i="15"/>
  <c r="AO222" i="15"/>
  <c r="AJ304" i="15"/>
  <c r="AO307" i="15"/>
  <c r="AH307" i="15"/>
  <c r="AO37" i="15"/>
  <c r="AJ26" i="15"/>
  <c r="AO61" i="15"/>
  <c r="AC62" i="15"/>
  <c r="AO311" i="15"/>
  <c r="AO102" i="15"/>
  <c r="AO230" i="15"/>
  <c r="AE131" i="15"/>
  <c r="AC131" i="15" s="1"/>
  <c r="AC32" i="15"/>
  <c r="AE78" i="15"/>
  <c r="AC78" i="15" s="1"/>
  <c r="AE185" i="15"/>
  <c r="AC185" i="15" s="1"/>
  <c r="AJ77" i="15"/>
  <c r="AO169" i="15"/>
  <c r="AH169" i="15"/>
  <c r="AJ183" i="15"/>
  <c r="AP183" i="15" s="1"/>
  <c r="AE218" i="15"/>
  <c r="AC218" i="15" s="1"/>
  <c r="AO111" i="15"/>
  <c r="AJ137" i="15"/>
  <c r="AH280" i="15"/>
  <c r="AJ332" i="15"/>
  <c r="AO80" i="15"/>
  <c r="AO243" i="15"/>
  <c r="AO261" i="15"/>
  <c r="AP315" i="15"/>
  <c r="AJ269" i="15"/>
  <c r="AO174" i="15"/>
  <c r="AO324" i="15"/>
  <c r="AE107" i="15"/>
  <c r="AC107" i="15" s="1"/>
  <c r="AJ309" i="15"/>
  <c r="AP309" i="15" s="1"/>
  <c r="AO39" i="15"/>
  <c r="AE163" i="15"/>
  <c r="AC163" i="15" s="1"/>
  <c r="AE126" i="15"/>
  <c r="AC126" i="15" s="1"/>
  <c r="AO105" i="15"/>
  <c r="AJ241" i="15"/>
  <c r="AP241" i="15" s="1"/>
  <c r="AJ103" i="15"/>
  <c r="AO150" i="15"/>
  <c r="AO49" i="15"/>
  <c r="AH49" i="15"/>
  <c r="AO57" i="15"/>
  <c r="AO233" i="15"/>
  <c r="AO108" i="15"/>
  <c r="AH108" i="15"/>
  <c r="AO157" i="15"/>
  <c r="AH157" i="15"/>
  <c r="AH158" i="15"/>
  <c r="AP158" i="15"/>
  <c r="AH253" i="15"/>
  <c r="AP253" i="15"/>
  <c r="AO255" i="15"/>
  <c r="AH255" i="15"/>
  <c r="AO73" i="15"/>
  <c r="AH73" i="15"/>
  <c r="AO92" i="15"/>
  <c r="AO189" i="15"/>
  <c r="AC277" i="15"/>
  <c r="AH213" i="15"/>
  <c r="AP213" i="15"/>
  <c r="AC67" i="15"/>
  <c r="AO277" i="15"/>
  <c r="AC105" i="15"/>
  <c r="AO183" i="15"/>
  <c r="AH113" i="15"/>
  <c r="AP113" i="15"/>
  <c r="AH119" i="15"/>
  <c r="AH303" i="15"/>
  <c r="AH314" i="15"/>
  <c r="AP314" i="15"/>
  <c r="AO284" i="15"/>
  <c r="AC316" i="15"/>
  <c r="AC83" i="15"/>
  <c r="AC290" i="15"/>
  <c r="AC274" i="15"/>
  <c r="AC137" i="15"/>
  <c r="AJ187" i="15"/>
  <c r="AJ248" i="15"/>
  <c r="AP169" i="15"/>
  <c r="AH60" i="15"/>
  <c r="AP60" i="15"/>
  <c r="AH81" i="15"/>
  <c r="AP81" i="15"/>
  <c r="AO182" i="15"/>
  <c r="AJ39" i="15"/>
  <c r="AJ57" i="15"/>
  <c r="AO67" i="15"/>
  <c r="AE330" i="15"/>
  <c r="AC330" i="15" s="1"/>
  <c r="AE332" i="15"/>
  <c r="AH88" i="15"/>
  <c r="AP88" i="15"/>
  <c r="AH297" i="15"/>
  <c r="AC165" i="15"/>
  <c r="AO290" i="15"/>
  <c r="AE269" i="15"/>
  <c r="AC269" i="15" s="1"/>
  <c r="AE132" i="15"/>
  <c r="AC132" i="15" s="1"/>
  <c r="AE308" i="15"/>
  <c r="AC308" i="15" s="1"/>
  <c r="AO291" i="15"/>
  <c r="AH291" i="15"/>
  <c r="AO249" i="15"/>
  <c r="AH249" i="15"/>
  <c r="AO266" i="15"/>
  <c r="AO207" i="15"/>
  <c r="AJ85" i="15"/>
  <c r="AC231" i="15"/>
  <c r="AH22" i="15"/>
  <c r="AP22" i="15"/>
  <c r="AC135" i="15"/>
  <c r="AH40" i="15"/>
  <c r="AO313" i="15"/>
  <c r="AH68" i="15"/>
  <c r="AP68" i="15"/>
  <c r="AO251" i="15"/>
  <c r="AJ325" i="15"/>
  <c r="AH252" i="15"/>
  <c r="AO149" i="15"/>
  <c r="AE129" i="15"/>
  <c r="AC129" i="15" s="1"/>
  <c r="AO26" i="15"/>
  <c r="AJ50" i="15"/>
  <c r="AP50" i="15" s="1"/>
  <c r="AE149" i="15"/>
  <c r="AC149" i="15" s="1"/>
  <c r="AE168" i="15"/>
  <c r="AC168" i="15" s="1"/>
  <c r="AJ66" i="15"/>
  <c r="AP66" i="15" s="1"/>
  <c r="AJ294" i="15"/>
  <c r="AH278" i="15"/>
  <c r="AP278" i="15"/>
  <c r="AE225" i="15"/>
  <c r="AC225" i="15" s="1"/>
  <c r="AJ238" i="15"/>
  <c r="AO302" i="15"/>
  <c r="AJ174" i="15"/>
  <c r="AJ35" i="15"/>
  <c r="AO87" i="15"/>
  <c r="AH87" i="15"/>
  <c r="AH271" i="15"/>
  <c r="AE175" i="15"/>
  <c r="AC175" i="15" s="1"/>
  <c r="AO164" i="15"/>
  <c r="AE106" i="15"/>
  <c r="AP106" i="15" s="1"/>
  <c r="AE140" i="15"/>
  <c r="AO292" i="15"/>
  <c r="AJ111" i="15"/>
  <c r="AP111" i="15" s="1"/>
  <c r="AO348" i="15"/>
  <c r="AO344" i="15"/>
  <c r="AO72" i="15"/>
  <c r="AH72" i="15"/>
  <c r="AP343" i="15"/>
  <c r="AE338" i="15"/>
  <c r="AC338" i="15" s="1"/>
  <c r="AH222" i="15"/>
  <c r="AH206" i="15"/>
  <c r="AP206" i="15"/>
  <c r="AH99" i="15"/>
  <c r="AP99" i="15"/>
  <c r="AH261" i="15"/>
  <c r="AP261" i="15"/>
  <c r="AO242" i="15"/>
  <c r="AH242" i="15"/>
  <c r="AO184" i="15"/>
  <c r="AH184" i="15"/>
  <c r="AO239" i="15"/>
  <c r="AH239" i="15"/>
  <c r="AO35" i="15"/>
  <c r="AH35" i="15"/>
  <c r="AO86" i="15"/>
  <c r="AO84" i="15"/>
  <c r="AO317" i="15"/>
  <c r="AH317" i="15"/>
  <c r="AH107" i="15"/>
  <c r="AP107" i="15"/>
  <c r="AH274" i="15"/>
  <c r="AP274" i="15"/>
  <c r="AO231" i="15"/>
  <c r="AE323" i="15"/>
  <c r="AC323" i="15" s="1"/>
  <c r="AH185" i="15"/>
  <c r="AP185" i="15"/>
  <c r="AH293" i="15"/>
  <c r="AH215" i="15"/>
  <c r="AP215" i="15"/>
  <c r="AC39" i="15"/>
  <c r="AE252" i="15"/>
  <c r="AC252" i="15" s="1"/>
  <c r="AE87" i="15"/>
  <c r="AC87" i="15" s="1"/>
  <c r="AE280" i="15"/>
  <c r="AC280" i="15" s="1"/>
  <c r="AJ283" i="15"/>
  <c r="AE251" i="15"/>
  <c r="AC251" i="15" s="1"/>
  <c r="AC272" i="15"/>
  <c r="AP326" i="15"/>
  <c r="AE167" i="15"/>
  <c r="AC167" i="15" s="1"/>
  <c r="AO88" i="15"/>
  <c r="AE302" i="15"/>
  <c r="AC302" i="15" s="1"/>
  <c r="AO94" i="15"/>
  <c r="AJ160" i="15"/>
  <c r="AC288" i="15"/>
  <c r="AO331" i="15"/>
  <c r="AC301" i="15"/>
  <c r="AE194" i="15"/>
  <c r="AC194" i="15" s="1"/>
  <c r="AO133" i="15"/>
  <c r="AE295" i="15"/>
  <c r="AC295" i="15" s="1"/>
  <c r="AJ93" i="15"/>
  <c r="AO314" i="15"/>
  <c r="AC46" i="15"/>
  <c r="AE281" i="15"/>
  <c r="AC281" i="15" s="1"/>
  <c r="AC50" i="15"/>
  <c r="AE220" i="15"/>
  <c r="AC220" i="15" s="1"/>
  <c r="AE259" i="15"/>
  <c r="AC259" i="15" s="1"/>
  <c r="AO46" i="15"/>
  <c r="AE322" i="15"/>
  <c r="AC322" i="15" s="1"/>
  <c r="AJ247" i="15"/>
  <c r="AJ336" i="15"/>
  <c r="AO113" i="15"/>
  <c r="AJ150" i="15"/>
  <c r="AP49" i="15"/>
  <c r="AO40" i="15"/>
  <c r="AO177" i="15"/>
  <c r="AO42" i="15"/>
  <c r="AH123" i="15"/>
  <c r="AP123" i="15"/>
  <c r="AJ223" i="15"/>
  <c r="AH23" i="15"/>
  <c r="AO211" i="15"/>
  <c r="AJ163" i="15"/>
  <c r="AJ323" i="15"/>
  <c r="AO129" i="15"/>
  <c r="AH129" i="15"/>
  <c r="AJ44" i="15"/>
  <c r="AH226" i="15"/>
  <c r="AE134" i="15"/>
  <c r="AC134" i="15" s="1"/>
  <c r="AC109" i="15"/>
  <c r="AO144" i="15"/>
  <c r="AO252" i="15"/>
  <c r="AC193" i="15"/>
  <c r="AJ31" i="15"/>
  <c r="AC60" i="15"/>
  <c r="AJ276" i="15"/>
  <c r="AE101" i="15"/>
  <c r="AC101" i="15" s="1"/>
  <c r="AE191" i="15"/>
  <c r="AC191" i="15" s="1"/>
  <c r="AJ161" i="15"/>
  <c r="AO245" i="15"/>
  <c r="AE182" i="15"/>
  <c r="AC182" i="15" s="1"/>
  <c r="AO318" i="15"/>
  <c r="AH318" i="15"/>
  <c r="AJ75" i="15"/>
  <c r="AO65" i="15"/>
  <c r="AO99" i="15"/>
  <c r="AJ86" i="15"/>
  <c r="AP86" i="15" s="1"/>
  <c r="AE219" i="15"/>
  <c r="AC219" i="15" s="1"/>
  <c r="AO237" i="15"/>
  <c r="AJ300" i="15"/>
  <c r="AP300" i="15" s="1"/>
  <c r="AJ202" i="15"/>
  <c r="AE28" i="15"/>
  <c r="AC28" i="15" s="1"/>
  <c r="AO25" i="15"/>
  <c r="AO282" i="15"/>
  <c r="AJ145" i="15"/>
  <c r="AH360" i="15"/>
  <c r="AO360" i="15"/>
  <c r="AC350" i="15"/>
  <c r="AO362" i="15"/>
  <c r="AP360" i="15"/>
  <c r="AP357" i="15"/>
  <c r="AC355" i="15"/>
  <c r="AJ351" i="15"/>
  <c r="AP351" i="15" s="1"/>
  <c r="AP333" i="15"/>
  <c r="AC344" i="15"/>
  <c r="AP242" i="15"/>
  <c r="AP186" i="15"/>
  <c r="AH214" i="15"/>
  <c r="AP214" i="15"/>
  <c r="AH229" i="15"/>
  <c r="AO229" i="15"/>
  <c r="AO104" i="15"/>
  <c r="AH104" i="15"/>
  <c r="AO167" i="15"/>
  <c r="AH167" i="15"/>
  <c r="AH96" i="15"/>
  <c r="AH176" i="15"/>
  <c r="AP176" i="15"/>
  <c r="AO235" i="15"/>
  <c r="AH235" i="15"/>
  <c r="AO52" i="15"/>
  <c r="AH52" i="15"/>
  <c r="AJ165" i="15"/>
  <c r="AH109" i="15"/>
  <c r="AP109" i="15"/>
  <c r="AC130" i="15"/>
  <c r="AC88" i="15"/>
  <c r="AH97" i="15"/>
  <c r="AP97" i="15"/>
  <c r="AC26" i="15"/>
  <c r="AC309" i="15"/>
  <c r="AO63" i="15"/>
  <c r="AH296" i="15"/>
  <c r="AC85" i="15"/>
  <c r="AO293" i="15"/>
  <c r="AE236" i="15"/>
  <c r="AC236" i="15" s="1"/>
  <c r="AE257" i="15"/>
  <c r="AC257" i="15" s="1"/>
  <c r="AE255" i="15"/>
  <c r="AC255" i="15" s="1"/>
  <c r="AE262" i="15"/>
  <c r="AC262" i="15" s="1"/>
  <c r="AO294" i="15"/>
  <c r="AJ194" i="15"/>
  <c r="AH95" i="15"/>
  <c r="AP95" i="15"/>
  <c r="AO209" i="15"/>
  <c r="AH209" i="15"/>
  <c r="AJ43" i="15"/>
  <c r="AP43" i="15" s="1"/>
  <c r="AH302" i="15"/>
  <c r="AP302" i="15"/>
  <c r="AE119" i="15"/>
  <c r="AC119" i="15" s="1"/>
  <c r="AH47" i="15"/>
  <c r="AP47" i="15"/>
  <c r="AJ290" i="15"/>
  <c r="AC24" i="15"/>
  <c r="AC189" i="15"/>
  <c r="AE334" i="15"/>
  <c r="AC334" i="15" s="1"/>
  <c r="AO259" i="15"/>
  <c r="AH259" i="15"/>
  <c r="AO180" i="15"/>
  <c r="AJ227" i="15"/>
  <c r="AO228" i="15"/>
  <c r="AH228" i="15"/>
  <c r="AH171" i="15"/>
  <c r="AP171" i="15"/>
  <c r="AO303" i="15"/>
  <c r="AC52" i="15"/>
  <c r="AO326" i="15"/>
  <c r="AH326" i="15"/>
  <c r="AE217" i="15"/>
  <c r="AC217" i="15" s="1"/>
  <c r="AJ208" i="15"/>
  <c r="AO254" i="15"/>
  <c r="AC180" i="15"/>
  <c r="AO179" i="15"/>
  <c r="AH135" i="15"/>
  <c r="AP135" i="15"/>
  <c r="AO130" i="15"/>
  <c r="AE299" i="15"/>
  <c r="AC299" i="15" s="1"/>
  <c r="AE293" i="15"/>
  <c r="AC293" i="15" s="1"/>
  <c r="AO31" i="15"/>
  <c r="AO163" i="15"/>
  <c r="AC74" i="15"/>
  <c r="AE45" i="15"/>
  <c r="AC45" i="15" s="1"/>
  <c r="AO286" i="15"/>
  <c r="AH286" i="15"/>
  <c r="AC282" i="15"/>
  <c r="AE112" i="15"/>
  <c r="AC112" i="15" s="1"/>
  <c r="AP259" i="15"/>
  <c r="AP155" i="15"/>
  <c r="AO287" i="15"/>
  <c r="AO112" i="15"/>
  <c r="AO199" i="15"/>
  <c r="AJ84" i="15"/>
  <c r="AP84" i="15" s="1"/>
  <c r="AO71" i="15"/>
  <c r="AH71" i="15"/>
  <c r="AO38" i="15"/>
  <c r="AP129" i="15"/>
  <c r="AH21" i="15"/>
  <c r="AP21" i="15"/>
  <c r="AO29" i="15"/>
  <c r="AO85" i="15"/>
  <c r="AE150" i="15"/>
  <c r="AC150" i="15" s="1"/>
  <c r="AO148" i="15"/>
  <c r="AH148" i="15"/>
  <c r="AJ243" i="15"/>
  <c r="AP243" i="15" s="1"/>
  <c r="AH42" i="15"/>
  <c r="AH112" i="15"/>
  <c r="AJ299" i="15"/>
  <c r="AE103" i="15"/>
  <c r="AC103" i="15" s="1"/>
  <c r="AJ124" i="15"/>
  <c r="AO126" i="15"/>
  <c r="AC118" i="15"/>
  <c r="AJ328" i="15"/>
  <c r="AJ140" i="15"/>
  <c r="AO45" i="15"/>
  <c r="AO205" i="15"/>
  <c r="AO79" i="15"/>
  <c r="AJ295" i="15"/>
  <c r="AJ53" i="15"/>
  <c r="AH321" i="15"/>
  <c r="AP321" i="15"/>
  <c r="AE38" i="15"/>
  <c r="AC38" i="15" s="1"/>
  <c r="AE29" i="15"/>
  <c r="AC29" i="15" s="1"/>
  <c r="AE121" i="15"/>
  <c r="AC121" i="15" s="1"/>
  <c r="AJ322" i="15"/>
  <c r="AC171" i="15"/>
  <c r="AE35" i="15"/>
  <c r="AC35" i="15" s="1"/>
  <c r="AJ231" i="15"/>
  <c r="AP231" i="15" s="1"/>
  <c r="AO226" i="15"/>
  <c r="AO210" i="15"/>
  <c r="AH364" i="15"/>
  <c r="AO364" i="15"/>
  <c r="AO353" i="15"/>
  <c r="AH353" i="15"/>
  <c r="AO356" i="15"/>
  <c r="AH356" i="15"/>
  <c r="AH365" i="15"/>
  <c r="AO365" i="15"/>
  <c r="AO347" i="15"/>
  <c r="AO351" i="15"/>
  <c r="AE3" i="15"/>
  <c r="AC3" i="15" s="1"/>
  <c r="AH355" i="15"/>
  <c r="AO355" i="15"/>
  <c r="AC367" i="15"/>
  <c r="AE365" i="15"/>
  <c r="AP365" i="15" s="1"/>
  <c r="AJ347" i="15"/>
  <c r="AP347" i="15" s="1"/>
  <c r="AJ4" i="15"/>
  <c r="AH4" i="15" s="1"/>
  <c r="AH350" i="15"/>
  <c r="AO350" i="15"/>
  <c r="AE364" i="15"/>
  <c r="AC364" i="15" s="1"/>
  <c r="AC360" i="15"/>
  <c r="AO357" i="15"/>
  <c r="AH357" i="15"/>
  <c r="AC358" i="15"/>
  <c r="AO352" i="15"/>
  <c r="AH352" i="15"/>
  <c r="AE349" i="15"/>
  <c r="AC349" i="15" s="1"/>
  <c r="AH346" i="15"/>
  <c r="AO346" i="15"/>
  <c r="AP221" i="15"/>
  <c r="AO343" i="15"/>
  <c r="AH343" i="15"/>
  <c r="AE298" i="15"/>
  <c r="AC298" i="15" s="1"/>
  <c r="AP340" i="15"/>
  <c r="AE256" i="15"/>
  <c r="AC256" i="15" s="1"/>
  <c r="AH62" i="15"/>
  <c r="AP62" i="15"/>
  <c r="AE337" i="15"/>
  <c r="AC337" i="15" s="1"/>
  <c r="AO43" i="15"/>
  <c r="AH43" i="15"/>
  <c r="AH170" i="15"/>
  <c r="AP170" i="15"/>
  <c r="AH56" i="15"/>
  <c r="AP56" i="15"/>
  <c r="AH166" i="15"/>
  <c r="AP166" i="15"/>
  <c r="AH100" i="15"/>
  <c r="AH46" i="15"/>
  <c r="AP46" i="15"/>
  <c r="AH180" i="15"/>
  <c r="AP180" i="15"/>
  <c r="AO297" i="15"/>
  <c r="AO55" i="15"/>
  <c r="AH55" i="15"/>
  <c r="AJ207" i="15"/>
  <c r="AO155" i="15"/>
  <c r="AH155" i="15"/>
  <c r="AH335" i="15"/>
  <c r="AO335" i="15"/>
  <c r="AO308" i="15"/>
  <c r="AH308" i="15"/>
  <c r="AH151" i="15"/>
  <c r="AP151" i="15"/>
  <c r="AO310" i="15"/>
  <c r="AH310" i="15"/>
  <c r="AH232" i="15"/>
  <c r="AP232" i="15"/>
  <c r="AJ289" i="15"/>
  <c r="AO225" i="15"/>
  <c r="AH65" i="15"/>
  <c r="AP65" i="15"/>
  <c r="AC179" i="15"/>
  <c r="AC241" i="15"/>
  <c r="AC211" i="15"/>
  <c r="AO154" i="15"/>
  <c r="AJ94" i="15"/>
  <c r="AE192" i="15"/>
  <c r="AC192" i="15" s="1"/>
  <c r="AC300" i="15"/>
  <c r="AC140" i="15"/>
  <c r="AC321" i="15"/>
  <c r="AC151" i="15"/>
  <c r="AO220" i="15"/>
  <c r="AO332" i="15"/>
  <c r="AJ254" i="15"/>
  <c r="AH230" i="15"/>
  <c r="AP230" i="15"/>
  <c r="AJ224" i="15"/>
  <c r="AO204" i="15"/>
  <c r="AH204" i="15"/>
  <c r="AJ172" i="15"/>
  <c r="AE239" i="15"/>
  <c r="AC239" i="15" s="1"/>
  <c r="AC154" i="15"/>
  <c r="AO257" i="15"/>
  <c r="AH264" i="15"/>
  <c r="AP264" i="15"/>
  <c r="AE271" i="15"/>
  <c r="AP271" i="15" s="1"/>
  <c r="AO268" i="15"/>
  <c r="AH268" i="15"/>
  <c r="AO306" i="15"/>
  <c r="AE250" i="15"/>
  <c r="AC250" i="15" s="1"/>
  <c r="AE260" i="15"/>
  <c r="AC260" i="15" s="1"/>
  <c r="AH27" i="15"/>
  <c r="AP27" i="15"/>
  <c r="AE246" i="15"/>
  <c r="AC246" i="15" s="1"/>
  <c r="AH76" i="15"/>
  <c r="AO33" i="15"/>
  <c r="AO100" i="15"/>
  <c r="AC304" i="15"/>
  <c r="AH121" i="15"/>
  <c r="AC53" i="15"/>
  <c r="AH195" i="15"/>
  <c r="AP195" i="15"/>
  <c r="AP167" i="15"/>
  <c r="AO160" i="15"/>
  <c r="AE318" i="15"/>
  <c r="AC318" i="15" s="1"/>
  <c r="AC153" i="15"/>
  <c r="AO275" i="15"/>
  <c r="AH275" i="15"/>
  <c r="AE30" i="15"/>
  <c r="AC30" i="15" s="1"/>
  <c r="AE76" i="15"/>
  <c r="AC76" i="15" s="1"/>
  <c r="AH162" i="15"/>
  <c r="AP162" i="15"/>
  <c r="AH191" i="15"/>
  <c r="AP191" i="15"/>
  <c r="AE96" i="15"/>
  <c r="AC96" i="15" s="1"/>
  <c r="AO203" i="15"/>
  <c r="AO101" i="15"/>
  <c r="AO90" i="15"/>
  <c r="AO135" i="15"/>
  <c r="AE222" i="15"/>
  <c r="AC222" i="15" s="1"/>
  <c r="AE152" i="15"/>
  <c r="AC152" i="15" s="1"/>
  <c r="AO70" i="15"/>
  <c r="AJ79" i="15"/>
  <c r="AC158" i="15"/>
  <c r="AO127" i="15"/>
  <c r="AH127" i="15"/>
  <c r="AE89" i="15"/>
  <c r="AC89" i="15" s="1"/>
  <c r="AE94" i="15"/>
  <c r="AC94" i="15" s="1"/>
  <c r="AH288" i="15"/>
  <c r="AP288" i="15"/>
  <c r="AJ251" i="15"/>
  <c r="AC68" i="15"/>
  <c r="AO260" i="15"/>
  <c r="AH260" i="15"/>
  <c r="AO216" i="15"/>
  <c r="AE100" i="15"/>
  <c r="AC100" i="15" s="1"/>
  <c r="AJ91" i="15"/>
  <c r="AP91" i="15" s="1"/>
  <c r="AO143" i="15"/>
  <c r="AO208" i="15"/>
  <c r="AJ69" i="15"/>
  <c r="AP69" i="15" s="1"/>
  <c r="AE93" i="15"/>
  <c r="AC93" i="15" s="1"/>
  <c r="AE177" i="15"/>
  <c r="AC177" i="15" s="1"/>
  <c r="AJ133" i="15"/>
  <c r="PB22" i="21"/>
  <c r="OV22" i="21" s="1"/>
  <c r="OV6" i="21"/>
  <c r="AO367" i="15"/>
  <c r="AP352" i="15"/>
  <c r="AC348" i="15"/>
  <c r="AL367" i="15"/>
  <c r="AJ367" i="15" s="1"/>
  <c r="AH367" i="15" s="1"/>
  <c r="OV21" i="21"/>
  <c r="PB31" i="21"/>
  <c r="PC31" i="21" s="1"/>
  <c r="PB23" i="21"/>
  <c r="OV23" i="21" s="1"/>
  <c r="AJ3" i="15"/>
  <c r="AO4" i="15"/>
  <c r="AJ361" i="15"/>
  <c r="AP361" i="15" s="1"/>
  <c r="AO354" i="15"/>
  <c r="AH354" i="15"/>
  <c r="AE4" i="15"/>
  <c r="AC4" i="15" s="1"/>
  <c r="AC361" i="15"/>
  <c r="AH363" i="15"/>
  <c r="AO363" i="15"/>
  <c r="AJ362" i="15"/>
  <c r="AP362" i="15" s="1"/>
  <c r="AP355" i="15"/>
  <c r="AO349" i="15"/>
  <c r="AH349" i="15"/>
  <c r="AJ348" i="15"/>
  <c r="AP348" i="15" s="1"/>
  <c r="AO345" i="15"/>
  <c r="AP312" i="15"/>
  <c r="AJ344" i="15"/>
  <c r="AP344" i="15" s="1"/>
  <c r="AC343" i="15"/>
  <c r="AH341" i="15"/>
  <c r="AO341" i="15"/>
  <c r="AH284" i="15"/>
  <c r="AP284" i="15"/>
  <c r="AJ345" i="15"/>
  <c r="AP345" i="15" s="1"/>
  <c r="AE291" i="15"/>
  <c r="AC291" i="15" s="1"/>
  <c r="AC342" i="15"/>
  <c r="AJ338" i="15"/>
  <c r="AP338" i="15" s="1"/>
  <c r="AO115" i="15"/>
  <c r="AH115" i="15"/>
  <c r="AH90" i="15"/>
  <c r="AP90" i="15"/>
  <c r="AO50" i="15"/>
  <c r="AH50" i="15"/>
  <c r="AO274" i="15"/>
  <c r="AH67" i="15"/>
  <c r="AP67" i="15"/>
  <c r="AH203" i="15"/>
  <c r="AP203" i="15"/>
  <c r="AH193" i="15"/>
  <c r="AP193" i="15"/>
  <c r="AO30" i="15"/>
  <c r="AH30" i="15"/>
  <c r="AH282" i="15"/>
  <c r="AP282" i="15"/>
  <c r="AO329" i="15"/>
  <c r="AH329" i="15"/>
  <c r="AE296" i="15"/>
  <c r="AC296" i="15" s="1"/>
  <c r="AH192" i="15"/>
  <c r="AP192" i="15"/>
  <c r="AH144" i="15"/>
  <c r="AP144" i="15"/>
  <c r="AO279" i="15"/>
  <c r="AO122" i="15"/>
  <c r="AH122" i="15"/>
  <c r="AH190" i="15"/>
  <c r="AP190" i="15"/>
  <c r="AH70" i="15"/>
  <c r="AP70" i="15"/>
  <c r="AC332" i="15"/>
  <c r="AJ262" i="15"/>
  <c r="AH33" i="15"/>
  <c r="AP33" i="15"/>
  <c r="AC36" i="15"/>
  <c r="AO214" i="15"/>
  <c r="AC207" i="15"/>
  <c r="AO309" i="15"/>
  <c r="AH309" i="15"/>
  <c r="AJ331" i="15"/>
  <c r="AO212" i="15"/>
  <c r="AH212" i="15"/>
  <c r="AE226" i="15"/>
  <c r="AC226" i="15" s="1"/>
  <c r="AO333" i="15"/>
  <c r="AH333" i="15"/>
  <c r="AP142" i="15"/>
  <c r="AO312" i="15"/>
  <c r="AH312" i="15"/>
  <c r="AO117" i="15"/>
  <c r="AJ279" i="15"/>
  <c r="AP279" i="15" s="1"/>
  <c r="AH316" i="15"/>
  <c r="AP316" i="15"/>
  <c r="AE117" i="15"/>
  <c r="AP117" i="15" s="1"/>
  <c r="AE244" i="15"/>
  <c r="AC244" i="15" s="1"/>
  <c r="AE297" i="15"/>
  <c r="AC297" i="15" s="1"/>
  <c r="AJ245" i="15"/>
  <c r="AP245" i="15" s="1"/>
  <c r="AO241" i="15"/>
  <c r="AH241" i="15"/>
  <c r="AC161" i="15"/>
  <c r="AE325" i="15"/>
  <c r="AC325" i="15" s="1"/>
  <c r="AC147" i="15"/>
  <c r="AJ36" i="15"/>
  <c r="AP36" i="15" s="1"/>
  <c r="AE80" i="15"/>
  <c r="AC80" i="15" s="1"/>
  <c r="AC106" i="15"/>
  <c r="AE286" i="15"/>
  <c r="AC286" i="15" s="1"/>
  <c r="AJ257" i="15"/>
  <c r="AJ83" i="15"/>
  <c r="AP83" i="15" s="1"/>
  <c r="AO223" i="15"/>
  <c r="AE75" i="15"/>
  <c r="AC75" i="15" s="1"/>
  <c r="AE254" i="15"/>
  <c r="AC254" i="15" s="1"/>
  <c r="AE48" i="15"/>
  <c r="AC48" i="15" s="1"/>
  <c r="AC104" i="15"/>
  <c r="AO186" i="15"/>
  <c r="AH186" i="15"/>
  <c r="AH25" i="15"/>
  <c r="AP25" i="15"/>
  <c r="AE42" i="15"/>
  <c r="AC42" i="15" s="1"/>
  <c r="AC209" i="15"/>
  <c r="AO215" i="15"/>
  <c r="AP209" i="15"/>
  <c r="AO103" i="15"/>
  <c r="AE23" i="15"/>
  <c r="AC23" i="15" s="1"/>
  <c r="AO118" i="15"/>
  <c r="AJ217" i="15"/>
  <c r="AO23" i="15"/>
  <c r="AE64" i="15"/>
  <c r="AC64" i="15" s="1"/>
  <c r="AH138" i="15"/>
  <c r="AP138" i="15"/>
  <c r="AO166" i="15"/>
  <c r="AO114" i="15"/>
  <c r="AH236" i="15"/>
  <c r="AP236" i="15"/>
  <c r="AJ114" i="15"/>
  <c r="AO296" i="15"/>
  <c r="AJ156" i="15"/>
  <c r="AO321" i="15"/>
  <c r="AJ82" i="15"/>
  <c r="AP82" i="15" s="1"/>
  <c r="AO98" i="15"/>
  <c r="AE55" i="15"/>
  <c r="AC55" i="15" s="1"/>
  <c r="AO224" i="15"/>
  <c r="AO196" i="15"/>
  <c r="AO56" i="15"/>
  <c r="AO195" i="15"/>
  <c r="AO138" i="15"/>
  <c r="AE127" i="15"/>
  <c r="AC127" i="15" s="1"/>
  <c r="AJ211" i="15"/>
  <c r="AP211" i="15" s="1"/>
  <c r="AE128" i="15"/>
  <c r="AC128" i="15" s="1"/>
  <c r="AE40" i="15"/>
  <c r="AC40" i="15" s="1"/>
  <c r="AO153" i="15"/>
  <c r="AE184" i="15"/>
  <c r="AC184" i="15" s="1"/>
  <c r="AP57" i="15" l="1"/>
  <c r="AH183" i="15"/>
  <c r="AP257" i="15"/>
  <c r="AH347" i="15"/>
  <c r="AP252" i="15"/>
  <c r="AC303" i="15"/>
  <c r="AP327" i="15"/>
  <c r="AH279" i="15"/>
  <c r="AP364" i="15"/>
  <c r="AP44" i="15"/>
  <c r="AP143" i="15"/>
  <c r="AP197" i="15"/>
  <c r="AC271" i="15"/>
  <c r="AP30" i="15"/>
  <c r="AP218" i="15"/>
  <c r="AH141" i="15"/>
  <c r="AP356" i="15"/>
  <c r="AP308" i="15"/>
  <c r="AP286" i="15"/>
  <c r="AP121" i="15"/>
  <c r="AP292" i="15"/>
  <c r="AH257" i="15"/>
  <c r="AP341" i="15"/>
  <c r="AH57" i="15"/>
  <c r="AH224" i="15"/>
  <c r="AP224" i="15"/>
  <c r="AP349" i="15"/>
  <c r="AH328" i="15"/>
  <c r="AP328" i="15"/>
  <c r="AP42" i="15"/>
  <c r="AH194" i="15"/>
  <c r="AP194" i="15"/>
  <c r="AP296" i="15"/>
  <c r="AH245" i="15"/>
  <c r="AH223" i="15"/>
  <c r="AP223" i="15"/>
  <c r="AC117" i="15"/>
  <c r="AH269" i="15"/>
  <c r="AP269" i="15"/>
  <c r="AH77" i="15"/>
  <c r="AP77" i="15"/>
  <c r="AP126" i="15"/>
  <c r="AP298" i="15"/>
  <c r="AP152" i="15"/>
  <c r="AP149" i="15"/>
  <c r="AP78" i="15"/>
  <c r="AH114" i="15"/>
  <c r="AP114" i="15"/>
  <c r="AH217" i="15"/>
  <c r="AP217" i="15"/>
  <c r="AH207" i="15"/>
  <c r="AP207" i="15"/>
  <c r="AP260" i="15"/>
  <c r="AH145" i="15"/>
  <c r="AP145" i="15"/>
  <c r="AH336" i="15"/>
  <c r="AP336" i="15"/>
  <c r="AP40" i="15"/>
  <c r="AP119" i="15"/>
  <c r="AH137" i="15"/>
  <c r="AP137" i="15"/>
  <c r="AP367" i="15"/>
  <c r="AP115" i="15"/>
  <c r="AH82" i="15"/>
  <c r="AH61" i="15"/>
  <c r="AP61" i="15"/>
  <c r="AP334" i="15"/>
  <c r="AH74" i="15"/>
  <c r="AP74" i="15"/>
  <c r="AP240" i="15"/>
  <c r="AH133" i="15"/>
  <c r="AP133" i="15"/>
  <c r="AP100" i="15"/>
  <c r="AP4" i="15"/>
  <c r="AH53" i="15"/>
  <c r="AP53" i="15"/>
  <c r="AP96" i="15"/>
  <c r="AH161" i="15"/>
  <c r="AP161" i="15"/>
  <c r="AH323" i="15"/>
  <c r="AP323" i="15"/>
  <c r="AH247" i="15"/>
  <c r="AP247" i="15"/>
  <c r="AH294" i="15"/>
  <c r="AP294" i="15"/>
  <c r="AP127" i="15"/>
  <c r="AH111" i="15"/>
  <c r="AH26" i="15"/>
  <c r="AP26" i="15"/>
  <c r="AH36" i="15"/>
  <c r="AP263" i="15"/>
  <c r="AH196" i="15"/>
  <c r="AP196" i="15"/>
  <c r="AP80" i="15"/>
  <c r="AP281" i="15"/>
  <c r="AH132" i="15"/>
  <c r="AP132" i="15"/>
  <c r="AH301" i="15"/>
  <c r="AP301" i="15"/>
  <c r="AH177" i="15"/>
  <c r="AP177" i="15"/>
  <c r="AH44" i="15"/>
  <c r="AH64" i="15"/>
  <c r="AP64" i="15"/>
  <c r="AP89" i="15"/>
  <c r="AP76" i="15"/>
  <c r="AH254" i="15"/>
  <c r="AP254" i="15"/>
  <c r="AP94" i="15"/>
  <c r="AH289" i="15"/>
  <c r="AP289" i="15"/>
  <c r="AH351" i="15"/>
  <c r="AH295" i="15"/>
  <c r="AP295" i="15"/>
  <c r="AH124" i="15"/>
  <c r="AP124" i="15"/>
  <c r="AH165" i="15"/>
  <c r="AP165" i="15"/>
  <c r="AH163" i="15"/>
  <c r="AP163" i="15"/>
  <c r="AH160" i="15"/>
  <c r="AP160" i="15"/>
  <c r="AH231" i="15"/>
  <c r="AH84" i="15"/>
  <c r="AP35" i="15"/>
  <c r="AP297" i="15"/>
  <c r="AH39" i="15"/>
  <c r="AP39" i="15"/>
  <c r="AH248" i="15"/>
  <c r="AP248" i="15"/>
  <c r="AH243" i="15"/>
  <c r="AH237" i="15"/>
  <c r="AP237" i="15"/>
  <c r="AP55" i="15"/>
  <c r="AH270" i="15"/>
  <c r="AP270" i="15"/>
  <c r="AP184" i="15"/>
  <c r="AH69" i="15"/>
  <c r="AP285" i="15"/>
  <c r="AP87" i="15"/>
  <c r="AP134" i="15"/>
  <c r="AH48" i="15"/>
  <c r="AP48" i="15"/>
  <c r="AH205" i="15"/>
  <c r="AP205" i="15"/>
  <c r="AP337" i="15"/>
  <c r="AH267" i="15"/>
  <c r="AP267" i="15"/>
  <c r="AP318" i="15"/>
  <c r="AH322" i="15"/>
  <c r="AP322" i="15"/>
  <c r="AH208" i="15"/>
  <c r="AP208" i="15"/>
  <c r="AH362" i="15"/>
  <c r="AH75" i="15"/>
  <c r="AP75" i="15"/>
  <c r="AH211" i="15"/>
  <c r="AH93" i="15"/>
  <c r="AP93" i="15"/>
  <c r="AH94" i="15"/>
  <c r="AH283" i="15"/>
  <c r="AP283" i="15"/>
  <c r="AP291" i="15"/>
  <c r="AH174" i="15"/>
  <c r="AP174" i="15"/>
  <c r="AH325" i="15"/>
  <c r="AP325" i="15"/>
  <c r="AH187" i="15"/>
  <c r="AP187" i="15"/>
  <c r="AH361" i="15"/>
  <c r="AH199" i="15"/>
  <c r="AP199" i="15"/>
  <c r="AH179" i="15"/>
  <c r="AP179" i="15"/>
  <c r="AP219" i="15"/>
  <c r="AH330" i="15"/>
  <c r="AP330" i="15"/>
  <c r="AP250" i="15"/>
  <c r="AP210" i="15"/>
  <c r="AH118" i="15"/>
  <c r="AP118" i="15"/>
  <c r="AH125" i="15"/>
  <c r="AP125" i="15"/>
  <c r="AH172" i="15"/>
  <c r="AP172" i="15"/>
  <c r="AH299" i="15"/>
  <c r="AP299" i="15"/>
  <c r="AH290" i="15"/>
  <c r="AP290" i="15"/>
  <c r="AH202" i="15"/>
  <c r="AP202" i="15"/>
  <c r="AH276" i="15"/>
  <c r="AP276" i="15"/>
  <c r="AP226" i="15"/>
  <c r="AP293" i="15"/>
  <c r="AH344" i="15"/>
  <c r="AH189" i="15"/>
  <c r="AP255" i="15"/>
  <c r="AH338" i="15"/>
  <c r="AH83" i="15"/>
  <c r="AP45" i="15"/>
  <c r="AH300" i="15"/>
  <c r="AP319" i="15"/>
  <c r="AH244" i="15"/>
  <c r="AP244" i="15"/>
  <c r="AP128" i="15"/>
  <c r="AP131" i="15"/>
  <c r="AH262" i="15"/>
  <c r="AP262" i="15"/>
  <c r="AH156" i="15"/>
  <c r="AP156" i="15"/>
  <c r="AH345" i="15"/>
  <c r="AH3" i="15"/>
  <c r="AP3" i="15"/>
  <c r="AH251" i="15"/>
  <c r="AP251" i="15"/>
  <c r="AH79" i="15"/>
  <c r="AP79" i="15"/>
  <c r="AP239" i="15"/>
  <c r="AC365" i="15"/>
  <c r="AP112" i="15"/>
  <c r="AH227" i="15"/>
  <c r="AP227" i="15"/>
  <c r="AP23" i="15"/>
  <c r="AH86" i="15"/>
  <c r="AP222" i="15"/>
  <c r="AH238" i="15"/>
  <c r="AP238" i="15"/>
  <c r="AH233" i="15"/>
  <c r="AH103" i="15"/>
  <c r="AP103" i="15"/>
  <c r="AH332" i="15"/>
  <c r="AP332" i="15"/>
  <c r="AH304" i="15"/>
  <c r="AP304" i="15"/>
  <c r="AP329" i="15"/>
  <c r="AP168" i="15"/>
  <c r="AP29" i="15"/>
  <c r="AP38" i="15"/>
  <c r="AH91" i="15"/>
  <c r="AP256" i="15"/>
  <c r="AH24" i="15"/>
  <c r="AP24" i="15"/>
  <c r="AP225" i="15"/>
  <c r="AH139" i="15"/>
  <c r="AP139" i="15"/>
  <c r="AH175" i="15"/>
  <c r="AP175" i="15"/>
  <c r="AP120" i="15"/>
  <c r="AH66" i="15"/>
  <c r="AP101" i="15"/>
  <c r="AH331" i="15"/>
  <c r="AP331" i="15"/>
  <c r="AH140" i="15"/>
  <c r="AP140" i="15"/>
  <c r="AH31" i="15"/>
  <c r="AP31" i="15"/>
  <c r="AH150" i="15"/>
  <c r="AP150" i="15"/>
  <c r="AH348" i="15"/>
  <c r="AH85" i="15"/>
  <c r="AP85" i="15"/>
  <c r="AH92" i="15"/>
  <c r="AP280" i="15"/>
  <c r="AP198" i="15"/>
  <c r="AP182" i="15"/>
  <c r="AH311" i="15"/>
  <c r="AP311" i="15"/>
  <c r="AH146" i="15"/>
  <c r="AP246" i="15"/>
  <c r="AH153" i="15"/>
  <c r="AP153" i="15"/>
  <c r="AH220" i="15"/>
  <c r="AP220" i="15"/>
  <c r="AH306" i="15"/>
  <c r="AP306" i="15"/>
  <c r="AP2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tc={BD4235C0-CA13-4078-83C2-92686CC63BC9}</author>
    <author>tc={B30AD8FC-996A-4D48-8F4D-ECCA984B009C}</author>
    <author>tc={6913DD99-F51E-4507-9DAD-F182550CBFFB}</author>
  </authors>
  <commentList>
    <comment ref="C27" authorId="0" shapeId="0" xr:uid="{BD4235C0-CA13-4078-83C2-92686CC63BC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6-8 chauffeurs supplementaires pour diviser les commandes suite au retard de préparation - depart entre 19 et 20h
</t>
      </text>
    </comment>
    <comment ref="D27" authorId="1" shapeId="0" xr:uid="{B30AD8FC-996A-4D48-8F4D-ECCA984B009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6-8 chauffeurs supplementaires pour diviser les commandes suite au retard de préparation - depart entre 19 et 20h
</t>
      </text>
    </comment>
    <comment ref="E27" authorId="2" shapeId="0" xr:uid="{6913DD99-F51E-4507-9DAD-F182550CBFF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6-8 chauffeurs supplementaires pour diviser les commandes suite au retard de préparation - depart entre 19 et 20h
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tc={A17F9A4A-FC03-46B9-809A-3CA023A87FC3}</author>
    <author>tc={D33D43DD-186F-4A5E-BEBF-91C1A7EAB219}</author>
    <author>tc={4A88BB4F-FA94-4803-9EA5-0F385E19F905}</author>
    <author>tc={8DB29D7C-4B60-4634-B578-7E6F03DA9971}</author>
    <author>tc={565EA999-6A14-4680-8938-67EA1B1A3970}</author>
    <author>tc={51A73436-34B3-43E3-8B86-19F9086C2081}</author>
    <author>tc={5BD5ABA0-41FF-4430-9F5E-BEAB387A425C}</author>
    <author>tc={37D0FF94-F675-4F03-A762-B72750E5DCA3}</author>
    <author>tc={8C2D880F-A73B-464A-AFFE-42B44909B4DD}</author>
    <author>tc={32F0A922-C4BE-41C7-9F09-813304198D88}</author>
    <author>tc={B37D45AB-4942-4CB2-BE3E-4C104AC81C97}</author>
    <author>tc={8AFAF50F-D6D6-4B4C-BD94-B846FE18BA3F}</author>
    <author>tc={15691BE1-6E7E-4276-BDD1-9CFDB0A2EB34}</author>
  </authors>
  <commentList>
    <comment ref="HH4" authorId="0" shapeId="0" xr:uid="{A17F9A4A-FC03-46B9-809A-3CA023A87FC3}">
      <text>
        <t>[Threaded comment]
Your version of Excel allows you to read this threaded comment; however, any edits to it will get removed if the file is opened in a newer version of Excel. Learn more: https://go.microsoft.com/fwlink/?linkid=870924
Comment:
    Aanpassing Shuttle vroeger</t>
      </text>
    </comment>
    <comment ref="HI4" authorId="1" shapeId="0" xr:uid="{D33D43DD-186F-4A5E-BEBF-91C1A7EAB219}">
      <text>
        <t>[Threaded comment]
Your version of Excel allows you to read this threaded comment; however, any edits to it will get removed if the file is opened in a newer version of Excel. Learn more: https://go.microsoft.com/fwlink/?linkid=870924
Comment:
    Tijdelijke close wegens ops achterstand</t>
      </text>
    </comment>
    <comment ref="HL4" authorId="2" shapeId="0" xr:uid="{4A88BB4F-FA94-4803-9EA5-0F385E19F905}">
      <text>
        <t>[Threaded comment]
Your version of Excel allows you to read this threaded comment; however, any edits to it will get removed if the file is opened in a newer version of Excel. Learn more: https://go.microsoft.com/fwlink/?linkid=870924
Comment:
    Aanpassing shuttle vroeger</t>
      </text>
    </comment>
    <comment ref="HO4" authorId="3" shapeId="0" xr:uid="{8DB29D7C-4B60-4634-B578-7E6F03DA9971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Mandjes 15% hoger dan normaal</t>
      </text>
    </comment>
    <comment ref="J24" authorId="4" shapeId="0" xr:uid="{565EA999-6A14-4680-8938-67EA1B1A39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15.000 picks annuleren
</t>
      </text>
    </comment>
    <comment ref="X24" authorId="5" shapeId="0" xr:uid="{51A73436-34B3-43E3-8B86-19F9086C208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15.000 picks annuleren
</t>
      </text>
    </comment>
    <comment ref="IH41" authorId="6" shapeId="0" xr:uid="{5BD5ABA0-41FF-4430-9F5E-BEAB387A425C}">
      <text>
        <t>[Threaded comment]
Your version of Excel allows you to read this threaded comment; however, any edits to it will get removed if the file is opened in a newer version of Excel. Learn more: https://go.microsoft.com/fwlink/?linkid=870924
Comment:
    Max 80.000 in frigo!</t>
      </text>
    </comment>
    <comment ref="HD42" authorId="7" shapeId="0" xr:uid="{37D0FF94-F675-4F03-A762-B72750E5DCA3}">
      <text>
        <t>[Threaded comment]
Your version of Excel allows you to read this threaded comment; however, any edits to it will get removed if the file is opened in a newer version of Excel. Learn more: https://go.microsoft.com/fwlink/?linkid=870924
Comment:
    Alle preorders binnen</t>
      </text>
    </comment>
    <comment ref="HR42" authorId="8" shapeId="0" xr:uid="{8C2D880F-A73B-464A-AFFE-42B44909B4DD}">
      <text>
        <t>[Threaded comment]
Your version of Excel allows you to read this threaded comment; however, any edits to it will get removed if the file is opened in a newer version of Excel. Learn more: https://go.microsoft.com/fwlink/?linkid=870924
Comment:
    70K preorders on top</t>
      </text>
    </comment>
    <comment ref="HU42" authorId="9" shapeId="0" xr:uid="{32F0A922-C4BE-41C7-9F09-813304198D88}">
      <text>
        <t>[Threaded comment]
Your version of Excel allows you to read this threaded comment; however, any edits to it will get removed if the file is opened in a newer version of Excel. Learn more: https://go.microsoft.com/fwlink/?linkid=870924
Comment:
    Preorders erbij: 170.000
Reply:
    185.000 met preorders</t>
      </text>
    </comment>
    <comment ref="HV42" authorId="10" shapeId="0" xr:uid="{B37D45AB-4942-4CB2-BE3E-4C104AC81C97}">
      <text>
        <t>[Threaded comment]
Your version of Excel allows you to read this threaded comment; however, any edits to it will get removed if the file is opened in a newer version of Excel. Learn more: https://go.microsoft.com/fwlink/?linkid=870924
Comment:
    135.000 kant Distrilog?</t>
      </text>
    </comment>
    <comment ref="IA42" authorId="11" shapeId="0" xr:uid="{8AFAF50F-D6D6-4B4C-BD94-B846FE18BA3F}">
      <text>
        <t>[Threaded comment]
Your version of Excel allows you to read this threaded comment; however, any edits to it will get removed if the file is opened in a newer version of Excel. Learn more: https://go.microsoft.com/fwlink/?linkid=870924
Comment:
    130k zonder pallets</t>
      </text>
    </comment>
    <comment ref="IX67" authorId="12" shapeId="0" xr:uid="{15691BE1-6E7E-4276-BDD1-9CFDB0A2EB34}">
      <text>
        <t>[Threaded comment]
Your version of Excel allows you to read this threaded comment; however, any edits to it will get removed if the file is opened in a newer version of Excel. Learn more: https://go.microsoft.com/fwlink/?linkid=870924
Comment:
    10.000 laat binnen gekomen 's avonds (bon)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tc={16D16576-608F-4022-AC6C-A25E6B8E2CC8}</author>
  </authors>
  <commentList>
    <comment ref="DO41" authorId="0" shapeId="0" xr:uid="{16D16576-608F-4022-AC6C-A25E6B8E2CC8}">
      <text>
        <t>[Threaded comment]
Your version of Excel allows you to read this threaded comment; however, any edits to it will get removed if the file is opened in a newer version of Excel. Learn more: https://go.microsoft.com/fwlink/?linkid=870924
Comment:
    80% van bestelling gisteren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tc={04233046-E416-4437-BD7A-F71588ADB811}</author>
    <author>tc={0BFBC37D-0B59-4892-95F7-30A08FD1F4D3}</author>
    <author>tc={36C5D7F5-4714-458E-952F-9D43F18E82CC}</author>
  </authors>
  <commentList>
    <comment ref="BB32" authorId="0" shapeId="0" xr:uid="{04233046-E416-4437-BD7A-F71588ADB811}">
      <text>
        <t>[Threaded comment]
Your version of Excel allows you to read this threaded comment; however, any edits to it will get removed if the file is opened in a newer version of Excel. Learn more: https://go.microsoft.com/fwlink/?linkid=870924
Comment:
    waarvan 68410 preorders Winefair</t>
      </text>
    </comment>
    <comment ref="FJ32" authorId="1" shapeId="0" xr:uid="{0BFBC37D-0B59-4892-95F7-30A08FD1F4D3}">
      <text>
        <t>[Threaded comment]
Your version of Excel allows you to read this threaded comment; however, any edits to it will get removed if the file is opened in a newer version of Excel. Learn more: https://go.microsoft.com/fwlink/?linkid=870924
Comment:
    Waarvan 28k (73 pal) Vranken 2+2</t>
      </text>
    </comment>
    <comment ref="KH32" authorId="2" shapeId="0" xr:uid="{36C5D7F5-4714-458E-952F-9D43F18E82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Wine Fair included (94.4k)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Alexander Windels</author>
  </authors>
  <commentList>
    <comment ref="M459" authorId="0" shapeId="0" xr:uid="{B6F509F1-6020-4F86-B808-FBFFC0395511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880k</t>
        </r>
      </text>
    </comment>
    <comment ref="M460" authorId="0" shapeId="0" xr:uid="{0597BA98-9C00-4853-977E-62F3357ECA69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850k</t>
        </r>
      </text>
    </comment>
    <comment ref="E475" authorId="0" shapeId="0" xr:uid="{48B58296-DC1F-4E88-BB2C-4AB4D4973D12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130</t>
        </r>
      </text>
    </comment>
    <comment ref="F475" authorId="0" shapeId="0" xr:uid="{7798EB35-FD42-4103-BF4C-1C3A5A1A13BB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160</t>
        </r>
      </text>
    </comment>
    <comment ref="H475" authorId="0" shapeId="0" xr:uid="{5F9CF66F-DECD-418E-87FC-B23C13F155A7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200</t>
        </r>
      </text>
    </comment>
    <comment ref="I475" authorId="0" shapeId="0" xr:uid="{1740C30C-9BCB-485D-884F-A32CCCFB7657}">
      <text>
        <r>
          <rPr>
            <b/>
            <sz val="9"/>
            <color indexed="81"/>
            <rFont val="Tahoma"/>
            <family val="2"/>
          </rPr>
          <t>Alexander Windels:</t>
        </r>
        <r>
          <rPr>
            <sz val="9"/>
            <color indexed="81"/>
            <rFont val="Tahoma"/>
            <family val="2"/>
          </rPr>
          <t xml:space="preserve">
200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<sst xmlns="http://schemas.openxmlformats.org/spreadsheetml/2006/main" count="2834" uniqueCount="459">
  <si>
    <t>DETAILS DES VANS DISPONIBLE HOME DELIVERY</t>
  </si>
  <si>
    <t>VANS HD</t>
  </si>
  <si>
    <t>DISTRILOG</t>
  </si>
  <si>
    <t>FRAIKIN</t>
  </si>
  <si>
    <t>PETIT FORESTIER (SC)</t>
  </si>
  <si>
    <t>PETIT FORESTIER (ALS)</t>
  </si>
  <si>
    <t xml:space="preserve">PETIT FORESTIER </t>
  </si>
  <si>
    <t>Marque et type</t>
  </si>
  <si>
    <t>Mercedes Sprinter</t>
  </si>
  <si>
    <t>IVECO</t>
  </si>
  <si>
    <t>Fiat Ducato 75</t>
  </si>
  <si>
    <t>IVECO caisse 90</t>
  </si>
  <si>
    <t>Modèle</t>
  </si>
  <si>
    <t>Châssis-cabine</t>
  </si>
  <si>
    <t>Fourgon</t>
  </si>
  <si>
    <t>Caisse</t>
  </si>
  <si>
    <t>Capacité bacs</t>
  </si>
  <si>
    <t>Nbres</t>
  </si>
  <si>
    <t>+2 vans Zellik 25-03</t>
  </si>
  <si>
    <t xml:space="preserve">TOTAL DE VANS </t>
  </si>
  <si>
    <t>DG</t>
  </si>
  <si>
    <t>GENT</t>
  </si>
  <si>
    <t>PUURS</t>
  </si>
  <si>
    <t>Mo</t>
  </si>
  <si>
    <t>Tu</t>
  </si>
  <si>
    <t>We</t>
  </si>
  <si>
    <t>Th</t>
  </si>
  <si>
    <t>Fr</t>
  </si>
  <si>
    <t>Sa</t>
  </si>
  <si>
    <t>Su</t>
  </si>
  <si>
    <t>TRANSPORT</t>
  </si>
  <si>
    <t>TOTAL SHUTTLES</t>
  </si>
  <si>
    <t>Shuttle Drogenbos</t>
  </si>
  <si>
    <t>Shuttle Gent</t>
  </si>
  <si>
    <t>TOTAL VANS AVAILABLE</t>
  </si>
  <si>
    <t>DLL</t>
  </si>
  <si>
    <t>DLL fourgon</t>
  </si>
  <si>
    <t>Distrilog</t>
  </si>
  <si>
    <t xml:space="preserve">Fraikin </t>
  </si>
  <si>
    <t>Petit Forestier (via SC)</t>
  </si>
  <si>
    <t>Petit Forestier (via ALS)</t>
  </si>
  <si>
    <t>TOTAL VANS USED</t>
  </si>
  <si>
    <t>∆ vans</t>
  </si>
  <si>
    <t>TOTAL DRIVERS</t>
  </si>
  <si>
    <t>ALS</t>
  </si>
  <si>
    <t>Greenbird</t>
  </si>
  <si>
    <t>DEVICES</t>
  </si>
  <si>
    <t>TOTAL SMARTS</t>
  </si>
  <si>
    <t>Delhome</t>
  </si>
  <si>
    <t>Stores</t>
  </si>
  <si>
    <t>Local IT</t>
  </si>
  <si>
    <t>TOTAL WORLDINE</t>
  </si>
  <si>
    <t>Rent</t>
  </si>
  <si>
    <t>DARKSTORE CAPACITY</t>
  </si>
  <si>
    <t>Theoretical order capacity (Home Delivery)</t>
  </si>
  <si>
    <t>Actual order capacity</t>
  </si>
  <si>
    <t>∆ order cap</t>
  </si>
  <si>
    <t>Theoretical picking  cap (HD + Collect)</t>
  </si>
  <si>
    <t>Actual picking cap</t>
  </si>
  <si>
    <t>∆ picking cap</t>
  </si>
  <si>
    <t>HOSPITALS</t>
  </si>
  <si>
    <t>Number of orders</t>
  </si>
  <si>
    <t>Number of picks</t>
  </si>
  <si>
    <t>Max picks</t>
  </si>
  <si>
    <t>∆ hospital picks</t>
  </si>
  <si>
    <t>ASSUMPTIONS</t>
  </si>
  <si>
    <t>Average orders per van</t>
  </si>
  <si>
    <t>Average picks per order</t>
  </si>
  <si>
    <t>Average shifts per van</t>
  </si>
  <si>
    <t>Collect Orders</t>
  </si>
  <si>
    <t>Items / Order</t>
  </si>
  <si>
    <t>Date</t>
  </si>
  <si>
    <t>Actien / output description</t>
  </si>
  <si>
    <t>Who</t>
  </si>
  <si>
    <t>Status</t>
  </si>
  <si>
    <t>Inbound delayed - check with DC - BW82 niet voor 06H00 in Puurs_x000D_
Woe 19/08 - 04H30
Dà - 20/08 - 06H00</t>
  </si>
  <si>
    <t>Nicolas/Nico</t>
  </si>
  <si>
    <t>Closed</t>
  </si>
  <si>
    <t>Temperatuur opvolging: temperatuurslogger E-E. Af te stemmen met alle partijen</t>
  </si>
  <si>
    <t>Kristof/Jacqueline</t>
  </si>
  <si>
    <t>Open</t>
  </si>
  <si>
    <t xml:space="preserve">Shuttles Drogenbos vrijdagavond 1h te laat </t>
  </si>
  <si>
    <t>Nico</t>
  </si>
  <si>
    <t xml:space="preserve">Oude diepvries uitgevallen - compressor kapot - update 17 aug
Nieuwe levering in nieuwe diepvries - nog geen update </t>
  </si>
  <si>
    <t>Kristof</t>
  </si>
  <si>
    <t>closed</t>
  </si>
  <si>
    <t>Julie studente vertrekt vanuit Drogenbos - doorgeven chauffeur en verantwoordelijke HUB</t>
  </si>
  <si>
    <t>Marc</t>
  </si>
  <si>
    <t xml:space="preserve">Itemset van droge producten zaterdag verwijderd -&gt; inbound 65K ipv 100K
Actie: 
- 3 Dagen voor elke feestdag al een check an 6planning. 
- Als dit nogmaals voorvalt -&gt; Send file to capacity </t>
  </si>
  <si>
    <t xml:space="preserve">Christian </t>
  </si>
  <si>
    <t>Inbound 108K moet lukken - is zo ingepland</t>
  </si>
  <si>
    <t xml:space="preserve">1 rollcage vergeten (Gent)_x000D_
- Automatische scanning van goederen _x000D_
Actie: Johan heeft offerte gevraagd aan VBS_x000D_
Actie 2: Document waar rollcages per route moeten ingegeven worden </t>
  </si>
  <si>
    <t>Ongoing</t>
  </si>
  <si>
    <t>Vertraging Home Delivery niet verwacht:
Reason: picking op tijd klaar, consolidatie duurt lang wegens stijgend volume diepvries
Actie 1: tijdig bellen en checken of consolidatie vertraging zal hebben -&gt; if so: meer volk op consolidatie
Actie 2: structurele oplossing 
Actie 3: Woe. 19/08 meeting voor strucurele oplossing (Dlog)</t>
  </si>
  <si>
    <t>Kristof/Roel</t>
  </si>
  <si>
    <t>133.000 inbound ipv 110.000 - van waar het verschil?
Sven stuurt lijst door met producten 
Katoennatie bestellingen zijn A voor C. Op dag C tellen we enkel wat we op dag B in alle DC's hebben besteld. We zijn bestelling katoennatie op dag A bestelt vergeten bij te tellen</t>
  </si>
  <si>
    <t>Jonathan/Christian</t>
  </si>
  <si>
    <t>Rollcage vers 30 minuten op kaai voor laden camionnette Home Delivery</t>
  </si>
  <si>
    <t xml:space="preserve">Shuttle DG 04H25 &amp; 04H50 -&gt; Voor 4H00 laden </t>
  </si>
  <si>
    <t>250 melk artikelen niet geleverd aan gevangenis. To check what happened</t>
  </si>
  <si>
    <t>Wk 42</t>
  </si>
  <si>
    <t>Wk 43</t>
  </si>
  <si>
    <t>Wk 44</t>
  </si>
  <si>
    <t>Wk 45</t>
  </si>
  <si>
    <t>Wk 46</t>
  </si>
  <si>
    <t>Wk 47</t>
  </si>
  <si>
    <t>Wk 48</t>
  </si>
  <si>
    <t>Wk 49</t>
  </si>
  <si>
    <t>Wk 50</t>
  </si>
  <si>
    <t>Wk 51</t>
  </si>
  <si>
    <t>Wk 52</t>
  </si>
  <si>
    <t>Wk 53</t>
  </si>
  <si>
    <t>Wk 1 2021</t>
  </si>
  <si>
    <t>Mon</t>
  </si>
  <si>
    <t>Tue</t>
  </si>
  <si>
    <t>Wed</t>
  </si>
  <si>
    <t>Thu</t>
  </si>
  <si>
    <t>Fri</t>
  </si>
  <si>
    <t>Sat</t>
  </si>
  <si>
    <t>Sun</t>
  </si>
  <si>
    <t>Collect orders Ops</t>
  </si>
  <si>
    <t>Basket (forecast)</t>
  </si>
  <si>
    <t>Picking (forecast)</t>
  </si>
  <si>
    <t>Orders Actuals</t>
  </si>
  <si>
    <t>Picking Actual</t>
  </si>
  <si>
    <t>Basket Actual</t>
  </si>
  <si>
    <t>HD AM orders Ops</t>
  </si>
  <si>
    <t>-</t>
  </si>
  <si>
    <t>Vans needed</t>
  </si>
  <si>
    <t>Vans available</t>
  </si>
  <si>
    <t>Vans Used</t>
  </si>
  <si>
    <t>Orders / Van Actuals</t>
  </si>
  <si>
    <t>HD PM orders Ops</t>
  </si>
  <si>
    <t>HD Total Picks Forecast</t>
  </si>
  <si>
    <t>HD orders</t>
  </si>
  <si>
    <t>Total Picks Forecast</t>
  </si>
  <si>
    <t>Total Orders</t>
  </si>
  <si>
    <t>Total Picks Update</t>
  </si>
  <si>
    <t>Total Picks Actual</t>
  </si>
  <si>
    <t>HD Growth versus LY (Forecast)</t>
  </si>
  <si>
    <t>HD Growth versus LY (Actual)</t>
  </si>
  <si>
    <t>Total Inbound prognose</t>
  </si>
  <si>
    <t>Total Inbound Realiteit</t>
  </si>
  <si>
    <t>Capaciteit Puurs</t>
  </si>
  <si>
    <t>Ochtend</t>
  </si>
  <si>
    <t>Middag</t>
  </si>
  <si>
    <t>Nacht</t>
  </si>
  <si>
    <t>Restant geschat</t>
  </si>
  <si>
    <t>Vans HD AM needed (+4 backup)</t>
  </si>
  <si>
    <t>Vans HD PM needed (+4 backup)</t>
  </si>
  <si>
    <t>Vans HD AM available (+4 backup)</t>
  </si>
  <si>
    <t>Vans HD PM available (+4 backup)</t>
  </si>
  <si>
    <t>Vans HD AM Enough vehicle</t>
  </si>
  <si>
    <t>Vans HD PM Enough vehicle</t>
  </si>
  <si>
    <t>Studenten namiddag outbound</t>
  </si>
  <si>
    <t>Studenten namiddag inbound</t>
  </si>
  <si>
    <t>Formule maandag: FF45+FG6+FG24-FF42-FF44</t>
  </si>
  <si>
    <t>Personen nodig (Picking: 1000 PP
Inbound 2500 PP)</t>
  </si>
  <si>
    <t>Formule dinsdag - zaterdag:  (FG45+FH13-FG42)+(FH24-FG43)+(FH6-FG44)</t>
  </si>
  <si>
    <t>Inbound</t>
  </si>
  <si>
    <t>Picking</t>
  </si>
  <si>
    <t>Total over 3 shifts</t>
  </si>
  <si>
    <t>Formule zondag: FE45+FF13-FE42+FG11</t>
  </si>
  <si>
    <t>Per shift</t>
  </si>
  <si>
    <t>Weekdag</t>
  </si>
  <si>
    <t>Maandag</t>
  </si>
  <si>
    <t>Capaciteit</t>
  </si>
  <si>
    <t>Shuttles</t>
  </si>
  <si>
    <t>DLG</t>
  </si>
  <si>
    <t>Delhaize</t>
  </si>
  <si>
    <t>delta</t>
  </si>
  <si>
    <t>Cut off Collect</t>
  </si>
  <si>
    <t>00u 's nachts</t>
  </si>
  <si>
    <t>Zaterdag</t>
  </si>
  <si>
    <t xml:space="preserve">Zaterdag HD PM afwerken </t>
  </si>
  <si>
    <t>Frozen</t>
  </si>
  <si>
    <t>Freeze time Collect</t>
  </si>
  <si>
    <t>10u 's ochtends</t>
  </si>
  <si>
    <t>Zondag HD AM</t>
  </si>
  <si>
    <t>Vers</t>
  </si>
  <si>
    <t>Cut off AM</t>
  </si>
  <si>
    <t>7u 's ochtens</t>
  </si>
  <si>
    <t>7u 's ochtens zaterdag</t>
  </si>
  <si>
    <t>Maandag HD AM</t>
  </si>
  <si>
    <t>Droog</t>
  </si>
  <si>
    <t>Cut off PM</t>
  </si>
  <si>
    <t>21u 's avonds</t>
  </si>
  <si>
    <t>21u 's avonds zondag</t>
  </si>
  <si>
    <t>Zondag</t>
  </si>
  <si>
    <t>Zondag middernacht Drogenbos + Gent</t>
  </si>
  <si>
    <t>Cola</t>
  </si>
  <si>
    <t>Maandag Collect</t>
  </si>
  <si>
    <t>Zondagnacht</t>
  </si>
  <si>
    <t>Pre-orders</t>
  </si>
  <si>
    <t>Maandag HD PM</t>
  </si>
  <si>
    <t>Rest</t>
  </si>
  <si>
    <t>Maandag PM</t>
  </si>
  <si>
    <t>Wk 30</t>
  </si>
  <si>
    <t>Wk 31</t>
  </si>
  <si>
    <t>Wk 32</t>
  </si>
  <si>
    <t>Wk 33</t>
  </si>
  <si>
    <t>Wk 34</t>
  </si>
  <si>
    <t>Wk 35</t>
  </si>
  <si>
    <t>Wk 36</t>
  </si>
  <si>
    <t>Wk 37</t>
  </si>
  <si>
    <t>Wk 38</t>
  </si>
  <si>
    <t>Wk 39</t>
  </si>
  <si>
    <t>Outbound</t>
  </si>
  <si>
    <t>Collect</t>
  </si>
  <si>
    <t>Forecast</t>
  </si>
  <si>
    <t>Orders</t>
  </si>
  <si>
    <t>Basket</t>
  </si>
  <si>
    <t>Picks</t>
  </si>
  <si>
    <t>Actuals</t>
  </si>
  <si>
    <t>HD AM</t>
  </si>
  <si>
    <t>HD PM</t>
  </si>
  <si>
    <t>Total</t>
  </si>
  <si>
    <t>Delta</t>
  </si>
  <si>
    <t>Quanity</t>
  </si>
  <si>
    <t>%</t>
  </si>
  <si>
    <t>Baskets</t>
  </si>
  <si>
    <t>Operations</t>
  </si>
  <si>
    <t>Capacity</t>
  </si>
  <si>
    <t>Totaal</t>
  </si>
  <si>
    <t>Restant</t>
  </si>
  <si>
    <t>Dry</t>
  </si>
  <si>
    <t>Fresh</t>
  </si>
  <si>
    <t>Totals</t>
  </si>
  <si>
    <t>Transport</t>
  </si>
  <si>
    <t>Need</t>
  </si>
  <si>
    <t>HD - AM</t>
  </si>
  <si>
    <t>HD - PM</t>
  </si>
  <si>
    <t>wk 1</t>
  </si>
  <si>
    <t>Wk 11</t>
  </si>
  <si>
    <t>Wk 12</t>
  </si>
  <si>
    <t>Wk 13</t>
  </si>
  <si>
    <t>Wk 14</t>
  </si>
  <si>
    <t>Wk 15</t>
  </si>
  <si>
    <t>Wk 16</t>
  </si>
  <si>
    <t>Wk 17</t>
  </si>
  <si>
    <t>Wk 18</t>
  </si>
  <si>
    <t>Wk 19</t>
  </si>
  <si>
    <t>Wk 20</t>
  </si>
  <si>
    <t>Wk 21</t>
  </si>
  <si>
    <t>Wk 22</t>
  </si>
  <si>
    <t>Wk 23</t>
  </si>
  <si>
    <t>Wk 24</t>
  </si>
  <si>
    <t>Wk 25</t>
  </si>
  <si>
    <t>Wk 26</t>
  </si>
  <si>
    <t>Wk 27</t>
  </si>
  <si>
    <t>Wk 28</t>
  </si>
  <si>
    <t>Wk 29</t>
  </si>
  <si>
    <t>Orders Fc</t>
  </si>
  <si>
    <t>Basket Fc</t>
  </si>
  <si>
    <t>Picking Fc</t>
  </si>
  <si>
    <t>Orders Update</t>
  </si>
  <si>
    <t>Basket Update</t>
  </si>
  <si>
    <t>Picking Update</t>
  </si>
  <si>
    <t>Inbound Fc (no PO)</t>
  </si>
  <si>
    <t>Pre-orders Fc</t>
  </si>
  <si>
    <t>Pick Capacity</t>
  </si>
  <si>
    <t>Delhome+Correctie</t>
  </si>
  <si>
    <t>Leverdag</t>
  </si>
  <si>
    <t>Geschat</t>
  </si>
  <si>
    <t>inventaris</t>
  </si>
  <si>
    <t>Dry Fc</t>
  </si>
  <si>
    <t>Dry Actuals</t>
  </si>
  <si>
    <t>Fresh Fc</t>
  </si>
  <si>
    <t>Frozen Fc</t>
  </si>
  <si>
    <t>Ultrafresh Fc</t>
  </si>
  <si>
    <t>Ultrafresh</t>
  </si>
  <si>
    <t>Total Inbound Fc</t>
  </si>
  <si>
    <t>Total Inbound</t>
  </si>
  <si>
    <t>Distrilog Dry</t>
  </si>
  <si>
    <t>Delhome Dry</t>
  </si>
  <si>
    <t>Total Dry</t>
  </si>
  <si>
    <t>Distrilog Rest</t>
  </si>
  <si>
    <t>Back-end sales</t>
  </si>
  <si>
    <t>Sales Forecast</t>
  </si>
  <si>
    <t>Back-end orders</t>
  </si>
  <si>
    <t>Orders Forecast</t>
  </si>
  <si>
    <t>Back-end AOV</t>
  </si>
  <si>
    <t>AOV Forecast</t>
  </si>
  <si>
    <t>Items per basket</t>
  </si>
  <si>
    <t>Items per Basket Forecast</t>
  </si>
  <si>
    <t>Scanned items</t>
  </si>
  <si>
    <t>Scanned items Forecast</t>
  </si>
  <si>
    <t>Wk 1</t>
  </si>
  <si>
    <t/>
  </si>
  <si>
    <t>Wk 2</t>
  </si>
  <si>
    <t>Wk 3</t>
  </si>
  <si>
    <t>Wk 4</t>
  </si>
  <si>
    <t>Wk 5</t>
  </si>
  <si>
    <t>Wk 6</t>
  </si>
  <si>
    <t>Wk 7</t>
  </si>
  <si>
    <t>Wk 8</t>
  </si>
  <si>
    <t>Wk 9</t>
  </si>
  <si>
    <t>Wk 10</t>
  </si>
  <si>
    <t>Wk 40</t>
  </si>
  <si>
    <t>Wk 41</t>
  </si>
  <si>
    <t>Conv</t>
  </si>
  <si>
    <t>Sales FC</t>
  </si>
  <si>
    <t>HD</t>
  </si>
  <si>
    <t>Productoin FC</t>
  </si>
  <si>
    <t>AM</t>
  </si>
  <si>
    <t>PM</t>
  </si>
  <si>
    <t>Delta Sales/Outbound</t>
  </si>
  <si>
    <t>Regular Dry</t>
  </si>
  <si>
    <t>Regular Fresh</t>
  </si>
  <si>
    <t>Regular Frozen</t>
  </si>
  <si>
    <t>Regular Ultra Fresh</t>
  </si>
  <si>
    <t>Pre-Orders Dry</t>
  </si>
  <si>
    <t>Pre-Orders Fresh</t>
  </si>
  <si>
    <t>Pre-Orders Frozen</t>
  </si>
  <si>
    <t>Vans AM</t>
  </si>
  <si>
    <t>Vans PM</t>
  </si>
  <si>
    <t>weeknum</t>
  </si>
  <si>
    <t>week</t>
  </si>
  <si>
    <t>Dag</t>
  </si>
  <si>
    <t>Datum</t>
  </si>
  <si>
    <t>Sales-FC-All-Orders</t>
  </si>
  <si>
    <t>Sales-FC-Orders-Collect</t>
  </si>
  <si>
    <t>Sales-FC-Orders-HD</t>
  </si>
  <si>
    <t>Sales-FC-Buckets-Collect</t>
  </si>
  <si>
    <t>Sales-FC-Buckets-HD</t>
  </si>
  <si>
    <t>Sales-FC-All Picks</t>
  </si>
  <si>
    <t>Sales-FC-Picks-Collect</t>
  </si>
  <si>
    <t>Sales-FC-Picks-HD</t>
  </si>
  <si>
    <t>Help-column 1</t>
  </si>
  <si>
    <t>Ops-FC-All Orders</t>
  </si>
  <si>
    <t>Ops-FC-Orders-Collect</t>
  </si>
  <si>
    <t>Ops-FC-Orders-HD</t>
  </si>
  <si>
    <t>Ops-FC-Orders-AM</t>
  </si>
  <si>
    <t>Ops-FC-Orders-PM</t>
  </si>
  <si>
    <t>Ops-FC-All Picks</t>
  </si>
  <si>
    <t>Ops-FC-Picks-Collect</t>
  </si>
  <si>
    <t>Ops-FC-Picks-HD</t>
  </si>
  <si>
    <t>Ops-FC-Picks-AM</t>
  </si>
  <si>
    <t>Ops-FC-Picks-PM</t>
  </si>
  <si>
    <t>Capped all orders</t>
  </si>
  <si>
    <t>Capped-Orders-Collect</t>
  </si>
  <si>
    <t>Capped-Orders-HD</t>
  </si>
  <si>
    <t>Capped-Orders-AM</t>
  </si>
  <si>
    <t>Capped-Orders-PM</t>
  </si>
  <si>
    <t>Act-All Orders</t>
  </si>
  <si>
    <t>Act-Orders-Collect</t>
  </si>
  <si>
    <t>Act-Orders-HD</t>
  </si>
  <si>
    <t>Act-Orders-AM</t>
  </si>
  <si>
    <t>Act-Orders-PM</t>
  </si>
  <si>
    <t>Act-All Picks</t>
  </si>
  <si>
    <t>Act-Picks-Collect</t>
  </si>
  <si>
    <t>Act-Picks-HD</t>
  </si>
  <si>
    <t>Act-Picks-AM</t>
  </si>
  <si>
    <t>Act-Picks-PM</t>
  </si>
  <si>
    <t>Act-Bucket-order-Collect</t>
  </si>
  <si>
    <t>Act-Bucket-order-HD</t>
  </si>
  <si>
    <t>Act-Bucket-Collect</t>
  </si>
  <si>
    <t>Act-Bucket-HD</t>
  </si>
  <si>
    <t>Inbound FC</t>
  </si>
  <si>
    <t>Inbound Act - Sec</t>
  </si>
  <si>
    <t>Inbound Act - Fresh</t>
  </si>
  <si>
    <t>Inbound Act - Frozen</t>
  </si>
  <si>
    <t>Inbound Act - Ultrafresh</t>
  </si>
  <si>
    <t>Inbound Act - Ultrafresh2</t>
  </si>
  <si>
    <t>Inbound Act</t>
  </si>
  <si>
    <t>Inbound FC - Sec</t>
  </si>
  <si>
    <t>Inbound FC - Fresh</t>
  </si>
  <si>
    <t>Inbound FC - Frozen</t>
  </si>
  <si>
    <t>Month</t>
  </si>
  <si>
    <t>Row Labels</t>
  </si>
  <si>
    <t>Sum of Sales-FC-All Picks</t>
  </si>
  <si>
    <t>Sum of Act-All Orders</t>
  </si>
  <si>
    <t>Lower margin</t>
  </si>
  <si>
    <t>Lower Border</t>
  </si>
  <si>
    <t>Higer Margin</t>
  </si>
  <si>
    <t>Higher Border</t>
  </si>
  <si>
    <t xml:space="preserve">LT </t>
  </si>
  <si>
    <t>(blank)</t>
  </si>
  <si>
    <t>Grand Total</t>
  </si>
  <si>
    <t>Column Labels</t>
  </si>
  <si>
    <t>Week</t>
  </si>
  <si>
    <t>#picks [k picks]</t>
  </si>
  <si>
    <t>Rijlabels</t>
  </si>
  <si>
    <t>Filter feestdagen</t>
  </si>
  <si>
    <t>Met feestdag</t>
  </si>
  <si>
    <t>Delta feestdag</t>
  </si>
  <si>
    <t>Delta wow excl feestdag</t>
  </si>
  <si>
    <t>Ma</t>
  </si>
  <si>
    <t>Di</t>
  </si>
  <si>
    <t>Woe</t>
  </si>
  <si>
    <t>Don</t>
  </si>
  <si>
    <t>Vrij</t>
  </si>
  <si>
    <t>Zat</t>
  </si>
  <si>
    <t>Zon</t>
  </si>
  <si>
    <t>April</t>
  </si>
  <si>
    <t>Mei</t>
  </si>
  <si>
    <t>Juni</t>
  </si>
  <si>
    <t>Eindtotaal</t>
  </si>
  <si>
    <t>Sum of Sales-FC-All-Orders</t>
  </si>
  <si>
    <t>Orders 2022</t>
  </si>
  <si>
    <t>picks 2022</t>
  </si>
  <si>
    <t>Orders 2021</t>
  </si>
  <si>
    <t>picks 2021</t>
  </si>
  <si>
    <t>jan</t>
  </si>
  <si>
    <t>feb</t>
  </si>
  <si>
    <t>mrt</t>
  </si>
  <si>
    <t>apr</t>
  </si>
  <si>
    <t>mei</t>
  </si>
  <si>
    <t>jun</t>
  </si>
  <si>
    <t>jul</t>
  </si>
  <si>
    <t>aug</t>
  </si>
  <si>
    <t>sep</t>
  </si>
  <si>
    <t>okt</t>
  </si>
  <si>
    <t>nov</t>
  </si>
  <si>
    <t>dec</t>
  </si>
  <si>
    <t>(leeg)</t>
  </si>
  <si>
    <t>Kolomlabels</t>
  </si>
  <si>
    <t>Delta wow excl</t>
  </si>
  <si>
    <t>Juli</t>
  </si>
  <si>
    <t>Augustus</t>
  </si>
  <si>
    <t>Update 13/07</t>
  </si>
  <si>
    <t>+5%</t>
  </si>
  <si>
    <t>September</t>
  </si>
  <si>
    <t>13/07 update</t>
  </si>
  <si>
    <t>Previous update</t>
  </si>
  <si>
    <t>Before 13/07</t>
  </si>
  <si>
    <t>lower band</t>
  </si>
  <si>
    <t>upper band</t>
  </si>
  <si>
    <t>Oktober</t>
  </si>
  <si>
    <t>November</t>
  </si>
  <si>
    <t>December</t>
  </si>
  <si>
    <t>6de dag</t>
  </si>
  <si>
    <t>zondag</t>
  </si>
  <si>
    <t>Feestdag</t>
  </si>
  <si>
    <t>Stocks decrease wines</t>
  </si>
  <si>
    <t>Sum of Act-All Picks</t>
  </si>
  <si>
    <t>Lun</t>
  </si>
  <si>
    <t>Mar</t>
  </si>
  <si>
    <t>Mer</t>
  </si>
  <si>
    <t>Jeu</t>
  </si>
  <si>
    <t>Ven</t>
  </si>
  <si>
    <t>Sam</t>
  </si>
  <si>
    <t>Avg</t>
  </si>
  <si>
    <t>Stock</t>
  </si>
  <si>
    <t>Ruben</t>
  </si>
  <si>
    <t>y</t>
  </si>
  <si>
    <t>Jan</t>
  </si>
  <si>
    <t>Feb</t>
  </si>
  <si>
    <t>Mrt</t>
  </si>
  <si>
    <t>Apr</t>
  </si>
  <si>
    <t>Jun</t>
  </si>
  <si>
    <t>Jul</t>
  </si>
  <si>
    <t>Aug</t>
  </si>
  <si>
    <t>Sep</t>
  </si>
  <si>
    <t>Okt</t>
  </si>
  <si>
    <t>Nov</t>
  </si>
  <si>
    <t>Cost</t>
  </si>
  <si>
    <t>Cost/order</t>
  </si>
  <si>
    <t>Sum of Act-Orders-HD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</si>
</sst>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4">
    <numFmt numFmtId="44" formatCode="_ &quot;€&quot;\ * #,##0.00_ ;_ &quot;€&quot;\ * \-#,##0.00_ ;_ &quot;€&quot;\ * &quot;-&quot;??_ ;_ @_ "/>
    <numFmt numFmtId="43" formatCode="_ * #,##0.00_ ;_ * \-#,##0.00_ ;_ * &quot;-&quot;??_ ;_ @_ "/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_(* #,##0.00_);_(* \(#,##0.00\);_(* &quot;-&quot;??_);_(@_)"/>
    <numFmt numFmtId="167" formatCode="_-* #,##0.00\ _€_-;\-* #,##0.00\ _€_-;_-* &quot;-&quot;??\ _€_-;_-@_-"/>
    <numFmt numFmtId="168" formatCode="_-* #,##0_-;\-* #,##0_-;_-* &quot;-&quot;??_-;_-@_-"/>
    <numFmt numFmtId="169" formatCode="_(* #,##0_);_(* \(#,##0\);_(* &quot;-&quot;??_);_(@_)"/>
    <numFmt numFmtId="170" formatCode="0.0"/>
    <numFmt numFmtId="171" formatCode="#,##0\ _€"/>
    <numFmt numFmtId="172" formatCode="###,000"/>
    <numFmt numFmtId="173" formatCode="#,##0,\k&quot;€&quot;"/>
    <numFmt numFmtId="174" formatCode="0.0%"/>
    <numFmt numFmtId="175" formatCode="d/mm"/>
    <numFmt numFmtId="176" formatCode="#.##0.0"/>
    <numFmt numFmtId="177" formatCode="#,##0.0"/>
    <numFmt numFmtId="178" formatCode="dd\-mm\-yyyy\ hh:mm:ss"/>
    <numFmt numFmtId="179" formatCode="0.000"/>
    <numFmt numFmtId="180" formatCode="0.0000"/>
    <numFmt numFmtId="181" formatCode="0.00000"/>
    <numFmt numFmtId="182" formatCode="0.000000"/>
    <numFmt numFmtId="183" formatCode="0.0000000"/>
    <numFmt numFmtId="184" formatCode="0.00000000"/>
    <numFmt numFmtId="185" formatCode="0.000000000"/>
    <numFmt numFmtId="186" formatCode="0.0000000000"/>
    <numFmt numFmtId="187" formatCode="0.00000000000"/>
    <numFmt numFmtId="188" formatCode="0.000000000000"/>
    <numFmt numFmtId="189" formatCode="\€\ #,##0.00"/>
    <numFmt numFmtId="190" formatCode="d\-m\-yyyy"/>
    <numFmt numFmtId="191" formatCode="d\-m\-yy"/>
    <numFmt numFmtId="192" formatCode="_-* #,##0.00\ _F_-;\-* #,##0.00\ _F_-;_-* &quot;-&quot;??\ _F_-;_-@_-"/>
    <numFmt numFmtId="193" formatCode="_-&quot;€&quot;* #,##0.00_-;\-&quot;€&quot;* #,##0.00_-;_-&quot;€&quot;* &quot;-&quot;??_-;_-@_-"/>
    <numFmt numFmtId="194" formatCode="_-&quot;£&quot;* #,##0.00_-;\-&quot;£&quot;* #,##0.00_-;_-&quot;£&quot;* &quot;-&quot;??_-;_-@_-"/>
    <numFmt numFmtId="195" formatCode="_-* #,##0.00\ _F_B_-;\-* #,##0.00\ _F_B_-;_-* &quot;-&quot;??\ _F_B_-;_-@_-"/>
  </numFmts>
  <fonts count="8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2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2"/>
    </font>
    <font>
      <sz val="10"/>
      <name val="Verdana"/>
      <family val="2"/>
    </font>
    <font>
      <b/>
      <sz val="9"/>
      <name val="Calibri"/>
      <family val="2"/>
    </font>
    <font>
      <sz val="9"/>
      <color rgb="FF9C0006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sz val="11"/>
      <color rgb="FF9C6500"/>
      <name val="Calibri"/>
      <family val="2"/>
      <scheme val="minor"/>
    </font>
    <font>
      <sz val="11"/>
      <name val="Calibri"/>
      <family val="2"/>
    </font>
    <font>
      <sz val="9"/>
      <color rgb="FFAD7B4E"/>
      <name val="Calibri"/>
      <family val="2"/>
    </font>
    <font>
      <b/>
      <sz val="14"/>
      <name val="Arial"/>
      <family val="2"/>
    </font>
    <font>
      <b/>
      <sz val="18"/>
      <color theme="3"/>
      <name val="Calibri Light"/>
      <family val="2"/>
      <scheme val="maj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61"/>
    </font>
    <font>
      <sz val="8"/>
      <name val="Arial"/>
      <family val="2"/>
    </font>
    <font>
      <sz val="11"/>
      <color theme="1"/>
      <name val="Arial"/>
      <family val="2"/>
    </font>
    <font>
      <sz val="11"/>
      <color indexed="8"/>
      <name val="Calibri"/>
      <family val="2"/>
    </font>
    <font>
      <sz val="11"/>
      <color indexed="62"/>
      <name val="Calibri"/>
      <family val="2"/>
    </font>
    <font>
      <sz val="10"/>
      <name val="Comic Sans MS"/>
      <family val="4"/>
    </font>
    <font>
      <sz val="10"/>
      <name val="MS Sans Serif"/>
      <family val="2"/>
    </font>
    <font>
      <sz val="9"/>
      <name val="Comic Sans MS"/>
      <family val="4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161"/>
      <scheme val="minor"/>
    </font>
    <font>
      <sz val="11"/>
      <name val="Calibri"/>
      <family val="2"/>
    </font>
    <font>
      <b/>
      <sz val="11"/>
      <name val="Calibri"/>
      <family val="2"/>
    </font>
    <font>
      <sz val="10"/>
      <name val="Verdana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FF5FB"/>
        <bgColor indexed="64"/>
      </patternFill>
    </fill>
    <fill>
      <patternFill patternType="solid">
        <fgColor rgb="FFFFF4D1"/>
        <bgColor indexed="64"/>
      </patternFill>
    </fill>
    <fill>
      <patternFill patternType="solid">
        <fgColor rgb="FFDAE8F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47"/>
      </patternFill>
    </fill>
    <fill>
      <patternFill patternType="solid">
        <fgColor indexed="40"/>
        <bgColor indexed="64"/>
      </patternFill>
    </fill>
    <fill>
      <patternFill patternType="solid">
        <fgColor rgb="FFE2EFDA"/>
        <bgColor rgb="FF000000"/>
      </patternFill>
    </fill>
  </fills>
  <borders count="1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333333"/>
      </right>
      <top/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5971">
    <xf numFmtId="0" fontId="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3" fillId="16" borderId="81" applyNumberFormat="0" applyAlignment="0" applyProtection="0">
      <alignment horizontal="left" vertical="center" indent="1"/>
    </xf>
    <xf numFmtId="172" fontId="14" fillId="0" borderId="82" applyNumberFormat="0" applyProtection="0">
      <alignment horizontal="right" vertical="center"/>
    </xf>
    <xf numFmtId="172" fontId="13" fillId="0" borderId="83" applyNumberFormat="0" applyProtection="0">
      <alignment horizontal="right" vertical="center"/>
    </xf>
    <xf numFmtId="172" fontId="14" fillId="17" borderId="81" applyNumberFormat="0" applyAlignment="0" applyProtection="0">
      <alignment horizontal="left" vertical="center" indent="1"/>
    </xf>
    <xf numFmtId="0" fontId="15" fillId="15" borderId="83" applyNumberFormat="0" applyAlignment="0">
      <alignment horizontal="left" vertical="center" indent="1"/>
      <protection locked="0"/>
    </xf>
    <xf numFmtId="0" fontId="15" fillId="18" borderId="83" applyNumberFormat="0" applyAlignment="0" applyProtection="0">
      <alignment horizontal="left" vertical="center" indent="1"/>
    </xf>
    <xf numFmtId="172" fontId="14" fillId="19" borderId="82" applyNumberFormat="0" applyBorder="0">
      <alignment horizontal="right" vertical="center"/>
      <protection locked="0"/>
    </xf>
    <xf numFmtId="0" fontId="15" fillId="15" borderId="83" applyNumberFormat="0" applyAlignment="0">
      <alignment horizontal="left" vertical="center" indent="1"/>
      <protection locked="0"/>
    </xf>
    <xf numFmtId="172" fontId="13" fillId="18" borderId="83" applyNumberFormat="0" applyProtection="0">
      <alignment horizontal="right" vertical="center"/>
    </xf>
    <xf numFmtId="172" fontId="13" fillId="19" borderId="83" applyNumberFormat="0" applyBorder="0">
      <alignment horizontal="right" vertical="center"/>
      <protection locked="0"/>
    </xf>
    <xf numFmtId="172" fontId="16" fillId="20" borderId="84" applyNumberFormat="0" applyBorder="0" applyAlignment="0" applyProtection="0">
      <alignment horizontal="right" vertical="center" indent="1"/>
    </xf>
    <xf numFmtId="172" fontId="17" fillId="21" borderId="84" applyNumberFormat="0" applyBorder="0" applyAlignment="0" applyProtection="0">
      <alignment horizontal="right" vertical="center" indent="1"/>
    </xf>
    <xf numFmtId="172" fontId="17" fillId="22" borderId="84" applyNumberFormat="0" applyBorder="0" applyAlignment="0" applyProtection="0">
      <alignment horizontal="right" vertical="center" indent="1"/>
    </xf>
    <xf numFmtId="172" fontId="18" fillId="23" borderId="84" applyNumberFormat="0" applyBorder="0" applyAlignment="0" applyProtection="0">
      <alignment horizontal="right" vertical="center" indent="1"/>
    </xf>
    <xf numFmtId="172" fontId="18" fillId="24" borderId="84" applyNumberFormat="0" applyBorder="0" applyAlignment="0" applyProtection="0">
      <alignment horizontal="right" vertical="center" indent="1"/>
    </xf>
    <xf numFmtId="172" fontId="18" fillId="25" borderId="84" applyNumberFormat="0" applyBorder="0" applyAlignment="0" applyProtection="0">
      <alignment horizontal="right" vertical="center" indent="1"/>
    </xf>
    <xf numFmtId="172" fontId="19" fillId="26" borderId="84" applyNumberFormat="0" applyBorder="0" applyAlignment="0" applyProtection="0">
      <alignment horizontal="right" vertical="center" indent="1"/>
    </xf>
    <xf numFmtId="172" fontId="19" fillId="27" borderId="84" applyNumberFormat="0" applyBorder="0" applyAlignment="0" applyProtection="0">
      <alignment horizontal="right" vertical="center" indent="1"/>
    </xf>
    <xf numFmtId="172" fontId="19" fillId="28" borderId="84" applyNumberFormat="0" applyBorder="0" applyAlignment="0" applyProtection="0">
      <alignment horizontal="right" vertical="center" indent="1"/>
    </xf>
    <xf numFmtId="0" fontId="20" fillId="0" borderId="81" applyNumberFormat="0" applyFont="0" applyFill="0" applyAlignment="0" applyProtection="0"/>
    <xf numFmtId="172" fontId="21" fillId="17" borderId="0" applyNumberFormat="0" applyAlignment="0" applyProtection="0">
      <alignment horizontal="left" vertical="center" indent="1"/>
    </xf>
    <xf numFmtId="0" fontId="20" fillId="0" borderId="85" applyNumberFormat="0" applyFont="0" applyFill="0" applyAlignment="0" applyProtection="0"/>
    <xf numFmtId="172" fontId="14" fillId="0" borderId="82" applyNumberFormat="0" applyFill="0" applyBorder="0" applyAlignment="0" applyProtection="0">
      <alignment horizontal="right" vertical="center"/>
    </xf>
    <xf numFmtId="172" fontId="14" fillId="17" borderId="81" applyNumberFormat="0" applyAlignment="0" applyProtection="0">
      <alignment horizontal="left" vertical="center" indent="1"/>
    </xf>
    <xf numFmtId="0" fontId="13" fillId="16" borderId="83" applyNumberFormat="0" applyAlignment="0" applyProtection="0">
      <alignment horizontal="left" vertical="center" indent="1"/>
    </xf>
    <xf numFmtId="0" fontId="15" fillId="29" borderId="81" applyNumberFormat="0" applyAlignment="0" applyProtection="0">
      <alignment horizontal="left" vertical="center" indent="1"/>
    </xf>
    <xf numFmtId="0" fontId="15" fillId="30" borderId="81" applyNumberFormat="0" applyAlignment="0" applyProtection="0">
      <alignment horizontal="left" vertical="center" indent="1"/>
    </xf>
    <xf numFmtId="0" fontId="15" fillId="31" borderId="81" applyNumberFormat="0" applyAlignment="0" applyProtection="0">
      <alignment horizontal="left" vertical="center" indent="1"/>
    </xf>
    <xf numFmtId="0" fontId="15" fillId="19" borderId="81" applyNumberFormat="0" applyAlignment="0" applyProtection="0">
      <alignment horizontal="left" vertical="center" indent="1"/>
    </xf>
    <xf numFmtId="0" fontId="15" fillId="18" borderId="83" applyNumberFormat="0" applyAlignment="0" applyProtection="0">
      <alignment horizontal="left" vertical="center" indent="1"/>
    </xf>
    <xf numFmtId="0" fontId="22" fillId="0" borderId="10" applyNumberFormat="0" applyFill="0" applyBorder="0" applyAlignment="0" applyProtection="0"/>
    <xf numFmtId="0" fontId="23" fillId="0" borderId="10" applyNumberFormat="0" applyBorder="0" applyAlignment="0" applyProtection="0"/>
    <xf numFmtId="0" fontId="22" fillId="15" borderId="83" applyNumberFormat="0" applyAlignment="0">
      <alignment horizontal="left" vertical="center" indent="1"/>
      <protection locked="0"/>
    </xf>
    <xf numFmtId="0" fontId="22" fillId="15" borderId="83" applyNumberFormat="0" applyAlignment="0">
      <alignment horizontal="left" vertical="center" indent="1"/>
      <protection locked="0"/>
    </xf>
    <xf numFmtId="0" fontId="22" fillId="18" borderId="83" applyNumberFormat="0" applyAlignment="0" applyProtection="0">
      <alignment horizontal="left" vertical="center" indent="1"/>
    </xf>
    <xf numFmtId="172" fontId="24" fillId="18" borderId="83" applyNumberFormat="0" applyProtection="0">
      <alignment horizontal="right" vertical="center"/>
    </xf>
    <xf numFmtId="172" fontId="25" fillId="19" borderId="82" applyNumberFormat="0" applyBorder="0">
      <alignment horizontal="right" vertical="center"/>
      <protection locked="0"/>
    </xf>
    <xf numFmtId="172" fontId="24" fillId="19" borderId="83" applyNumberFormat="0" applyBorder="0">
      <alignment horizontal="right" vertical="center"/>
      <protection locked="0"/>
    </xf>
    <xf numFmtId="172" fontId="14" fillId="0" borderId="82" applyNumberFormat="0" applyFill="0" applyBorder="0" applyAlignment="0" applyProtection="0">
      <alignment horizontal="right" vertical="center"/>
    </xf>
    <xf numFmtId="0" fontId="10" fillId="0" borderId="0"/>
    <xf numFmtId="9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0" fillId="0" borderId="0"/>
    <xf numFmtId="9" fontId="1" fillId="0" borderId="0" applyFont="0" applyFill="0" applyBorder="0" applyAlignment="0" applyProtection="0"/>
    <xf numFmtId="0" fontId="35" fillId="0" borderId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33" fillId="57" borderId="0" applyNumberFormat="0" applyBorder="0" applyAlignment="0" applyProtection="0"/>
    <xf numFmtId="0" fontId="33" fillId="58" borderId="0" applyNumberFormat="0" applyBorder="0" applyAlignment="0" applyProtection="0"/>
    <xf numFmtId="0" fontId="40" fillId="0" borderId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2" fillId="0" borderId="0"/>
    <xf numFmtId="189" fontId="42" fillId="0" borderId="0"/>
    <xf numFmtId="0" fontId="43" fillId="51" borderId="0"/>
    <xf numFmtId="0" fontId="44" fillId="59" borderId="0"/>
    <xf numFmtId="0" fontId="42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2" fillId="59" borderId="0"/>
    <xf numFmtId="0" fontId="44" fillId="59" borderId="0"/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0" fontId="46" fillId="52" borderId="0" applyNumberFormat="0" applyBorder="0" applyAlignment="0" applyProtection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35" fillId="0" borderId="0"/>
    <xf numFmtId="0" fontId="35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1" fillId="0" borderId="0"/>
    <xf numFmtId="0" fontId="41" fillId="0" borderId="0" applyNumberFormat="0" applyFill="0" applyBorder="0" applyProtection="0">
      <alignment vertical="top"/>
    </xf>
    <xf numFmtId="0" fontId="1" fillId="0" borderId="0"/>
    <xf numFmtId="0" fontId="1" fillId="0" borderId="0"/>
    <xf numFmtId="0" fontId="47" fillId="0" borderId="0"/>
    <xf numFmtId="0" fontId="10" fillId="0" borderId="0"/>
    <xf numFmtId="0" fontId="47" fillId="0" borderId="0"/>
    <xf numFmtId="0" fontId="47" fillId="0" borderId="0"/>
    <xf numFmtId="0" fontId="1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1" fillId="0" borderId="0"/>
    <xf numFmtId="0" fontId="10" fillId="0" borderId="0"/>
    <xf numFmtId="0" fontId="1" fillId="0" borderId="0"/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1" fillId="0" borderId="0"/>
    <xf numFmtId="0" fontId="47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1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1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1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1" fillId="0" borderId="0"/>
    <xf numFmtId="0" fontId="47" fillId="0" borderId="0"/>
    <xf numFmtId="0" fontId="1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1" fillId="0" borderId="0"/>
    <xf numFmtId="189" fontId="48" fillId="52" borderId="0"/>
    <xf numFmtId="0" fontId="48" fillId="52" borderId="0"/>
    <xf numFmtId="189" fontId="40" fillId="0" borderId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</xf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189" fontId="43" fillId="51" borderId="0"/>
    <xf numFmtId="0" fontId="51" fillId="0" borderId="0" applyNumberFormat="0" applyFill="0" applyBorder="0" applyAlignment="0" applyProtection="0"/>
    <xf numFmtId="0" fontId="52" fillId="0" borderId="119" applyNumberFormat="0" applyFill="0" applyAlignment="0" applyProtection="0"/>
    <xf numFmtId="0" fontId="53" fillId="0" borderId="120" applyNumberFormat="0" applyFill="0" applyAlignment="0" applyProtection="0"/>
    <xf numFmtId="0" fontId="54" fillId="0" borderId="121" applyNumberFormat="0" applyFill="0" applyAlignment="0" applyProtection="0"/>
    <xf numFmtId="0" fontId="54" fillId="0" borderId="0" applyNumberFormat="0" applyFill="0" applyBorder="0" applyAlignment="0" applyProtection="0"/>
    <xf numFmtId="0" fontId="55" fillId="60" borderId="0" applyNumberFormat="0" applyBorder="0" applyAlignment="0" applyProtection="0"/>
    <xf numFmtId="0" fontId="56" fillId="51" borderId="0" applyNumberFormat="0" applyBorder="0" applyAlignment="0" applyProtection="0"/>
    <xf numFmtId="0" fontId="57" fillId="52" borderId="0" applyNumberFormat="0" applyBorder="0" applyAlignment="0" applyProtection="0"/>
    <xf numFmtId="0" fontId="58" fillId="61" borderId="122" applyNumberFormat="0" applyAlignment="0" applyProtection="0"/>
    <xf numFmtId="0" fontId="59" fillId="62" borderId="123" applyNumberFormat="0" applyAlignment="0" applyProtection="0"/>
    <xf numFmtId="0" fontId="60" fillId="62" borderId="122" applyNumberFormat="0" applyAlignment="0" applyProtection="0"/>
    <xf numFmtId="0" fontId="61" fillId="0" borderId="124" applyNumberFormat="0" applyFill="0" applyAlignment="0" applyProtection="0"/>
    <xf numFmtId="0" fontId="62" fillId="63" borderId="125" applyNumberFormat="0" applyAlignment="0" applyProtection="0"/>
    <xf numFmtId="0" fontId="39" fillId="0" borderId="0" applyNumberFormat="0" applyFill="0" applyBorder="0" applyAlignment="0" applyProtection="0"/>
    <xf numFmtId="0" fontId="1" fillId="64" borderId="126" applyNumberFormat="0" applyFont="0" applyAlignment="0" applyProtection="0"/>
    <xf numFmtId="0" fontId="63" fillId="0" borderId="0" applyNumberFormat="0" applyFill="0" applyBorder="0" applyAlignment="0" applyProtection="0"/>
    <xf numFmtId="0" fontId="2" fillId="0" borderId="127" applyNumberFormat="0" applyFill="0" applyAlignment="0" applyProtection="0"/>
    <xf numFmtId="0" fontId="33" fillId="65" borderId="0" applyNumberFormat="0" applyBorder="0" applyAlignment="0" applyProtection="0"/>
    <xf numFmtId="0" fontId="1" fillId="66" borderId="0" applyNumberFormat="0" applyBorder="0" applyAlignment="0" applyProtection="0"/>
    <xf numFmtId="0" fontId="1" fillId="67" borderId="0" applyNumberFormat="0" applyBorder="0" applyAlignment="0" applyProtection="0"/>
    <xf numFmtId="0" fontId="1" fillId="53" borderId="0" applyNumberFormat="0" applyBorder="0" applyAlignment="0" applyProtection="0"/>
    <xf numFmtId="0" fontId="33" fillId="68" borderId="0" applyNumberFormat="0" applyBorder="0" applyAlignment="0" applyProtection="0"/>
    <xf numFmtId="0" fontId="1" fillId="69" borderId="0" applyNumberFormat="0" applyBorder="0" applyAlignment="0" applyProtection="0"/>
    <xf numFmtId="0" fontId="1" fillId="70" borderId="0" applyNumberFormat="0" applyBorder="0" applyAlignment="0" applyProtection="0"/>
    <xf numFmtId="0" fontId="1" fillId="54" borderId="0" applyNumberFormat="0" applyBorder="0" applyAlignment="0" applyProtection="0"/>
    <xf numFmtId="0" fontId="33" fillId="71" borderId="0" applyNumberFormat="0" applyBorder="0" applyAlignment="0" applyProtection="0"/>
    <xf numFmtId="0" fontId="1" fillId="72" borderId="0" applyNumberFormat="0" applyBorder="0" applyAlignment="0" applyProtection="0"/>
    <xf numFmtId="0" fontId="1" fillId="73" borderId="0" applyNumberFormat="0" applyBorder="0" applyAlignment="0" applyProtection="0"/>
    <xf numFmtId="0" fontId="1" fillId="55" borderId="0" applyNumberFormat="0" applyBorder="0" applyAlignment="0" applyProtection="0"/>
    <xf numFmtId="0" fontId="33" fillId="74" borderId="0" applyNumberFormat="0" applyBorder="0" applyAlignment="0" applyProtection="0"/>
    <xf numFmtId="0" fontId="1" fillId="75" borderId="0" applyNumberFormat="0" applyBorder="0" applyAlignment="0" applyProtection="0"/>
    <xf numFmtId="0" fontId="1" fillId="76" borderId="0" applyNumberFormat="0" applyBorder="0" applyAlignment="0" applyProtection="0"/>
    <xf numFmtId="0" fontId="1" fillId="56" borderId="0" applyNumberFormat="0" applyBorder="0" applyAlignment="0" applyProtection="0"/>
    <xf numFmtId="0" fontId="33" fillId="77" borderId="0" applyNumberFormat="0" applyBorder="0" applyAlignment="0" applyProtection="0"/>
    <xf numFmtId="0" fontId="1" fillId="78" borderId="0" applyNumberFormat="0" applyBorder="0" applyAlignment="0" applyProtection="0"/>
    <xf numFmtId="0" fontId="1" fillId="79" borderId="0" applyNumberFormat="0" applyBorder="0" applyAlignment="0" applyProtection="0"/>
    <xf numFmtId="0" fontId="1" fillId="57" borderId="0" applyNumberFormat="0" applyBorder="0" applyAlignment="0" applyProtection="0"/>
    <xf numFmtId="0" fontId="33" fillId="80" borderId="0" applyNumberFormat="0" applyBorder="0" applyAlignment="0" applyProtection="0"/>
    <xf numFmtId="0" fontId="1" fillId="81" borderId="0" applyNumberFormat="0" applyBorder="0" applyAlignment="0" applyProtection="0"/>
    <xf numFmtId="0" fontId="1" fillId="82" borderId="0" applyNumberFormat="0" applyBorder="0" applyAlignment="0" applyProtection="0"/>
    <xf numFmtId="0" fontId="1" fillId="58" borderId="0" applyNumberFormat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4" fillId="59" borderId="0"/>
    <xf numFmtId="0" fontId="47" fillId="0" borderId="0"/>
    <xf numFmtId="0" fontId="44" fillId="59" borderId="0"/>
    <xf numFmtId="0" fontId="41" fillId="0" borderId="0" applyNumberFormat="0" applyFill="0" applyBorder="0" applyProtection="0">
      <alignment vertical="top"/>
    </xf>
    <xf numFmtId="9" fontId="41" fillId="0" borderId="0" applyFont="0" applyFill="0" applyBorder="0" applyAlignment="0" applyProtection="0"/>
    <xf numFmtId="0" fontId="45" fillId="0" borderId="26" applyNumberFormat="0" applyFill="0" applyProtection="0">
      <alignment vertical="top"/>
    </xf>
    <xf numFmtId="0" fontId="41" fillId="0" borderId="0" applyNumberFormat="0" applyFill="0" applyBorder="0" applyProtection="0">
      <alignment vertical="top"/>
    </xf>
    <xf numFmtId="165" fontId="1" fillId="0" borderId="0" applyFont="0" applyFill="0" applyBorder="0" applyAlignment="0" applyProtection="0"/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1" fillId="81" borderId="0" applyNumberFormat="0" applyBorder="0" applyAlignment="0" applyProtection="0"/>
    <xf numFmtId="0" fontId="47" fillId="0" borderId="0"/>
    <xf numFmtId="0" fontId="47" fillId="0" borderId="0"/>
    <xf numFmtId="0" fontId="44" fillId="59" borderId="0"/>
    <xf numFmtId="0" fontId="44" fillId="59" borderId="0"/>
    <xf numFmtId="0" fontId="44" fillId="59" borderId="0"/>
    <xf numFmtId="0" fontId="47" fillId="0" borderId="0"/>
    <xf numFmtId="0" fontId="1" fillId="70" borderId="0" applyNumberFormat="0" applyBorder="0" applyAlignment="0" applyProtection="0"/>
    <xf numFmtId="0" fontId="50" fillId="0" borderId="0" applyNumberFormat="0" applyFill="0" applyBorder="0" applyAlignment="0" applyProtection="0"/>
    <xf numFmtId="0" fontId="47" fillId="0" borderId="0"/>
    <xf numFmtId="0" fontId="44" fillId="59" borderId="0"/>
    <xf numFmtId="0" fontId="1" fillId="76" borderId="0" applyNumberFormat="0" applyBorder="0" applyAlignment="0" applyProtection="0"/>
    <xf numFmtId="0" fontId="1" fillId="69" borderId="0" applyNumberFormat="0" applyBorder="0" applyAlignment="0" applyProtection="0"/>
    <xf numFmtId="0" fontId="1" fillId="75" borderId="0" applyNumberFormat="0" applyBorder="0" applyAlignment="0" applyProtection="0"/>
    <xf numFmtId="0" fontId="46" fillId="52" borderId="0" applyNumberFormat="0" applyBorder="0" applyAlignment="0" applyProtection="0"/>
    <xf numFmtId="0" fontId="35" fillId="0" borderId="0"/>
    <xf numFmtId="0" fontId="1" fillId="0" borderId="0"/>
    <xf numFmtId="0" fontId="33" fillId="58" borderId="0" applyNumberFormat="0" applyBorder="0" applyAlignment="0" applyProtection="0"/>
    <xf numFmtId="0" fontId="66" fillId="0" borderId="79">
      <alignment wrapText="1"/>
    </xf>
    <xf numFmtId="0" fontId="33" fillId="77" borderId="0" applyNumberFormat="0" applyBorder="0" applyAlignment="0" applyProtection="0"/>
    <xf numFmtId="0" fontId="1" fillId="79" borderId="0" applyNumberFormat="0" applyBorder="0" applyAlignment="0" applyProtection="0"/>
    <xf numFmtId="0" fontId="33" fillId="57" borderId="0" applyNumberFormat="0" applyBorder="0" applyAlignment="0" applyProtection="0"/>
    <xf numFmtId="0" fontId="45" fillId="84" borderId="79">
      <alignment horizontal="center" vertical="center" wrapText="1"/>
    </xf>
    <xf numFmtId="0" fontId="33" fillId="74" borderId="0" applyNumberFormat="0" applyBorder="0" applyAlignment="0" applyProtection="0"/>
    <xf numFmtId="0" fontId="1" fillId="73" borderId="0" applyNumberFormat="0" applyBorder="0" applyAlignment="0" applyProtection="0"/>
    <xf numFmtId="0" fontId="33" fillId="56" borderId="0" applyNumberFormat="0" applyBorder="0" applyAlignment="0" applyProtection="0"/>
    <xf numFmtId="0" fontId="62" fillId="63" borderId="125" applyNumberFormat="0" applyAlignment="0" applyProtection="0"/>
    <xf numFmtId="0" fontId="33" fillId="71" borderId="0" applyNumberFormat="0" applyBorder="0" applyAlignment="0" applyProtection="0"/>
    <xf numFmtId="0" fontId="1" fillId="67" borderId="0" applyNumberFormat="0" applyBorder="0" applyAlignment="0" applyProtection="0"/>
    <xf numFmtId="0" fontId="33" fillId="55" borderId="0" applyNumberFormat="0" applyBorder="0" applyAlignment="0" applyProtection="0"/>
    <xf numFmtId="0" fontId="60" fillId="62" borderId="122" applyNumberFormat="0" applyAlignment="0" applyProtection="0"/>
    <xf numFmtId="0" fontId="33" fillId="68" borderId="0" applyNumberFormat="0" applyBorder="0" applyAlignment="0" applyProtection="0"/>
    <xf numFmtId="0" fontId="1" fillId="78" borderId="0" applyNumberFormat="0" applyBorder="0" applyAlignment="0" applyProtection="0"/>
    <xf numFmtId="0" fontId="33" fillId="54" borderId="0" applyNumberFormat="0" applyBorder="0" applyAlignment="0" applyProtection="0"/>
    <xf numFmtId="0" fontId="56" fillId="51" borderId="0" applyNumberFormat="0" applyBorder="0" applyAlignment="0" applyProtection="0"/>
    <xf numFmtId="0" fontId="33" fillId="65" borderId="0" applyNumberFormat="0" applyBorder="0" applyAlignment="0" applyProtection="0"/>
    <xf numFmtId="0" fontId="1" fillId="72" borderId="0" applyNumberFormat="0" applyBorder="0" applyAlignment="0" applyProtection="0"/>
    <xf numFmtId="0" fontId="33" fillId="53" borderId="0" applyNumberFormat="0" applyBorder="0" applyAlignment="0" applyProtection="0"/>
    <xf numFmtId="0" fontId="33" fillId="80" borderId="0" applyNumberFormat="0" applyBorder="0" applyAlignment="0" applyProtection="0"/>
    <xf numFmtId="0" fontId="1" fillId="82" borderId="0" applyNumberFormat="0" applyBorder="0" applyAlignment="0" applyProtection="0"/>
    <xf numFmtId="0" fontId="1" fillId="66" borderId="0" applyNumberFormat="0" applyBorder="0" applyAlignment="0" applyProtection="0"/>
    <xf numFmtId="0" fontId="1" fillId="0" borderId="0"/>
    <xf numFmtId="14" fontId="41" fillId="0" borderId="6" applyFont="0" applyFill="0" applyProtection="0">
      <alignment vertical="top"/>
    </xf>
    <xf numFmtId="0" fontId="47" fillId="0" borderId="0"/>
    <xf numFmtId="167" fontId="3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5" fillId="0" borderId="0"/>
    <xf numFmtId="0" fontId="67" fillId="0" borderId="0"/>
    <xf numFmtId="0" fontId="35" fillId="0" borderId="0"/>
    <xf numFmtId="192" fontId="35" fillId="0" borderId="0" applyFont="0" applyFill="0" applyBorder="0" applyAlignment="0" applyProtection="0"/>
    <xf numFmtId="0" fontId="65" fillId="0" borderId="0"/>
    <xf numFmtId="9" fontId="35" fillId="0" borderId="0" applyFont="0" applyFill="0" applyBorder="0" applyAlignment="0" applyProtection="0"/>
    <xf numFmtId="167" fontId="1" fillId="0" borderId="0" applyFont="0" applyFill="0" applyBorder="0" applyAlignment="0" applyProtection="0"/>
    <xf numFmtId="192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/>
    </xf>
    <xf numFmtId="180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7" fillId="0" borderId="0"/>
    <xf numFmtId="0" fontId="44" fillId="59" borderId="0"/>
    <xf numFmtId="0" fontId="44" fillId="59" borderId="0"/>
    <xf numFmtId="0" fontId="47" fillId="0" borderId="0"/>
    <xf numFmtId="0" fontId="47" fillId="0" borderId="0"/>
    <xf numFmtId="0" fontId="44" fillId="59" borderId="0"/>
    <xf numFmtId="165" fontId="1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0" fontId="47" fillId="0" borderId="0"/>
    <xf numFmtId="0" fontId="47" fillId="0" borderId="0"/>
    <xf numFmtId="0" fontId="44" fillId="59" borderId="0"/>
    <xf numFmtId="165" fontId="1" fillId="0" borderId="0" applyFont="0" applyFill="0" applyBorder="0" applyAlignment="0" applyProtection="0"/>
    <xf numFmtId="167" fontId="35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7" fontId="35" fillId="0" borderId="0" applyFont="0" applyFill="0" applyBorder="0" applyAlignment="0" applyProtection="0"/>
    <xf numFmtId="195" fontId="35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94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3" fillId="0" borderId="0" applyNumberFormat="0" applyFill="0" applyBorder="0" applyAlignment="0" applyProtection="0"/>
    <xf numFmtId="0" fontId="55" fillId="60" borderId="0" applyNumberFormat="0" applyBorder="0" applyAlignment="0" applyProtection="0"/>
    <xf numFmtId="0" fontId="52" fillId="0" borderId="119" applyNumberFormat="0" applyFill="0" applyAlignment="0" applyProtection="0"/>
    <xf numFmtId="0" fontId="53" fillId="0" borderId="120" applyNumberFormat="0" applyFill="0" applyAlignment="0" applyProtection="0"/>
    <xf numFmtId="0" fontId="54" fillId="0" borderId="121" applyNumberFormat="0" applyFill="0" applyAlignment="0" applyProtection="0"/>
    <xf numFmtId="0" fontId="5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9" fillId="83" borderId="128" applyNumberFormat="0" applyAlignment="0" applyProtection="0"/>
    <xf numFmtId="0" fontId="58" fillId="61" borderId="122" applyNumberFormat="0" applyAlignment="0" applyProtection="0"/>
    <xf numFmtId="0" fontId="69" fillId="83" borderId="128" applyNumberFormat="0" applyAlignment="0" applyProtection="0"/>
    <xf numFmtId="0" fontId="61" fillId="0" borderId="124" applyNumberFormat="0" applyFill="0" applyAlignment="0" applyProtection="0"/>
    <xf numFmtId="0" fontId="65" fillId="0" borderId="0"/>
    <xf numFmtId="0" fontId="35" fillId="0" borderId="0"/>
    <xf numFmtId="0" fontId="73" fillId="0" borderId="0"/>
    <xf numFmtId="0" fontId="73" fillId="0" borderId="0"/>
    <xf numFmtId="0" fontId="35" fillId="0" borderId="0"/>
    <xf numFmtId="0" fontId="65" fillId="0" borderId="0"/>
    <xf numFmtId="0" fontId="70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75" fillId="0" borderId="0"/>
    <xf numFmtId="0" fontId="35" fillId="0" borderId="0"/>
    <xf numFmtId="0" fontId="70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35" fillId="0" borderId="0"/>
    <xf numFmtId="0" fontId="35" fillId="0" borderId="0"/>
    <xf numFmtId="0" fontId="7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3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67" fillId="0" borderId="0"/>
    <xf numFmtId="0" fontId="75" fillId="0" borderId="0"/>
    <xf numFmtId="0" fontId="35" fillId="0" borderId="0"/>
    <xf numFmtId="0" fontId="1" fillId="0" borderId="0"/>
    <xf numFmtId="0" fontId="1" fillId="0" borderId="0"/>
    <xf numFmtId="0" fontId="6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3" fillId="0" borderId="0"/>
    <xf numFmtId="0" fontId="1" fillId="64" borderId="126" applyNumberFormat="0" applyFont="0" applyAlignment="0" applyProtection="0"/>
    <xf numFmtId="0" fontId="1" fillId="64" borderId="126" applyNumberFormat="0" applyFont="0" applyAlignment="0" applyProtection="0"/>
    <xf numFmtId="0" fontId="59" fillId="62" borderId="123" applyNumberFormat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5" fillId="15" borderId="83" applyNumberFormat="0" applyAlignment="0" applyProtection="0">
      <alignment horizontal="left" vertical="center" indent="1"/>
    </xf>
    <xf numFmtId="0" fontId="15" fillId="15" borderId="83" applyNumberFormat="0" applyAlignment="0" applyProtection="0">
      <alignment horizontal="left" vertical="center" indent="1"/>
    </xf>
    <xf numFmtId="172" fontId="14" fillId="19" borderId="82" applyNumberFormat="0" applyBorder="0" applyProtection="0">
      <alignment horizontal="right" vertical="center"/>
    </xf>
    <xf numFmtId="172" fontId="13" fillId="19" borderId="83" applyNumberFormat="0" applyBorder="0" applyProtection="0">
      <alignment horizontal="right" vertical="center"/>
    </xf>
    <xf numFmtId="0" fontId="70" fillId="0" borderId="0"/>
    <xf numFmtId="0" fontId="71" fillId="0" borderId="0"/>
    <xf numFmtId="0" fontId="66" fillId="0" borderId="0"/>
    <xf numFmtId="0" fontId="66" fillId="0" borderId="0"/>
    <xf numFmtId="0" fontId="2" fillId="0" borderId="127" applyNumberFormat="0" applyFill="0" applyAlignment="0" applyProtection="0"/>
    <xf numFmtId="0" fontId="39" fillId="0" borderId="0" applyNumberForma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14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4" fillId="59" borderId="0"/>
    <xf numFmtId="0" fontId="47" fillId="0" borderId="0"/>
    <xf numFmtId="0" fontId="41" fillId="0" borderId="0" applyNumberFormat="0" applyFill="0" applyBorder="0" applyProtection="0">
      <alignment vertical="top"/>
    </xf>
    <xf numFmtId="9" fontId="41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4" fillId="59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0" fontId="45" fillId="0" borderId="26" applyNumberFormat="0" applyFill="0" applyProtection="0">
      <alignment vertical="top"/>
    </xf>
    <xf numFmtId="2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15" fillId="15" borderId="83" applyNumberFormat="0" applyAlignment="0">
      <alignment horizontal="left" vertical="center" indent="1"/>
      <protection locked="0"/>
    </xf>
    <xf numFmtId="0" fontId="15" fillId="15" borderId="83" applyNumberFormat="0" applyAlignment="0">
      <alignment horizontal="left" vertical="center" indent="1"/>
      <protection locked="0"/>
    </xf>
    <xf numFmtId="0" fontId="10" fillId="0" borderId="0"/>
    <xf numFmtId="9" fontId="10" fillId="0" borderId="0" applyFont="0" applyFill="0" applyBorder="0" applyAlignment="0" applyProtection="0"/>
    <xf numFmtId="172" fontId="13" fillId="19" borderId="83" applyNumberFormat="0" applyBorder="0">
      <alignment horizontal="right" vertical="center"/>
      <protection locked="0"/>
    </xf>
    <xf numFmtId="0" fontId="10" fillId="0" borderId="0"/>
    <xf numFmtId="172" fontId="14" fillId="19" borderId="82" applyNumberFormat="0" applyBorder="0">
      <alignment horizontal="right" vertical="center"/>
      <protection locked="0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19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9" fontId="41" fillId="0" borderId="0" applyFont="0" applyFill="0" applyBorder="0" applyAlignment="0" applyProtection="0"/>
    <xf numFmtId="165" fontId="1" fillId="0" borderId="0" applyFont="0" applyFill="0" applyBorder="0" applyAlignment="0" applyProtection="0"/>
    <xf numFmtId="2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9" fontId="10" fillId="0" borderId="0" applyFont="0" applyFill="0" applyBorder="0" applyAlignment="0" applyProtection="0"/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 wrapText="1"/>
    </xf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4" fillId="59" borderId="0"/>
    <xf numFmtId="0" fontId="44" fillId="59" borderId="0"/>
    <xf numFmtId="0" fontId="47" fillId="0" borderId="0"/>
    <xf numFmtId="0" fontId="41" fillId="0" borderId="0" applyNumberFormat="0" applyFill="0" applyBorder="0" applyProtection="0">
      <alignment vertical="top"/>
    </xf>
    <xf numFmtId="0" fontId="10" fillId="0" borderId="0"/>
    <xf numFmtId="0" fontId="47" fillId="0" borderId="0"/>
    <xf numFmtId="0" fontId="47" fillId="0" borderId="0"/>
    <xf numFmtId="0" fontId="10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0" fontId="47" fillId="0" borderId="0"/>
    <xf numFmtId="0" fontId="47" fillId="0" borderId="0"/>
    <xf numFmtId="9" fontId="41" fillId="0" borderId="0" applyFont="0" applyFill="0" applyBorder="0" applyAlignment="0" applyProtection="0"/>
    <xf numFmtId="0" fontId="47" fillId="0" borderId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35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7" fillId="0" borderId="0"/>
    <xf numFmtId="0" fontId="41" fillId="0" borderId="0" applyNumberFormat="0" applyFill="0" applyBorder="0" applyProtection="0">
      <alignment vertical="top"/>
    </xf>
    <xf numFmtId="164" fontId="1" fillId="0" borderId="0" applyFont="0" applyFill="0" applyBorder="0" applyAlignment="0" applyProtection="0"/>
    <xf numFmtId="19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0" fontId="47" fillId="0" borderId="0"/>
    <xf numFmtId="170" fontId="41" fillId="0" borderId="6" applyFont="0" applyFill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190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84" fontId="41" fillId="0" borderId="6" applyFon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85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0" fontId="45" fillId="0" borderId="26" applyNumberFormat="0" applyFill="0" applyProtection="0">
      <alignment vertical="top"/>
    </xf>
    <xf numFmtId="188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0" borderId="0"/>
    <xf numFmtId="0" fontId="44" fillId="59" borderId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5" fillId="0" borderId="26" applyNumberFormat="0" applyFill="0" applyProtection="0">
      <alignment vertical="top"/>
    </xf>
    <xf numFmtId="0" fontId="41" fillId="0" borderId="6" applyNumberFormat="0" applyFont="0" applyFill="0" applyProtection="0">
      <alignment vertical="top"/>
    </xf>
    <xf numFmtId="180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43" fontId="1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47" fillId="0" borderId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0" borderId="0"/>
    <xf numFmtId="0" fontId="47" fillId="0" borderId="0"/>
    <xf numFmtId="9" fontId="41" fillId="0" borderId="0" applyFont="0" applyFill="0" applyBorder="0" applyAlignment="0" applyProtection="0"/>
    <xf numFmtId="0" fontId="47" fillId="0" borderId="0"/>
    <xf numFmtId="0" fontId="47" fillId="0" borderId="0"/>
    <xf numFmtId="0" fontId="49" fillId="0" borderId="0" applyNumberFormat="0" applyFill="0" applyBorder="0" applyAlignment="0" applyProtection="0">
      <alignment vertical="top"/>
    </xf>
    <xf numFmtId="0" fontId="41" fillId="0" borderId="0" applyNumberFormat="0" applyFill="0" applyBorder="0" applyProtection="0">
      <alignment vertical="top"/>
    </xf>
    <xf numFmtId="178" fontId="41" fillId="0" borderId="6" applyFont="0" applyFill="0" applyProtection="0">
      <alignment vertical="top"/>
    </xf>
    <xf numFmtId="0" fontId="1" fillId="0" borderId="0"/>
    <xf numFmtId="0" fontId="47" fillId="0" borderId="0"/>
    <xf numFmtId="0" fontId="41" fillId="0" borderId="0" applyNumberFormat="0" applyFill="0" applyBorder="0" applyProtection="0">
      <alignment vertical="top"/>
    </xf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0" fontId="47" fillId="0" borderId="0"/>
    <xf numFmtId="0" fontId="47" fillId="0" borderId="0"/>
    <xf numFmtId="0" fontId="44" fillId="59" borderId="0"/>
    <xf numFmtId="14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/>
    </xf>
    <xf numFmtId="180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59" borderId="0"/>
    <xf numFmtId="0" fontId="47" fillId="0" borderId="0"/>
    <xf numFmtId="0" fontId="47" fillId="0" borderId="0"/>
    <xf numFmtId="0" fontId="44" fillId="59" borderId="0"/>
    <xf numFmtId="0" fontId="41" fillId="0" borderId="0" applyNumberFormat="0" applyFill="0" applyBorder="0" applyProtection="0">
      <alignment vertical="top"/>
    </xf>
    <xf numFmtId="178" fontId="41" fillId="0" borderId="6" applyFont="0" applyFill="0" applyProtection="0">
      <alignment vertical="top"/>
    </xf>
    <xf numFmtId="0" fontId="1" fillId="0" borderId="0"/>
    <xf numFmtId="0" fontId="1" fillId="0" borderId="0"/>
    <xf numFmtId="0" fontId="1" fillId="0" borderId="0"/>
    <xf numFmtId="0" fontId="47" fillId="0" borderId="0"/>
    <xf numFmtId="0" fontId="44" fillId="59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0" fontId="47" fillId="0" borderId="0"/>
    <xf numFmtId="0" fontId="44" fillId="59" borderId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76" fillId="0" borderId="0"/>
    <xf numFmtId="0" fontId="77" fillId="59" borderId="0"/>
    <xf numFmtId="165" fontId="1" fillId="0" borderId="0" applyFont="0" applyFill="0" applyBorder="0" applyAlignment="0" applyProtection="0"/>
    <xf numFmtId="0" fontId="78" fillId="0" borderId="0" applyNumberFormat="0" applyFill="0" applyBorder="0" applyProtection="0">
      <alignment vertical="top"/>
    </xf>
    <xf numFmtId="0" fontId="78" fillId="0" borderId="6" applyNumberFormat="0" applyFont="0" applyFill="0" applyProtection="0">
      <alignment vertical="top"/>
    </xf>
    <xf numFmtId="46" fontId="78" fillId="0" borderId="6" applyFont="0" applyFill="0" applyProtection="0">
      <alignment vertical="top"/>
    </xf>
    <xf numFmtId="191" fontId="78" fillId="0" borderId="6" applyFont="0" applyFill="0" applyProtection="0">
      <alignment vertical="top"/>
    </xf>
    <xf numFmtId="190" fontId="78" fillId="0" borderId="6" applyFont="0" applyFill="0" applyProtection="0">
      <alignment vertical="top"/>
    </xf>
    <xf numFmtId="0" fontId="79" fillId="0" borderId="26" applyNumberFormat="0" applyFill="0" applyProtection="0">
      <alignment vertical="top"/>
    </xf>
    <xf numFmtId="0" fontId="80" fillId="0" borderId="0" applyNumberFormat="0" applyFill="0" applyBorder="0" applyAlignment="0" applyProtection="0">
      <alignment vertical="top"/>
    </xf>
    <xf numFmtId="170" fontId="78" fillId="0" borderId="6" applyFont="0" applyFill="0" applyProtection="0">
      <alignment vertical="top"/>
    </xf>
    <xf numFmtId="2" fontId="78" fillId="0" borderId="6" applyFont="0" applyFill="0" applyProtection="0">
      <alignment vertical="top"/>
    </xf>
    <xf numFmtId="179" fontId="78" fillId="0" borderId="6" applyFont="0" applyFill="0" applyProtection="0">
      <alignment vertical="top"/>
    </xf>
    <xf numFmtId="180" fontId="78" fillId="0" borderId="6" applyFont="0" applyFill="0" applyProtection="0">
      <alignment vertical="top"/>
    </xf>
    <xf numFmtId="181" fontId="78" fillId="0" borderId="6" applyFont="0" applyFill="0" applyProtection="0">
      <alignment vertical="top"/>
    </xf>
    <xf numFmtId="182" fontId="78" fillId="0" borderId="6" applyFont="0" applyFill="0" applyProtection="0">
      <alignment vertical="top"/>
    </xf>
    <xf numFmtId="183" fontId="78" fillId="0" borderId="6" applyFont="0" applyFill="0" applyProtection="0">
      <alignment vertical="top"/>
    </xf>
    <xf numFmtId="184" fontId="78" fillId="0" borderId="6" applyFont="0" applyFill="0" applyProtection="0">
      <alignment vertical="top"/>
    </xf>
    <xf numFmtId="185" fontId="78" fillId="0" borderId="6" applyFont="0" applyFill="0" applyProtection="0">
      <alignment vertical="top"/>
    </xf>
    <xf numFmtId="186" fontId="78" fillId="0" borderId="6" applyFont="0" applyFill="0" applyProtection="0">
      <alignment vertical="top"/>
    </xf>
    <xf numFmtId="187" fontId="78" fillId="0" borderId="6" applyFont="0" applyFill="0" applyProtection="0">
      <alignment vertical="top"/>
    </xf>
    <xf numFmtId="188" fontId="78" fillId="0" borderId="6" applyFont="0" applyFill="0" applyProtection="0">
      <alignment vertical="top"/>
    </xf>
    <xf numFmtId="0" fontId="78" fillId="0" borderId="6" applyNumberFormat="0" applyFont="0" applyFill="0" applyProtection="0">
      <alignment vertical="top" wrapText="1"/>
    </xf>
    <xf numFmtId="178" fontId="78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0" fontId="47" fillId="0" borderId="0"/>
    <xf numFmtId="0" fontId="47" fillId="0" borderId="0"/>
    <xf numFmtId="0" fontId="44" fillId="59" borderId="0"/>
    <xf numFmtId="0" fontId="47" fillId="0" borderId="0"/>
    <xf numFmtId="0" fontId="44" fillId="59" borderId="0"/>
    <xf numFmtId="0" fontId="47" fillId="0" borderId="0"/>
    <xf numFmtId="0" fontId="44" fillId="59" borderId="0"/>
    <xf numFmtId="0" fontId="44" fillId="59" borderId="0"/>
    <xf numFmtId="0" fontId="41" fillId="0" borderId="0" applyNumberFormat="0" applyFill="0" applyBorder="0" applyProtection="0">
      <alignment vertical="top"/>
    </xf>
    <xf numFmtId="0" fontId="50" fillId="0" borderId="0" applyNumberFormat="0" applyFill="0" applyBorder="0" applyAlignment="0" applyProtection="0"/>
    <xf numFmtId="14" fontId="41" fillId="0" borderId="6" applyFont="0" applyFill="0" applyProtection="0">
      <alignment vertical="top"/>
    </xf>
    <xf numFmtId="0" fontId="77" fillId="17" borderId="0"/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/>
    </xf>
    <xf numFmtId="180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0" fontId="76" fillId="0" borderId="0"/>
    <xf numFmtId="0" fontId="77" fillId="59" borderId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8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35" fillId="0" borderId="0"/>
    <xf numFmtId="0" fontId="47" fillId="0" borderId="0"/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19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 wrapText="1"/>
    </xf>
    <xf numFmtId="0" fontId="41" fillId="0" borderId="6" applyNumberFormat="0" applyFont="0" applyFill="0" applyProtection="0">
      <alignment vertical="top" wrapText="1"/>
    </xf>
    <xf numFmtId="0" fontId="78" fillId="0" borderId="0" applyNumberFormat="0" applyFill="0" applyBorder="0" applyProtection="0">
      <alignment vertical="top"/>
    </xf>
    <xf numFmtId="0" fontId="78" fillId="0" borderId="6" applyNumberFormat="0" applyFont="0" applyFill="0" applyProtection="0">
      <alignment vertical="top"/>
    </xf>
    <xf numFmtId="46" fontId="78" fillId="0" borderId="6" applyFont="0" applyFill="0" applyProtection="0">
      <alignment vertical="top"/>
    </xf>
    <xf numFmtId="191" fontId="78" fillId="0" borderId="6" applyFont="0" applyFill="0" applyProtection="0">
      <alignment vertical="top"/>
    </xf>
    <xf numFmtId="190" fontId="78" fillId="0" borderId="6" applyFont="0" applyFill="0" applyProtection="0">
      <alignment vertical="top"/>
    </xf>
    <xf numFmtId="0" fontId="79" fillId="0" borderId="26" applyNumberFormat="0" applyFill="0" applyProtection="0">
      <alignment vertical="top"/>
    </xf>
    <xf numFmtId="0" fontId="80" fillId="0" borderId="0" applyNumberFormat="0" applyFill="0" applyBorder="0" applyAlignment="0" applyProtection="0">
      <alignment vertical="top"/>
    </xf>
    <xf numFmtId="170" fontId="78" fillId="0" borderId="6" applyFont="0" applyFill="0" applyProtection="0">
      <alignment vertical="top"/>
    </xf>
    <xf numFmtId="2" fontId="78" fillId="0" borderId="6" applyFont="0" applyFill="0" applyProtection="0">
      <alignment vertical="top"/>
    </xf>
    <xf numFmtId="179" fontId="78" fillId="0" borderId="6" applyFont="0" applyFill="0" applyProtection="0">
      <alignment vertical="top"/>
    </xf>
    <xf numFmtId="180" fontId="78" fillId="0" borderId="6" applyFont="0" applyFill="0" applyProtection="0">
      <alignment vertical="top"/>
    </xf>
    <xf numFmtId="181" fontId="78" fillId="0" borderId="6" applyFont="0" applyFill="0" applyProtection="0">
      <alignment vertical="top"/>
    </xf>
    <xf numFmtId="182" fontId="78" fillId="0" borderId="6" applyFont="0" applyFill="0" applyProtection="0">
      <alignment vertical="top"/>
    </xf>
    <xf numFmtId="183" fontId="78" fillId="0" borderId="6" applyFont="0" applyFill="0" applyProtection="0">
      <alignment vertical="top"/>
    </xf>
    <xf numFmtId="184" fontId="78" fillId="0" borderId="6" applyFont="0" applyFill="0" applyProtection="0">
      <alignment vertical="top"/>
    </xf>
    <xf numFmtId="185" fontId="78" fillId="0" borderId="6" applyFont="0" applyFill="0" applyProtection="0">
      <alignment vertical="top"/>
    </xf>
    <xf numFmtId="186" fontId="78" fillId="0" borderId="6" applyFont="0" applyFill="0" applyProtection="0">
      <alignment vertical="top"/>
    </xf>
    <xf numFmtId="187" fontId="78" fillId="0" borderId="6" applyFont="0" applyFill="0" applyProtection="0">
      <alignment vertical="top"/>
    </xf>
    <xf numFmtId="188" fontId="78" fillId="0" borderId="6" applyFont="0" applyFill="0" applyProtection="0">
      <alignment vertical="top"/>
    </xf>
    <xf numFmtId="0" fontId="78" fillId="0" borderId="6" applyNumberFormat="0" applyFont="0" applyFill="0" applyProtection="0">
      <alignment vertical="top" wrapText="1"/>
    </xf>
    <xf numFmtId="178" fontId="78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7" fillId="0" borderId="0"/>
    <xf numFmtId="0" fontId="44" fillId="59" borderId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77" fillId="59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81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9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170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2" fontId="41" fillId="0" borderId="6" applyFont="0" applyFill="0" applyProtection="0">
      <alignment vertical="top"/>
    </xf>
    <xf numFmtId="0" fontId="44" fillId="59" borderId="0"/>
    <xf numFmtId="186" fontId="41" fillId="0" borderId="6" applyFont="0" applyFill="0" applyProtection="0">
      <alignment vertical="top"/>
    </xf>
    <xf numFmtId="46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182" fontId="41" fillId="0" borderId="6" applyFont="0" applyFill="0" applyProtection="0">
      <alignment vertical="top"/>
    </xf>
    <xf numFmtId="0" fontId="47" fillId="0" borderId="0"/>
    <xf numFmtId="0" fontId="44" fillId="17" borderId="0"/>
    <xf numFmtId="0" fontId="41" fillId="0" borderId="6" applyNumberFormat="0" applyFont="0" applyFill="0" applyProtection="0">
      <alignment vertical="top" wrapText="1"/>
    </xf>
    <xf numFmtId="185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183" fontId="41" fillId="0" borderId="6" applyFont="0" applyFill="0" applyProtection="0">
      <alignment vertical="top"/>
    </xf>
    <xf numFmtId="178" fontId="41" fillId="0" borderId="6" applyFont="0" applyFill="0" applyProtection="0">
      <alignment vertical="top"/>
    </xf>
    <xf numFmtId="0" fontId="47" fillId="0" borderId="0"/>
    <xf numFmtId="0" fontId="44" fillId="59" borderId="0"/>
    <xf numFmtId="0" fontId="41" fillId="0" borderId="0" applyNumberFormat="0" applyFill="0" applyBorder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191" fontId="41" fillId="0" borderId="6" applyFont="0" applyFill="0" applyProtection="0">
      <alignment vertical="top"/>
    </xf>
    <xf numFmtId="190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9" fillId="0" borderId="0" applyNumberFormat="0" applyFill="0" applyBorder="0" applyAlignment="0" applyProtection="0">
      <alignment vertical="top"/>
    </xf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 wrapText="1"/>
    </xf>
    <xf numFmtId="178" fontId="41" fillId="0" borderId="6" applyFont="0" applyFill="0" applyProtection="0">
      <alignment vertical="top"/>
    </xf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4" fillId="59" borderId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73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0" fontId="41" fillId="0" borderId="6" applyFont="0" applyFill="0" applyProtection="0">
      <alignment vertical="top"/>
    </xf>
    <xf numFmtId="2" fontId="41" fillId="0" borderId="6" applyFont="0" applyFill="0" applyProtection="0">
      <alignment vertical="top"/>
    </xf>
    <xf numFmtId="179" fontId="41" fillId="0" borderId="6" applyFont="0" applyFill="0" applyProtection="0">
      <alignment vertical="top"/>
    </xf>
    <xf numFmtId="180" fontId="41" fillId="0" borderId="6" applyFont="0" applyFill="0" applyProtection="0">
      <alignment vertical="top"/>
    </xf>
    <xf numFmtId="181" fontId="41" fillId="0" borderId="6" applyFont="0" applyFill="0" applyProtection="0">
      <alignment vertical="top"/>
    </xf>
    <xf numFmtId="182" fontId="41" fillId="0" borderId="6" applyFont="0" applyFill="0" applyProtection="0">
      <alignment vertical="top"/>
    </xf>
    <xf numFmtId="183" fontId="41" fillId="0" borderId="6" applyFont="0" applyFill="0" applyProtection="0">
      <alignment vertical="top"/>
    </xf>
    <xf numFmtId="184" fontId="41" fillId="0" borderId="6" applyFont="0" applyFill="0" applyProtection="0">
      <alignment vertical="top"/>
    </xf>
    <xf numFmtId="185" fontId="41" fillId="0" borderId="6" applyFont="0" applyFill="0" applyProtection="0">
      <alignment vertical="top"/>
    </xf>
    <xf numFmtId="186" fontId="41" fillId="0" borderId="6" applyFont="0" applyFill="0" applyProtection="0">
      <alignment vertical="top"/>
    </xf>
    <xf numFmtId="187" fontId="41" fillId="0" borderId="6" applyFont="0" applyFill="0" applyProtection="0">
      <alignment vertical="top"/>
    </xf>
    <xf numFmtId="188" fontId="41" fillId="0" borderId="6" applyFont="0" applyFill="0" applyProtection="0">
      <alignment vertical="top"/>
    </xf>
    <xf numFmtId="0" fontId="45" fillId="0" borderId="26" applyNumberFormat="0" applyFill="0" applyProtection="0">
      <alignment vertical="top"/>
    </xf>
    <xf numFmtId="0" fontId="44" fillId="59" borderId="0"/>
    <xf numFmtId="0" fontId="44" fillId="59" borderId="0"/>
    <xf numFmtId="0" fontId="44" fillId="59" borderId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0" fontId="41" fillId="0" borderId="0" applyNumberFormat="0" applyFill="0" applyBorder="0" applyProtection="0">
      <alignment vertical="top"/>
    </xf>
    <xf numFmtId="0" fontId="41" fillId="0" borderId="0" applyNumberFormat="0" applyFill="0" applyBorder="0" applyProtection="0">
      <alignment vertical="top"/>
    </xf>
    <xf numFmtId="0" fontId="47" fillId="0" borderId="0"/>
    <xf numFmtId="0" fontId="47" fillId="0" borderId="0"/>
    <xf numFmtId="191" fontId="41" fillId="0" borderId="6" applyFont="0" applyFill="0" applyProtection="0">
      <alignment vertical="top"/>
    </xf>
    <xf numFmtId="0" fontId="41" fillId="0" borderId="6" applyNumberFormat="0" applyFont="0" applyFill="0" applyProtection="0">
      <alignment vertical="top"/>
    </xf>
    <xf numFmtId="46" fontId="41" fillId="0" borderId="6" applyFont="0" applyFill="0" applyProtection="0">
      <alignment vertical="top"/>
    </xf>
    <xf numFmtId="0" fontId="50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</xf>
    <xf numFmtId="0" fontId="41" fillId="0" borderId="6" applyNumberFormat="0" applyFont="0" applyFill="0" applyProtection="0">
      <alignment vertical="top" wrapText="1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4" fontId="41" fillId="0" borderId="6" applyFont="0" applyFill="0" applyProtection="0">
      <alignment vertical="top"/>
    </xf>
    <xf numFmtId="14" fontId="41" fillId="0" borderId="6" applyFont="0" applyFill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027">
    <xf numFmtId="0" fontId="0" fillId="0" borderId="0" xfId="0"/>
    <xf numFmtId="0" fontId="2" fillId="0" borderId="0" xfId="0" applyFont="1"/>
    <xf numFmtId="16" fontId="3" fillId="0" borderId="1" xfId="0" applyNumberFormat="1" applyFont="1" applyBorder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16" fontId="3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0" fillId="0" borderId="1" xfId="0" applyBorder="1" applyAlignment="1">
      <alignment horizontal="center"/>
    </xf>
    <xf numFmtId="168" fontId="0" fillId="0" borderId="1" xfId="1" applyNumberFormat="1" applyFont="1" applyBorder="1" applyAlignment="1">
      <alignment horizontal="center" vertical="center"/>
    </xf>
    <xf numFmtId="168" fontId="0" fillId="0" borderId="0" xfId="1" applyNumberFormat="1" applyFont="1" applyBorder="1" applyAlignment="1">
      <alignment horizontal="center" vertical="center"/>
    </xf>
    <xf numFmtId="168" fontId="0" fillId="2" borderId="1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2" fillId="3" borderId="0" xfId="0" applyFont="1" applyFill="1"/>
    <xf numFmtId="0" fontId="2" fillId="4" borderId="1" xfId="0" applyFont="1" applyFill="1" applyBorder="1" applyAlignment="1">
      <alignment horizontal="right"/>
    </xf>
    <xf numFmtId="0" fontId="2" fillId="4" borderId="0" xfId="0" applyFont="1" applyFill="1"/>
    <xf numFmtId="0" fontId="2" fillId="5" borderId="1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right"/>
    </xf>
    <xf numFmtId="0" fontId="2" fillId="7" borderId="1" xfId="0" applyFont="1" applyFill="1" applyBorder="1" applyAlignment="1">
      <alignment horizontal="right"/>
    </xf>
    <xf numFmtId="0" fontId="2" fillId="0" borderId="6" xfId="0" applyFont="1" applyBorder="1" applyAlignment="1">
      <alignment horizontal="right"/>
    </xf>
    <xf numFmtId="0" fontId="2" fillId="0" borderId="6" xfId="0" applyFont="1" applyBorder="1"/>
    <xf numFmtId="16" fontId="5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" xfId="1" applyNumberFormat="1" applyFont="1" applyFill="1" applyBorder="1" applyAlignment="1">
      <alignment horizontal="center" vertical="center"/>
    </xf>
    <xf numFmtId="0" fontId="2" fillId="2" borderId="3" xfId="1" applyNumberFormat="1" applyFont="1" applyFill="1" applyBorder="1" applyAlignment="1">
      <alignment horizontal="center" vertical="center"/>
    </xf>
    <xf numFmtId="0" fontId="2" fillId="2" borderId="4" xfId="1" applyNumberFormat="1" applyFont="1" applyFill="1" applyBorder="1" applyAlignment="1">
      <alignment horizontal="center" vertical="center"/>
    </xf>
    <xf numFmtId="0" fontId="0" fillId="2" borderId="1" xfId="0" applyFill="1" applyBorder="1"/>
    <xf numFmtId="0" fontId="6" fillId="0" borderId="0" xfId="0" applyFont="1"/>
    <xf numFmtId="0" fontId="8" fillId="0" borderId="0" xfId="0" applyFon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7" fillId="0" borderId="8" xfId="0" applyFont="1" applyBorder="1"/>
    <xf numFmtId="0" fontId="0" fillId="0" borderId="9" xfId="0" applyBorder="1" applyAlignment="1">
      <alignment horizontal="center"/>
    </xf>
    <xf numFmtId="0" fontId="6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0" fontId="7" fillId="0" borderId="7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8" borderId="0" xfId="0" applyFill="1"/>
    <xf numFmtId="1" fontId="0" fillId="0" borderId="0" xfId="0" applyNumberFormat="1"/>
    <xf numFmtId="169" fontId="0" fillId="0" borderId="0" xfId="0" applyNumberFormat="1"/>
    <xf numFmtId="169" fontId="0" fillId="0" borderId="15" xfId="0" applyNumberFormat="1" applyBorder="1"/>
    <xf numFmtId="169" fontId="0" fillId="0" borderId="16" xfId="0" applyNumberFormat="1" applyBorder="1"/>
    <xf numFmtId="169" fontId="0" fillId="0" borderId="18" xfId="0" applyNumberFormat="1" applyBorder="1"/>
    <xf numFmtId="0" fontId="0" fillId="0" borderId="8" xfId="0" applyBorder="1"/>
    <xf numFmtId="0" fontId="0" fillId="0" borderId="9" xfId="0" applyBorder="1"/>
    <xf numFmtId="0" fontId="0" fillId="0" borderId="19" xfId="0" applyBorder="1"/>
    <xf numFmtId="0" fontId="0" fillId="8" borderId="9" xfId="0" applyFill="1" applyBorder="1"/>
    <xf numFmtId="170" fontId="0" fillId="0" borderId="0" xfId="0" applyNumberFormat="1"/>
    <xf numFmtId="0" fontId="2" fillId="5" borderId="0" xfId="0" applyFont="1" applyFill="1" applyAlignment="1">
      <alignment horizontal="left"/>
    </xf>
    <xf numFmtId="0" fontId="0" fillId="9" borderId="9" xfId="0" applyFill="1" applyBorder="1"/>
    <xf numFmtId="169" fontId="0" fillId="8" borderId="0" xfId="0" applyNumberFormat="1" applyFill="1"/>
    <xf numFmtId="9" fontId="0" fillId="0" borderId="12" xfId="0" applyNumberFormat="1" applyBorder="1"/>
    <xf numFmtId="9" fontId="0" fillId="0" borderId="11" xfId="0" applyNumberFormat="1" applyBorder="1"/>
    <xf numFmtId="9" fontId="0" fillId="0" borderId="8" xfId="0" applyNumberFormat="1" applyBorder="1"/>
    <xf numFmtId="9" fontId="0" fillId="0" borderId="9" xfId="0" applyNumberFormat="1" applyBorder="1"/>
    <xf numFmtId="9" fontId="0" fillId="0" borderId="19" xfId="0" applyNumberFormat="1" applyBorder="1"/>
    <xf numFmtId="169" fontId="0" fillId="0" borderId="17" xfId="0" applyNumberFormat="1" applyBorder="1"/>
    <xf numFmtId="169" fontId="0" fillId="0" borderId="14" xfId="0" applyNumberFormat="1" applyBorder="1"/>
    <xf numFmtId="9" fontId="0" fillId="0" borderId="0" xfId="0" applyNumberFormat="1"/>
    <xf numFmtId="9" fontId="0" fillId="0" borderId="18" xfId="0" applyNumberFormat="1" applyBorder="1"/>
    <xf numFmtId="0" fontId="0" fillId="8" borderId="18" xfId="0" applyFill="1" applyBorder="1"/>
    <xf numFmtId="169" fontId="0" fillId="8" borderId="18" xfId="0" applyNumberFormat="1" applyFill="1" applyBorder="1"/>
    <xf numFmtId="0" fontId="0" fillId="0" borderId="18" xfId="0" applyBorder="1"/>
    <xf numFmtId="1" fontId="0" fillId="9" borderId="0" xfId="0" applyNumberFormat="1" applyFill="1"/>
    <xf numFmtId="1" fontId="0" fillId="0" borderId="18" xfId="0" applyNumberFormat="1" applyBorder="1"/>
    <xf numFmtId="0" fontId="0" fillId="8" borderId="19" xfId="0" applyFill="1" applyBorder="1"/>
    <xf numFmtId="1" fontId="0" fillId="8" borderId="18" xfId="0" applyNumberFormat="1" applyFill="1" applyBorder="1"/>
    <xf numFmtId="0" fontId="0" fillId="0" borderId="17" xfId="0" applyBorder="1"/>
    <xf numFmtId="0" fontId="0" fillId="0" borderId="12" xfId="0" applyBorder="1"/>
    <xf numFmtId="0" fontId="0" fillId="0" borderId="13" xfId="0" applyBorder="1"/>
    <xf numFmtId="1" fontId="0" fillId="0" borderId="17" xfId="0" applyNumberFormat="1" applyBorder="1"/>
    <xf numFmtId="9" fontId="0" fillId="0" borderId="17" xfId="0" applyNumberFormat="1" applyBorder="1"/>
    <xf numFmtId="1" fontId="0" fillId="8" borderId="0" xfId="0" applyNumberFormat="1" applyFill="1"/>
    <xf numFmtId="170" fontId="0" fillId="0" borderId="17" xfId="0" applyNumberFormat="1" applyBorder="1"/>
    <xf numFmtId="0" fontId="0" fillId="11" borderId="9" xfId="0" applyFill="1" applyBorder="1"/>
    <xf numFmtId="169" fontId="0" fillId="11" borderId="0" xfId="0" applyNumberFormat="1" applyFill="1"/>
    <xf numFmtId="0" fontId="0" fillId="0" borderId="22" xfId="0" applyBorder="1"/>
    <xf numFmtId="0" fontId="0" fillId="0" borderId="24" xfId="0" applyBorder="1"/>
    <xf numFmtId="0" fontId="0" fillId="0" borderId="28" xfId="0" applyBorder="1"/>
    <xf numFmtId="0" fontId="0" fillId="11" borderId="0" xfId="0" applyFill="1"/>
    <xf numFmtId="0" fontId="0" fillId="12" borderId="0" xfId="0" applyFill="1"/>
    <xf numFmtId="169" fontId="0" fillId="12" borderId="0" xfId="0" applyNumberFormat="1" applyFill="1"/>
    <xf numFmtId="1" fontId="0" fillId="12" borderId="0" xfId="0" applyNumberFormat="1" applyFill="1"/>
    <xf numFmtId="0" fontId="0" fillId="12" borderId="9" xfId="0" applyFill="1" applyBorder="1"/>
    <xf numFmtId="169" fontId="0" fillId="12" borderId="15" xfId="0" applyNumberFormat="1" applyFill="1" applyBorder="1"/>
    <xf numFmtId="9" fontId="0" fillId="12" borderId="0" xfId="0" applyNumberFormat="1" applyFill="1"/>
    <xf numFmtId="9" fontId="0" fillId="12" borderId="9" xfId="0" applyNumberFormat="1" applyFill="1" applyBorder="1"/>
    <xf numFmtId="0" fontId="0" fillId="0" borderId="23" xfId="0" applyBorder="1"/>
    <xf numFmtId="0" fontId="0" fillId="11" borderId="26" xfId="0" applyFill="1" applyBorder="1"/>
    <xf numFmtId="0" fontId="0" fillId="12" borderId="17" xfId="0" applyFill="1" applyBorder="1"/>
    <xf numFmtId="169" fontId="0" fillId="12" borderId="17" xfId="0" applyNumberFormat="1" applyFill="1" applyBorder="1"/>
    <xf numFmtId="1" fontId="0" fillId="12" borderId="17" xfId="0" applyNumberFormat="1" applyFill="1" applyBorder="1"/>
    <xf numFmtId="0" fontId="0" fillId="12" borderId="8" xfId="0" applyFill="1" applyBorder="1"/>
    <xf numFmtId="170" fontId="0" fillId="12" borderId="17" xfId="0" applyNumberFormat="1" applyFill="1" applyBorder="1"/>
    <xf numFmtId="169" fontId="0" fillId="12" borderId="14" xfId="0" applyNumberFormat="1" applyFill="1" applyBorder="1"/>
    <xf numFmtId="9" fontId="0" fillId="12" borderId="17" xfId="0" applyNumberFormat="1" applyFill="1" applyBorder="1"/>
    <xf numFmtId="9" fontId="0" fillId="12" borderId="8" xfId="0" applyNumberFormat="1" applyFill="1" applyBorder="1"/>
    <xf numFmtId="0" fontId="0" fillId="11" borderId="17" xfId="0" applyFill="1" applyBorder="1"/>
    <xf numFmtId="169" fontId="0" fillId="11" borderId="17" xfId="0" applyNumberFormat="1" applyFill="1" applyBorder="1"/>
    <xf numFmtId="0" fontId="0" fillId="11" borderId="8" xfId="0" applyFill="1" applyBorder="1"/>
    <xf numFmtId="170" fontId="0" fillId="11" borderId="17" xfId="0" applyNumberFormat="1" applyFill="1" applyBorder="1"/>
    <xf numFmtId="169" fontId="0" fillId="11" borderId="14" xfId="0" applyNumberFormat="1" applyFill="1" applyBorder="1"/>
    <xf numFmtId="9" fontId="0" fillId="11" borderId="17" xfId="0" applyNumberFormat="1" applyFill="1" applyBorder="1"/>
    <xf numFmtId="9" fontId="0" fillId="11" borderId="8" xfId="0" applyNumberFormat="1" applyFill="1" applyBorder="1"/>
    <xf numFmtId="170" fontId="0" fillId="12" borderId="0" xfId="0" applyNumberFormat="1" applyFill="1"/>
    <xf numFmtId="169" fontId="0" fillId="11" borderId="0" xfId="1" applyNumberFormat="1" applyFont="1" applyFill="1" applyBorder="1"/>
    <xf numFmtId="169" fontId="0" fillId="11" borderId="32" xfId="1" applyNumberFormat="1" applyFont="1" applyFill="1" applyBorder="1"/>
    <xf numFmtId="0" fontId="2" fillId="11" borderId="0" xfId="0" applyFont="1" applyFill="1"/>
    <xf numFmtId="9" fontId="0" fillId="14" borderId="28" xfId="0" applyNumberFormat="1" applyFill="1" applyBorder="1"/>
    <xf numFmtId="9" fontId="0" fillId="14" borderId="37" xfId="0" applyNumberFormat="1" applyFill="1" applyBorder="1"/>
    <xf numFmtId="9" fontId="0" fillId="14" borderId="36" xfId="0" applyNumberFormat="1" applyFill="1" applyBorder="1"/>
    <xf numFmtId="9" fontId="0" fillId="14" borderId="38" xfId="0" applyNumberFormat="1" applyFill="1" applyBorder="1"/>
    <xf numFmtId="169" fontId="2" fillId="14" borderId="28" xfId="1" applyNumberFormat="1" applyFont="1" applyFill="1" applyBorder="1"/>
    <xf numFmtId="0" fontId="0" fillId="14" borderId="28" xfId="0" applyFill="1" applyBorder="1"/>
    <xf numFmtId="0" fontId="0" fillId="11" borderId="11" xfId="0" applyFill="1" applyBorder="1"/>
    <xf numFmtId="0" fontId="0" fillId="9" borderId="12" xfId="0" applyFill="1" applyBorder="1"/>
    <xf numFmtId="0" fontId="0" fillId="0" borderId="29" xfId="0" applyBorder="1"/>
    <xf numFmtId="169" fontId="0" fillId="0" borderId="30" xfId="0" applyNumberFormat="1" applyBorder="1"/>
    <xf numFmtId="169" fontId="0" fillId="0" borderId="24" xfId="0" applyNumberFormat="1" applyBorder="1"/>
    <xf numFmtId="0" fontId="0" fillId="11" borderId="24" xfId="0" applyFill="1" applyBorder="1"/>
    <xf numFmtId="0" fontId="0" fillId="0" borderId="30" xfId="0" applyBorder="1"/>
    <xf numFmtId="170" fontId="0" fillId="11" borderId="25" xfId="0" applyNumberFormat="1" applyFill="1" applyBorder="1"/>
    <xf numFmtId="170" fontId="0" fillId="0" borderId="26" xfId="0" applyNumberFormat="1" applyBorder="1"/>
    <xf numFmtId="0" fontId="0" fillId="0" borderId="31" xfId="0" applyBorder="1"/>
    <xf numFmtId="0" fontId="0" fillId="11" borderId="25" xfId="0" applyFill="1" applyBorder="1"/>
    <xf numFmtId="0" fontId="0" fillId="8" borderId="31" xfId="0" applyFill="1" applyBorder="1"/>
    <xf numFmtId="0" fontId="0" fillId="12" borderId="29" xfId="0" applyFill="1" applyBorder="1"/>
    <xf numFmtId="169" fontId="0" fillId="12" borderId="30" xfId="0" applyNumberFormat="1" applyFill="1" applyBorder="1"/>
    <xf numFmtId="0" fontId="0" fillId="12" borderId="30" xfId="0" applyFill="1" applyBorder="1"/>
    <xf numFmtId="0" fontId="0" fillId="12" borderId="31" xfId="0" applyFill="1" applyBorder="1"/>
    <xf numFmtId="170" fontId="0" fillId="11" borderId="24" xfId="0" applyNumberFormat="1" applyFill="1" applyBorder="1"/>
    <xf numFmtId="0" fontId="0" fillId="11" borderId="27" xfId="0" applyFill="1" applyBorder="1"/>
    <xf numFmtId="0" fontId="0" fillId="11" borderId="28" xfId="0" applyFill="1" applyBorder="1"/>
    <xf numFmtId="0" fontId="0" fillId="0" borderId="39" xfId="0" applyBorder="1"/>
    <xf numFmtId="0" fontId="0" fillId="11" borderId="30" xfId="0" applyFill="1" applyBorder="1"/>
    <xf numFmtId="169" fontId="0" fillId="11" borderId="22" xfId="0" applyNumberFormat="1" applyFill="1" applyBorder="1"/>
    <xf numFmtId="169" fontId="0" fillId="11" borderId="23" xfId="0" applyNumberFormat="1" applyFill="1" applyBorder="1"/>
    <xf numFmtId="169" fontId="0" fillId="11" borderId="29" xfId="0" applyNumberFormat="1" applyFill="1" applyBorder="1"/>
    <xf numFmtId="169" fontId="0" fillId="11" borderId="25" xfId="0" applyNumberFormat="1" applyFill="1" applyBorder="1"/>
    <xf numFmtId="169" fontId="0" fillId="0" borderId="26" xfId="0" applyNumberFormat="1" applyBorder="1"/>
    <xf numFmtId="169" fontId="0" fillId="0" borderId="31" xfId="0" applyNumberFormat="1" applyBorder="1"/>
    <xf numFmtId="169" fontId="0" fillId="11" borderId="24" xfId="0" applyNumberFormat="1" applyFill="1" applyBorder="1"/>
    <xf numFmtId="169" fontId="0" fillId="11" borderId="30" xfId="0" applyNumberFormat="1" applyFill="1" applyBorder="1"/>
    <xf numFmtId="0" fontId="0" fillId="11" borderId="22" xfId="0" applyFill="1" applyBorder="1"/>
    <xf numFmtId="0" fontId="0" fillId="8" borderId="30" xfId="0" applyFill="1" applyBorder="1"/>
    <xf numFmtId="1" fontId="0" fillId="11" borderId="24" xfId="0" applyNumberFormat="1" applyFill="1" applyBorder="1"/>
    <xf numFmtId="169" fontId="0" fillId="11" borderId="27" xfId="0" applyNumberFormat="1" applyFill="1" applyBorder="1"/>
    <xf numFmtId="169" fontId="0" fillId="11" borderId="28" xfId="0" applyNumberFormat="1" applyFill="1" applyBorder="1"/>
    <xf numFmtId="169" fontId="0" fillId="11" borderId="39" xfId="0" applyNumberFormat="1" applyFill="1" applyBorder="1"/>
    <xf numFmtId="0" fontId="0" fillId="5" borderId="24" xfId="0" applyFill="1" applyBorder="1"/>
    <xf numFmtId="0" fontId="0" fillId="5" borderId="0" xfId="0" applyFill="1"/>
    <xf numFmtId="0" fontId="0" fillId="5" borderId="22" xfId="0" applyFill="1" applyBorder="1"/>
    <xf numFmtId="0" fontId="0" fillId="5" borderId="23" xfId="0" applyFill="1" applyBorder="1"/>
    <xf numFmtId="1" fontId="0" fillId="5" borderId="24" xfId="0" applyNumberFormat="1" applyFill="1" applyBorder="1"/>
    <xf numFmtId="1" fontId="0" fillId="5" borderId="0" xfId="0" applyNumberFormat="1" applyFill="1"/>
    <xf numFmtId="0" fontId="0" fillId="12" borderId="26" xfId="0" applyFill="1" applyBorder="1"/>
    <xf numFmtId="0" fontId="0" fillId="0" borderId="43" xfId="0" applyBorder="1"/>
    <xf numFmtId="1" fontId="0" fillId="0" borderId="44" xfId="0" applyNumberFormat="1" applyBorder="1"/>
    <xf numFmtId="0" fontId="0" fillId="11" borderId="45" xfId="0" applyFill="1" applyBorder="1"/>
    <xf numFmtId="1" fontId="0" fillId="0" borderId="24" xfId="0" applyNumberFormat="1" applyBorder="1"/>
    <xf numFmtId="3" fontId="0" fillId="11" borderId="0" xfId="0" applyNumberFormat="1" applyFill="1"/>
    <xf numFmtId="3" fontId="2" fillId="11" borderId="0" xfId="0" applyNumberFormat="1" applyFont="1" applyFill="1"/>
    <xf numFmtId="3" fontId="2" fillId="11" borderId="30" xfId="0" applyNumberFormat="1" applyFont="1" applyFill="1" applyBorder="1"/>
    <xf numFmtId="3" fontId="0" fillId="11" borderId="62" xfId="0" applyNumberFormat="1" applyFill="1" applyBorder="1"/>
    <xf numFmtId="3" fontId="2" fillId="11" borderId="26" xfId="0" applyNumberFormat="1" applyFont="1" applyFill="1" applyBorder="1"/>
    <xf numFmtId="0" fontId="2" fillId="11" borderId="2" xfId="0" applyFont="1" applyFill="1" applyBorder="1" applyAlignment="1">
      <alignment horizontal="center"/>
    </xf>
    <xf numFmtId="169" fontId="1" fillId="4" borderId="0" xfId="1" applyNumberFormat="1" applyFont="1" applyFill="1" applyBorder="1"/>
    <xf numFmtId="3" fontId="0" fillId="4" borderId="22" xfId="0" applyNumberFormat="1" applyFill="1" applyBorder="1"/>
    <xf numFmtId="3" fontId="0" fillId="4" borderId="23" xfId="0" applyNumberFormat="1" applyFill="1" applyBorder="1"/>
    <xf numFmtId="3" fontId="0" fillId="4" borderId="29" xfId="0" applyNumberFormat="1" applyFill="1" applyBorder="1"/>
    <xf numFmtId="169" fontId="1" fillId="4" borderId="24" xfId="1" applyNumberFormat="1" applyFont="1" applyFill="1" applyBorder="1"/>
    <xf numFmtId="0" fontId="0" fillId="4" borderId="30" xfId="0" applyFill="1" applyBorder="1"/>
    <xf numFmtId="0" fontId="0" fillId="4" borderId="0" xfId="0" applyFill="1"/>
    <xf numFmtId="0" fontId="0" fillId="4" borderId="24" xfId="0" applyFill="1" applyBorder="1"/>
    <xf numFmtId="169" fontId="2" fillId="4" borderId="26" xfId="1" applyNumberFormat="1" applyFont="1" applyFill="1" applyBorder="1"/>
    <xf numFmtId="0" fontId="0" fillId="4" borderId="26" xfId="0" applyFill="1" applyBorder="1"/>
    <xf numFmtId="169" fontId="2" fillId="4" borderId="25" xfId="1" applyNumberFormat="1" applyFont="1" applyFill="1" applyBorder="1"/>
    <xf numFmtId="0" fontId="0" fillId="4" borderId="31" xfId="0" applyFill="1" applyBorder="1"/>
    <xf numFmtId="0" fontId="0" fillId="4" borderId="25" xfId="0" applyFill="1" applyBorder="1"/>
    <xf numFmtId="0" fontId="0" fillId="4" borderId="30" xfId="0" applyFill="1" applyBorder="1" applyAlignment="1">
      <alignment horizontal="right"/>
    </xf>
    <xf numFmtId="0" fontId="2" fillId="4" borderId="30" xfId="0" applyFont="1" applyFill="1" applyBorder="1" applyAlignment="1">
      <alignment horizontal="right"/>
    </xf>
    <xf numFmtId="0" fontId="2" fillId="4" borderId="31" xfId="0" applyFont="1" applyFill="1" applyBorder="1" applyAlignment="1">
      <alignment horizontal="right"/>
    </xf>
    <xf numFmtId="0" fontId="0" fillId="11" borderId="67" xfId="0" applyFill="1" applyBorder="1" applyAlignment="1">
      <alignment horizontal="right"/>
    </xf>
    <xf numFmtId="3" fontId="0" fillId="11" borderId="72" xfId="0" applyNumberFormat="1" applyFill="1" applyBorder="1"/>
    <xf numFmtId="0" fontId="0" fillId="11" borderId="68" xfId="0" applyFill="1" applyBorder="1" applyAlignment="1">
      <alignment horizontal="right"/>
    </xf>
    <xf numFmtId="3" fontId="0" fillId="11" borderId="73" xfId="0" applyNumberFormat="1" applyFill="1" applyBorder="1"/>
    <xf numFmtId="3" fontId="0" fillId="11" borderId="30" xfId="0" applyNumberFormat="1" applyFill="1" applyBorder="1"/>
    <xf numFmtId="3" fontId="0" fillId="11" borderId="64" xfId="0" applyNumberFormat="1" applyFill="1" applyBorder="1"/>
    <xf numFmtId="3" fontId="2" fillId="11" borderId="72" xfId="0" applyNumberFormat="1" applyFont="1" applyFill="1" applyBorder="1"/>
    <xf numFmtId="3" fontId="2" fillId="11" borderId="73" xfId="0" applyNumberFormat="1" applyFont="1" applyFill="1" applyBorder="1"/>
    <xf numFmtId="0" fontId="2" fillId="11" borderId="67" xfId="0" applyFont="1" applyFill="1" applyBorder="1" applyAlignment="1">
      <alignment horizontal="right"/>
    </xf>
    <xf numFmtId="0" fontId="2" fillId="11" borderId="75" xfId="0" applyFont="1" applyFill="1" applyBorder="1" applyAlignment="1">
      <alignment horizontal="right"/>
    </xf>
    <xf numFmtId="3" fontId="2" fillId="11" borderId="74" xfId="0" applyNumberFormat="1" applyFont="1" applyFill="1" applyBorder="1"/>
    <xf numFmtId="0" fontId="2" fillId="11" borderId="68" xfId="0" applyFont="1" applyFill="1" applyBorder="1" applyAlignment="1">
      <alignment horizontal="right"/>
    </xf>
    <xf numFmtId="0" fontId="2" fillId="4" borderId="22" xfId="0" applyFont="1" applyFill="1" applyBorder="1" applyAlignment="1">
      <alignment horizontal="center" vertical="center"/>
    </xf>
    <xf numFmtId="0" fontId="2" fillId="4" borderId="23" xfId="0" applyFont="1" applyFill="1" applyBorder="1" applyAlignment="1">
      <alignment horizontal="center" vertical="center" wrapText="1"/>
    </xf>
    <xf numFmtId="0" fontId="0" fillId="4" borderId="29" xfId="0" applyFill="1" applyBorder="1" applyAlignment="1">
      <alignment horizontal="right"/>
    </xf>
    <xf numFmtId="169" fontId="2" fillId="4" borderId="63" xfId="1" applyNumberFormat="1" applyFont="1" applyFill="1" applyBorder="1"/>
    <xf numFmtId="169" fontId="2" fillId="4" borderId="62" xfId="1" applyNumberFormat="1" applyFont="1" applyFill="1" applyBorder="1"/>
    <xf numFmtId="169" fontId="2" fillId="4" borderId="64" xfId="1" applyNumberFormat="1" applyFont="1" applyFill="1" applyBorder="1"/>
    <xf numFmtId="0" fontId="0" fillId="5" borderId="30" xfId="0" applyFill="1" applyBorder="1" applyAlignment="1">
      <alignment horizontal="right"/>
    </xf>
    <xf numFmtId="3" fontId="0" fillId="5" borderId="24" xfId="0" applyNumberFormat="1" applyFill="1" applyBorder="1"/>
    <xf numFmtId="3" fontId="0" fillId="5" borderId="0" xfId="0" applyNumberFormat="1" applyFill="1"/>
    <xf numFmtId="169" fontId="1" fillId="5" borderId="24" xfId="1" applyNumberFormat="1" applyFont="1" applyFill="1" applyBorder="1"/>
    <xf numFmtId="169" fontId="1" fillId="5" borderId="0" xfId="1" applyNumberFormat="1" applyFont="1" applyFill="1" applyBorder="1"/>
    <xf numFmtId="169" fontId="1" fillId="5" borderId="63" xfId="1" applyNumberFormat="1" applyFont="1" applyFill="1" applyBorder="1"/>
    <xf numFmtId="169" fontId="1" fillId="5" borderId="62" xfId="1" applyNumberFormat="1" applyFont="1" applyFill="1" applyBorder="1"/>
    <xf numFmtId="0" fontId="0" fillId="5" borderId="31" xfId="0" applyFill="1" applyBorder="1" applyAlignment="1">
      <alignment horizontal="right"/>
    </xf>
    <xf numFmtId="169" fontId="2" fillId="5" borderId="25" xfId="1" applyNumberFormat="1" applyFont="1" applyFill="1" applyBorder="1"/>
    <xf numFmtId="169" fontId="1" fillId="5" borderId="26" xfId="1" applyNumberFormat="1" applyFont="1" applyFill="1" applyBorder="1"/>
    <xf numFmtId="0" fontId="0" fillId="5" borderId="26" xfId="0" applyFill="1" applyBorder="1"/>
    <xf numFmtId="0" fontId="0" fillId="5" borderId="64" xfId="0" applyFill="1" applyBorder="1"/>
    <xf numFmtId="0" fontId="0" fillId="5" borderId="31" xfId="0" applyFill="1" applyBorder="1"/>
    <xf numFmtId="1" fontId="0" fillId="11" borderId="0" xfId="0" applyNumberFormat="1" applyFill="1"/>
    <xf numFmtId="0" fontId="0" fillId="3" borderId="20" xfId="0" applyFill="1" applyBorder="1" applyAlignment="1">
      <alignment horizontal="center"/>
    </xf>
    <xf numFmtId="0" fontId="0" fillId="3" borderId="66" xfId="0" applyFill="1" applyBorder="1" applyAlignment="1">
      <alignment horizontal="center"/>
    </xf>
    <xf numFmtId="0" fontId="0" fillId="34" borderId="35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0" fillId="34" borderId="66" xfId="0" applyFill="1" applyBorder="1" applyAlignment="1">
      <alignment horizontal="center"/>
    </xf>
    <xf numFmtId="0" fontId="2" fillId="0" borderId="71" xfId="0" applyFont="1" applyBorder="1"/>
    <xf numFmtId="0" fontId="0" fillId="3" borderId="35" xfId="0" applyFill="1" applyBorder="1" applyAlignment="1">
      <alignment horizontal="center"/>
    </xf>
    <xf numFmtId="0" fontId="0" fillId="0" borderId="26" xfId="0" applyBorder="1"/>
    <xf numFmtId="0" fontId="0" fillId="36" borderId="35" xfId="0" applyFill="1" applyBorder="1" applyAlignment="1">
      <alignment horizontal="center"/>
    </xf>
    <xf numFmtId="0" fontId="0" fillId="36" borderId="20" xfId="0" applyFill="1" applyBorder="1" applyAlignment="1">
      <alignment horizontal="center"/>
    </xf>
    <xf numFmtId="0" fontId="0" fillId="36" borderId="66" xfId="0" applyFill="1" applyBorder="1" applyAlignment="1">
      <alignment horizontal="center"/>
    </xf>
    <xf numFmtId="16" fontId="2" fillId="11" borderId="86" xfId="0" applyNumberFormat="1" applyFont="1" applyFill="1" applyBorder="1" applyAlignment="1">
      <alignment horizontal="center"/>
    </xf>
    <xf numFmtId="16" fontId="2" fillId="11" borderId="28" xfId="0" applyNumberFormat="1" applyFont="1" applyFill="1" applyBorder="1" applyAlignment="1">
      <alignment horizontal="center"/>
    </xf>
    <xf numFmtId="16" fontId="2" fillId="11" borderId="39" xfId="0" applyNumberFormat="1" applyFont="1" applyFill="1" applyBorder="1" applyAlignment="1">
      <alignment horizontal="center"/>
    </xf>
    <xf numFmtId="0" fontId="0" fillId="11" borderId="87" xfId="0" applyFill="1" applyBorder="1"/>
    <xf numFmtId="169" fontId="0" fillId="14" borderId="28" xfId="0" applyNumberFormat="1" applyFill="1" applyBorder="1"/>
    <xf numFmtId="169" fontId="0" fillId="11" borderId="0" xfId="1" applyNumberFormat="1" applyFont="1" applyFill="1"/>
    <xf numFmtId="0" fontId="27" fillId="0" borderId="51" xfId="0" applyFont="1" applyBorder="1"/>
    <xf numFmtId="0" fontId="3" fillId="0" borderId="56" xfId="0" applyFont="1" applyBorder="1" applyAlignment="1">
      <alignment horizontal="right"/>
    </xf>
    <xf numFmtId="0" fontId="27" fillId="34" borderId="51" xfId="0" applyFont="1" applyFill="1" applyBorder="1"/>
    <xf numFmtId="0" fontId="3" fillId="34" borderId="56" xfId="0" applyFont="1" applyFill="1" applyBorder="1" applyAlignment="1">
      <alignment horizontal="right"/>
    </xf>
    <xf numFmtId="0" fontId="3" fillId="34" borderId="48" xfId="0" applyFont="1" applyFill="1" applyBorder="1" applyAlignment="1">
      <alignment horizontal="right"/>
    </xf>
    <xf numFmtId="0" fontId="3" fillId="0" borderId="0" xfId="0" applyFont="1"/>
    <xf numFmtId="0" fontId="3" fillId="37" borderId="22" xfId="0" applyFont="1" applyFill="1" applyBorder="1" applyAlignment="1">
      <alignment vertical="center"/>
    </xf>
    <xf numFmtId="0" fontId="3" fillId="37" borderId="23" xfId="0" applyFont="1" applyFill="1" applyBorder="1" applyAlignment="1">
      <alignment vertical="center"/>
    </xf>
    <xf numFmtId="0" fontId="3" fillId="37" borderId="29" xfId="0" applyFont="1" applyFill="1" applyBorder="1" applyAlignment="1">
      <alignment vertical="center"/>
    </xf>
    <xf numFmtId="0" fontId="3" fillId="37" borderId="46" xfId="0" applyFont="1" applyFill="1" applyBorder="1" applyAlignment="1">
      <alignment horizontal="center"/>
    </xf>
    <xf numFmtId="0" fontId="3" fillId="37" borderId="47" xfId="0" applyFont="1" applyFill="1" applyBorder="1" applyAlignment="1">
      <alignment horizontal="center"/>
    </xf>
    <xf numFmtId="0" fontId="3" fillId="37" borderId="48" xfId="0" applyFont="1" applyFill="1" applyBorder="1" applyAlignment="1">
      <alignment horizontal="center"/>
    </xf>
    <xf numFmtId="0" fontId="3" fillId="37" borderId="49" xfId="0" applyFont="1" applyFill="1" applyBorder="1" applyAlignment="1">
      <alignment horizontal="center"/>
    </xf>
    <xf numFmtId="0" fontId="27" fillId="4" borderId="51" xfId="0" applyFont="1" applyFill="1" applyBorder="1"/>
    <xf numFmtId="3" fontId="27" fillId="4" borderId="52" xfId="0" applyNumberFormat="1" applyFont="1" applyFill="1" applyBorder="1"/>
    <xf numFmtId="3" fontId="27" fillId="4" borderId="53" xfId="0" applyNumberFormat="1" applyFont="1" applyFill="1" applyBorder="1"/>
    <xf numFmtId="3" fontId="27" fillId="4" borderId="50" xfId="0" applyNumberFormat="1" applyFont="1" applyFill="1" applyBorder="1"/>
    <xf numFmtId="0" fontId="3" fillId="4" borderId="56" xfId="0" applyFont="1" applyFill="1" applyBorder="1" applyAlignment="1">
      <alignment horizontal="right"/>
    </xf>
    <xf numFmtId="3" fontId="3" fillId="4" borderId="55" xfId="0" applyNumberFormat="1" applyFont="1" applyFill="1" applyBorder="1" applyAlignment="1">
      <alignment horizontal="right"/>
    </xf>
    <xf numFmtId="0" fontId="3" fillId="4" borderId="32" xfId="0" applyFont="1" applyFill="1" applyBorder="1" applyAlignment="1">
      <alignment horizontal="right"/>
    </xf>
    <xf numFmtId="3" fontId="3" fillId="4" borderId="57" xfId="0" applyNumberFormat="1" applyFont="1" applyFill="1" applyBorder="1"/>
    <xf numFmtId="3" fontId="3" fillId="4" borderId="56" xfId="0" applyNumberFormat="1" applyFont="1" applyFill="1" applyBorder="1"/>
    <xf numFmtId="3" fontId="3" fillId="4" borderId="1" xfId="0" applyNumberFormat="1" applyFont="1" applyFill="1" applyBorder="1"/>
    <xf numFmtId="3" fontId="3" fillId="4" borderId="0" xfId="0" applyNumberFormat="1" applyFont="1" applyFill="1"/>
    <xf numFmtId="3" fontId="3" fillId="4" borderId="55" xfId="0" applyNumberFormat="1" applyFont="1" applyFill="1" applyBorder="1"/>
    <xf numFmtId="0" fontId="3" fillId="4" borderId="35" xfId="0" applyFont="1" applyFill="1" applyBorder="1" applyAlignment="1">
      <alignment horizontal="right"/>
    </xf>
    <xf numFmtId="3" fontId="3" fillId="4" borderId="88" xfId="0" applyNumberFormat="1" applyFont="1" applyFill="1" applyBorder="1" applyAlignment="1">
      <alignment horizontal="right"/>
    </xf>
    <xf numFmtId="0" fontId="3" fillId="6" borderId="27" xfId="0" applyFont="1" applyFill="1" applyBorder="1"/>
    <xf numFmtId="0" fontId="3" fillId="6" borderId="28" xfId="0" applyFont="1" applyFill="1" applyBorder="1"/>
    <xf numFmtId="0" fontId="3" fillId="6" borderId="39" xfId="0" applyFont="1" applyFill="1" applyBorder="1"/>
    <xf numFmtId="16" fontId="2" fillId="10" borderId="28" xfId="0" applyNumberFormat="1" applyFont="1" applyFill="1" applyBorder="1" applyAlignment="1">
      <alignment horizontal="center"/>
    </xf>
    <xf numFmtId="3" fontId="2" fillId="11" borderId="31" xfId="0" applyNumberFormat="1" applyFont="1" applyFill="1" applyBorder="1"/>
    <xf numFmtId="16" fontId="2" fillId="0" borderId="28" xfId="0" applyNumberFormat="1" applyFont="1" applyBorder="1" applyAlignment="1">
      <alignment horizontal="center"/>
    </xf>
    <xf numFmtId="3" fontId="0" fillId="4" borderId="77" xfId="0" applyNumberFormat="1" applyFill="1" applyBorder="1"/>
    <xf numFmtId="169" fontId="1" fillId="4" borderId="72" xfId="1" applyNumberFormat="1" applyFont="1" applyFill="1" applyBorder="1"/>
    <xf numFmtId="169" fontId="2" fillId="4" borderId="73" xfId="1" applyNumberFormat="1" applyFont="1" applyFill="1" applyBorder="1"/>
    <xf numFmtId="0" fontId="29" fillId="0" borderId="51" xfId="0" applyFont="1" applyBorder="1"/>
    <xf numFmtId="0" fontId="28" fillId="0" borderId="56" xfId="0" applyFont="1" applyBorder="1" applyAlignment="1">
      <alignment horizontal="right"/>
    </xf>
    <xf numFmtId="0" fontId="28" fillId="0" borderId="48" xfId="0" applyFont="1" applyBorder="1" applyAlignment="1">
      <alignment horizontal="right"/>
    </xf>
    <xf numFmtId="169" fontId="1" fillId="5" borderId="25" xfId="1" applyNumberFormat="1" applyFont="1" applyFill="1" applyBorder="1"/>
    <xf numFmtId="0" fontId="3" fillId="0" borderId="31" xfId="0" applyFont="1" applyBorder="1"/>
    <xf numFmtId="0" fontId="0" fillId="10" borderId="26" xfId="0" applyFill="1" applyBorder="1"/>
    <xf numFmtId="3" fontId="2" fillId="11" borderId="62" xfId="0" applyNumberFormat="1" applyFont="1" applyFill="1" applyBorder="1"/>
    <xf numFmtId="3" fontId="2" fillId="11" borderId="64" xfId="0" applyNumberFormat="1" applyFont="1" applyFill="1" applyBorder="1"/>
    <xf numFmtId="0" fontId="0" fillId="37" borderId="70" xfId="0" applyFill="1" applyBorder="1" applyAlignment="1">
      <alignment horizontal="right"/>
    </xf>
    <xf numFmtId="3" fontId="0" fillId="37" borderId="72" xfId="0" applyNumberFormat="1" applyFill="1" applyBorder="1"/>
    <xf numFmtId="3" fontId="0" fillId="37" borderId="0" xfId="0" applyNumberFormat="1" applyFill="1"/>
    <xf numFmtId="3" fontId="0" fillId="37" borderId="30" xfId="0" applyNumberFormat="1" applyFill="1" applyBorder="1"/>
    <xf numFmtId="0" fontId="0" fillId="37" borderId="67" xfId="0" applyFill="1" applyBorder="1" applyAlignment="1">
      <alignment horizontal="right"/>
    </xf>
    <xf numFmtId="0" fontId="0" fillId="37" borderId="66" xfId="0" applyFill="1" applyBorder="1" applyAlignment="1">
      <alignment horizontal="right"/>
    </xf>
    <xf numFmtId="0" fontId="2" fillId="37" borderId="66" xfId="0" applyFont="1" applyFill="1" applyBorder="1" applyAlignment="1">
      <alignment horizontal="right"/>
    </xf>
    <xf numFmtId="3" fontId="2" fillId="37" borderId="72" xfId="0" applyNumberFormat="1" applyFont="1" applyFill="1" applyBorder="1"/>
    <xf numFmtId="3" fontId="2" fillId="37" borderId="0" xfId="0" applyNumberFormat="1" applyFont="1" applyFill="1"/>
    <xf numFmtId="3" fontId="2" fillId="37" borderId="61" xfId="0" applyNumberFormat="1" applyFont="1" applyFill="1" applyBorder="1"/>
    <xf numFmtId="0" fontId="2" fillId="37" borderId="67" xfId="0" applyFont="1" applyFill="1" applyBorder="1" applyAlignment="1">
      <alignment horizontal="right"/>
    </xf>
    <xf numFmtId="3" fontId="2" fillId="37" borderId="30" xfId="0" applyNumberFormat="1" applyFont="1" applyFill="1" applyBorder="1"/>
    <xf numFmtId="3" fontId="0" fillId="37" borderId="77" xfId="0" applyNumberFormat="1" applyFill="1" applyBorder="1"/>
    <xf numFmtId="3" fontId="0" fillId="37" borderId="0" xfId="0" applyNumberFormat="1" applyFill="1" applyAlignment="1">
      <alignment horizontal="right"/>
    </xf>
    <xf numFmtId="9" fontId="2" fillId="11" borderId="73" xfId="47" applyFont="1" applyFill="1" applyBorder="1"/>
    <xf numFmtId="9" fontId="2" fillId="11" borderId="91" xfId="47" applyFont="1" applyFill="1" applyBorder="1"/>
    <xf numFmtId="9" fontId="2" fillId="11" borderId="26" xfId="47" applyFont="1" applyFill="1" applyBorder="1"/>
    <xf numFmtId="9" fontId="2" fillId="11" borderId="31" xfId="47" applyFont="1" applyFill="1" applyBorder="1"/>
    <xf numFmtId="0" fontId="0" fillId="5" borderId="29" xfId="0" applyFill="1" applyBorder="1" applyAlignment="1">
      <alignment horizontal="right"/>
    </xf>
    <xf numFmtId="169" fontId="1" fillId="5" borderId="22" xfId="1" applyNumberFormat="1" applyFont="1" applyFill="1" applyBorder="1"/>
    <xf numFmtId="169" fontId="1" fillId="5" borderId="23" xfId="1" applyNumberFormat="1" applyFont="1" applyFill="1" applyBorder="1"/>
    <xf numFmtId="169" fontId="1" fillId="5" borderId="29" xfId="1" applyNumberFormat="1" applyFont="1" applyFill="1" applyBorder="1"/>
    <xf numFmtId="169" fontId="1" fillId="5" borderId="31" xfId="1" applyNumberFormat="1" applyFont="1" applyFill="1" applyBorder="1"/>
    <xf numFmtId="2" fontId="0" fillId="11" borderId="0" xfId="0" applyNumberFormat="1" applyFill="1"/>
    <xf numFmtId="0" fontId="2" fillId="11" borderId="72" xfId="0" applyFont="1" applyFill="1" applyBorder="1" applyAlignment="1">
      <alignment horizontal="center"/>
    </xf>
    <xf numFmtId="16" fontId="2" fillId="11" borderId="0" xfId="0" applyNumberFormat="1" applyFont="1" applyFill="1" applyAlignment="1">
      <alignment horizontal="center"/>
    </xf>
    <xf numFmtId="16" fontId="2" fillId="10" borderId="0" xfId="0" applyNumberFormat="1" applyFont="1" applyFill="1" applyAlignment="1">
      <alignment horizontal="center"/>
    </xf>
    <xf numFmtId="169" fontId="0" fillId="12" borderId="31" xfId="0" applyNumberFormat="1" applyFill="1" applyBorder="1"/>
    <xf numFmtId="0" fontId="0" fillId="12" borderId="43" xfId="0" applyFill="1" applyBorder="1"/>
    <xf numFmtId="1" fontId="0" fillId="11" borderId="87" xfId="0" applyNumberFormat="1" applyFill="1" applyBorder="1"/>
    <xf numFmtId="1" fontId="0" fillId="0" borderId="30" xfId="0" applyNumberFormat="1" applyBorder="1"/>
    <xf numFmtId="3" fontId="0" fillId="0" borderId="0" xfId="0" applyNumberFormat="1"/>
    <xf numFmtId="16" fontId="0" fillId="0" borderId="0" xfId="0" applyNumberFormat="1"/>
    <xf numFmtId="0" fontId="2" fillId="38" borderId="0" xfId="0" applyFont="1" applyFill="1"/>
    <xf numFmtId="0" fontId="0" fillId="0" borderId="0" xfId="0" applyAlignment="1">
      <alignment wrapText="1"/>
    </xf>
    <xf numFmtId="16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169" fontId="0" fillId="4" borderId="0" xfId="1" applyNumberFormat="1" applyFont="1" applyFill="1"/>
    <xf numFmtId="16" fontId="0" fillId="11" borderId="0" xfId="0" applyNumberFormat="1" applyFill="1" applyAlignment="1">
      <alignment vertical="center"/>
    </xf>
    <xf numFmtId="0" fontId="0" fillId="11" borderId="0" xfId="0" applyFill="1" applyAlignment="1">
      <alignment vertical="center" wrapText="1"/>
    </xf>
    <xf numFmtId="0" fontId="0" fillId="11" borderId="0" xfId="0" applyFill="1" applyAlignment="1">
      <alignment vertical="center"/>
    </xf>
    <xf numFmtId="16" fontId="2" fillId="11" borderId="30" xfId="0" applyNumberFormat="1" applyFont="1" applyFill="1" applyBorder="1" applyAlignment="1">
      <alignment horizontal="center"/>
    </xf>
    <xf numFmtId="3" fontId="0" fillId="37" borderId="23" xfId="0" applyNumberFormat="1" applyFill="1" applyBorder="1"/>
    <xf numFmtId="3" fontId="0" fillId="37" borderId="29" xfId="0" applyNumberFormat="1" applyFill="1" applyBorder="1" applyAlignment="1">
      <alignment horizontal="right"/>
    </xf>
    <xf numFmtId="3" fontId="0" fillId="37" borderId="30" xfId="0" applyNumberFormat="1" applyFill="1" applyBorder="1" applyAlignment="1">
      <alignment horizontal="right"/>
    </xf>
    <xf numFmtId="0" fontId="0" fillId="11" borderId="12" xfId="0" applyFill="1" applyBorder="1"/>
    <xf numFmtId="1" fontId="0" fillId="11" borderId="22" xfId="0" applyNumberFormat="1" applyFill="1" applyBorder="1"/>
    <xf numFmtId="1" fontId="0" fillId="0" borderId="23" xfId="0" applyNumberFormat="1" applyBorder="1"/>
    <xf numFmtId="0" fontId="2" fillId="11" borderId="20" xfId="0" applyFont="1" applyFill="1" applyBorder="1" applyAlignment="1">
      <alignment horizontal="center" vertical="center" wrapText="1"/>
    </xf>
    <xf numFmtId="9" fontId="0" fillId="4" borderId="30" xfId="47" applyFont="1" applyFill="1" applyBorder="1"/>
    <xf numFmtId="3" fontId="2" fillId="11" borderId="94" xfId="0" applyNumberFormat="1" applyFont="1" applyFill="1" applyBorder="1"/>
    <xf numFmtId="9" fontId="2" fillId="11" borderId="96" xfId="47" applyFont="1" applyFill="1" applyBorder="1"/>
    <xf numFmtId="9" fontId="2" fillId="11" borderId="62" xfId="47" applyFont="1" applyFill="1" applyBorder="1"/>
    <xf numFmtId="9" fontId="2" fillId="11" borderId="64" xfId="47" applyFont="1" applyFill="1" applyBorder="1"/>
    <xf numFmtId="3" fontId="0" fillId="11" borderId="94" xfId="0" applyNumberFormat="1" applyFill="1" applyBorder="1"/>
    <xf numFmtId="3" fontId="0" fillId="11" borderId="89" xfId="0" applyNumberFormat="1" applyFill="1" applyBorder="1"/>
    <xf numFmtId="3" fontId="0" fillId="11" borderId="33" xfId="0" applyNumberFormat="1" applyFill="1" applyBorder="1"/>
    <xf numFmtId="3" fontId="0" fillId="11" borderId="34" xfId="0" applyNumberFormat="1" applyFill="1" applyBorder="1"/>
    <xf numFmtId="3" fontId="0" fillId="11" borderId="61" xfId="0" applyNumberFormat="1" applyFill="1" applyBorder="1"/>
    <xf numFmtId="3" fontId="30" fillId="11" borderId="89" xfId="0" applyNumberFormat="1" applyFont="1" applyFill="1" applyBorder="1"/>
    <xf numFmtId="3" fontId="30" fillId="11" borderId="33" xfId="0" applyNumberFormat="1" applyFont="1" applyFill="1" applyBorder="1"/>
    <xf numFmtId="3" fontId="30" fillId="11" borderId="34" xfId="0" applyNumberFormat="1" applyFont="1" applyFill="1" applyBorder="1"/>
    <xf numFmtId="3" fontId="30" fillId="11" borderId="61" xfId="0" applyNumberFormat="1" applyFont="1" applyFill="1" applyBorder="1"/>
    <xf numFmtId="3" fontId="2" fillId="37" borderId="34" xfId="0" applyNumberFormat="1" applyFont="1" applyFill="1" applyBorder="1"/>
    <xf numFmtId="3" fontId="0" fillId="11" borderId="24" xfId="0" applyNumberFormat="1" applyFill="1" applyBorder="1"/>
    <xf numFmtId="174" fontId="2" fillId="11" borderId="73" xfId="47" applyNumberFormat="1" applyFont="1" applyFill="1" applyBorder="1"/>
    <xf numFmtId="174" fontId="2" fillId="11" borderId="96" xfId="47" applyNumberFormat="1" applyFont="1" applyFill="1" applyBorder="1"/>
    <xf numFmtId="174" fontId="2" fillId="11" borderId="62" xfId="47" applyNumberFormat="1" applyFont="1" applyFill="1" applyBorder="1"/>
    <xf numFmtId="174" fontId="2" fillId="11" borderId="91" xfId="47" applyNumberFormat="1" applyFont="1" applyFill="1" applyBorder="1"/>
    <xf numFmtId="174" fontId="2" fillId="11" borderId="26" xfId="47" applyNumberFormat="1" applyFont="1" applyFill="1" applyBorder="1"/>
    <xf numFmtId="174" fontId="2" fillId="11" borderId="64" xfId="47" applyNumberFormat="1" applyFont="1" applyFill="1" applyBorder="1"/>
    <xf numFmtId="174" fontId="2" fillId="11" borderId="74" xfId="47" applyNumberFormat="1" applyFont="1" applyFill="1" applyBorder="1"/>
    <xf numFmtId="174" fontId="2" fillId="11" borderId="31" xfId="47" applyNumberFormat="1" applyFont="1" applyFill="1" applyBorder="1"/>
    <xf numFmtId="0" fontId="28" fillId="0" borderId="51" xfId="0" applyFont="1" applyBorder="1" applyAlignment="1">
      <alignment horizontal="right"/>
    </xf>
    <xf numFmtId="169" fontId="0" fillId="11" borderId="26" xfId="0" applyNumberFormat="1" applyFill="1" applyBorder="1"/>
    <xf numFmtId="0" fontId="0" fillId="11" borderId="96" xfId="0" applyFill="1" applyBorder="1"/>
    <xf numFmtId="3" fontId="0" fillId="5" borderId="22" xfId="0" applyNumberFormat="1" applyFill="1" applyBorder="1"/>
    <xf numFmtId="3" fontId="0" fillId="5" borderId="23" xfId="0" applyNumberFormat="1" applyFill="1" applyBorder="1"/>
    <xf numFmtId="3" fontId="0" fillId="5" borderId="29" xfId="0" applyNumberFormat="1" applyFill="1" applyBorder="1"/>
    <xf numFmtId="169" fontId="1" fillId="5" borderId="30" xfId="1" applyNumberFormat="1" applyFont="1" applyFill="1" applyBorder="1"/>
    <xf numFmtId="169" fontId="2" fillId="5" borderId="27" xfId="1" applyNumberFormat="1" applyFont="1" applyFill="1" applyBorder="1"/>
    <xf numFmtId="169" fontId="1" fillId="5" borderId="28" xfId="1" applyNumberFormat="1" applyFont="1" applyFill="1" applyBorder="1"/>
    <xf numFmtId="0" fontId="0" fillId="5" borderId="39" xfId="0" applyFill="1" applyBorder="1"/>
    <xf numFmtId="3" fontId="0" fillId="11" borderId="96" xfId="0" applyNumberFormat="1" applyFill="1" applyBorder="1"/>
    <xf numFmtId="169" fontId="0" fillId="4" borderId="31" xfId="0" applyNumberFormat="1" applyFill="1" applyBorder="1"/>
    <xf numFmtId="3" fontId="31" fillId="11" borderId="72" xfId="0" applyNumberFormat="1" applyFont="1" applyFill="1" applyBorder="1"/>
    <xf numFmtId="3" fontId="31" fillId="11" borderId="94" xfId="0" applyNumberFormat="1" applyFont="1" applyFill="1" applyBorder="1"/>
    <xf numFmtId="3" fontId="31" fillId="11" borderId="0" xfId="0" applyNumberFormat="1" applyFont="1" applyFill="1"/>
    <xf numFmtId="3" fontId="31" fillId="11" borderId="30" xfId="0" applyNumberFormat="1" applyFont="1" applyFill="1" applyBorder="1"/>
    <xf numFmtId="3" fontId="31" fillId="11" borderId="89" xfId="0" applyNumberFormat="1" applyFont="1" applyFill="1" applyBorder="1"/>
    <xf numFmtId="0" fontId="3" fillId="0" borderId="90" xfId="0" applyFont="1" applyBorder="1" applyAlignment="1">
      <alignment horizontal="right"/>
    </xf>
    <xf numFmtId="0" fontId="3" fillId="0" borderId="57" xfId="0" applyFont="1" applyBorder="1" applyAlignment="1">
      <alignment horizontal="right"/>
    </xf>
    <xf numFmtId="3" fontId="3" fillId="4" borderId="35" xfId="0" applyNumberFormat="1" applyFont="1" applyFill="1" applyBorder="1" applyAlignment="1">
      <alignment horizontal="right"/>
    </xf>
    <xf numFmtId="3" fontId="3" fillId="4" borderId="73" xfId="0" applyNumberFormat="1" applyFont="1" applyFill="1" applyBorder="1"/>
    <xf numFmtId="3" fontId="3" fillId="4" borderId="90" xfId="0" applyNumberFormat="1" applyFont="1" applyFill="1" applyBorder="1"/>
    <xf numFmtId="3" fontId="3" fillId="4" borderId="80" xfId="0" applyNumberFormat="1" applyFont="1" applyFill="1" applyBorder="1"/>
    <xf numFmtId="3" fontId="3" fillId="4" borderId="68" xfId="0" applyNumberFormat="1" applyFont="1" applyFill="1" applyBorder="1"/>
    <xf numFmtId="0" fontId="27" fillId="4" borderId="93" xfId="0" applyFont="1" applyFill="1" applyBorder="1"/>
    <xf numFmtId="0" fontId="3" fillId="4" borderId="64" xfId="0" applyFont="1" applyFill="1" applyBorder="1" applyAlignment="1">
      <alignment horizontal="right"/>
    </xf>
    <xf numFmtId="0" fontId="3" fillId="4" borderId="98" xfId="0" applyFont="1" applyFill="1" applyBorder="1" applyAlignment="1">
      <alignment horizontal="right"/>
    </xf>
    <xf numFmtId="3" fontId="3" fillId="4" borderId="60" xfId="0" applyNumberFormat="1" applyFont="1" applyFill="1" applyBorder="1"/>
    <xf numFmtId="3" fontId="3" fillId="4" borderId="59" xfId="0" applyNumberFormat="1" applyFont="1" applyFill="1" applyBorder="1" applyAlignment="1">
      <alignment horizontal="right"/>
    </xf>
    <xf numFmtId="3" fontId="3" fillId="4" borderId="46" xfId="0" applyNumberFormat="1" applyFont="1" applyFill="1" applyBorder="1" applyAlignment="1">
      <alignment horizontal="right"/>
    </xf>
    <xf numFmtId="3" fontId="3" fillId="4" borderId="48" xfId="0" applyNumberFormat="1" applyFont="1" applyFill="1" applyBorder="1" applyAlignment="1">
      <alignment horizontal="right"/>
    </xf>
    <xf numFmtId="3" fontId="3" fillId="4" borderId="47" xfId="0" applyNumberFormat="1" applyFont="1" applyFill="1" applyBorder="1" applyAlignment="1">
      <alignment horizontal="right"/>
    </xf>
    <xf numFmtId="3" fontId="3" fillId="4" borderId="26" xfId="0" applyNumberFormat="1" applyFont="1" applyFill="1" applyBorder="1" applyAlignment="1">
      <alignment horizontal="right"/>
    </xf>
    <xf numFmtId="3" fontId="3" fillId="4" borderId="49" xfId="0" applyNumberFormat="1" applyFont="1" applyFill="1" applyBorder="1" applyAlignment="1">
      <alignment horizontal="right"/>
    </xf>
    <xf numFmtId="3" fontId="27" fillId="4" borderId="51" xfId="0" applyNumberFormat="1" applyFont="1" applyFill="1" applyBorder="1"/>
    <xf numFmtId="3" fontId="27" fillId="4" borderId="92" xfId="0" applyNumberFormat="1" applyFont="1" applyFill="1" applyBorder="1"/>
    <xf numFmtId="3" fontId="27" fillId="4" borderId="97" xfId="0" applyNumberFormat="1" applyFont="1" applyFill="1" applyBorder="1"/>
    <xf numFmtId="3" fontId="27" fillId="4" borderId="93" xfId="0" applyNumberFormat="1" applyFont="1" applyFill="1" applyBorder="1"/>
    <xf numFmtId="3" fontId="3" fillId="4" borderId="73" xfId="0" applyNumberFormat="1" applyFont="1" applyFill="1" applyBorder="1" applyAlignment="1">
      <alignment horizontal="right"/>
    </xf>
    <xf numFmtId="3" fontId="3" fillId="4" borderId="90" xfId="0" applyNumberFormat="1" applyFont="1" applyFill="1" applyBorder="1" applyAlignment="1">
      <alignment horizontal="right"/>
    </xf>
    <xf numFmtId="3" fontId="3" fillId="4" borderId="80" xfId="0" applyNumberFormat="1" applyFont="1" applyFill="1" applyBorder="1" applyAlignment="1">
      <alignment horizontal="right"/>
    </xf>
    <xf numFmtId="3" fontId="3" fillId="4" borderId="62" xfId="0" applyNumberFormat="1" applyFont="1" applyFill="1" applyBorder="1" applyAlignment="1">
      <alignment horizontal="right"/>
    </xf>
    <xf numFmtId="3" fontId="3" fillId="4" borderId="68" xfId="0" applyNumberFormat="1" applyFont="1" applyFill="1" applyBorder="1" applyAlignment="1">
      <alignment horizontal="right"/>
    </xf>
    <xf numFmtId="0" fontId="3" fillId="4" borderId="50" xfId="0" applyFont="1" applyFill="1" applyBorder="1" applyAlignment="1">
      <alignment horizontal="right"/>
    </xf>
    <xf numFmtId="0" fontId="0" fillId="0" borderId="32" xfId="0" applyBorder="1"/>
    <xf numFmtId="0" fontId="0" fillId="0" borderId="62" xfId="0" applyBorder="1"/>
    <xf numFmtId="3" fontId="0" fillId="0" borderId="94" xfId="0" applyNumberFormat="1" applyBorder="1"/>
    <xf numFmtId="1" fontId="0" fillId="0" borderId="94" xfId="0" applyNumberFormat="1" applyBorder="1"/>
    <xf numFmtId="1" fontId="0" fillId="0" borderId="32" xfId="0" applyNumberFormat="1" applyBorder="1"/>
    <xf numFmtId="1" fontId="0" fillId="0" borderId="62" xfId="0" applyNumberFormat="1" applyBorder="1"/>
    <xf numFmtId="0" fontId="2" fillId="0" borderId="0" xfId="0" applyFont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5" borderId="5" xfId="0" applyFont="1" applyFill="1" applyBorder="1" applyAlignment="1">
      <alignment horizontal="left"/>
    </xf>
    <xf numFmtId="0" fontId="0" fillId="0" borderId="45" xfId="0" applyBorder="1"/>
    <xf numFmtId="170" fontId="0" fillId="0" borderId="24" xfId="0" applyNumberFormat="1" applyBorder="1"/>
    <xf numFmtId="0" fontId="0" fillId="8" borderId="43" xfId="0" applyFill="1" applyBorder="1"/>
    <xf numFmtId="169" fontId="0" fillId="8" borderId="30" xfId="0" applyNumberFormat="1" applyFill="1" applyBorder="1"/>
    <xf numFmtId="1" fontId="0" fillId="8" borderId="30" xfId="0" applyNumberFormat="1" applyFill="1" applyBorder="1"/>
    <xf numFmtId="9" fontId="0" fillId="0" borderId="87" xfId="0" applyNumberFormat="1" applyBorder="1"/>
    <xf numFmtId="9" fontId="0" fillId="0" borderId="95" xfId="0" applyNumberFormat="1" applyBorder="1"/>
    <xf numFmtId="9" fontId="0" fillId="0" borderId="99" xfId="0" applyNumberFormat="1" applyBorder="1"/>
    <xf numFmtId="9" fontId="0" fillId="0" borderId="43" xfId="0" applyNumberFormat="1" applyBorder="1"/>
    <xf numFmtId="9" fontId="0" fillId="0" borderId="24" xfId="0" applyNumberFormat="1" applyBorder="1"/>
    <xf numFmtId="9" fontId="0" fillId="0" borderId="30" xfId="0" applyNumberFormat="1" applyBorder="1"/>
    <xf numFmtId="9" fontId="0" fillId="14" borderId="27" xfId="0" applyNumberFormat="1" applyFill="1" applyBorder="1"/>
    <xf numFmtId="9" fontId="0" fillId="14" borderId="39" xfId="0" applyNumberFormat="1" applyFill="1" applyBorder="1"/>
    <xf numFmtId="0" fontId="0" fillId="0" borderId="25" xfId="0" applyBorder="1"/>
    <xf numFmtId="16" fontId="0" fillId="0" borderId="52" xfId="0" applyNumberFormat="1" applyBorder="1" applyAlignment="1">
      <alignment horizontal="center"/>
    </xf>
    <xf numFmtId="16" fontId="0" fillId="0" borderId="53" xfId="0" applyNumberFormat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66" xfId="0" applyBorder="1" applyAlignment="1">
      <alignment horizontal="center"/>
    </xf>
    <xf numFmtId="0" fontId="2" fillId="3" borderId="96" xfId="0" applyFont="1" applyFill="1" applyBorder="1" applyAlignment="1">
      <alignment horizontal="right"/>
    </xf>
    <xf numFmtId="0" fontId="2" fillId="10" borderId="27" xfId="0" applyFont="1" applyFill="1" applyBorder="1"/>
    <xf numFmtId="0" fontId="0" fillId="0" borderId="27" xfId="0" applyBorder="1"/>
    <xf numFmtId="0" fontId="0" fillId="0" borderId="38" xfId="0" applyBorder="1"/>
    <xf numFmtId="0" fontId="0" fillId="8" borderId="4" xfId="0" applyFill="1" applyBorder="1"/>
    <xf numFmtId="0" fontId="0" fillId="0" borderId="2" xfId="0" applyBorder="1"/>
    <xf numFmtId="0" fontId="0" fillId="0" borderId="3" xfId="0" applyBorder="1"/>
    <xf numFmtId="0" fontId="0" fillId="0" borderId="36" xfId="0" applyBorder="1"/>
    <xf numFmtId="0" fontId="0" fillId="8" borderId="37" xfId="0" applyFill="1" applyBorder="1"/>
    <xf numFmtId="0" fontId="0" fillId="8" borderId="28" xfId="0" applyFill="1" applyBorder="1"/>
    <xf numFmtId="0" fontId="0" fillId="12" borderId="28" xfId="0" applyFill="1" applyBorder="1"/>
    <xf numFmtId="0" fontId="0" fillId="12" borderId="36" xfId="0" applyFill="1" applyBorder="1"/>
    <xf numFmtId="0" fontId="0" fillId="8" borderId="39" xfId="0" applyFill="1" applyBorder="1"/>
    <xf numFmtId="0" fontId="2" fillId="10" borderId="21" xfId="0" applyFont="1" applyFill="1" applyBorder="1"/>
    <xf numFmtId="169" fontId="0" fillId="0" borderId="22" xfId="0" applyNumberFormat="1" applyBorder="1"/>
    <xf numFmtId="169" fontId="0" fillId="0" borderId="23" xfId="0" applyNumberFormat="1" applyBorder="1"/>
    <xf numFmtId="169" fontId="0" fillId="0" borderId="29" xfId="0" applyNumberFormat="1" applyBorder="1"/>
    <xf numFmtId="169" fontId="0" fillId="0" borderId="100" xfId="0" applyNumberFormat="1" applyBorder="1"/>
    <xf numFmtId="169" fontId="0" fillId="0" borderId="101" xfId="0" applyNumberFormat="1" applyBorder="1"/>
    <xf numFmtId="169" fontId="0" fillId="12" borderId="100" xfId="0" applyNumberFormat="1" applyFill="1" applyBorder="1"/>
    <xf numFmtId="0" fontId="0" fillId="11" borderId="39" xfId="0" applyFill="1" applyBorder="1"/>
    <xf numFmtId="0" fontId="0" fillId="11" borderId="23" xfId="0" applyFill="1" applyBorder="1"/>
    <xf numFmtId="0" fontId="0" fillId="11" borderId="29" xfId="0" applyFill="1" applyBorder="1"/>
    <xf numFmtId="169" fontId="0" fillId="0" borderId="28" xfId="0" applyNumberFormat="1" applyBorder="1"/>
    <xf numFmtId="0" fontId="2" fillId="4" borderId="24" xfId="0" applyFont="1" applyFill="1" applyBorder="1"/>
    <xf numFmtId="0" fontId="2" fillId="4" borderId="87" xfId="0" applyFont="1" applyFill="1" applyBorder="1"/>
    <xf numFmtId="0" fontId="2" fillId="4" borderId="99" xfId="0" applyFont="1" applyFill="1" applyBorder="1"/>
    <xf numFmtId="0" fontId="4" fillId="13" borderId="28" xfId="0" applyFont="1" applyFill="1" applyBorder="1"/>
    <xf numFmtId="0" fontId="26" fillId="13" borderId="21" xfId="0" applyFont="1" applyFill="1" applyBorder="1"/>
    <xf numFmtId="0" fontId="4" fillId="13" borderId="27" xfId="0" applyFont="1" applyFill="1" applyBorder="1"/>
    <xf numFmtId="170" fontId="0" fillId="8" borderId="29" xfId="0" applyNumberFormat="1" applyFill="1" applyBorder="1"/>
    <xf numFmtId="1" fontId="0" fillId="12" borderId="30" xfId="0" applyNumberFormat="1" applyFill="1" applyBorder="1"/>
    <xf numFmtId="0" fontId="0" fillId="0" borderId="63" xfId="0" applyBorder="1"/>
    <xf numFmtId="0" fontId="0" fillId="8" borderId="64" xfId="0" applyFill="1" applyBorder="1"/>
    <xf numFmtId="1" fontId="0" fillId="0" borderId="63" xfId="0" applyNumberFormat="1" applyBorder="1"/>
    <xf numFmtId="169" fontId="0" fillId="0" borderId="102" xfId="0" applyNumberFormat="1" applyBorder="1"/>
    <xf numFmtId="169" fontId="0" fillId="0" borderId="62" xfId="0" applyNumberFormat="1" applyBorder="1"/>
    <xf numFmtId="0" fontId="0" fillId="8" borderId="103" xfId="0" applyFill="1" applyBorder="1"/>
    <xf numFmtId="169" fontId="0" fillId="8" borderId="62" xfId="0" applyNumberFormat="1" applyFill="1" applyBorder="1"/>
    <xf numFmtId="169" fontId="0" fillId="8" borderId="103" xfId="0" applyNumberFormat="1" applyFill="1" applyBorder="1"/>
    <xf numFmtId="169" fontId="0" fillId="12" borderId="62" xfId="0" applyNumberFormat="1" applyFill="1" applyBorder="1"/>
    <xf numFmtId="169" fontId="0" fillId="12" borderId="102" xfId="0" applyNumberFormat="1" applyFill="1" applyBorder="1"/>
    <xf numFmtId="169" fontId="0" fillId="8" borderId="64" xfId="0" applyNumberFormat="1" applyFill="1" applyBorder="1"/>
    <xf numFmtId="0" fontId="2" fillId="5" borderId="96" xfId="0" applyFont="1" applyFill="1" applyBorder="1" applyAlignment="1">
      <alignment horizontal="left"/>
    </xf>
    <xf numFmtId="169" fontId="0" fillId="0" borderId="63" xfId="0" applyNumberFormat="1" applyBorder="1"/>
    <xf numFmtId="169" fontId="0" fillId="0" borderId="64" xfId="0" applyNumberFormat="1" applyBorder="1"/>
    <xf numFmtId="169" fontId="0" fillId="0" borderId="103" xfId="0" applyNumberFormat="1" applyBorder="1"/>
    <xf numFmtId="169" fontId="0" fillId="11" borderId="62" xfId="0" applyNumberFormat="1" applyFill="1" applyBorder="1"/>
    <xf numFmtId="169" fontId="0" fillId="10" borderId="103" xfId="0" applyNumberFormat="1" applyFill="1" applyBorder="1"/>
    <xf numFmtId="169" fontId="0" fillId="12" borderId="64" xfId="0" applyNumberFormat="1" applyFill="1" applyBorder="1"/>
    <xf numFmtId="169" fontId="0" fillId="10" borderId="62" xfId="0" applyNumberFormat="1" applyFill="1" applyBorder="1"/>
    <xf numFmtId="0" fontId="9" fillId="9" borderId="104" xfId="0" applyFont="1" applyFill="1" applyBorder="1" applyAlignment="1">
      <alignment horizontal="right" vertical="center"/>
    </xf>
    <xf numFmtId="0" fontId="0" fillId="12" borderId="64" xfId="0" applyFill="1" applyBorder="1"/>
    <xf numFmtId="169" fontId="0" fillId="11" borderId="92" xfId="0" applyNumberFormat="1" applyFill="1" applyBorder="1"/>
    <xf numFmtId="169" fontId="0" fillId="0" borderId="92" xfId="0" applyNumberFormat="1" applyBorder="1"/>
    <xf numFmtId="0" fontId="0" fillId="0" borderId="95" xfId="0" applyBorder="1"/>
    <xf numFmtId="1" fontId="0" fillId="0" borderId="29" xfId="0" applyNumberFormat="1" applyBorder="1"/>
    <xf numFmtId="169" fontId="0" fillId="0" borderId="93" xfId="0" applyNumberFormat="1" applyBorder="1"/>
    <xf numFmtId="169" fontId="0" fillId="0" borderId="0" xfId="1" applyNumberFormat="1" applyFont="1" applyFill="1"/>
    <xf numFmtId="169" fontId="0" fillId="0" borderId="32" xfId="1" applyNumberFormat="1" applyFont="1" applyFill="1" applyBorder="1"/>
    <xf numFmtId="0" fontId="0" fillId="0" borderId="79" xfId="0" applyBorder="1" applyAlignment="1">
      <alignment horizontal="center"/>
    </xf>
    <xf numFmtId="16" fontId="0" fillId="0" borderId="20" xfId="0" applyNumberFormat="1" applyBorder="1" applyAlignment="1">
      <alignment horizontal="center"/>
    </xf>
    <xf numFmtId="1" fontId="0" fillId="0" borderId="28" xfId="0" applyNumberFormat="1" applyBorder="1"/>
    <xf numFmtId="0" fontId="2" fillId="0" borderId="22" xfId="0" applyFont="1" applyBorder="1"/>
    <xf numFmtId="0" fontId="2" fillId="0" borderId="24" xfId="0" applyFont="1" applyBorder="1"/>
    <xf numFmtId="0" fontId="0" fillId="0" borderId="92" xfId="0" applyBorder="1"/>
    <xf numFmtId="169" fontId="2" fillId="0" borderId="0" xfId="0" applyNumberFormat="1" applyFont="1"/>
    <xf numFmtId="0" fontId="34" fillId="14" borderId="27" xfId="0" applyFont="1" applyFill="1" applyBorder="1"/>
    <xf numFmtId="0" fontId="2" fillId="0" borderId="42" xfId="0" applyFont="1" applyBorder="1"/>
    <xf numFmtId="0" fontId="2" fillId="0" borderId="50" xfId="0" applyFont="1" applyBorder="1"/>
    <xf numFmtId="0" fontId="33" fillId="0" borderId="0" xfId="0" applyFont="1"/>
    <xf numFmtId="0" fontId="0" fillId="8" borderId="38" xfId="0" applyFill="1" applyBorder="1"/>
    <xf numFmtId="1" fontId="0" fillId="8" borderId="32" xfId="0" applyNumberFormat="1" applyFill="1" applyBorder="1"/>
    <xf numFmtId="0" fontId="0" fillId="8" borderId="32" xfId="0" applyFill="1" applyBorder="1"/>
    <xf numFmtId="169" fontId="0" fillId="8" borderId="32" xfId="0" applyNumberFormat="1" applyFill="1" applyBorder="1"/>
    <xf numFmtId="0" fontId="0" fillId="12" borderId="32" xfId="0" applyFill="1" applyBorder="1"/>
    <xf numFmtId="0" fontId="0" fillId="0" borderId="105" xfId="0" applyBorder="1"/>
    <xf numFmtId="1" fontId="0" fillId="0" borderId="76" xfId="0" applyNumberFormat="1" applyBorder="1"/>
    <xf numFmtId="169" fontId="0" fillId="0" borderId="32" xfId="0" applyNumberFormat="1" applyBorder="1"/>
    <xf numFmtId="0" fontId="0" fillId="0" borderId="65" xfId="0" applyBorder="1"/>
    <xf numFmtId="0" fontId="0" fillId="8" borderId="65" xfId="0" applyFill="1" applyBorder="1"/>
    <xf numFmtId="169" fontId="0" fillId="12" borderId="32" xfId="0" applyNumberFormat="1" applyFill="1" applyBorder="1"/>
    <xf numFmtId="169" fontId="0" fillId="0" borderId="51" xfId="0" applyNumberFormat="1" applyBorder="1"/>
    <xf numFmtId="169" fontId="0" fillId="0" borderId="65" xfId="0" applyNumberFormat="1" applyBorder="1"/>
    <xf numFmtId="1" fontId="0" fillId="0" borderId="38" xfId="0" applyNumberFormat="1" applyBorder="1"/>
    <xf numFmtId="0" fontId="0" fillId="0" borderId="32" xfId="0" applyBorder="1" applyAlignment="1">
      <alignment horizontal="center"/>
    </xf>
    <xf numFmtId="1" fontId="0" fillId="0" borderId="65" xfId="0" applyNumberFormat="1" applyBorder="1"/>
    <xf numFmtId="169" fontId="0" fillId="0" borderId="76" xfId="1" applyNumberFormat="1" applyFont="1" applyFill="1" applyBorder="1"/>
    <xf numFmtId="169" fontId="0" fillId="0" borderId="65" xfId="1" applyNumberFormat="1" applyFont="1" applyFill="1" applyBorder="1"/>
    <xf numFmtId="169" fontId="2" fillId="14" borderId="38" xfId="1" applyNumberFormat="1" applyFont="1" applyFill="1" applyBorder="1"/>
    <xf numFmtId="169" fontId="2" fillId="14" borderId="86" xfId="1" applyNumberFormat="1" applyFont="1" applyFill="1" applyBorder="1"/>
    <xf numFmtId="170" fontId="0" fillId="8" borderId="32" xfId="0" applyNumberFormat="1" applyFill="1" applyBorder="1"/>
    <xf numFmtId="3" fontId="0" fillId="0" borderId="32" xfId="0" applyNumberFormat="1" applyBorder="1"/>
    <xf numFmtId="169" fontId="0" fillId="12" borderId="90" xfId="0" applyNumberFormat="1" applyFill="1" applyBorder="1"/>
    <xf numFmtId="1" fontId="0" fillId="11" borderId="51" xfId="0" applyNumberFormat="1" applyFill="1" applyBorder="1"/>
    <xf numFmtId="169" fontId="0" fillId="11" borderId="32" xfId="0" applyNumberFormat="1" applyFill="1" applyBorder="1"/>
    <xf numFmtId="169" fontId="0" fillId="11" borderId="51" xfId="0" applyNumberFormat="1" applyFill="1" applyBorder="1"/>
    <xf numFmtId="0" fontId="0" fillId="11" borderId="92" xfId="0" applyFill="1" applyBorder="1"/>
    <xf numFmtId="0" fontId="0" fillId="11" borderId="38" xfId="0" applyFill="1" applyBorder="1"/>
    <xf numFmtId="169" fontId="0" fillId="11" borderId="76" xfId="0" applyNumberFormat="1" applyFill="1" applyBorder="1"/>
    <xf numFmtId="169" fontId="0" fillId="11" borderId="38" xfId="0" applyNumberFormat="1" applyFill="1" applyBorder="1"/>
    <xf numFmtId="169" fontId="0" fillId="0" borderId="86" xfId="0" applyNumberFormat="1" applyBorder="1"/>
    <xf numFmtId="1" fontId="0" fillId="0" borderId="31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0" fontId="0" fillId="0" borderId="96" xfId="0" applyBorder="1" applyAlignment="1">
      <alignment wrapText="1"/>
    </xf>
    <xf numFmtId="0" fontId="0" fillId="0" borderId="62" xfId="0" applyBorder="1" applyAlignment="1">
      <alignment wrapText="1"/>
    </xf>
    <xf numFmtId="0" fontId="0" fillId="0" borderId="90" xfId="0" applyBorder="1" applyAlignment="1">
      <alignment wrapText="1"/>
    </xf>
    <xf numFmtId="0" fontId="0" fillId="39" borderId="28" xfId="0" applyFill="1" applyBorder="1"/>
    <xf numFmtId="0" fontId="0" fillId="0" borderId="106" xfId="0" applyBorder="1"/>
    <xf numFmtId="1" fontId="27" fillId="0" borderId="80" xfId="0" applyNumberFormat="1" applyFont="1" applyBorder="1" applyAlignment="1">
      <alignment horizontal="right"/>
    </xf>
    <xf numFmtId="1" fontId="27" fillId="0" borderId="68" xfId="0" applyNumberFormat="1" applyFont="1" applyBorder="1" applyAlignment="1">
      <alignment horizontal="right"/>
    </xf>
    <xf numFmtId="1" fontId="27" fillId="0" borderId="60" xfId="0" applyNumberFormat="1" applyFont="1" applyBorder="1" applyAlignment="1">
      <alignment horizontal="right"/>
    </xf>
    <xf numFmtId="1" fontId="3" fillId="0" borderId="1" xfId="0" applyNumberFormat="1" applyFont="1" applyBorder="1" applyAlignment="1">
      <alignment horizontal="right"/>
    </xf>
    <xf numFmtId="1" fontId="3" fillId="0" borderId="56" xfId="0" applyNumberFormat="1" applyFont="1" applyBorder="1" applyAlignment="1">
      <alignment horizontal="right"/>
    </xf>
    <xf numFmtId="1" fontId="3" fillId="0" borderId="58" xfId="0" applyNumberFormat="1" applyFont="1" applyBorder="1" applyAlignment="1">
      <alignment horizontal="right"/>
    </xf>
    <xf numFmtId="1" fontId="3" fillId="0" borderId="55" xfId="0" applyNumberFormat="1" applyFont="1" applyBorder="1" applyAlignment="1">
      <alignment horizontal="right"/>
    </xf>
    <xf numFmtId="1" fontId="3" fillId="0" borderId="57" xfId="0" applyNumberFormat="1" applyFont="1" applyBorder="1" applyAlignment="1">
      <alignment horizontal="right"/>
    </xf>
    <xf numFmtId="1" fontId="3" fillId="0" borderId="80" xfId="0" applyNumberFormat="1" applyFont="1" applyBorder="1" applyAlignment="1">
      <alignment horizontal="right"/>
    </xf>
    <xf numFmtId="1" fontId="3" fillId="0" borderId="90" xfId="0" applyNumberFormat="1" applyFont="1" applyBorder="1" applyAlignment="1">
      <alignment horizontal="right"/>
    </xf>
    <xf numFmtId="1" fontId="3" fillId="0" borderId="60" xfId="0" applyNumberFormat="1" applyFont="1" applyBorder="1" applyAlignment="1">
      <alignment horizontal="right"/>
    </xf>
    <xf numFmtId="1" fontId="3" fillId="11" borderId="73" xfId="0" applyNumberFormat="1" applyFont="1" applyFill="1" applyBorder="1" applyAlignment="1">
      <alignment horizontal="right"/>
    </xf>
    <xf numFmtId="1" fontId="27" fillId="0" borderId="53" xfId="0" applyNumberFormat="1" applyFont="1" applyBorder="1" applyAlignment="1">
      <alignment horizontal="right"/>
    </xf>
    <xf numFmtId="1" fontId="27" fillId="0" borderId="54" xfId="0" applyNumberFormat="1" applyFont="1" applyBorder="1" applyAlignment="1">
      <alignment horizontal="right"/>
    </xf>
    <xf numFmtId="1" fontId="27" fillId="0" borderId="50" xfId="0" applyNumberFormat="1" applyFont="1" applyBorder="1" applyAlignment="1">
      <alignment horizontal="center"/>
    </xf>
    <xf numFmtId="1" fontId="27" fillId="0" borderId="52" xfId="0" applyNumberFormat="1" applyFont="1" applyBorder="1" applyAlignment="1">
      <alignment horizontal="right"/>
    </xf>
    <xf numFmtId="1" fontId="3" fillId="0" borderId="55" xfId="0" applyNumberFormat="1" applyFont="1" applyBorder="1" applyAlignment="1">
      <alignment horizontal="center"/>
    </xf>
    <xf numFmtId="1" fontId="3" fillId="0" borderId="0" xfId="0" applyNumberFormat="1" applyFont="1" applyAlignment="1">
      <alignment horizontal="right"/>
    </xf>
    <xf numFmtId="1" fontId="3" fillId="0" borderId="68" xfId="0" applyNumberFormat="1" applyFont="1" applyBorder="1" applyAlignment="1">
      <alignment horizontal="right"/>
    </xf>
    <xf numFmtId="1" fontId="3" fillId="0" borderId="60" xfId="0" applyNumberFormat="1" applyFont="1" applyBorder="1" applyAlignment="1">
      <alignment horizontal="center"/>
    </xf>
    <xf numFmtId="1" fontId="27" fillId="34" borderId="53" xfId="0" applyNumberFormat="1" applyFont="1" applyFill="1" applyBorder="1" applyAlignment="1">
      <alignment horizontal="right"/>
    </xf>
    <xf numFmtId="1" fontId="27" fillId="34" borderId="54" xfId="0" applyNumberFormat="1" applyFont="1" applyFill="1" applyBorder="1" applyAlignment="1">
      <alignment horizontal="right"/>
    </xf>
    <xf numFmtId="1" fontId="27" fillId="34" borderId="50" xfId="0" applyNumberFormat="1" applyFont="1" applyFill="1" applyBorder="1" applyAlignment="1">
      <alignment horizontal="center"/>
    </xf>
    <xf numFmtId="1" fontId="27" fillId="34" borderId="52" xfId="0" applyNumberFormat="1" applyFont="1" applyFill="1" applyBorder="1" applyAlignment="1">
      <alignment horizontal="right"/>
    </xf>
    <xf numFmtId="1" fontId="3" fillId="34" borderId="1" xfId="0" applyNumberFormat="1" applyFont="1" applyFill="1" applyBorder="1" applyAlignment="1">
      <alignment horizontal="right"/>
    </xf>
    <xf numFmtId="1" fontId="3" fillId="34" borderId="0" xfId="0" applyNumberFormat="1" applyFont="1" applyFill="1" applyAlignment="1">
      <alignment horizontal="right"/>
    </xf>
    <xf numFmtId="1" fontId="3" fillId="34" borderId="58" xfId="0" applyNumberFormat="1" applyFont="1" applyFill="1" applyBorder="1" applyAlignment="1">
      <alignment horizontal="right"/>
    </xf>
    <xf numFmtId="1" fontId="3" fillId="34" borderId="55" xfId="0" applyNumberFormat="1" applyFont="1" applyFill="1" applyBorder="1" applyAlignment="1">
      <alignment horizontal="center"/>
    </xf>
    <xf numFmtId="1" fontId="3" fillId="34" borderId="57" xfId="0" applyNumberFormat="1" applyFont="1" applyFill="1" applyBorder="1" applyAlignment="1">
      <alignment horizontal="right"/>
    </xf>
    <xf numFmtId="1" fontId="3" fillId="34" borderId="56" xfId="0" applyNumberFormat="1" applyFont="1" applyFill="1" applyBorder="1" applyAlignment="1">
      <alignment horizontal="right"/>
    </xf>
    <xf numFmtId="1" fontId="3" fillId="34" borderId="47" xfId="0" applyNumberFormat="1" applyFont="1" applyFill="1" applyBorder="1" applyAlignment="1">
      <alignment horizontal="right"/>
    </xf>
    <xf numFmtId="1" fontId="3" fillId="34" borderId="48" xfId="0" applyNumberFormat="1" applyFont="1" applyFill="1" applyBorder="1" applyAlignment="1">
      <alignment horizontal="right"/>
    </xf>
    <xf numFmtId="1" fontId="3" fillId="34" borderId="49" xfId="0" applyNumberFormat="1" applyFont="1" applyFill="1" applyBorder="1" applyAlignment="1">
      <alignment horizontal="right"/>
    </xf>
    <xf numFmtId="1" fontId="3" fillId="34" borderId="59" xfId="0" applyNumberFormat="1" applyFont="1" applyFill="1" applyBorder="1" applyAlignment="1">
      <alignment horizontal="center"/>
    </xf>
    <xf numFmtId="1" fontId="3" fillId="34" borderId="46" xfId="0" applyNumberFormat="1" applyFont="1" applyFill="1" applyBorder="1" applyAlignment="1">
      <alignment horizontal="right"/>
    </xf>
    <xf numFmtId="1" fontId="3" fillId="6" borderId="28" xfId="0" applyNumberFormat="1" applyFont="1" applyFill="1" applyBorder="1"/>
    <xf numFmtId="1" fontId="3" fillId="6" borderId="39" xfId="0" applyNumberFormat="1" applyFont="1" applyFill="1" applyBorder="1"/>
    <xf numFmtId="1" fontId="3" fillId="6" borderId="27" xfId="0" applyNumberFormat="1" applyFont="1" applyFill="1" applyBorder="1"/>
    <xf numFmtId="1" fontId="29" fillId="0" borderId="50" xfId="0" applyNumberFormat="1" applyFont="1" applyBorder="1" applyAlignment="1">
      <alignment horizontal="center"/>
    </xf>
    <xf numFmtId="1" fontId="29" fillId="0" borderId="54" xfId="0" applyNumberFormat="1" applyFont="1" applyBorder="1" applyAlignment="1">
      <alignment horizontal="right"/>
    </xf>
    <xf numFmtId="1" fontId="28" fillId="0" borderId="58" xfId="0" applyNumberFormat="1" applyFont="1" applyBorder="1" applyAlignment="1">
      <alignment horizontal="right"/>
    </xf>
    <xf numFmtId="1" fontId="28" fillId="0" borderId="55" xfId="0" applyNumberFormat="1" applyFont="1" applyBorder="1" applyAlignment="1">
      <alignment horizontal="center"/>
    </xf>
    <xf numFmtId="1" fontId="28" fillId="0" borderId="1" xfId="0" applyNumberFormat="1" applyFont="1" applyBorder="1" applyAlignment="1">
      <alignment horizontal="right"/>
    </xf>
    <xf numFmtId="1" fontId="28" fillId="0" borderId="66" xfId="0" applyNumberFormat="1" applyFont="1" applyBorder="1" applyAlignment="1">
      <alignment horizontal="right"/>
    </xf>
    <xf numFmtId="1" fontId="28" fillId="0" borderId="49" xfId="0" applyNumberFormat="1" applyFont="1" applyBorder="1" applyAlignment="1">
      <alignment horizontal="right"/>
    </xf>
    <xf numFmtId="1" fontId="28" fillId="0" borderId="47" xfId="0" applyNumberFormat="1" applyFont="1" applyBorder="1" applyAlignment="1">
      <alignment horizontal="right"/>
    </xf>
    <xf numFmtId="1" fontId="28" fillId="0" borderId="59" xfId="0" applyNumberFormat="1" applyFont="1" applyBorder="1" applyAlignment="1">
      <alignment horizontal="center"/>
    </xf>
    <xf numFmtId="1" fontId="28" fillId="0" borderId="97" xfId="0" applyNumberFormat="1" applyFont="1" applyBorder="1" applyAlignment="1">
      <alignment horizontal="right"/>
    </xf>
    <xf numFmtId="1" fontId="28" fillId="0" borderId="53" xfId="0" applyNumberFormat="1" applyFont="1" applyBorder="1" applyAlignment="1">
      <alignment horizontal="right"/>
    </xf>
    <xf numFmtId="1" fontId="28" fillId="0" borderId="54" xfId="0" applyNumberFormat="1" applyFont="1" applyBorder="1" applyAlignment="1">
      <alignment horizontal="right"/>
    </xf>
    <xf numFmtId="1" fontId="28" fillId="0" borderId="50" xfId="0" applyNumberFormat="1" applyFont="1" applyBorder="1" applyAlignment="1">
      <alignment horizontal="center"/>
    </xf>
    <xf numFmtId="1" fontId="28" fillId="0" borderId="52" xfId="0" applyNumberFormat="1" applyFont="1" applyBorder="1" applyAlignment="1">
      <alignment horizontal="right"/>
    </xf>
    <xf numFmtId="1" fontId="28" fillId="0" borderId="92" xfId="0" applyNumberFormat="1" applyFont="1" applyBorder="1" applyAlignment="1">
      <alignment horizontal="right"/>
    </xf>
    <xf numFmtId="1" fontId="28" fillId="0" borderId="57" xfId="0" applyNumberFormat="1" applyFont="1" applyBorder="1" applyAlignment="1">
      <alignment horizontal="right"/>
    </xf>
    <xf numFmtId="1" fontId="28" fillId="0" borderId="46" xfId="0" applyNumberFormat="1" applyFont="1" applyBorder="1" applyAlignment="1">
      <alignment horizontal="right"/>
    </xf>
    <xf numFmtId="0" fontId="0" fillId="0" borderId="107" xfId="0" applyBorder="1"/>
    <xf numFmtId="0" fontId="0" fillId="0" borderId="108" xfId="0" applyBorder="1"/>
    <xf numFmtId="0" fontId="0" fillId="39" borderId="26" xfId="0" applyFill="1" applyBorder="1"/>
    <xf numFmtId="0" fontId="28" fillId="0" borderId="57" xfId="0" applyFont="1" applyBorder="1" applyAlignment="1">
      <alignment horizontal="right"/>
    </xf>
    <xf numFmtId="0" fontId="28" fillId="0" borderId="89" xfId="0" applyFont="1" applyBorder="1" applyAlignment="1">
      <alignment horizontal="right"/>
    </xf>
    <xf numFmtId="0" fontId="3" fillId="6" borderId="38" xfId="0" applyFont="1" applyFill="1" applyBorder="1"/>
    <xf numFmtId="0" fontId="0" fillId="39" borderId="108" xfId="0" applyFill="1" applyBorder="1"/>
    <xf numFmtId="0" fontId="0" fillId="12" borderId="106" xfId="0" applyFill="1" applyBorder="1"/>
    <xf numFmtId="1" fontId="0" fillId="12" borderId="29" xfId="0" applyNumberFormat="1" applyFill="1" applyBorder="1"/>
    <xf numFmtId="169" fontId="0" fillId="0" borderId="0" xfId="1" applyNumberFormat="1" applyFont="1" applyFill="1" applyBorder="1"/>
    <xf numFmtId="169" fontId="0" fillId="40" borderId="0" xfId="0" applyNumberFormat="1" applyFill="1"/>
    <xf numFmtId="0" fontId="0" fillId="41" borderId="28" xfId="0" applyFill="1" applyBorder="1"/>
    <xf numFmtId="170" fontId="0" fillId="0" borderId="23" xfId="0" applyNumberFormat="1" applyBorder="1"/>
    <xf numFmtId="176" fontId="0" fillId="0" borderId="0" xfId="0" applyNumberFormat="1"/>
    <xf numFmtId="1" fontId="29" fillId="0" borderId="53" xfId="0" applyNumberFormat="1" applyFont="1" applyBorder="1" applyAlignment="1">
      <alignment horizontal="right"/>
    </xf>
    <xf numFmtId="0" fontId="0" fillId="10" borderId="28" xfId="0" applyFill="1" applyBorder="1"/>
    <xf numFmtId="0" fontId="0" fillId="12" borderId="21" xfId="0" applyFill="1" applyBorder="1"/>
    <xf numFmtId="1" fontId="0" fillId="8" borderId="41" xfId="0" applyNumberFormat="1" applyFill="1" applyBorder="1"/>
    <xf numFmtId="0" fontId="0" fillId="8" borderId="41" xfId="0" applyFill="1" applyBorder="1"/>
    <xf numFmtId="169" fontId="0" fillId="8" borderId="41" xfId="0" applyNumberFormat="1" applyFill="1" applyBorder="1"/>
    <xf numFmtId="169" fontId="0" fillId="40" borderId="41" xfId="0" applyNumberFormat="1" applyFill="1" applyBorder="1"/>
    <xf numFmtId="0" fontId="0" fillId="0" borderId="21" xfId="0" applyBorder="1"/>
    <xf numFmtId="170" fontId="0" fillId="0" borderId="41" xfId="0" applyNumberFormat="1" applyBorder="1"/>
    <xf numFmtId="169" fontId="0" fillId="0" borderId="41" xfId="0" applyNumberFormat="1" applyBorder="1"/>
    <xf numFmtId="1" fontId="0" fillId="0" borderId="41" xfId="0" applyNumberFormat="1" applyBorder="1"/>
    <xf numFmtId="0" fontId="0" fillId="0" borderId="41" xfId="0" applyBorder="1"/>
    <xf numFmtId="0" fontId="0" fillId="8" borderId="21" xfId="0" applyFill="1" applyBorder="1"/>
    <xf numFmtId="169" fontId="0" fillId="12" borderId="41" xfId="0" applyNumberFormat="1" applyFill="1" applyBorder="1"/>
    <xf numFmtId="0" fontId="0" fillId="12" borderId="41" xfId="0" applyFill="1" applyBorder="1"/>
    <xf numFmtId="169" fontId="0" fillId="40" borderId="42" xfId="0" applyNumberFormat="1" applyFill="1" applyBorder="1"/>
    <xf numFmtId="169" fontId="0" fillId="10" borderId="0" xfId="1" applyNumberFormat="1" applyFont="1" applyFill="1"/>
    <xf numFmtId="0" fontId="0" fillId="0" borderId="21" xfId="0" applyBorder="1" applyAlignment="1">
      <alignment wrapText="1"/>
    </xf>
    <xf numFmtId="169" fontId="0" fillId="0" borderId="22" xfId="1" applyNumberFormat="1" applyFont="1" applyFill="1" applyBorder="1"/>
    <xf numFmtId="169" fontId="0" fillId="0" borderId="23" xfId="1" applyNumberFormat="1" applyFont="1" applyFill="1" applyBorder="1"/>
    <xf numFmtId="169" fontId="0" fillId="0" borderId="29" xfId="1" applyNumberFormat="1" applyFont="1" applyFill="1" applyBorder="1"/>
    <xf numFmtId="169" fontId="0" fillId="0" borderId="24" xfId="1" applyNumberFormat="1" applyFont="1" applyFill="1" applyBorder="1"/>
    <xf numFmtId="169" fontId="0" fillId="0" borderId="30" xfId="1" applyNumberFormat="1" applyFont="1" applyFill="1" applyBorder="1"/>
    <xf numFmtId="169" fontId="2" fillId="14" borderId="27" xfId="1" applyNumberFormat="1" applyFont="1" applyFill="1" applyBorder="1"/>
    <xf numFmtId="169" fontId="2" fillId="14" borderId="39" xfId="1" applyNumberFormat="1" applyFont="1" applyFill="1" applyBorder="1"/>
    <xf numFmtId="1" fontId="0" fillId="0" borderId="25" xfId="0" applyNumberFormat="1" applyBorder="1"/>
    <xf numFmtId="1" fontId="0" fillId="0" borderId="26" xfId="0" applyNumberFormat="1" applyBorder="1"/>
    <xf numFmtId="1" fontId="0" fillId="0" borderId="22" xfId="0" applyNumberFormat="1" applyBorder="1"/>
    <xf numFmtId="0" fontId="0" fillId="0" borderId="40" xfId="0" applyBorder="1" applyAlignment="1">
      <alignment wrapText="1"/>
    </xf>
    <xf numFmtId="0" fontId="0" fillId="0" borderId="41" xfId="0" applyBorder="1" applyAlignment="1">
      <alignment wrapText="1"/>
    </xf>
    <xf numFmtId="0" fontId="2" fillId="0" borderId="41" xfId="0" applyFont="1" applyBorder="1"/>
    <xf numFmtId="169" fontId="0" fillId="0" borderId="109" xfId="0" applyNumberFormat="1" applyBorder="1"/>
    <xf numFmtId="169" fontId="0" fillId="0" borderId="69" xfId="0" applyNumberFormat="1" applyBorder="1"/>
    <xf numFmtId="1" fontId="2" fillId="0" borderId="0" xfId="0" applyNumberFormat="1" applyFont="1"/>
    <xf numFmtId="3" fontId="0" fillId="0" borderId="23" xfId="0" applyNumberFormat="1" applyBorder="1"/>
    <xf numFmtId="0" fontId="0" fillId="41" borderId="106" xfId="0" applyFill="1" applyBorder="1"/>
    <xf numFmtId="0" fontId="0" fillId="41" borderId="26" xfId="0" applyFill="1" applyBorder="1"/>
    <xf numFmtId="169" fontId="0" fillId="0" borderId="25" xfId="0" applyNumberFormat="1" applyBorder="1"/>
    <xf numFmtId="1" fontId="0" fillId="42" borderId="0" xfId="0" applyNumberFormat="1" applyFill="1"/>
    <xf numFmtId="1" fontId="3" fillId="0" borderId="73" xfId="0" applyNumberFormat="1" applyFont="1" applyBorder="1" applyAlignment="1">
      <alignment horizontal="right"/>
    </xf>
    <xf numFmtId="1" fontId="3" fillId="0" borderId="30" xfId="0" applyNumberFormat="1" applyFont="1" applyBorder="1" applyAlignment="1">
      <alignment horizontal="right"/>
    </xf>
    <xf numFmtId="169" fontId="2" fillId="41" borderId="28" xfId="1" applyNumberFormat="1" applyFont="1" applyFill="1" applyBorder="1"/>
    <xf numFmtId="1" fontId="0" fillId="8" borderId="29" xfId="0" applyNumberFormat="1" applyFill="1" applyBorder="1"/>
    <xf numFmtId="0" fontId="0" fillId="10" borderId="12" xfId="0" applyFill="1" applyBorder="1"/>
    <xf numFmtId="0" fontId="0" fillId="10" borderId="106" xfId="0" applyFill="1" applyBorder="1"/>
    <xf numFmtId="0" fontId="0" fillId="38" borderId="12" xfId="0" applyFill="1" applyBorder="1"/>
    <xf numFmtId="1" fontId="29" fillId="0" borderId="52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right"/>
    </xf>
    <xf numFmtId="3" fontId="0" fillId="8" borderId="30" xfId="0" applyNumberFormat="1" applyFill="1" applyBorder="1"/>
    <xf numFmtId="3" fontId="0" fillId="8" borderId="64" xfId="0" applyNumberFormat="1" applyFill="1" applyBorder="1"/>
    <xf numFmtId="3" fontId="0" fillId="8" borderId="29" xfId="0" applyNumberFormat="1" applyFill="1" applyBorder="1"/>
    <xf numFmtId="3" fontId="0" fillId="44" borderId="23" xfId="0" applyNumberFormat="1" applyFill="1" applyBorder="1"/>
    <xf numFmtId="3" fontId="0" fillId="44" borderId="29" xfId="0" applyNumberFormat="1" applyFill="1" applyBorder="1"/>
    <xf numFmtId="3" fontId="0" fillId="45" borderId="23" xfId="0" applyNumberFormat="1" applyFill="1" applyBorder="1"/>
    <xf numFmtId="3" fontId="0" fillId="45" borderId="29" xfId="0" applyNumberFormat="1" applyFill="1" applyBorder="1"/>
    <xf numFmtId="3" fontId="0" fillId="45" borderId="0" xfId="0" applyNumberFormat="1" applyFill="1"/>
    <xf numFmtId="3" fontId="0" fillId="45" borderId="30" xfId="0" applyNumberFormat="1" applyFill="1" applyBorder="1"/>
    <xf numFmtId="3" fontId="0" fillId="46" borderId="0" xfId="0" applyNumberFormat="1" applyFill="1"/>
    <xf numFmtId="3" fontId="0" fillId="46" borderId="62" xfId="0" applyNumberFormat="1" applyFill="1" applyBorder="1"/>
    <xf numFmtId="3" fontId="0" fillId="46" borderId="23" xfId="0" applyNumberFormat="1" applyFill="1" applyBorder="1"/>
    <xf numFmtId="3" fontId="0" fillId="46" borderId="29" xfId="0" applyNumberFormat="1" applyFill="1" applyBorder="1"/>
    <xf numFmtId="3" fontId="0" fillId="46" borderId="30" xfId="0" applyNumberFormat="1" applyFill="1" applyBorder="1"/>
    <xf numFmtId="3" fontId="0" fillId="46" borderId="64" xfId="0" applyNumberFormat="1" applyFill="1" applyBorder="1"/>
    <xf numFmtId="0" fontId="0" fillId="46" borderId="22" xfId="0" applyFill="1" applyBorder="1" applyAlignment="1">
      <alignment horizontal="right"/>
    </xf>
    <xf numFmtId="0" fontId="0" fillId="46" borderId="24" xfId="0" applyFill="1" applyBorder="1" applyAlignment="1">
      <alignment horizontal="right"/>
    </xf>
    <xf numFmtId="0" fontId="0" fillId="46" borderId="63" xfId="0" applyFill="1" applyBorder="1" applyAlignment="1">
      <alignment horizontal="right"/>
    </xf>
    <xf numFmtId="0" fontId="0" fillId="0" borderId="42" xfId="0" applyBorder="1" applyAlignment="1">
      <alignment horizontal="right"/>
    </xf>
    <xf numFmtId="0" fontId="0" fillId="46" borderId="40" xfId="0" applyFill="1" applyBorder="1" applyAlignment="1">
      <alignment horizontal="right"/>
    </xf>
    <xf numFmtId="0" fontId="0" fillId="46" borderId="41" xfId="0" applyFill="1" applyBorder="1" applyAlignment="1">
      <alignment horizontal="right"/>
    </xf>
    <xf numFmtId="0" fontId="0" fillId="46" borderId="60" xfId="0" applyFill="1" applyBorder="1" applyAlignment="1">
      <alignment horizontal="right"/>
    </xf>
    <xf numFmtId="0" fontId="0" fillId="45" borderId="40" xfId="0" applyFill="1" applyBorder="1" applyAlignment="1">
      <alignment horizontal="right"/>
    </xf>
    <xf numFmtId="0" fontId="0" fillId="45" borderId="41" xfId="0" applyFill="1" applyBorder="1" applyAlignment="1">
      <alignment horizontal="right"/>
    </xf>
    <xf numFmtId="0" fontId="10" fillId="49" borderId="40" xfId="0" applyFont="1" applyFill="1" applyBorder="1" applyAlignment="1">
      <alignment horizontal="right"/>
    </xf>
    <xf numFmtId="3" fontId="0" fillId="12" borderId="30" xfId="0" applyNumberFormat="1" applyFill="1" applyBorder="1"/>
    <xf numFmtId="3" fontId="0" fillId="5" borderId="23" xfId="1" applyNumberFormat="1" applyFont="1" applyFill="1" applyBorder="1"/>
    <xf numFmtId="3" fontId="0" fillId="5" borderId="29" xfId="1" applyNumberFormat="1" applyFont="1" applyFill="1" applyBorder="1"/>
    <xf numFmtId="3" fontId="0" fillId="5" borderId="0" xfId="1" applyNumberFormat="1" applyFont="1" applyFill="1" applyBorder="1"/>
    <xf numFmtId="3" fontId="0" fillId="5" borderId="30" xfId="1" applyNumberFormat="1" applyFont="1" applyFill="1" applyBorder="1"/>
    <xf numFmtId="3" fontId="0" fillId="46" borderId="72" xfId="0" applyNumberFormat="1" applyFill="1" applyBorder="1"/>
    <xf numFmtId="3" fontId="0" fillId="46" borderId="73" xfId="0" applyNumberFormat="1" applyFill="1" applyBorder="1"/>
    <xf numFmtId="3" fontId="0" fillId="46" borderId="77" xfId="0" applyNumberFormat="1" applyFill="1" applyBorder="1"/>
    <xf numFmtId="3" fontId="0" fillId="45" borderId="77" xfId="0" applyNumberFormat="1" applyFill="1" applyBorder="1"/>
    <xf numFmtId="3" fontId="0" fillId="45" borderId="72" xfId="0" applyNumberFormat="1" applyFill="1" applyBorder="1"/>
    <xf numFmtId="3" fontId="0" fillId="5" borderId="77" xfId="1" applyNumberFormat="1" applyFont="1" applyFill="1" applyBorder="1"/>
    <xf numFmtId="3" fontId="0" fillId="5" borderId="72" xfId="1" applyNumberFormat="1" applyFont="1" applyFill="1" applyBorder="1"/>
    <xf numFmtId="3" fontId="2" fillId="49" borderId="77" xfId="1" applyNumberFormat="1" applyFont="1" applyFill="1" applyBorder="1"/>
    <xf numFmtId="3" fontId="0" fillId="11" borderId="74" xfId="0" applyNumberFormat="1" applyFill="1" applyBorder="1"/>
    <xf numFmtId="3" fontId="0" fillId="11" borderId="26" xfId="0" applyNumberFormat="1" applyFill="1" applyBorder="1"/>
    <xf numFmtId="0" fontId="0" fillId="11" borderId="24" xfId="0" applyFill="1" applyBorder="1" applyAlignment="1">
      <alignment horizontal="right"/>
    </xf>
    <xf numFmtId="0" fontId="0" fillId="11" borderId="42" xfId="0" applyFill="1" applyBorder="1" applyAlignment="1">
      <alignment horizontal="right"/>
    </xf>
    <xf numFmtId="0" fontId="0" fillId="11" borderId="41" xfId="0" applyFill="1" applyBorder="1" applyAlignment="1">
      <alignment horizontal="right"/>
    </xf>
    <xf numFmtId="3" fontId="0" fillId="11" borderId="31" xfId="0" applyNumberFormat="1" applyFill="1" applyBorder="1"/>
    <xf numFmtId="0" fontId="10" fillId="11" borderId="42" xfId="0" applyFont="1" applyFill="1" applyBorder="1" applyAlignment="1">
      <alignment horizontal="right"/>
    </xf>
    <xf numFmtId="16" fontId="0" fillId="11" borderId="23" xfId="0" applyNumberFormat="1" applyFill="1" applyBorder="1" applyAlignment="1">
      <alignment horizontal="center"/>
    </xf>
    <xf numFmtId="16" fontId="0" fillId="11" borderId="29" xfId="0" applyNumberFormat="1" applyFill="1" applyBorder="1" applyAlignment="1">
      <alignment horizontal="center"/>
    </xf>
    <xf numFmtId="0" fontId="0" fillId="11" borderId="74" xfId="0" applyFill="1" applyBorder="1" applyAlignment="1">
      <alignment horizontal="center"/>
    </xf>
    <xf numFmtId="0" fontId="0" fillId="11" borderId="26" xfId="0" applyFill="1" applyBorder="1" applyAlignment="1">
      <alignment horizontal="center"/>
    </xf>
    <xf numFmtId="0" fontId="0" fillId="11" borderId="31" xfId="0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0" fontId="33" fillId="11" borderId="0" xfId="0" applyFont="1" applyFill="1"/>
    <xf numFmtId="0" fontId="0" fillId="11" borderId="0" xfId="0" applyFill="1" applyAlignment="1">
      <alignment horizontal="center"/>
    </xf>
    <xf numFmtId="0" fontId="0" fillId="44" borderId="40" xfId="0" applyFill="1" applyBorder="1" applyAlignment="1">
      <alignment horizontal="right"/>
    </xf>
    <xf numFmtId="3" fontId="0" fillId="44" borderId="77" xfId="0" applyNumberFormat="1" applyFill="1" applyBorder="1"/>
    <xf numFmtId="3" fontId="2" fillId="11" borderId="74" xfId="1" applyNumberFormat="1" applyFont="1" applyFill="1" applyBorder="1"/>
    <xf numFmtId="16" fontId="0" fillId="11" borderId="22" xfId="0" applyNumberFormat="1" applyFill="1" applyBorder="1" applyAlignment="1">
      <alignment horizontal="center"/>
    </xf>
    <xf numFmtId="16" fontId="0" fillId="11" borderId="110" xfId="0" applyNumberFormat="1" applyFill="1" applyBorder="1" applyAlignment="1">
      <alignment horizontal="center"/>
    </xf>
    <xf numFmtId="173" fontId="0" fillId="5" borderId="55" xfId="0" applyNumberFormat="1" applyFill="1" applyBorder="1" applyAlignment="1">
      <alignment horizontal="center"/>
    </xf>
    <xf numFmtId="173" fontId="0" fillId="5" borderId="56" xfId="0" applyNumberFormat="1" applyFill="1" applyBorder="1" applyAlignment="1">
      <alignment horizontal="center"/>
    </xf>
    <xf numFmtId="173" fontId="0" fillId="5" borderId="1" xfId="0" applyNumberFormat="1" applyFill="1" applyBorder="1" applyAlignment="1">
      <alignment horizontal="center"/>
    </xf>
    <xf numFmtId="173" fontId="0" fillId="5" borderId="58" xfId="0" applyNumberFormat="1" applyFill="1" applyBorder="1" applyAlignment="1">
      <alignment horizontal="center"/>
    </xf>
    <xf numFmtId="171" fontId="0" fillId="5" borderId="55" xfId="0" applyNumberFormat="1" applyFill="1" applyBorder="1" applyAlignment="1">
      <alignment horizontal="center"/>
    </xf>
    <xf numFmtId="171" fontId="0" fillId="5" borderId="56" xfId="0" applyNumberFormat="1" applyFill="1" applyBorder="1" applyAlignment="1">
      <alignment horizontal="center"/>
    </xf>
    <xf numFmtId="171" fontId="0" fillId="5" borderId="1" xfId="0" applyNumberFormat="1" applyFill="1" applyBorder="1" applyAlignment="1">
      <alignment horizontal="center"/>
    </xf>
    <xf numFmtId="171" fontId="0" fillId="5" borderId="58" xfId="0" applyNumberFormat="1" applyFill="1" applyBorder="1" applyAlignment="1">
      <alignment horizontal="center"/>
    </xf>
    <xf numFmtId="170" fontId="10" fillId="5" borderId="55" xfId="42" applyNumberFormat="1" applyFill="1" applyBorder="1" applyAlignment="1">
      <alignment horizontal="center"/>
    </xf>
    <xf numFmtId="170" fontId="0" fillId="5" borderId="57" xfId="0" applyNumberFormat="1" applyFill="1" applyBorder="1" applyAlignment="1">
      <alignment horizontal="center"/>
    </xf>
    <xf numFmtId="170" fontId="0" fillId="5" borderId="1" xfId="0" applyNumberFormat="1" applyFill="1" applyBorder="1" applyAlignment="1">
      <alignment horizontal="center"/>
    </xf>
    <xf numFmtId="170" fontId="0" fillId="5" borderId="58" xfId="0" applyNumberFormat="1" applyFill="1" applyBorder="1" applyAlignment="1">
      <alignment horizontal="center"/>
    </xf>
    <xf numFmtId="3" fontId="10" fillId="5" borderId="55" xfId="42" applyNumberFormat="1" applyFill="1" applyBorder="1" applyAlignment="1">
      <alignment horizontal="center"/>
    </xf>
    <xf numFmtId="3" fontId="0" fillId="5" borderId="57" xfId="0" applyNumberFormat="1" applyFill="1" applyBorder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50" borderId="1" xfId="0" applyNumberFormat="1" applyFill="1" applyBorder="1" applyAlignment="1">
      <alignment horizontal="center"/>
    </xf>
    <xf numFmtId="3" fontId="0" fillId="50" borderId="58" xfId="0" applyNumberFormat="1" applyFill="1" applyBorder="1" applyAlignment="1">
      <alignment horizontal="center"/>
    </xf>
    <xf numFmtId="3" fontId="0" fillId="10" borderId="0" xfId="0" applyNumberFormat="1" applyFill="1"/>
    <xf numFmtId="3" fontId="0" fillId="0" borderId="26" xfId="0" applyNumberFormat="1" applyBorder="1"/>
    <xf numFmtId="0" fontId="0" fillId="0" borderId="0" xfId="0" applyAlignment="1">
      <alignment horizontal="right"/>
    </xf>
    <xf numFmtId="0" fontId="3" fillId="37" borderId="22" xfId="0" applyFont="1" applyFill="1" applyBorder="1" applyAlignment="1">
      <alignment horizontal="right" vertical="center"/>
    </xf>
    <xf numFmtId="0" fontId="3" fillId="37" borderId="46" xfId="0" applyFont="1" applyFill="1" applyBorder="1" applyAlignment="1">
      <alignment horizontal="right"/>
    </xf>
    <xf numFmtId="1" fontId="3" fillId="6" borderId="27" xfId="0" applyNumberFormat="1" applyFont="1" applyFill="1" applyBorder="1" applyAlignment="1">
      <alignment horizontal="right"/>
    </xf>
    <xf numFmtId="1" fontId="28" fillId="0" borderId="55" xfId="0" applyNumberFormat="1" applyFont="1" applyBorder="1" applyAlignment="1">
      <alignment horizontal="right"/>
    </xf>
    <xf numFmtId="1" fontId="28" fillId="0" borderId="59" xfId="0" applyNumberFormat="1" applyFont="1" applyBorder="1" applyAlignment="1">
      <alignment horizontal="right"/>
    </xf>
    <xf numFmtId="1" fontId="28" fillId="0" borderId="50" xfId="0" applyNumberFormat="1" applyFont="1" applyBorder="1" applyAlignment="1">
      <alignment horizontal="right"/>
    </xf>
    <xf numFmtId="1" fontId="0" fillId="0" borderId="0" xfId="0" applyNumberFormat="1" applyAlignment="1">
      <alignment horizontal="left"/>
    </xf>
    <xf numFmtId="0" fontId="10" fillId="0" borderId="0" xfId="0" applyFont="1"/>
    <xf numFmtId="0" fontId="36" fillId="0" borderId="0" xfId="0" applyFont="1"/>
    <xf numFmtId="175" fontId="10" fillId="0" borderId="0" xfId="0" applyNumberFormat="1" applyFont="1"/>
    <xf numFmtId="0" fontId="10" fillId="0" borderId="0" xfId="0" applyFont="1" applyAlignment="1">
      <alignment horizontal="right"/>
    </xf>
    <xf numFmtId="1" fontId="3" fillId="6" borderId="26" xfId="0" applyNumberFormat="1" applyFont="1" applyFill="1" applyBorder="1"/>
    <xf numFmtId="1" fontId="3" fillId="6" borderId="31" xfId="0" applyNumberFormat="1" applyFont="1" applyFill="1" applyBorder="1"/>
    <xf numFmtId="1" fontId="28" fillId="0" borderId="55" xfId="0" applyNumberFormat="1" applyFont="1" applyBorder="1"/>
    <xf numFmtId="1" fontId="28" fillId="0" borderId="59" xfId="0" applyNumberFormat="1" applyFont="1" applyBorder="1"/>
    <xf numFmtId="1" fontId="28" fillId="0" borderId="50" xfId="0" applyNumberFormat="1" applyFont="1" applyBorder="1"/>
    <xf numFmtId="0" fontId="10" fillId="0" borderId="0" xfId="0" applyFont="1" applyAlignment="1">
      <alignment horizontal="center"/>
    </xf>
    <xf numFmtId="0" fontId="3" fillId="37" borderId="22" xfId="0" applyFont="1" applyFill="1" applyBorder="1" applyAlignment="1">
      <alignment horizontal="center" vertical="center"/>
    </xf>
    <xf numFmtId="1" fontId="3" fillId="6" borderId="27" xfId="0" applyNumberFormat="1" applyFont="1" applyFill="1" applyBorder="1" applyAlignment="1">
      <alignment horizontal="center"/>
    </xf>
    <xf numFmtId="3" fontId="0" fillId="12" borderId="64" xfId="0" applyNumberFormat="1" applyFill="1" applyBorder="1"/>
    <xf numFmtId="3" fontId="0" fillId="0" borderId="62" xfId="0" applyNumberFormat="1" applyBorder="1"/>
    <xf numFmtId="3" fontId="2" fillId="49" borderId="0" xfId="1" applyNumberFormat="1" applyFont="1" applyFill="1"/>
    <xf numFmtId="3" fontId="2" fillId="49" borderId="72" xfId="1" applyNumberFormat="1" applyFont="1" applyFill="1" applyBorder="1"/>
    <xf numFmtId="1" fontId="28" fillId="0" borderId="35" xfId="0" applyNumberFormat="1" applyFont="1" applyBorder="1" applyAlignment="1">
      <alignment horizontal="right"/>
    </xf>
    <xf numFmtId="0" fontId="0" fillId="5" borderId="23" xfId="0" applyFill="1" applyBorder="1" applyAlignment="1">
      <alignment horizontal="right"/>
    </xf>
    <xf numFmtId="0" fontId="0" fillId="5" borderId="0" xfId="0" applyFill="1" applyAlignment="1">
      <alignment horizontal="right"/>
    </xf>
    <xf numFmtId="3" fontId="0" fillId="11" borderId="23" xfId="0" applyNumberFormat="1" applyFill="1" applyBorder="1"/>
    <xf numFmtId="0" fontId="0" fillId="11" borderId="77" xfId="0" applyFill="1" applyBorder="1"/>
    <xf numFmtId="0" fontId="0" fillId="11" borderId="72" xfId="0" applyFill="1" applyBorder="1"/>
    <xf numFmtId="0" fontId="0" fillId="11" borderId="29" xfId="0" applyFill="1" applyBorder="1" applyAlignment="1">
      <alignment horizontal="right"/>
    </xf>
    <xf numFmtId="0" fontId="0" fillId="11" borderId="30" xfId="0" applyFill="1" applyBorder="1" applyAlignment="1">
      <alignment horizontal="right"/>
    </xf>
    <xf numFmtId="0" fontId="0" fillId="11" borderId="32" xfId="0" applyFill="1" applyBorder="1"/>
    <xf numFmtId="0" fontId="0" fillId="11" borderId="60" xfId="0" applyFill="1" applyBorder="1" applyAlignment="1">
      <alignment horizontal="right"/>
    </xf>
    <xf numFmtId="0" fontId="0" fillId="5" borderId="42" xfId="0" applyFill="1" applyBorder="1" applyAlignment="1">
      <alignment horizontal="right"/>
    </xf>
    <xf numFmtId="3" fontId="2" fillId="5" borderId="26" xfId="1" applyNumberFormat="1" applyFont="1" applyFill="1" applyBorder="1"/>
    <xf numFmtId="3" fontId="2" fillId="5" borderId="31" xfId="1" applyNumberFormat="1" applyFont="1" applyFill="1" applyBorder="1"/>
    <xf numFmtId="3" fontId="2" fillId="5" borderId="74" xfId="1" applyNumberFormat="1" applyFont="1" applyFill="1" applyBorder="1"/>
    <xf numFmtId="3" fontId="0" fillId="10" borderId="62" xfId="0" applyNumberFormat="1" applyFill="1" applyBorder="1"/>
    <xf numFmtId="0" fontId="10" fillId="11" borderId="0" xfId="0" applyFont="1" applyFill="1" applyAlignment="1">
      <alignment horizontal="right"/>
    </xf>
    <xf numFmtId="3" fontId="2" fillId="11" borderId="0" xfId="1" applyNumberFormat="1" applyFont="1" applyFill="1" applyBorder="1"/>
    <xf numFmtId="0" fontId="2" fillId="0" borderId="0" xfId="0" applyFont="1" applyAlignment="1">
      <alignment horizontal="center" vertical="center"/>
    </xf>
    <xf numFmtId="3" fontId="2" fillId="11" borderId="23" xfId="1" applyNumberFormat="1" applyFont="1" applyFill="1" applyBorder="1"/>
    <xf numFmtId="3" fontId="0" fillId="11" borderId="63" xfId="0" applyNumberFormat="1" applyFill="1" applyBorder="1"/>
    <xf numFmtId="0" fontId="2" fillId="11" borderId="60" xfId="0" applyFont="1" applyFill="1" applyBorder="1" applyAlignment="1">
      <alignment horizontal="right"/>
    </xf>
    <xf numFmtId="0" fontId="2" fillId="11" borderId="62" xfId="0" applyFont="1" applyFill="1" applyBorder="1"/>
    <xf numFmtId="0" fontId="2" fillId="11" borderId="73" xfId="0" applyFont="1" applyFill="1" applyBorder="1"/>
    <xf numFmtId="0" fontId="0" fillId="5" borderId="77" xfId="0" applyFill="1" applyBorder="1"/>
    <xf numFmtId="0" fontId="0" fillId="5" borderId="29" xfId="0" applyFill="1" applyBorder="1"/>
    <xf numFmtId="0" fontId="0" fillId="5" borderId="72" xfId="0" applyFill="1" applyBorder="1"/>
    <xf numFmtId="0" fontId="0" fillId="5" borderId="30" xfId="0" applyFill="1" applyBorder="1"/>
    <xf numFmtId="0" fontId="2" fillId="5" borderId="73" xfId="0" applyFont="1" applyFill="1" applyBorder="1"/>
    <xf numFmtId="0" fontId="2" fillId="5" borderId="64" xfId="0" applyFont="1" applyFill="1" applyBorder="1"/>
    <xf numFmtId="0" fontId="0" fillId="5" borderId="94" xfId="0" applyFill="1" applyBorder="1"/>
    <xf numFmtId="3" fontId="0" fillId="11" borderId="91" xfId="0" applyNumberFormat="1" applyFill="1" applyBorder="1"/>
    <xf numFmtId="3" fontId="2" fillId="5" borderId="96" xfId="1" applyNumberFormat="1" applyFont="1" applyFill="1" applyBorder="1"/>
    <xf numFmtId="3" fontId="2" fillId="5" borderId="62" xfId="1" applyNumberFormat="1" applyFont="1" applyFill="1" applyBorder="1"/>
    <xf numFmtId="0" fontId="0" fillId="11" borderId="98" xfId="0" applyFill="1" applyBorder="1" applyAlignment="1">
      <alignment horizontal="right"/>
    </xf>
    <xf numFmtId="0" fontId="0" fillId="11" borderId="112" xfId="0" applyFill="1" applyBorder="1"/>
    <xf numFmtId="3" fontId="0" fillId="5" borderId="46" xfId="0" applyNumberFormat="1" applyFill="1" applyBorder="1"/>
    <xf numFmtId="3" fontId="1" fillId="5" borderId="112" xfId="1" applyNumberFormat="1" applyFont="1" applyFill="1" applyBorder="1"/>
    <xf numFmtId="3" fontId="1" fillId="5" borderId="98" xfId="1" applyNumberFormat="1" applyFont="1" applyFill="1" applyBorder="1"/>
    <xf numFmtId="0" fontId="0" fillId="5" borderId="111" xfId="0" applyFill="1" applyBorder="1"/>
    <xf numFmtId="0" fontId="0" fillId="5" borderId="112" xfId="0" applyFill="1" applyBorder="1"/>
    <xf numFmtId="0" fontId="0" fillId="5" borderId="98" xfId="0" applyFill="1" applyBorder="1"/>
    <xf numFmtId="3" fontId="2" fillId="11" borderId="25" xfId="1" applyNumberFormat="1" applyFont="1" applyFill="1" applyBorder="1"/>
    <xf numFmtId="173" fontId="0" fillId="0" borderId="55" xfId="0" applyNumberFormat="1" applyBorder="1" applyAlignment="1">
      <alignment horizontal="center"/>
    </xf>
    <xf numFmtId="173" fontId="0" fillId="0" borderId="56" xfId="0" applyNumberFormat="1" applyBorder="1" applyAlignment="1">
      <alignment horizontal="center"/>
    </xf>
    <xf numFmtId="173" fontId="0" fillId="0" borderId="1" xfId="0" applyNumberFormat="1" applyBorder="1" applyAlignment="1">
      <alignment horizontal="center"/>
    </xf>
    <xf numFmtId="173" fontId="0" fillId="0" borderId="58" xfId="0" applyNumberFormat="1" applyBorder="1" applyAlignment="1">
      <alignment horizontal="center"/>
    </xf>
    <xf numFmtId="171" fontId="0" fillId="0" borderId="55" xfId="0" applyNumberFormat="1" applyBorder="1" applyAlignment="1">
      <alignment horizontal="center"/>
    </xf>
    <xf numFmtId="171" fontId="0" fillId="0" borderId="56" xfId="0" applyNumberFormat="1" applyBorder="1" applyAlignment="1">
      <alignment horizontal="center"/>
    </xf>
    <xf numFmtId="171" fontId="0" fillId="0" borderId="1" xfId="0" applyNumberFormat="1" applyBorder="1" applyAlignment="1">
      <alignment horizontal="center"/>
    </xf>
    <xf numFmtId="171" fontId="0" fillId="0" borderId="58" xfId="0" applyNumberFormat="1" applyBorder="1" applyAlignment="1">
      <alignment horizontal="center"/>
    </xf>
    <xf numFmtId="170" fontId="10" fillId="0" borderId="55" xfId="42" applyNumberFormat="1" applyBorder="1" applyAlignment="1">
      <alignment horizontal="center"/>
    </xf>
    <xf numFmtId="170" fontId="0" fillId="0" borderId="57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170" fontId="0" fillId="0" borderId="58" xfId="0" applyNumberFormat="1" applyBorder="1" applyAlignment="1">
      <alignment horizontal="center"/>
    </xf>
    <xf numFmtId="3" fontId="10" fillId="0" borderId="55" xfId="42" applyNumberFormat="1" applyBorder="1" applyAlignment="1">
      <alignment horizontal="center"/>
    </xf>
    <xf numFmtId="3" fontId="0" fillId="0" borderId="57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58" xfId="0" applyNumberFormat="1" applyBorder="1" applyAlignment="1">
      <alignment horizontal="center"/>
    </xf>
    <xf numFmtId="14" fontId="33" fillId="11" borderId="0" xfId="0" applyNumberFormat="1" applyFont="1" applyFill="1"/>
    <xf numFmtId="9" fontId="2" fillId="0" borderId="0" xfId="0" applyNumberFormat="1" applyFont="1" applyAlignment="1">
      <alignment vertical="center"/>
    </xf>
    <xf numFmtId="0" fontId="28" fillId="0" borderId="0" xfId="0" applyFont="1" applyAlignment="1">
      <alignment horizontal="right"/>
    </xf>
    <xf numFmtId="3" fontId="2" fillId="0" borderId="24" xfId="1" applyNumberFormat="1" applyFont="1" applyFill="1" applyBorder="1"/>
    <xf numFmtId="0" fontId="34" fillId="0" borderId="1" xfId="0" applyFont="1" applyBorder="1" applyAlignment="1">
      <alignment horizontal="center"/>
    </xf>
    <xf numFmtId="1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0" fillId="0" borderId="0" xfId="47" applyFont="1"/>
    <xf numFmtId="3" fontId="0" fillId="49" borderId="0" xfId="0" applyNumberFormat="1" applyFill="1"/>
    <xf numFmtId="3" fontId="0" fillId="11" borderId="0" xfId="0" quotePrefix="1" applyNumberFormat="1" applyFill="1"/>
    <xf numFmtId="0" fontId="37" fillId="0" borderId="0" xfId="0" applyFont="1"/>
    <xf numFmtId="0" fontId="38" fillId="0" borderId="57" xfId="0" applyFont="1" applyBorder="1" applyAlignment="1">
      <alignment horizontal="right"/>
    </xf>
    <xf numFmtId="1" fontId="38" fillId="0" borderId="55" xfId="0" applyNumberFormat="1" applyFont="1" applyBorder="1" applyAlignment="1">
      <alignment horizontal="center"/>
    </xf>
    <xf numFmtId="1" fontId="37" fillId="0" borderId="57" xfId="0" applyNumberFormat="1" applyFont="1" applyBorder="1" applyAlignment="1">
      <alignment horizontal="right"/>
    </xf>
    <xf numFmtId="1" fontId="37" fillId="0" borderId="1" xfId="0" applyNumberFormat="1" applyFont="1" applyBorder="1" applyAlignment="1">
      <alignment horizontal="right"/>
    </xf>
    <xf numFmtId="1" fontId="37" fillId="0" borderId="56" xfId="0" applyNumberFormat="1" applyFont="1" applyBorder="1" applyAlignment="1">
      <alignment horizontal="right"/>
    </xf>
    <xf numFmtId="1" fontId="38" fillId="0" borderId="1" xfId="0" applyNumberFormat="1" applyFont="1" applyBorder="1" applyAlignment="1">
      <alignment horizontal="right"/>
    </xf>
    <xf numFmtId="1" fontId="38" fillId="0" borderId="58" xfId="0" applyNumberFormat="1" applyFont="1" applyBorder="1" applyAlignment="1">
      <alignment horizontal="right"/>
    </xf>
    <xf numFmtId="1" fontId="37" fillId="0" borderId="0" xfId="0" applyNumberFormat="1" applyFont="1"/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3" fontId="0" fillId="10" borderId="26" xfId="0" applyNumberFormat="1" applyFill="1" applyBorder="1"/>
    <xf numFmtId="3" fontId="0" fillId="5" borderId="0" xfId="1" applyNumberFormat="1" applyFont="1" applyFill="1"/>
    <xf numFmtId="3" fontId="2" fillId="10" borderId="0" xfId="1" applyNumberFormat="1" applyFont="1" applyFill="1"/>
    <xf numFmtId="3" fontId="0" fillId="0" borderId="30" xfId="0" applyNumberFormat="1" applyBorder="1"/>
    <xf numFmtId="3" fontId="39" fillId="10" borderId="0" xfId="0" applyNumberFormat="1" applyFont="1" applyFill="1"/>
    <xf numFmtId="1" fontId="37" fillId="10" borderId="57" xfId="0" applyNumberFormat="1" applyFont="1" applyFill="1" applyBorder="1" applyAlignment="1">
      <alignment horizontal="right"/>
    </xf>
    <xf numFmtId="3" fontId="30" fillId="11" borderId="62" xfId="0" applyNumberFormat="1" applyFont="1" applyFill="1" applyBorder="1"/>
    <xf numFmtId="3" fontId="0" fillId="11" borderId="90" xfId="0" applyNumberFormat="1" applyFill="1" applyBorder="1"/>
    <xf numFmtId="3" fontId="30" fillId="11" borderId="26" xfId="0" applyNumberFormat="1" applyFont="1" applyFill="1" applyBorder="1"/>
    <xf numFmtId="3" fontId="0" fillId="45" borderId="76" xfId="0" applyNumberFormat="1" applyFill="1" applyBorder="1"/>
    <xf numFmtId="3" fontId="0" fillId="45" borderId="32" xfId="0" applyNumberFormat="1" applyFill="1" applyBorder="1"/>
    <xf numFmtId="3" fontId="0" fillId="11" borderId="65" xfId="0" applyNumberFormat="1" applyFill="1" applyBorder="1"/>
    <xf numFmtId="43" fontId="0" fillId="0" borderId="0" xfId="0" applyNumberFormat="1"/>
    <xf numFmtId="3" fontId="0" fillId="5" borderId="113" xfId="53" applyNumberFormat="1" applyFont="1" applyFill="1" applyBorder="1" applyProtection="1">
      <protection locked="0"/>
    </xf>
    <xf numFmtId="3" fontId="0" fillId="5" borderId="114" xfId="53" applyNumberFormat="1" applyFont="1" applyFill="1" applyBorder="1" applyProtection="1">
      <protection locked="0"/>
    </xf>
    <xf numFmtId="3" fontId="0" fillId="5" borderId="115" xfId="53" applyNumberFormat="1" applyFont="1" applyFill="1" applyBorder="1" applyProtection="1">
      <protection locked="0"/>
    </xf>
    <xf numFmtId="3" fontId="0" fillId="5" borderId="116" xfId="53" applyNumberFormat="1" applyFont="1" applyFill="1" applyBorder="1" applyProtection="1">
      <protection locked="0"/>
    </xf>
    <xf numFmtId="1" fontId="3" fillId="10" borderId="80" xfId="0" applyNumberFormat="1" applyFont="1" applyFill="1" applyBorder="1" applyAlignment="1">
      <alignment horizontal="right"/>
    </xf>
    <xf numFmtId="0" fontId="2" fillId="0" borderId="63" xfId="0" applyFont="1" applyBorder="1"/>
    <xf numFmtId="3" fontId="0" fillId="0" borderId="62" xfId="0" applyNumberFormat="1" applyBorder="1" applyAlignment="1">
      <alignment wrapText="1"/>
    </xf>
    <xf numFmtId="3" fontId="0" fillId="4" borderId="0" xfId="0" applyNumberFormat="1" applyFill="1"/>
    <xf numFmtId="177" fontId="0" fillId="4" borderId="0" xfId="0" applyNumberFormat="1" applyFill="1"/>
    <xf numFmtId="1" fontId="2" fillId="0" borderId="71" xfId="0" applyNumberFormat="1" applyFont="1" applyBorder="1"/>
    <xf numFmtId="3" fontId="0" fillId="45" borderId="110" xfId="0" applyNumberFormat="1" applyFill="1" applyBorder="1"/>
    <xf numFmtId="3" fontId="0" fillId="45" borderId="94" xfId="0" applyNumberFormat="1" applyFill="1" applyBorder="1"/>
    <xf numFmtId="0" fontId="3" fillId="4" borderId="41" xfId="0" applyFont="1" applyFill="1" applyBorder="1" applyAlignment="1">
      <alignment horizontal="center" vertical="center" wrapText="1"/>
    </xf>
    <xf numFmtId="168" fontId="0" fillId="0" borderId="0" xfId="0" applyNumberFormat="1"/>
    <xf numFmtId="9" fontId="0" fillId="0" borderId="0" xfId="0" quotePrefix="1" applyNumberFormat="1" applyAlignment="1">
      <alignment horizontal="right"/>
    </xf>
    <xf numFmtId="3" fontId="0" fillId="11" borderId="117" xfId="0" applyNumberFormat="1" applyFill="1" applyBorder="1" applyProtection="1">
      <protection locked="0"/>
    </xf>
    <xf numFmtId="3" fontId="0" fillId="11" borderId="118" xfId="0" applyNumberFormat="1" applyFill="1" applyBorder="1" applyProtection="1">
      <protection locked="0"/>
    </xf>
    <xf numFmtId="9" fontId="0" fillId="0" borderId="0" xfId="47" applyFont="1" applyAlignment="1">
      <alignment horizontal="center"/>
    </xf>
    <xf numFmtId="169" fontId="0" fillId="0" borderId="0" xfId="1" applyNumberFormat="1" applyFont="1"/>
    <xf numFmtId="16" fontId="0" fillId="10" borderId="110" xfId="0" applyNumberFormat="1" applyFill="1" applyBorder="1" applyAlignment="1">
      <alignment horizontal="center"/>
    </xf>
    <xf numFmtId="16" fontId="0" fillId="10" borderId="23" xfId="0" applyNumberFormat="1" applyFill="1" applyBorder="1" applyAlignment="1">
      <alignment horizontal="center"/>
    </xf>
    <xf numFmtId="1" fontId="0" fillId="3" borderId="0" xfId="0" applyNumberFormat="1" applyFill="1"/>
    <xf numFmtId="1" fontId="0" fillId="41" borderId="0" xfId="0" applyNumberFormat="1" applyFill="1"/>
    <xf numFmtId="1" fontId="0" fillId="39" borderId="0" xfId="0" applyNumberFormat="1" applyFill="1"/>
    <xf numFmtId="3" fontId="0" fillId="5" borderId="23" xfId="4420" applyNumberFormat="1" applyFont="1" applyFill="1" applyBorder="1"/>
    <xf numFmtId="0" fontId="81" fillId="0" borderId="71" xfId="0" applyFont="1" applyBorder="1"/>
    <xf numFmtId="3" fontId="82" fillId="0" borderId="55" xfId="0" applyNumberFormat="1" applyFont="1" applyBorder="1" applyAlignment="1">
      <alignment horizontal="center"/>
    </xf>
    <xf numFmtId="3" fontId="56" fillId="26" borderId="89" xfId="0" applyNumberFormat="1" applyFont="1" applyFill="1" applyBorder="1" applyAlignment="1">
      <alignment horizontal="center"/>
    </xf>
    <xf numFmtId="3" fontId="83" fillId="85" borderId="20" xfId="0" applyNumberFormat="1" applyFont="1" applyFill="1" applyBorder="1" applyAlignment="1">
      <alignment horizontal="center"/>
    </xf>
    <xf numFmtId="3" fontId="83" fillId="0" borderId="1" xfId="0" applyNumberFormat="1" applyFont="1" applyBorder="1" applyAlignment="1">
      <alignment horizontal="center"/>
    </xf>
    <xf numFmtId="3" fontId="56" fillId="26" borderId="1" xfId="0" applyNumberFormat="1" applyFont="1" applyFill="1" applyBorder="1" applyAlignment="1">
      <alignment horizontal="center"/>
    </xf>
    <xf numFmtId="0" fontId="83" fillId="0" borderId="58" xfId="0" applyFont="1" applyBorder="1" applyAlignment="1">
      <alignment horizontal="center"/>
    </xf>
    <xf numFmtId="3" fontId="56" fillId="26" borderId="57" xfId="0" applyNumberFormat="1" applyFont="1" applyFill="1" applyBorder="1" applyAlignment="1">
      <alignment horizontal="center"/>
    </xf>
    <xf numFmtId="0" fontId="83" fillId="0" borderId="1" xfId="0" applyFont="1" applyBorder="1" applyAlignment="1">
      <alignment horizontal="center"/>
    </xf>
    <xf numFmtId="3" fontId="83" fillId="0" borderId="57" xfId="0" applyNumberFormat="1" applyFont="1" applyBorder="1" applyAlignment="1">
      <alignment horizontal="center"/>
    </xf>
    <xf numFmtId="0" fontId="83" fillId="0" borderId="57" xfId="0" applyFont="1" applyBorder="1" applyAlignment="1">
      <alignment horizontal="center"/>
    </xf>
    <xf numFmtId="1" fontId="0" fillId="0" borderId="40" xfId="0" applyNumberFormat="1" applyBorder="1"/>
    <xf numFmtId="1" fontId="0" fillId="0" borderId="42" xfId="0" applyNumberFormat="1" applyBorder="1"/>
    <xf numFmtId="1" fontId="0" fillId="49" borderId="41" xfId="0" applyNumberFormat="1" applyFill="1" applyBorder="1"/>
    <xf numFmtId="3" fontId="0" fillId="5" borderId="0" xfId="4420" applyNumberFormat="1" applyFont="1" applyFill="1" applyBorder="1"/>
    <xf numFmtId="1" fontId="86" fillId="0" borderId="1" xfId="0" applyNumberFormat="1" applyFont="1" applyBorder="1" applyAlignment="1">
      <alignment horizontal="right"/>
    </xf>
    <xf numFmtId="1" fontId="87" fillId="0" borderId="1" xfId="0" applyNumberFormat="1" applyFont="1" applyBorder="1" applyAlignment="1">
      <alignment horizontal="right"/>
    </xf>
    <xf numFmtId="0" fontId="0" fillId="0" borderId="0" xfId="0" pivotButton="1"/>
    <xf numFmtId="0" fontId="88" fillId="0" borderId="0" xfId="0" applyFont="1"/>
    <xf numFmtId="1" fontId="38" fillId="0" borderId="35" xfId="0" applyNumberFormat="1" applyFont="1" applyBorder="1" applyAlignment="1">
      <alignment horizontal="right"/>
    </xf>
    <xf numFmtId="1" fontId="38" fillId="0" borderId="20" xfId="0" applyNumberFormat="1" applyFont="1" applyBorder="1" applyAlignment="1">
      <alignment horizontal="right"/>
    </xf>
    <xf numFmtId="1" fontId="38" fillId="0" borderId="66" xfId="0" applyNumberFormat="1" applyFont="1" applyBorder="1" applyAlignment="1">
      <alignment horizontal="right"/>
    </xf>
    <xf numFmtId="1" fontId="88" fillId="0" borderId="0" xfId="0" applyNumberFormat="1" applyFont="1"/>
    <xf numFmtId="1" fontId="0" fillId="10" borderId="0" xfId="0" applyNumberFormat="1" applyFill="1"/>
    <xf numFmtId="0" fontId="0" fillId="10" borderId="0" xfId="0" applyFill="1"/>
    <xf numFmtId="3" fontId="83" fillId="10" borderId="1" xfId="0" applyNumberFormat="1" applyFont="1" applyFill="1" applyBorder="1" applyAlignment="1">
      <alignment horizontal="center"/>
    </xf>
    <xf numFmtId="174" fontId="0" fillId="0" borderId="0" xfId="47" applyNumberFormat="1" applyFont="1" applyAlignment="1">
      <alignment horizontal="left" indent="1"/>
    </xf>
    <xf numFmtId="1" fontId="28" fillId="10" borderId="1" xfId="0" applyNumberFormat="1" applyFont="1" applyFill="1" applyBorder="1" applyAlignment="1">
      <alignment horizontal="right"/>
    </xf>
    <xf numFmtId="1" fontId="38" fillId="10" borderId="35" xfId="0" applyNumberFormat="1" applyFont="1" applyFill="1" applyBorder="1" applyAlignment="1">
      <alignment horizontal="right"/>
    </xf>
    <xf numFmtId="170" fontId="0" fillId="0" borderId="0" xfId="0" applyNumberFormat="1" applyAlignment="1">
      <alignment horizontal="left" indent="7"/>
    </xf>
    <xf numFmtId="164" fontId="0" fillId="0" borderId="0" xfId="5970" applyNumberFormat="1" applyFont="1"/>
    <xf numFmtId="0" fontId="0" fillId="10" borderId="0" xfId="0" applyFill="1" applyAlignment="1">
      <alignment horizontal="right"/>
    </xf>
    <xf numFmtId="1" fontId="3" fillId="42" borderId="1" xfId="0" applyNumberFormat="1" applyFont="1" applyFill="1" applyBorder="1" applyAlignment="1">
      <alignment horizontal="right"/>
    </xf>
    <xf numFmtId="1" fontId="3" fillId="5" borderId="1" xfId="0" applyNumberFormat="1" applyFont="1" applyFill="1" applyBorder="1" applyAlignment="1">
      <alignment horizontal="right"/>
    </xf>
    <xf numFmtId="3" fontId="0" fillId="38" borderId="0" xfId="0" applyNumberFormat="1" applyFill="1"/>
    <xf numFmtId="3" fontId="0" fillId="38" borderId="74" xfId="0" applyNumberFormat="1" applyFill="1" applyBorder="1"/>
    <xf numFmtId="1" fontId="3" fillId="0" borderId="5" xfId="0" applyNumberFormat="1" applyFont="1" applyBorder="1" applyAlignment="1">
      <alignment horizontal="right"/>
    </xf>
    <xf numFmtId="1" fontId="27" fillId="0" borderId="41" xfId="0" applyNumberFormat="1" applyFont="1" applyBorder="1" applyAlignment="1">
      <alignment horizontal="right"/>
    </xf>
    <xf numFmtId="1" fontId="27" fillId="0" borderId="67" xfId="0" applyNumberFormat="1" applyFont="1" applyBorder="1" applyAlignment="1">
      <alignment horizontal="right"/>
    </xf>
    <xf numFmtId="1" fontId="3" fillId="0" borderId="6" xfId="0" applyNumberFormat="1" applyFont="1" applyBorder="1" applyAlignment="1">
      <alignment horizontal="right"/>
    </xf>
    <xf numFmtId="1" fontId="3" fillId="0" borderId="71" xfId="0" applyNumberFormat="1" applyFont="1" applyBorder="1" applyAlignment="1">
      <alignment horizontal="right"/>
    </xf>
    <xf numFmtId="1" fontId="3" fillId="0" borderId="129" xfId="0" applyNumberFormat="1" applyFont="1" applyBorder="1" applyAlignment="1">
      <alignment horizontal="right"/>
    </xf>
    <xf numFmtId="0" fontId="27" fillId="0" borderId="32" xfId="0" applyFont="1" applyBorder="1"/>
    <xf numFmtId="0" fontId="3" fillId="0" borderId="55" xfId="0" applyFont="1" applyBorder="1" applyAlignment="1">
      <alignment horizontal="right"/>
    </xf>
    <xf numFmtId="1" fontId="0" fillId="0" borderId="1" xfId="0" applyNumberFormat="1" applyBorder="1" applyAlignment="1">
      <alignment horizontal="center"/>
    </xf>
    <xf numFmtId="177" fontId="0" fillId="46" borderId="0" xfId="0" applyNumberFormat="1" applyFill="1"/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0" fillId="0" borderId="28" xfId="0" applyBorder="1" applyAlignment="1">
      <alignment horizontal="center"/>
    </xf>
    <xf numFmtId="0" fontId="4" fillId="13" borderId="28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 vertical="center" wrapText="1"/>
    </xf>
    <xf numFmtId="0" fontId="2" fillId="11" borderId="89" xfId="0" applyFont="1" applyFill="1" applyBorder="1" applyAlignment="1">
      <alignment horizontal="center" vertical="center"/>
    </xf>
    <xf numFmtId="0" fontId="2" fillId="11" borderId="72" xfId="0" applyFont="1" applyFill="1" applyBorder="1" applyAlignment="1">
      <alignment horizontal="center" vertical="center"/>
    </xf>
    <xf numFmtId="0" fontId="2" fillId="11" borderId="74" xfId="0" applyFont="1" applyFill="1" applyBorder="1" applyAlignment="1">
      <alignment horizontal="center" vertical="center"/>
    </xf>
    <xf numFmtId="0" fontId="2" fillId="0" borderId="79" xfId="0" applyFont="1" applyBorder="1" applyAlignment="1">
      <alignment horizontal="center" vertical="center" wrapText="1"/>
    </xf>
    <xf numFmtId="0" fontId="2" fillId="0" borderId="80" xfId="0" applyFont="1" applyBorder="1" applyAlignment="1">
      <alignment horizontal="center" vertical="center" wrapText="1"/>
    </xf>
    <xf numFmtId="0" fontId="0" fillId="0" borderId="69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" fillId="0" borderId="89" xfId="0" applyFont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0" fontId="2" fillId="0" borderId="73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 textRotation="90" wrapText="1"/>
    </xf>
    <xf numFmtId="0" fontId="12" fillId="0" borderId="41" xfId="0" applyFont="1" applyBorder="1" applyAlignment="1">
      <alignment horizontal="center" vertical="center" textRotation="90" wrapText="1"/>
    </xf>
    <xf numFmtId="0" fontId="12" fillId="0" borderId="42" xfId="0" applyFont="1" applyBorder="1" applyAlignment="1">
      <alignment horizontal="center" vertical="center" textRotation="90" wrapText="1"/>
    </xf>
    <xf numFmtId="0" fontId="11" fillId="5" borderId="40" xfId="0" applyFont="1" applyFill="1" applyBorder="1" applyAlignment="1">
      <alignment horizontal="center" vertical="center" textRotation="90" wrapText="1"/>
    </xf>
    <xf numFmtId="0" fontId="11" fillId="5" borderId="41" xfId="0" applyFont="1" applyFill="1" applyBorder="1" applyAlignment="1">
      <alignment horizontal="center" vertical="center" textRotation="90" wrapText="1"/>
    </xf>
    <xf numFmtId="0" fontId="11" fillId="5" borderId="42" xfId="0" applyFont="1" applyFill="1" applyBorder="1" applyAlignment="1">
      <alignment horizontal="center" vertical="center" textRotation="90" wrapText="1"/>
    </xf>
    <xf numFmtId="0" fontId="0" fillId="5" borderId="0" xfId="0" applyFill="1" applyAlignment="1">
      <alignment horizontal="center" vertical="center"/>
    </xf>
    <xf numFmtId="0" fontId="0" fillId="5" borderId="22" xfId="0" applyFill="1" applyBorder="1" applyAlignment="1">
      <alignment horizontal="center" vertical="center" wrapText="1"/>
    </xf>
    <xf numFmtId="0" fontId="0" fillId="5" borderId="23" xfId="0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 wrapText="1"/>
    </xf>
    <xf numFmtId="0" fontId="0" fillId="5" borderId="26" xfId="0" applyFill="1" applyBorder="1" applyAlignment="1">
      <alignment horizontal="center" vertical="center" wrapText="1"/>
    </xf>
    <xf numFmtId="0" fontId="0" fillId="37" borderId="78" xfId="0" applyFill="1" applyBorder="1" applyAlignment="1">
      <alignment horizontal="center" vertical="center" wrapText="1"/>
    </xf>
    <xf numFmtId="0" fontId="0" fillId="37" borderId="79" xfId="0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0" fontId="0" fillId="37" borderId="20" xfId="0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textRotation="90" wrapText="1"/>
    </xf>
    <xf numFmtId="0" fontId="12" fillId="0" borderId="25" xfId="0" applyFont="1" applyBorder="1" applyAlignment="1">
      <alignment horizontal="center" vertical="center" textRotation="90" wrapText="1"/>
    </xf>
    <xf numFmtId="0" fontId="11" fillId="4" borderId="40" xfId="0" applyFont="1" applyFill="1" applyBorder="1" applyAlignment="1">
      <alignment horizontal="center" vertical="center" textRotation="90" wrapText="1"/>
    </xf>
    <xf numFmtId="0" fontId="11" fillId="4" borderId="41" xfId="0" applyFont="1" applyFill="1" applyBorder="1" applyAlignment="1">
      <alignment horizontal="center" vertical="center" textRotation="90" wrapText="1"/>
    </xf>
    <xf numFmtId="0" fontId="11" fillId="4" borderId="42" xfId="0" applyFont="1" applyFill="1" applyBorder="1" applyAlignment="1">
      <alignment horizontal="center" vertical="center" textRotation="90" wrapText="1"/>
    </xf>
    <xf numFmtId="0" fontId="0" fillId="37" borderId="22" xfId="0" applyFill="1" applyBorder="1" applyAlignment="1">
      <alignment horizontal="center" vertical="center"/>
    </xf>
    <xf numFmtId="0" fontId="0" fillId="37" borderId="76" xfId="0" applyFill="1" applyBorder="1" applyAlignment="1">
      <alignment horizontal="center" vertical="center"/>
    </xf>
    <xf numFmtId="0" fontId="0" fillId="37" borderId="24" xfId="0" applyFill="1" applyBorder="1" applyAlignment="1">
      <alignment horizontal="center" vertical="center"/>
    </xf>
    <xf numFmtId="0" fontId="0" fillId="37" borderId="32" xfId="0" applyFill="1" applyBorder="1" applyAlignment="1">
      <alignment horizontal="center" vertical="center"/>
    </xf>
    <xf numFmtId="0" fontId="0" fillId="11" borderId="24" xfId="0" applyFill="1" applyBorder="1" applyAlignment="1">
      <alignment horizontal="center" vertical="center"/>
    </xf>
    <xf numFmtId="0" fontId="0" fillId="11" borderId="32" xfId="0" applyFill="1" applyBorder="1" applyAlignment="1">
      <alignment horizontal="center" vertical="center"/>
    </xf>
    <xf numFmtId="0" fontId="0" fillId="11" borderId="25" xfId="0" applyFill="1" applyBorder="1" applyAlignment="1">
      <alignment horizontal="center" vertical="center"/>
    </xf>
    <xf numFmtId="0" fontId="0" fillId="11" borderId="65" xfId="0" applyFill="1" applyBorder="1" applyAlignment="1">
      <alignment horizontal="center" vertical="center"/>
    </xf>
    <xf numFmtId="0" fontId="2" fillId="37" borderId="20" xfId="0" applyFont="1" applyFill="1" applyBorder="1" applyAlignment="1">
      <alignment horizontal="center" vertical="center" wrapText="1"/>
    </xf>
    <xf numFmtId="0" fontId="2" fillId="37" borderId="79" xfId="0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 wrapText="1"/>
    </xf>
    <xf numFmtId="0" fontId="2" fillId="39" borderId="24" xfId="0" applyFont="1" applyFill="1" applyBorder="1" applyAlignment="1">
      <alignment horizontal="center" vertical="center" wrapText="1"/>
    </xf>
    <xf numFmtId="0" fontId="2" fillId="47" borderId="40" xfId="0" applyFont="1" applyFill="1" applyBorder="1" applyAlignment="1">
      <alignment horizontal="center" vertical="center"/>
    </xf>
    <xf numFmtId="0" fontId="2" fillId="47" borderId="41" xfId="0" applyFont="1" applyFill="1" applyBorder="1" applyAlignment="1">
      <alignment horizontal="center" vertical="center"/>
    </xf>
    <xf numFmtId="0" fontId="2" fillId="47" borderId="42" xfId="0" applyFont="1" applyFill="1" applyBorder="1" applyAlignment="1">
      <alignment horizontal="center" vertical="center"/>
    </xf>
    <xf numFmtId="0" fontId="2" fillId="48" borderId="40" xfId="0" applyFont="1" applyFill="1" applyBorder="1" applyAlignment="1">
      <alignment horizontal="center" vertical="center"/>
    </xf>
    <xf numFmtId="0" fontId="2" fillId="48" borderId="21" xfId="0" applyFont="1" applyFill="1" applyBorder="1" applyAlignment="1">
      <alignment horizontal="center" vertical="center"/>
    </xf>
    <xf numFmtId="0" fontId="2" fillId="43" borderId="40" xfId="0" applyFont="1" applyFill="1" applyBorder="1" applyAlignment="1">
      <alignment horizontal="center" vertical="center"/>
    </xf>
    <xf numFmtId="0" fontId="2" fillId="47" borderId="40" xfId="0" applyFont="1" applyFill="1" applyBorder="1" applyAlignment="1">
      <alignment horizontal="center" vertical="center" wrapText="1"/>
    </xf>
    <xf numFmtId="0" fontId="2" fillId="47" borderId="41" xfId="0" applyFont="1" applyFill="1" applyBorder="1" applyAlignment="1">
      <alignment horizontal="center" vertical="center" wrapText="1"/>
    </xf>
    <xf numFmtId="0" fontId="2" fillId="47" borderId="42" xfId="0" applyFont="1" applyFill="1" applyBorder="1" applyAlignment="1">
      <alignment horizontal="center" vertical="center" wrapText="1"/>
    </xf>
    <xf numFmtId="0" fontId="2" fillId="39" borderId="40" xfId="0" applyFont="1" applyFill="1" applyBorder="1" applyAlignment="1">
      <alignment horizontal="center" vertical="center"/>
    </xf>
    <xf numFmtId="0" fontId="2" fillId="39" borderId="42" xfId="0" applyFont="1" applyFill="1" applyBorder="1" applyAlignment="1">
      <alignment horizontal="center" vertical="center"/>
    </xf>
    <xf numFmtId="0" fontId="0" fillId="4" borderId="40" xfId="0" applyFill="1" applyBorder="1" applyAlignment="1">
      <alignment horizontal="center" vertical="center" wrapText="1"/>
    </xf>
    <xf numFmtId="0" fontId="0" fillId="4" borderId="42" xfId="0" applyFill="1" applyBorder="1" applyAlignment="1">
      <alignment horizontal="center" vertical="center" wrapText="1"/>
    </xf>
    <xf numFmtId="0" fontId="0" fillId="32" borderId="51" xfId="0" applyFill="1" applyBorder="1" applyAlignment="1">
      <alignment horizontal="center"/>
    </xf>
    <xf numFmtId="0" fontId="0" fillId="32" borderId="53" xfId="0" applyFill="1" applyBorder="1" applyAlignment="1">
      <alignment horizontal="center"/>
    </xf>
    <xf numFmtId="0" fontId="0" fillId="32" borderId="54" xfId="0" applyFill="1" applyBorder="1" applyAlignment="1">
      <alignment horizontal="center"/>
    </xf>
    <xf numFmtId="0" fontId="0" fillId="33" borderId="51" xfId="0" applyFill="1" applyBorder="1" applyAlignment="1">
      <alignment horizontal="center"/>
    </xf>
    <xf numFmtId="0" fontId="0" fillId="33" borderId="53" xfId="0" applyFill="1" applyBorder="1" applyAlignment="1">
      <alignment horizontal="center"/>
    </xf>
    <xf numFmtId="0" fontId="0" fillId="33" borderId="54" xfId="0" applyFill="1" applyBorder="1" applyAlignment="1">
      <alignment horizontal="center"/>
    </xf>
    <xf numFmtId="0" fontId="0" fillId="35" borderId="51" xfId="0" applyFill="1" applyBorder="1" applyAlignment="1">
      <alignment horizontal="center"/>
    </xf>
    <xf numFmtId="0" fontId="0" fillId="35" borderId="53" xfId="0" applyFill="1" applyBorder="1" applyAlignment="1">
      <alignment horizontal="center"/>
    </xf>
    <xf numFmtId="0" fontId="0" fillId="35" borderId="54" xfId="0" applyFill="1" applyBorder="1" applyAlignment="1">
      <alignment horizontal="center"/>
    </xf>
    <xf numFmtId="0" fontId="0" fillId="35" borderId="69" xfId="0" applyFill="1" applyBorder="1" applyAlignment="1">
      <alignment horizontal="center"/>
    </xf>
    <xf numFmtId="0" fontId="0" fillId="35" borderId="92" xfId="0" applyFill="1" applyBorder="1" applyAlignment="1">
      <alignment horizontal="center"/>
    </xf>
    <xf numFmtId="0" fontId="0" fillId="35" borderId="93" xfId="0" applyFill="1" applyBorder="1" applyAlignment="1">
      <alignment horizontal="center"/>
    </xf>
    <xf numFmtId="0" fontId="28" fillId="0" borderId="22" xfId="0" applyFont="1" applyBorder="1" applyAlignment="1">
      <alignment horizontal="center" vertical="center" textRotation="90" wrapText="1"/>
    </xf>
    <xf numFmtId="0" fontId="28" fillId="0" borderId="29" xfId="0" applyFont="1" applyBorder="1" applyAlignment="1">
      <alignment horizontal="center" vertical="center" textRotation="90" wrapText="1"/>
    </xf>
    <xf numFmtId="0" fontId="28" fillId="0" borderId="24" xfId="0" applyFont="1" applyBorder="1" applyAlignment="1">
      <alignment horizontal="center" vertical="center" textRotation="90" wrapText="1"/>
    </xf>
    <xf numFmtId="0" fontId="28" fillId="0" borderId="30" xfId="0" applyFont="1" applyBorder="1" applyAlignment="1">
      <alignment horizontal="center" vertical="center" textRotation="90" wrapText="1"/>
    </xf>
    <xf numFmtId="0" fontId="28" fillId="0" borderId="25" xfId="0" applyFont="1" applyBorder="1" applyAlignment="1">
      <alignment horizontal="center" vertical="center" textRotation="90" wrapText="1"/>
    </xf>
    <xf numFmtId="0" fontId="28" fillId="0" borderId="31" xfId="0" applyFont="1" applyBorder="1" applyAlignment="1">
      <alignment horizontal="center" vertical="center" textRotation="90" wrapText="1"/>
    </xf>
    <xf numFmtId="0" fontId="3" fillId="0" borderId="40" xfId="0" applyFont="1" applyBorder="1" applyAlignment="1">
      <alignment horizontal="center" vertical="center" wrapText="1"/>
    </xf>
    <xf numFmtId="0" fontId="3" fillId="0" borderId="41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34" borderId="22" xfId="0" applyFont="1" applyFill="1" applyBorder="1" applyAlignment="1">
      <alignment horizontal="center" vertical="center" wrapText="1"/>
    </xf>
    <xf numFmtId="0" fontId="3" fillId="34" borderId="29" xfId="0" applyFont="1" applyFill="1" applyBorder="1" applyAlignment="1">
      <alignment horizontal="center" vertical="center" wrapText="1"/>
    </xf>
    <xf numFmtId="0" fontId="3" fillId="34" borderId="24" xfId="0" applyFont="1" applyFill="1" applyBorder="1" applyAlignment="1">
      <alignment horizontal="center" vertical="center" wrapText="1"/>
    </xf>
    <xf numFmtId="0" fontId="3" fillId="34" borderId="30" xfId="0" applyFont="1" applyFill="1" applyBorder="1" applyAlignment="1">
      <alignment horizontal="center" vertical="center" wrapText="1"/>
    </xf>
    <xf numFmtId="0" fontId="3" fillId="34" borderId="25" xfId="0" applyFont="1" applyFill="1" applyBorder="1" applyAlignment="1">
      <alignment horizontal="center" vertical="center" wrapText="1"/>
    </xf>
    <xf numFmtId="0" fontId="3" fillId="34" borderId="31" xfId="0" applyFont="1" applyFill="1" applyBorder="1" applyAlignment="1">
      <alignment horizontal="center" vertical="center" wrapText="1"/>
    </xf>
    <xf numFmtId="0" fontId="3" fillId="4" borderId="40" xfId="0" applyFont="1" applyFill="1" applyBorder="1" applyAlignment="1">
      <alignment horizontal="center" vertical="center" textRotation="90" wrapText="1"/>
    </xf>
    <xf numFmtId="0" fontId="3" fillId="4" borderId="41" xfId="0" applyFont="1" applyFill="1" applyBorder="1" applyAlignment="1">
      <alignment horizontal="center" vertical="center" textRotation="90" wrapText="1"/>
    </xf>
    <xf numFmtId="0" fontId="3" fillId="4" borderId="42" xfId="0" applyFont="1" applyFill="1" applyBorder="1" applyAlignment="1">
      <alignment horizontal="center" vertical="center" textRotation="90" wrapText="1"/>
    </xf>
    <xf numFmtId="0" fontId="3" fillId="0" borderId="24" xfId="0" applyFont="1" applyBorder="1" applyAlignment="1">
      <alignment horizontal="center" vertical="center" wrapText="1"/>
    </xf>
    <xf numFmtId="0" fontId="3" fillId="4" borderId="40" xfId="0" applyFont="1" applyFill="1" applyBorder="1" applyAlignment="1">
      <alignment horizontal="center" vertical="center" wrapText="1"/>
    </xf>
    <xf numFmtId="0" fontId="3" fillId="4" borderId="41" xfId="0" applyFont="1" applyFill="1" applyBorder="1" applyAlignment="1">
      <alignment horizontal="center" vertical="center" wrapText="1"/>
    </xf>
    <xf numFmtId="0" fontId="3" fillId="4" borderId="42" xfId="0" applyFont="1" applyFill="1" applyBorder="1" applyAlignment="1">
      <alignment horizontal="center" vertical="center" wrapText="1"/>
    </xf>
    <xf numFmtId="0" fontId="3" fillId="0" borderId="40" xfId="0" applyFont="1" applyBorder="1" applyAlignment="1">
      <alignment horizontal="center" vertical="center" textRotation="90"/>
    </xf>
    <xf numFmtId="0" fontId="3" fillId="0" borderId="41" xfId="0" applyFont="1" applyBorder="1" applyAlignment="1">
      <alignment horizontal="center" vertical="center" textRotation="90"/>
    </xf>
    <xf numFmtId="0" fontId="3" fillId="0" borderId="42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/>
    </xf>
  </cellXfs>
  <cellStyles count="5971">
    <cellStyle name="20% - Accent1" xfId="933" builtinId="30" customBuiltin="1"/>
    <cellStyle name="20% - Accent1 2" xfId="1132" xr:uid="{8E592F72-6E03-4751-B837-526E5EB6275A}"/>
    <cellStyle name="20% - Accent2" xfId="937" builtinId="34" customBuiltin="1"/>
    <cellStyle name="20% - Accent2 2" xfId="1104" xr:uid="{24F75C13-209F-4282-B06E-6F5C68FC44E3}"/>
    <cellStyle name="20% - Accent3" xfId="941" builtinId="38" customBuiltin="1"/>
    <cellStyle name="20% - Accent3 2" xfId="1128" xr:uid="{EA3456ED-647C-4CE2-B895-ABD584D46BC6}"/>
    <cellStyle name="20% - Accent4" xfId="945" builtinId="42" customBuiltin="1"/>
    <cellStyle name="20% - Accent4 2" xfId="1105" xr:uid="{897DD7D0-9701-4543-94F7-EEF995D1306E}"/>
    <cellStyle name="20% - Accent5" xfId="949" builtinId="46" customBuiltin="1"/>
    <cellStyle name="20% - Accent5 2" xfId="1124" xr:uid="{25DA035C-5D01-4A9A-AD6B-A022E2C90D9B}"/>
    <cellStyle name="20% - Accent6" xfId="953" builtinId="50" customBuiltin="1"/>
    <cellStyle name="20% - Accent6 2" xfId="1092" xr:uid="{22810B1E-4866-4F55-8F64-B7BF2AE17235}"/>
    <cellStyle name="40% - Accent1" xfId="934" builtinId="31" customBuiltin="1"/>
    <cellStyle name="40% - Accent1 2" xfId="1120" xr:uid="{A7C8891B-6502-49BE-B457-A2D0C0CCEFED}"/>
    <cellStyle name="40% - Accent2" xfId="938" builtinId="35" customBuiltin="1"/>
    <cellStyle name="40% - Accent2 2" xfId="1099" xr:uid="{6BD538F7-7995-421B-80F9-7D4BDE3CCF2A}"/>
    <cellStyle name="40% - Accent3" xfId="942" builtinId="39" customBuiltin="1"/>
    <cellStyle name="40% - Accent3 2" xfId="1116" xr:uid="{F28EEAD9-E3E9-43EA-9DF9-6807AD27B3E7}"/>
    <cellStyle name="40% - Accent4" xfId="946" builtinId="43" customBuiltin="1"/>
    <cellStyle name="40% - Accent4 2" xfId="1103" xr:uid="{207F9F65-9FDF-4FBD-B808-5B061285A4CE}"/>
    <cellStyle name="40% - Accent5" xfId="950" builtinId="47" customBuiltin="1"/>
    <cellStyle name="40% - Accent5 2" xfId="1112" xr:uid="{94961CE4-0C48-4D42-8DA2-37E254213B1D}"/>
    <cellStyle name="40% - Accent6" xfId="954" builtinId="51" customBuiltin="1"/>
    <cellStyle name="40% - Accent6 2" xfId="1131" xr:uid="{70C87C19-2A05-4914-8BB2-F48E6D56DC6E}"/>
    <cellStyle name="60% - Accent1" xfId="935" builtinId="32" customBuiltin="1"/>
    <cellStyle name="60% - Accent1 2" xfId="54" xr:uid="{F1D491C4-6B55-4864-AAC5-52D09346F88C}"/>
    <cellStyle name="60% - Accent1 3" xfId="1129" xr:uid="{AA9BD686-6D66-4145-8E89-3A015BAB6BB9}"/>
    <cellStyle name="60% - Accent2" xfId="939" builtinId="36" customBuiltin="1"/>
    <cellStyle name="60% - Accent2 2" xfId="55" xr:uid="{6DD2F6A0-922C-4324-A1A2-66A5ED7C1BB4}"/>
    <cellStyle name="60% - Accent2 3" xfId="1125" xr:uid="{A143D04C-0B87-419A-BEC2-B5D886F24C8A}"/>
    <cellStyle name="60% - Accent3" xfId="943" builtinId="40" customBuiltin="1"/>
    <cellStyle name="60% - Accent3 2" xfId="56" xr:uid="{A62B61BB-85D0-49EE-B35C-7AE9444B2952}"/>
    <cellStyle name="60% - Accent3 3" xfId="1121" xr:uid="{82CF75A5-8A30-4788-BE7A-7678FEF51AF3}"/>
    <cellStyle name="60% - Accent4" xfId="947" builtinId="44" customBuiltin="1"/>
    <cellStyle name="60% - Accent4 2" xfId="57" xr:uid="{9DDDC01B-06DF-4751-A2CA-3420BC1FFD1E}"/>
    <cellStyle name="60% - Accent4 3" xfId="1117" xr:uid="{90C2ACA3-F95A-4015-B907-9461EFC4A8BB}"/>
    <cellStyle name="60% - Accent5" xfId="951" builtinId="48" customBuiltin="1"/>
    <cellStyle name="60% - Accent5 2" xfId="58" xr:uid="{70B37B76-AF1D-4B61-9A11-BCF61001DBA5}"/>
    <cellStyle name="60% - Accent5 3" xfId="1113" xr:uid="{0C3333CE-3040-47A9-83AC-644550363B4E}"/>
    <cellStyle name="60% - Accent6" xfId="955" builtinId="52" customBuiltin="1"/>
    <cellStyle name="60% - Accent6 2" xfId="59" xr:uid="{C753782E-FBFB-48D1-A583-98E89D6E170F}"/>
    <cellStyle name="60% - Accent6 3" xfId="1109" xr:uid="{9A4C2FE8-6A5F-4DFD-8761-1A5012D95F35}"/>
    <cellStyle name="Accent1" xfId="932" builtinId="29" customBuiltin="1"/>
    <cellStyle name="Accent1 2" xfId="1127" xr:uid="{D95F4A1F-C77E-4F16-8AEB-2F472ECD14E4}"/>
    <cellStyle name="Accent2" xfId="936" builtinId="33" customBuiltin="1"/>
    <cellStyle name="Accent2 2" xfId="1123" xr:uid="{A0DC0DAE-61E3-452C-983C-321C8E8F682C}"/>
    <cellStyle name="Accent3" xfId="940" builtinId="37" customBuiltin="1"/>
    <cellStyle name="Accent3 2" xfId="1119" xr:uid="{DCFCF522-FA74-44B8-B65F-113F5F4DF80A}"/>
    <cellStyle name="Accent4" xfId="944" builtinId="41" customBuiltin="1"/>
    <cellStyle name="Accent4 2" xfId="1115" xr:uid="{3C72B43E-6672-4B1B-B425-C475CBA05789}"/>
    <cellStyle name="Accent5" xfId="948" builtinId="45" customBuiltin="1"/>
    <cellStyle name="Accent5 2" xfId="1111" xr:uid="{760A99F1-AFEA-4FF8-A4F2-3EAA28AE3F80}"/>
    <cellStyle name="Accent6" xfId="952" builtinId="49" customBuiltin="1"/>
    <cellStyle name="Accent6 2" xfId="1130" xr:uid="{E9A966F9-AB63-423C-A754-5BD3E0EA2E87}"/>
    <cellStyle name="ArticleDesc" xfId="60" xr:uid="{F29C1065-E45E-4AFD-923E-07AB0617FDF3}"/>
    <cellStyle name="Bad" xfId="921" builtinId="27" customBuiltin="1"/>
    <cellStyle name="Bad 2" xfId="1126" xr:uid="{2F79B009-2DDC-43C3-81C8-E1A50B5B412B}"/>
    <cellStyle name="Calculation" xfId="925" builtinId="22" customBuiltin="1"/>
    <cellStyle name="Calculation 2" xfId="1122" xr:uid="{6C004BC2-116B-46F3-9771-45A951C92129}"/>
    <cellStyle name="Check Cell" xfId="927" builtinId="23" customBuiltin="1"/>
    <cellStyle name="Check Cell 2" xfId="1118" xr:uid="{6EA37A4D-8EFD-499C-ABE1-A71CB0FFD196}"/>
    <cellStyle name="Codelistenkopf" xfId="1114" xr:uid="{4BFA0A8B-9613-4560-842C-F8792FC3381E}"/>
    <cellStyle name="Codelistenwerte" xfId="1110" xr:uid="{B7108C56-A585-42E4-BF00-172B92C7819C}"/>
    <cellStyle name="Comma" xfId="1" builtinId="3"/>
    <cellStyle name="Comma 10" xfId="61" xr:uid="{67AC2773-67DD-4E1F-B4CD-1BE4A2057CD8}"/>
    <cellStyle name="Comma 10 2" xfId="62" xr:uid="{A2EC3585-8737-43D9-BACE-BF069E4F8265}"/>
    <cellStyle name="Comma 10 2 2" xfId="1228" xr:uid="{8472528C-6B32-44BB-AF24-0A3C70AAB7E1}"/>
    <cellStyle name="Comma 10 2 2 2" xfId="2017" xr:uid="{0041983A-2271-4975-BF9D-909360EE5A7E}"/>
    <cellStyle name="Comma 10 2 2 2 2" xfId="2942" xr:uid="{214BC2DB-6FD9-40A3-B26B-1A8B53602900}"/>
    <cellStyle name="Comma 10 2 2 2 2 2" xfId="3132" xr:uid="{F584AA96-62C7-4822-8EA3-9785F0E0EC99}"/>
    <cellStyle name="Comma 10 2 2 2 3" xfId="2720" xr:uid="{8187F6F6-66BF-4745-A909-072224F59BD1}"/>
    <cellStyle name="Comma 10 2 2 2 3 2" xfId="3133" xr:uid="{469B18A0-1414-4130-BB19-227E319C05B5}"/>
    <cellStyle name="Comma 10 2 2 2 4" xfId="3134" xr:uid="{5C7F7F93-F7B6-48AB-A0F8-04B081B940B0}"/>
    <cellStyle name="Comma 10 2 2 3" xfId="2495" xr:uid="{D93AA1C4-942B-476C-AEE9-A4E062716C77}"/>
    <cellStyle name="Comma 10 2 2 3 2" xfId="3135" xr:uid="{A962C44D-7F4C-4D73-9022-79CFBFB5D603}"/>
    <cellStyle name="Comma 10 2 2 4" xfId="3136" xr:uid="{9198A0BC-D9E0-4A97-BDAC-D1621399C5BF}"/>
    <cellStyle name="Comma 10 2 3" xfId="1947" xr:uid="{39A55B05-7D0E-4E19-9C80-B6BDEFBE7FA5}"/>
    <cellStyle name="Comma 10 2 3 2" xfId="2872" xr:uid="{F011CF5A-A72F-43AC-ADDA-F4996942E694}"/>
    <cellStyle name="Comma 10 2 3 2 2" xfId="3137" xr:uid="{7E33B3D4-3AC1-4F1D-98C5-D82DD6F77400}"/>
    <cellStyle name="Comma 10 2 3 3" xfId="2650" xr:uid="{1BD40059-E501-4925-B18C-D3AFD29456B5}"/>
    <cellStyle name="Comma 10 2 3 3 2" xfId="3138" xr:uid="{AE54727B-942A-4757-9971-8A7126352F2D}"/>
    <cellStyle name="Comma 10 2 3 4" xfId="3139" xr:uid="{B888095F-BD49-47B8-9E9B-B1EB79E7A85A}"/>
    <cellStyle name="Comma 10 2 4" xfId="2425" xr:uid="{ABD85C5C-3998-4B7B-BB82-B13B652DFA3C}"/>
    <cellStyle name="Comma 10 2 4 2" xfId="3140" xr:uid="{3D7CA670-7233-4072-9700-0BDFF2428B41}"/>
    <cellStyle name="Comma 10 2 5" xfId="1055" xr:uid="{807AB750-0336-49AE-A4B5-75DA201C318A}"/>
    <cellStyle name="Comma 10 2 5 2" xfId="3141" xr:uid="{8CFF91C6-EE8B-4CEC-ABD5-C61C51979D45}"/>
    <cellStyle name="Comma 10 2 6" xfId="3142" xr:uid="{B6580969-341D-4FEC-B8A1-A8BF124A1C3B}"/>
    <cellStyle name="Comma 10 2 7" xfId="4420" xr:uid="{5DFDCE45-781F-456A-AE90-8A36B53DC7B9}"/>
    <cellStyle name="Comma 10 2 7 2" xfId="5554" xr:uid="{3C71EFA0-07A7-420A-A8D5-60857BD1B811}"/>
    <cellStyle name="Comma 10 2 8" xfId="5159" xr:uid="{FC8A6655-BD96-4E2E-9EC9-4D3CCB14A04D}"/>
    <cellStyle name="Comma 10 3" xfId="1178" xr:uid="{B069F321-2C27-451E-AC8D-967FD256824C}"/>
    <cellStyle name="Comma 10 3 2" xfId="1967" xr:uid="{F5017C64-4B0A-4D5D-A1A5-D9EEDE4336F7}"/>
    <cellStyle name="Comma 10 3 2 2" xfId="2892" xr:uid="{7C5413A7-E177-471C-85C0-17760D966E26}"/>
    <cellStyle name="Comma 10 3 2 2 2" xfId="3143" xr:uid="{103A763D-7B47-43F5-9F13-26040B972C94}"/>
    <cellStyle name="Comma 10 3 2 3" xfId="2670" xr:uid="{86254FF1-662A-455D-93DA-2972362195AB}"/>
    <cellStyle name="Comma 10 3 2 3 2" xfId="3144" xr:uid="{89A5BD38-DB90-4807-9681-5870ED3F0385}"/>
    <cellStyle name="Comma 10 3 2 4" xfId="3145" xr:uid="{68794A50-62D2-4948-ADA1-6BF8C5D9C3C7}"/>
    <cellStyle name="Comma 10 3 3" xfId="2445" xr:uid="{434F95DB-3FD5-4424-912B-A59FB476EA94}"/>
    <cellStyle name="Comma 10 3 3 2" xfId="3146" xr:uid="{DD721851-457E-49A7-A604-D0D2D890F8E8}"/>
    <cellStyle name="Comma 10 3 4" xfId="3147" xr:uid="{75E566E2-5113-4B1A-9EBD-CC9EAF8C9F28}"/>
    <cellStyle name="Comma 10 4" xfId="1897" xr:uid="{5F94A5DE-FD4B-4406-A959-54022A2358B4}"/>
    <cellStyle name="Comma 10 4 2" xfId="2822" xr:uid="{2F2D9EE5-ABC2-406A-AE0A-3E9575EACC60}"/>
    <cellStyle name="Comma 10 4 2 2" xfId="3148" xr:uid="{4F1AD53B-0D02-400E-A8CF-22CED56FF13E}"/>
    <cellStyle name="Comma 10 4 3" xfId="2600" xr:uid="{0E88DEEF-5479-4093-8C73-7E4698F88246}"/>
    <cellStyle name="Comma 10 4 3 2" xfId="3149" xr:uid="{BB4723C9-87BE-494F-9EC0-EA367B792225}"/>
    <cellStyle name="Comma 10 4 4" xfId="3150" xr:uid="{A563ACC5-63B4-4AC2-9020-732558E584FE}"/>
    <cellStyle name="Comma 10 5" xfId="2375" xr:uid="{5630A798-B96D-4879-9D94-A7EED71A9885}"/>
    <cellStyle name="Comma 10 5 2" xfId="3151" xr:uid="{19319A1C-5936-47D9-A14F-114795680734}"/>
    <cellStyle name="Comma 10 6" xfId="1005" xr:uid="{9C0FD588-EFAD-421E-88B6-C83E2C7DB410}"/>
    <cellStyle name="Comma 10 6 2" xfId="3152" xr:uid="{72578E21-07C5-4012-85D0-C0987855C81C}"/>
    <cellStyle name="Comma 10 7" xfId="3153" xr:uid="{3BA31895-8896-4023-92B8-83C4C2E7F17D}"/>
    <cellStyle name="Comma 10 8" xfId="4419" xr:uid="{77CCB474-150E-43A9-BF89-04622D083593}"/>
    <cellStyle name="Comma 10 8 2" xfId="5553" xr:uid="{C5027499-D48E-45B0-9968-367E9C292642}"/>
    <cellStyle name="Comma 10 9" xfId="5158" xr:uid="{5B9038E6-A899-4B0C-8D87-9059020B32D4}"/>
    <cellStyle name="Comma 11" xfId="63" xr:uid="{82491BE3-15D7-4732-ABD6-49FE417B5508}"/>
    <cellStyle name="Comma 11 2" xfId="1187" xr:uid="{882CB9FB-36AC-4F16-95AC-AB73CF698CD1}"/>
    <cellStyle name="Comma 11 2 2" xfId="1976" xr:uid="{D79F89F8-14FC-4AFE-9287-56218360E39D}"/>
    <cellStyle name="Comma 11 2 2 2" xfId="2901" xr:uid="{4F86A17D-480C-405C-A485-F4AF47360773}"/>
    <cellStyle name="Comma 11 2 2 2 2" xfId="3154" xr:uid="{3E90DF52-FA9F-439B-B577-DC324A6B96E4}"/>
    <cellStyle name="Comma 11 2 2 3" xfId="2679" xr:uid="{3B45694E-E356-49E2-8501-3E4CA2BB6F5F}"/>
    <cellStyle name="Comma 11 2 2 3 2" xfId="3155" xr:uid="{7FDD6A28-81A2-4A3F-AC1E-AAD0BC24DDEF}"/>
    <cellStyle name="Comma 11 2 2 4" xfId="3156" xr:uid="{E3C181D1-DBF4-45E8-A6C4-A9AC9B7C226C}"/>
    <cellStyle name="Comma 11 2 3" xfId="2454" xr:uid="{0E4DE7AC-AF5F-4602-8BA0-4C1AA20F496D}"/>
    <cellStyle name="Comma 11 2 3 2" xfId="3157" xr:uid="{9F434BB7-3C6B-491C-B18C-0BB0831970C4}"/>
    <cellStyle name="Comma 11 2 4" xfId="3158" xr:uid="{FB60520D-D263-4104-8CC2-22DC22A339BD}"/>
    <cellStyle name="Comma 11 3" xfId="1906" xr:uid="{D6FDB76D-6928-4D92-AEB8-7B36AD88B2B5}"/>
    <cellStyle name="Comma 11 3 2" xfId="2831" xr:uid="{DE043F4D-3E2D-4679-86BB-A70BA2B49A33}"/>
    <cellStyle name="Comma 11 3 2 2" xfId="3159" xr:uid="{9B3319FD-7C45-45FF-8B0C-9A94BC425053}"/>
    <cellStyle name="Comma 11 3 3" xfId="2609" xr:uid="{1C8B0FCF-865B-4992-B7B7-09D5C37E6440}"/>
    <cellStyle name="Comma 11 3 3 2" xfId="3160" xr:uid="{2D0FA1E7-25F0-4F1E-9E02-CFE4678BCE6D}"/>
    <cellStyle name="Comma 11 3 4" xfId="3161" xr:uid="{E6DFDC14-3FC4-4784-A832-99C9DF899D7E}"/>
    <cellStyle name="Comma 11 4" xfId="2384" xr:uid="{05B4B80D-8062-490E-97D0-EC57B8430C20}"/>
    <cellStyle name="Comma 11 4 2" xfId="3162" xr:uid="{7EBEB131-8C8B-487E-93CF-9F83DA7398ED}"/>
    <cellStyle name="Comma 11 5" xfId="1014" xr:uid="{BFA9B936-45CF-4F78-943D-0FB3D5DDF024}"/>
    <cellStyle name="Comma 11 5 2" xfId="3163" xr:uid="{DAAB9B47-A4E8-4545-8F53-B0AA51EAC240}"/>
    <cellStyle name="Comma 11 6" xfId="3164" xr:uid="{7526A222-BBF9-4065-A03F-F888936D3892}"/>
    <cellStyle name="Comma 11 7" xfId="4421" xr:uid="{8B039296-666C-4B90-A733-312869B62479}"/>
    <cellStyle name="Comma 11 7 2" xfId="5555" xr:uid="{EF9D30D9-D9A8-4F18-A233-29D6C12FF2C7}"/>
    <cellStyle name="Comma 11 8" xfId="5160" xr:uid="{5003D9E1-7346-4564-ABA8-74A74CD64782}"/>
    <cellStyle name="Comma 12" xfId="64" xr:uid="{BC4EFAE1-7F3F-4FC1-BAAE-543F6DDC128C}"/>
    <cellStyle name="Comma 12 2" xfId="1243" xr:uid="{CBE5981B-F9EC-4BD1-96EA-A9E5334ABA6C}"/>
    <cellStyle name="Comma 12 2 2" xfId="2026" xr:uid="{C054C6AB-A029-42CE-9F15-8E13D5F2ABBB}"/>
    <cellStyle name="Comma 12 2 2 2" xfId="2951" xr:uid="{04CEABEE-4405-48C2-8F31-71BC65C7B6A1}"/>
    <cellStyle name="Comma 12 2 2 2 2" xfId="3165" xr:uid="{61284534-414D-4C81-BBE5-C011988A1238}"/>
    <cellStyle name="Comma 12 2 2 3" xfId="2729" xr:uid="{3E58EB2B-4880-418F-B9EA-EF23836A6D52}"/>
    <cellStyle name="Comma 12 2 2 3 2" xfId="3166" xr:uid="{B86A83AC-DB9A-44AD-B6FC-242BD69B3120}"/>
    <cellStyle name="Comma 12 2 2 4" xfId="3167" xr:uid="{6E12DBFB-4447-49BB-9297-F0B781678C26}"/>
    <cellStyle name="Comma 12 2 3" xfId="2504" xr:uid="{AF69DF91-DBF5-4E80-98B2-28341BA46233}"/>
    <cellStyle name="Comma 12 2 3 2" xfId="3168" xr:uid="{FA0DCAFF-98FD-4814-B3E1-A76C7D741B6B}"/>
    <cellStyle name="Comma 12 2 4" xfId="3169" xr:uid="{68FEA780-CA1B-4950-B713-B2A6C917C85F}"/>
    <cellStyle name="Comma 12 3" xfId="1956" xr:uid="{EA8B2188-394D-40C8-8269-F1419DBE62B5}"/>
    <cellStyle name="Comma 12 3 2" xfId="2881" xr:uid="{21FE82A1-7B6A-4040-807B-28EA0A3AA510}"/>
    <cellStyle name="Comma 12 3 2 2" xfId="3170" xr:uid="{39CBEE6D-338A-423B-9437-AFC391812124}"/>
    <cellStyle name="Comma 12 3 3" xfId="2659" xr:uid="{249B3C0C-0B65-4EAD-A297-5CEEDCBDDD85}"/>
    <cellStyle name="Comma 12 3 3 2" xfId="3171" xr:uid="{AAC5FBDE-9A59-4DF0-898F-50812268836B}"/>
    <cellStyle name="Comma 12 3 4" xfId="3172" xr:uid="{CE692F7B-578E-41A3-A896-3BD39A4C8883}"/>
    <cellStyle name="Comma 12 4" xfId="2434" xr:uid="{77C00507-9632-447D-9234-8C1468D01642}"/>
    <cellStyle name="Comma 12 4 2" xfId="3173" xr:uid="{2F062E42-289C-4ADE-BAFE-2C8DB8B24FA6}"/>
    <cellStyle name="Comma 12 5" xfId="1064" xr:uid="{B92733B5-E197-4818-A4E3-9E0F540E218A}"/>
    <cellStyle name="Comma 12 5 2" xfId="3174" xr:uid="{3E24B87F-F969-41DE-8A97-3B82E27123F6}"/>
    <cellStyle name="Comma 12 6" xfId="3175" xr:uid="{4D729167-BCD3-4764-BC13-2351EC791BC0}"/>
    <cellStyle name="Comma 12 7" xfId="4422" xr:uid="{8C9D264C-0F9F-47B6-A739-5688CA9A5370}"/>
    <cellStyle name="Comma 12 7 2" xfId="5556" xr:uid="{5ABB38FD-3FA9-4747-9867-0A2807EB8691}"/>
    <cellStyle name="Comma 12 8" xfId="5161" xr:uid="{41480D1E-1D55-415C-933A-F370115B13B2}"/>
    <cellStyle name="Comma 13" xfId="1073" xr:uid="{3923DA28-B3F2-4591-A318-951963B43418}"/>
    <cellStyle name="Comma 13 2" xfId="1958" xr:uid="{DBD3D0AD-862B-4C34-B586-DC3478085460}"/>
    <cellStyle name="Comma 13 2 2" xfId="2883" xr:uid="{8F29D873-8A2F-47BC-B9E1-36B4EB0A28F5}"/>
    <cellStyle name="Comma 13 2 2 2" xfId="3176" xr:uid="{24C6DA74-152A-4811-8197-A1AA494E16AE}"/>
    <cellStyle name="Comma 13 2 3" xfId="2661" xr:uid="{F6AD54C6-B44D-4918-BE88-9ECBDCD6D4C5}"/>
    <cellStyle name="Comma 13 2 3 2" xfId="3177" xr:uid="{C0561EC2-41EA-41E4-975F-DE4B14C1F778}"/>
    <cellStyle name="Comma 13 2 4" xfId="3178" xr:uid="{BBF79E7D-AD15-4282-AF41-0CEF33C8E4F3}"/>
    <cellStyle name="Comma 13 3" xfId="2436" xr:uid="{256AF642-E31A-4466-B625-CDC5B9D20B47}"/>
    <cellStyle name="Comma 13 3 2" xfId="3179" xr:uid="{A469343D-1B52-4568-BDEB-A602CB3E4F48}"/>
    <cellStyle name="Comma 13 4" xfId="3180" xr:uid="{A4CB571C-738D-406B-9C8C-F336423430C4}"/>
    <cellStyle name="Comma 14" xfId="1804" xr:uid="{EB067283-A951-4386-B7D2-09194CB85AB3}"/>
    <cellStyle name="Comma 14 2" xfId="2053" xr:uid="{0505D9D3-BC40-49BB-B1D0-A0F4A9FFF982}"/>
    <cellStyle name="Comma 14 2 2" xfId="2978" xr:uid="{F68FA556-24EA-4C86-829E-1A1480AD0F8A}"/>
    <cellStyle name="Comma 14 2 2 2" xfId="3181" xr:uid="{ACAFE480-9A54-4C1E-8A75-23774C2CA9DF}"/>
    <cellStyle name="Comma 14 2 3" xfId="2756" xr:uid="{204C1E55-3606-451E-841C-3106622549A8}"/>
    <cellStyle name="Comma 14 2 3 2" xfId="3182" xr:uid="{31E05D41-EA7F-4464-9BA3-944B83302E7C}"/>
    <cellStyle name="Comma 14 2 4" xfId="3183" xr:uid="{B589C189-0FD1-423E-8CA3-21D4B12D0186}"/>
    <cellStyle name="Comma 14 3" xfId="2531" xr:uid="{A54BDC4C-DDFC-412B-B42C-DFBBD4934629}"/>
    <cellStyle name="Comma 14 3 2" xfId="3184" xr:uid="{6CB15321-D4E7-41D1-AD75-62B5AE710157}"/>
    <cellStyle name="Comma 14 4" xfId="3185" xr:uid="{E3978F80-A87D-46B8-84D7-80AB99D82ED5}"/>
    <cellStyle name="Comma 15" xfId="1858" xr:uid="{8C021E22-200D-42A8-8D38-A066A18117D8}"/>
    <cellStyle name="Comma 15 2" xfId="2591" xr:uid="{D0215E78-19AC-494F-AB0C-A379699E775B}"/>
    <cellStyle name="Comma 15 2 2" xfId="3082" xr:uid="{8845C585-12AA-4A87-86DB-9323DEBD5808}"/>
    <cellStyle name="Comma 15 2 2 2" xfId="3186" xr:uid="{FD595D0B-D652-4C49-AB82-BC0DF2E706E2}"/>
    <cellStyle name="Comma 15 2 3" xfId="3187" xr:uid="{9993E4A4-921F-4B61-9D9B-A03644D543C2}"/>
    <cellStyle name="Comma 15 3" xfId="2813" xr:uid="{DDAC41F8-8380-4DE5-8A17-2CB245C6168B}"/>
    <cellStyle name="Comma 15 3 2" xfId="3188" xr:uid="{6E80991B-01EE-4FF7-A920-C075949CF1A1}"/>
    <cellStyle name="Comma 15 4" xfId="2366" xr:uid="{B4A59242-5062-4AAE-9C64-9E22F6CB2C16}"/>
    <cellStyle name="Comma 15 4 2" xfId="3189" xr:uid="{E466423D-5D45-4FC2-95FE-23D449763565}"/>
    <cellStyle name="Comma 15 5" xfId="3190" xr:uid="{974C10EA-9C36-4C02-B806-C14DF4A7535B}"/>
    <cellStyle name="Comma 16" xfId="1836" xr:uid="{D4894064-DCF1-482F-AC59-62E7B53DA756}"/>
    <cellStyle name="Comma 16 2" xfId="2812" xr:uid="{11066CF9-03C7-4853-B238-B230C5B46306}"/>
    <cellStyle name="Comma 16 2 2" xfId="3191" xr:uid="{519E6AB7-0F82-4B8B-BE6A-BFCAA23C5FD0}"/>
    <cellStyle name="Comma 16 3" xfId="2590" xr:uid="{C88207FE-4427-4647-8BC0-C8BF21F59D93}"/>
    <cellStyle name="Comma 16 3 2" xfId="3192" xr:uid="{05CBEEA9-FA4C-4507-B5EE-5F7902B7F15A}"/>
    <cellStyle name="Comma 16 4" xfId="3193" xr:uid="{50B66078-DD48-4F6C-B827-66FC9B649D74}"/>
    <cellStyle name="Comma 17" xfId="2365" xr:uid="{76B321A9-DBA9-4343-B4E5-0BEB2C97E16E}"/>
    <cellStyle name="Comma 17 2" xfId="3194" xr:uid="{36BC52BB-97CF-4D24-B363-F0900F7C519F}"/>
    <cellStyle name="Comma 18" xfId="3195" xr:uid="{78D70C39-B355-4D80-92C6-6EB360952E51}"/>
    <cellStyle name="Comma 18 2" xfId="4406" xr:uid="{0E3AB486-E7F7-414D-ACEE-9CE83D3947E3}"/>
    <cellStyle name="Comma 19" xfId="4410" xr:uid="{658CC248-4DB5-4FA3-BCFC-B8DCD7F2F8D0}"/>
    <cellStyle name="Comma 19 2" xfId="5544" xr:uid="{B436F64C-500B-426F-93F5-5345832E86AC}"/>
    <cellStyle name="Comma 2" xfId="2" xr:uid="{A56A9277-4289-47DD-B49A-1122F1CFD61B}"/>
    <cellStyle name="Comma 2 10" xfId="1711" xr:uid="{E5D8F393-01A1-4EDD-839C-33CC2C57A49E}"/>
    <cellStyle name="Comma 2 10 2" xfId="2301" xr:uid="{066D2C09-8E56-4776-8501-2172BF783900}"/>
    <cellStyle name="Comma 2 10 2 2" xfId="4772" xr:uid="{2B3ABFE3-5B2B-4C71-8F1A-E6F6A70B0DFC}"/>
    <cellStyle name="Comma 2 10 2 2 2" xfId="5906" xr:uid="{24AB00B1-59A0-4E57-A7DB-5B5FD03D25F2}"/>
    <cellStyle name="Comma 2 10 2 3" xfId="5478" xr:uid="{4549A68F-C322-4FEF-935B-39A386A9519B}"/>
    <cellStyle name="Comma 2 10 2 4" xfId="5091" xr:uid="{AC79535C-E1D9-4F81-9ADA-9129E47FF8E5}"/>
    <cellStyle name="Comma 2 10 3" xfId="4599" xr:uid="{6D22B576-E271-4CDC-95BF-A84672CD6122}"/>
    <cellStyle name="Comma 2 10 3 2" xfId="5733" xr:uid="{2585B2B9-69FC-4AD0-B01C-E40908469A54}"/>
    <cellStyle name="Comma 2 10 4" xfId="5305" xr:uid="{5B84EED6-24EA-4A7E-BCE7-561B884A7749}"/>
    <cellStyle name="Comma 2 10 5" xfId="4918" xr:uid="{D55C5BFB-5CEC-4AE4-B897-1962FB2FF6A2}"/>
    <cellStyle name="Comma 2 11" xfId="1269" xr:uid="{6BE00F01-7042-4947-A6F0-922842A9BD7B}"/>
    <cellStyle name="Comma 2 12" xfId="1146" xr:uid="{72AA5F38-BE6D-45AE-B92C-18910D5DD1A9}"/>
    <cellStyle name="Comma 2 12 2" xfId="4552" xr:uid="{0AFDE92B-2E36-404E-B586-2410DF12ED59}"/>
    <cellStyle name="Comma 2 12 2 2" xfId="5686" xr:uid="{1C036AAC-DEFA-4856-AB66-57BCBF6E5DF0}"/>
    <cellStyle name="Comma 2 12 3" xfId="5258" xr:uid="{BDF7B7A4-C8DC-4C7E-AEC0-DF4B378BCBF1}"/>
    <cellStyle name="Comma 2 12 4" xfId="4871" xr:uid="{BDE8CB1C-6F9D-403C-9D42-8515B67EE92E}"/>
    <cellStyle name="Comma 2 13" xfId="1828" xr:uid="{8411091C-99A5-4B3A-9AB6-42D1DD18C1B3}"/>
    <cellStyle name="Comma 2 13 2" xfId="2192" xr:uid="{0D17EA54-960D-4429-93AB-C8B110FA5B21}"/>
    <cellStyle name="Comma 2 13 2 2" xfId="4663" xr:uid="{A3A49DBF-E246-4747-8525-ADBC04E31FD0}"/>
    <cellStyle name="Comma 2 13 2 2 2" xfId="5797" xr:uid="{F0F0AF40-B2DA-467C-8A78-3A30912AA3F8}"/>
    <cellStyle name="Comma 2 13 2 3" xfId="5369" xr:uid="{80A9C3F0-09D0-4B90-8AC2-AEBAF884462A}"/>
    <cellStyle name="Comma 2 13 2 4" xfId="4982" xr:uid="{69E696D5-EDA4-46B6-9FA5-2D996344329C}"/>
    <cellStyle name="Comma 2 13 3" xfId="2583" xr:uid="{C90E41C8-1F1B-43D8-9187-E6A502256869}"/>
    <cellStyle name="Comma 2 13 3 2" xfId="3075" xr:uid="{A2B0F4A2-1910-4AAA-86BC-D8109A5310AD}"/>
    <cellStyle name="Comma 2 13 3 2 2" xfId="3196" xr:uid="{946116C9-F879-494E-8498-251A28FBDA50}"/>
    <cellStyle name="Comma 2 13 3 3" xfId="3197" xr:uid="{68808CA3-3379-492D-A82E-DC20883CEA8B}"/>
    <cellStyle name="Comma 2 13 4" xfId="2806" xr:uid="{B7C031F4-D82F-487E-9ADE-E57BE66E9647}"/>
    <cellStyle name="Comma 2 13 4 2" xfId="3198" xr:uid="{11C95FCB-9446-427F-85FA-F0CC0A21AF78}"/>
    <cellStyle name="Comma 2 13 5" xfId="3199" xr:uid="{BC78CE7B-611C-42C5-8823-E185901A4990}"/>
    <cellStyle name="Comma 2 14" xfId="959" xr:uid="{00AFDD09-FD35-4722-86B9-C7745D9A519A}"/>
    <cellStyle name="Comma 2 14 2" xfId="3200" xr:uid="{F7E78237-24D4-42A2-A90C-32DC1898A694}"/>
    <cellStyle name="Comma 2 15" xfId="3201" xr:uid="{BF632789-655F-42F3-8A30-BA3A264DBC4D}"/>
    <cellStyle name="Comma 2 15 2" xfId="4407" xr:uid="{EEE6F745-621B-4B75-8C33-2053F54E4AFB}"/>
    <cellStyle name="Comma 2 16" xfId="4411" xr:uid="{143F9556-A3E4-4BBE-8213-EBD26F5ECDD9}"/>
    <cellStyle name="Comma 2 16 2" xfId="5545" xr:uid="{84DA8F39-BC59-4F80-881B-10129F8C6C9B}"/>
    <cellStyle name="Comma 2 2" xfId="44" xr:uid="{D224EE3C-070B-42B1-BCAE-F6A9AD510726}"/>
    <cellStyle name="Comma 2 2 10" xfId="1270" xr:uid="{1DDA455D-2D7A-4891-B204-C273AE15B74A}"/>
    <cellStyle name="Comma 2 2 10 2" xfId="2028" xr:uid="{EAC4F611-9D46-4615-83DE-4380EDCE28A3}"/>
    <cellStyle name="Comma 2 2 10 2 2" xfId="2953" xr:uid="{CA568B03-A033-4FBD-8E3D-819E22E7F47F}"/>
    <cellStyle name="Comma 2 2 10 2 2 2" xfId="3202" xr:uid="{AF0AA674-2B2E-42B1-9889-B975552C9885}"/>
    <cellStyle name="Comma 2 2 10 2 3" xfId="2731" xr:uid="{C97D544F-8517-4383-AED4-CD4E2901B778}"/>
    <cellStyle name="Comma 2 2 10 2 3 2" xfId="3203" xr:uid="{096B7DF4-0622-40BD-9FBD-FC5BB39F83D3}"/>
    <cellStyle name="Comma 2 2 10 2 4" xfId="3204" xr:uid="{398AC554-268A-491F-A1CE-54C693C4F7CF}"/>
    <cellStyle name="Comma 2 2 10 3" xfId="2506" xr:uid="{0E838F29-B942-4116-B617-9ABC881D3963}"/>
    <cellStyle name="Comma 2 2 10 3 2" xfId="3205" xr:uid="{F665A9B9-CF74-4F48-8FE0-029C27A2CD37}"/>
    <cellStyle name="Comma 2 2 10 4" xfId="3206" xr:uid="{2A77C5E1-B436-4D91-9000-ACE61A2B4E0B}"/>
    <cellStyle name="Comma 2 2 11" xfId="1147" xr:uid="{576F8894-D25A-4DF5-A052-AA45318BD23E}"/>
    <cellStyle name="Comma 2 2 11 2" xfId="2256" xr:uid="{A845B474-A63C-443E-94DF-D91B2C7182D6}"/>
    <cellStyle name="Comma 2 2 11 2 2" xfId="4727" xr:uid="{B80AEE08-71CD-4FB9-9408-7805BFE1EFFB}"/>
    <cellStyle name="Comma 2 2 11 2 2 2" xfId="5861" xr:uid="{2589F389-F9A3-480F-B4BE-86EAFBD692DA}"/>
    <cellStyle name="Comma 2 2 11 2 3" xfId="5433" xr:uid="{97324EB3-B7EC-4244-89AD-40D9AEA691CB}"/>
    <cellStyle name="Comma 2 2 11 2 4" xfId="5046" xr:uid="{4EAF0E9B-BCE9-4348-9B28-6D05BD078EDC}"/>
    <cellStyle name="Comma 2 2 11 3" xfId="2077" xr:uid="{F9F7EBC3-54C3-47A5-BACC-6AFE4858B172}"/>
    <cellStyle name="Comma 2 2 11 3 2" xfId="2757" xr:uid="{986D0B37-4693-4031-84F3-43F327B20091}"/>
    <cellStyle name="Comma 2 2 11 3 2 2" xfId="3083" xr:uid="{AAC094B9-8903-48C9-9A5F-089F9426CF8D}"/>
    <cellStyle name="Comma 2 2 11 3 2 2 2" xfId="3207" xr:uid="{F1FAAC0B-3EAA-4A24-B114-D02FBB2DCCA1}"/>
    <cellStyle name="Comma 2 2 11 3 2 3" xfId="3208" xr:uid="{40985D01-EC49-4D22-B8E8-FD4CC94D4E11}"/>
    <cellStyle name="Comma 2 2 11 3 3" xfId="2979" xr:uid="{4BC910B4-AAB0-48F9-9E0F-E3AC49874AF5}"/>
    <cellStyle name="Comma 2 2 11 3 3 2" xfId="3209" xr:uid="{B934D2DF-42B5-406E-9C9B-7E7B59411EB2}"/>
    <cellStyle name="Comma 2 2 11 3 4" xfId="2532" xr:uid="{1346EC93-0735-48F7-8E5D-795F40176EFA}"/>
    <cellStyle name="Comma 2 2 11 3 4 2" xfId="3210" xr:uid="{FE6EBFAC-B0B5-4708-B1EB-2C4FD2913FBE}"/>
    <cellStyle name="Comma 2 2 11 3 5" xfId="3211" xr:uid="{CB10A9C1-8A3B-44CE-8D7A-0EBDBF9396A7}"/>
    <cellStyle name="Comma 2 2 11 4" xfId="4553" xr:uid="{1558BDA6-4C85-4705-9A05-EDFCFA650D54}"/>
    <cellStyle name="Comma 2 2 11 4 2" xfId="5687" xr:uid="{05BAC055-1AC6-4458-82AA-79CC62416881}"/>
    <cellStyle name="Comma 2 2 11 5" xfId="5259" xr:uid="{56A1DEA3-0178-4AE8-B95E-830F5CC985F0}"/>
    <cellStyle name="Comma 2 2 11 6" xfId="4872" xr:uid="{C2903DFA-D5E4-437C-9AA3-9B210E2E9E56}"/>
    <cellStyle name="Comma 2 2 12" xfId="1829" xr:uid="{D932737D-B283-4DE1-904C-EA65EFEB8AB2}"/>
    <cellStyle name="Comma 2 2 12 2" xfId="2193" xr:uid="{622670F2-95EB-4DC7-A884-83FE86D5F396}"/>
    <cellStyle name="Comma 2 2 12 2 2" xfId="4664" xr:uid="{C12FD23A-575F-47B7-ACCA-46D1723EC426}"/>
    <cellStyle name="Comma 2 2 12 2 2 2" xfId="5798" xr:uid="{6E14F30E-778C-46D9-9BEF-372E9E4DADFF}"/>
    <cellStyle name="Comma 2 2 12 2 3" xfId="5370" xr:uid="{0F724797-EBCA-4E45-9446-18AAF5771C07}"/>
    <cellStyle name="Comma 2 2 12 2 4" xfId="4983" xr:uid="{48431D76-80E3-44D5-AF71-60F05989C890}"/>
    <cellStyle name="Comma 2 2 12 3" xfId="2584" xr:uid="{898FEDFE-51E7-4EA8-A64F-C94AF15C4CF4}"/>
    <cellStyle name="Comma 2 2 12 3 2" xfId="3076" xr:uid="{75C30B66-B963-471B-9A34-8DD65D13B9CD}"/>
    <cellStyle name="Comma 2 2 12 3 2 2" xfId="3212" xr:uid="{AAC7DBA5-431E-4C59-9CDA-1B150552EC0C}"/>
    <cellStyle name="Comma 2 2 12 3 3" xfId="3213" xr:uid="{AA4461E8-DBA7-474E-B4AD-EB47A5B5B306}"/>
    <cellStyle name="Comma 2 2 12 4" xfId="2807" xr:uid="{890D87FE-ACC5-4A6D-8BF0-19D0250795B2}"/>
    <cellStyle name="Comma 2 2 12 4 2" xfId="3214" xr:uid="{632AC883-83C8-4522-B4D8-E526C8AC4F28}"/>
    <cellStyle name="Comma 2 2 12 5" xfId="3215" xr:uid="{000EA268-A081-4EDF-916A-7C71BF8394AE}"/>
    <cellStyle name="Comma 2 2 13" xfId="960" xr:uid="{5D9E14E4-C67C-48DA-ADEA-1C6F8C6B21BD}"/>
    <cellStyle name="Comma 2 2 13 2" xfId="3216" xr:uid="{9379EFAA-72C8-4A8A-AF28-E1539B8A7335}"/>
    <cellStyle name="Comma 2 2 14" xfId="3217" xr:uid="{ECF66AEE-6B31-4B22-A897-941997474D46}"/>
    <cellStyle name="Comma 2 2 14 2" xfId="4408" xr:uid="{A2E5207D-7E96-4BFE-B0E7-E33B2FDC397F}"/>
    <cellStyle name="Comma 2 2 15" xfId="4412" xr:uid="{43B98F77-4D2B-4CEC-9915-E3355A34479C}"/>
    <cellStyle name="Comma 2 2 15 2" xfId="5546" xr:uid="{E703E492-F2F5-4479-AC55-F8A3DD578419}"/>
    <cellStyle name="Comma 2 2 2" xfId="49" xr:uid="{FE2B1225-9CCD-4DCA-AB94-39058BF97F92}"/>
    <cellStyle name="Comma 2 2 2 10" xfId="1167" xr:uid="{5F188992-445A-4633-A00C-921B456A6F04}"/>
    <cellStyle name="Comma 2 2 2 10 2" xfId="2258" xr:uid="{A3D49DC7-F301-4C34-9888-8E613CFED79F}"/>
    <cellStyle name="Comma 2 2 2 10 2 2" xfId="4729" xr:uid="{C93ACF0A-E25A-4AC4-996E-6B831F3CD2E4}"/>
    <cellStyle name="Comma 2 2 2 10 2 2 2" xfId="5863" xr:uid="{B1CEF6D4-D67A-4194-9E63-A6184A6D88D4}"/>
    <cellStyle name="Comma 2 2 2 10 2 3" xfId="5435" xr:uid="{F0785618-C6DF-44CA-8A04-2856105EE925}"/>
    <cellStyle name="Comma 2 2 2 10 2 4" xfId="5048" xr:uid="{915C5626-730D-42D5-B238-EC88698B3145}"/>
    <cellStyle name="Comma 2 2 2 10 3" xfId="2078" xr:uid="{0C5D80BB-9425-41D7-A53A-815C0281DBF3}"/>
    <cellStyle name="Comma 2 2 2 10 3 2" xfId="2758" xr:uid="{39DFF81F-0F05-439E-A993-8ED7F2C8AADC}"/>
    <cellStyle name="Comma 2 2 2 10 3 2 2" xfId="3084" xr:uid="{A65E9E46-7B69-4FBE-B12B-636202B24D71}"/>
    <cellStyle name="Comma 2 2 2 10 3 2 2 2" xfId="3218" xr:uid="{D9F9E2E1-F998-4F1A-83D4-611088774E02}"/>
    <cellStyle name="Comma 2 2 2 10 3 2 3" xfId="3219" xr:uid="{F27E1AD6-9B4C-49FF-A660-C998514A6AE3}"/>
    <cellStyle name="Comma 2 2 2 10 3 3" xfId="2980" xr:uid="{1A53A2BD-3B94-4709-B858-DADA7A590D83}"/>
    <cellStyle name="Comma 2 2 2 10 3 3 2" xfId="3220" xr:uid="{B75CB8BF-88BA-4612-BE3F-56CD5B5BF4D3}"/>
    <cellStyle name="Comma 2 2 2 10 3 4" xfId="2533" xr:uid="{F142D8B2-FC53-47F4-AD25-947C7D6B43B9}"/>
    <cellStyle name="Comma 2 2 2 10 3 4 2" xfId="3221" xr:uid="{4AE450AC-AD3D-4987-A1D9-6FE980BD9958}"/>
    <cellStyle name="Comma 2 2 2 10 3 5" xfId="3222" xr:uid="{7F4BFD1C-EC95-44B8-B9F8-5F8E21D51B51}"/>
    <cellStyle name="Comma 2 2 2 10 4" xfId="4556" xr:uid="{4F6B35AF-5DE0-4B6F-B8C4-96A2B80A5F32}"/>
    <cellStyle name="Comma 2 2 2 10 4 2" xfId="5690" xr:uid="{1F333901-DA33-4AE0-A265-B92DDF38265E}"/>
    <cellStyle name="Comma 2 2 2 10 5" xfId="5262" xr:uid="{E9C2DA0A-00A4-4D2B-8275-71910A16F2A5}"/>
    <cellStyle name="Comma 2 2 2 10 6" xfId="4875" xr:uid="{6CF4DB20-C657-4B82-89BB-6DF83B24BA2D}"/>
    <cellStyle name="Comma 2 2 2 11" xfId="1832" xr:uid="{6517465C-DDB0-4677-9D19-B59557191EF6}"/>
    <cellStyle name="Comma 2 2 2 11 2" xfId="2196" xr:uid="{72442F46-6ED2-41CA-9AD6-57F72E947477}"/>
    <cellStyle name="Comma 2 2 2 11 2 2" xfId="4667" xr:uid="{310C5FEB-977B-45E4-9E99-1ECC87BDFC23}"/>
    <cellStyle name="Comma 2 2 2 11 2 2 2" xfId="5801" xr:uid="{BE147E42-9762-4FC7-B95D-97949150D0AC}"/>
    <cellStyle name="Comma 2 2 2 11 2 3" xfId="5373" xr:uid="{A90C677B-55B2-4FB1-930B-F61228E4F625}"/>
    <cellStyle name="Comma 2 2 2 11 2 4" xfId="4986" xr:uid="{DFF82307-2B79-4D1A-93EC-62EEF71A2B2E}"/>
    <cellStyle name="Comma 2 2 2 11 3" xfId="2587" xr:uid="{F0C6C4D9-B5A5-4C60-ABFB-2B39AFC22878}"/>
    <cellStyle name="Comma 2 2 2 11 3 2" xfId="3079" xr:uid="{E2185BDE-8FC9-46A5-A373-EDDD80CA24FD}"/>
    <cellStyle name="Comma 2 2 2 11 3 2 2" xfId="3223" xr:uid="{E54AA298-F50F-4C03-B369-E9E4910831B5}"/>
    <cellStyle name="Comma 2 2 2 11 3 3" xfId="3224" xr:uid="{02CE49FA-A72D-423F-9D2D-6EF3E8EB79B9}"/>
    <cellStyle name="Comma 2 2 2 11 4" xfId="2810" xr:uid="{47627453-A061-448E-80A7-85873376AB67}"/>
    <cellStyle name="Comma 2 2 2 11 4 2" xfId="3225" xr:uid="{377E3DA5-000F-45AE-9B8E-4ED749292117}"/>
    <cellStyle name="Comma 2 2 2 11 5" xfId="3226" xr:uid="{C54D1D51-B70F-4CAC-B9DB-A62BF61BF08A}"/>
    <cellStyle name="Comma 2 2 2 12" xfId="964" xr:uid="{30E16920-6994-4FA3-A506-51373D0E1428}"/>
    <cellStyle name="Comma 2 2 2 12 2" xfId="3227" xr:uid="{8BC70BA3-CD5E-4FD8-8935-0D7975E8BA21}"/>
    <cellStyle name="Comma 2 2 2 13" xfId="3228" xr:uid="{08AFE86A-16A8-44C2-A3B9-DFF6DC2AE64F}"/>
    <cellStyle name="Comma 2 2 2 14" xfId="4414" xr:uid="{5A6AB2BA-CA39-40A7-A8BF-D5C71F4D9F40}"/>
    <cellStyle name="Comma 2 2 2 14 2" xfId="5548" xr:uid="{A6BA8B32-6281-45C7-ABEE-389914B11A6E}"/>
    <cellStyle name="Comma 2 2 2 2" xfId="65" xr:uid="{6EC170BD-2C77-4538-B170-7C49763C8279}"/>
    <cellStyle name="Comma 2 2 2 2 10" xfId="971" xr:uid="{FB4D9DE8-C2A7-4F9B-8BC5-DB16870EA8C3}"/>
    <cellStyle name="Comma 2 2 2 2 10 2" xfId="3229" xr:uid="{AE6EC0D9-4F92-4E59-A5F4-CB18C09F8B96}"/>
    <cellStyle name="Comma 2 2 2 2 11" xfId="3230" xr:uid="{0F09B71B-4B4F-4351-A1B3-5DCF8E31AC6B}"/>
    <cellStyle name="Comma 2 2 2 2 12" xfId="4423" xr:uid="{51CE6DA1-EA3F-4FE4-B050-F8ACE0B0A530}"/>
    <cellStyle name="Comma 2 2 2 2 12 2" xfId="5557" xr:uid="{3FBB7F31-4335-4342-A846-1AC28EC8B780}"/>
    <cellStyle name="Comma 2 2 2 2 2" xfId="66" xr:uid="{F02041A2-1DA9-4152-B5F0-AC1645743C1E}"/>
    <cellStyle name="Comma 2 2 2 2 2 10" xfId="4424" xr:uid="{F604DD15-C7DB-4547-B848-017FABD20A61}"/>
    <cellStyle name="Comma 2 2 2 2 2 10 2" xfId="5558" xr:uid="{06E6A471-DF9F-417F-AA23-7AD7DAF358C8}"/>
    <cellStyle name="Comma 2 2 2 2 2 2" xfId="67" xr:uid="{E6544E4C-D1F4-42F4-9BEA-505BD6E2B12B}"/>
    <cellStyle name="Comma 2 2 2 2 2 2 2" xfId="1787" xr:uid="{16C7F8D6-F58B-4987-BA5F-2B1C701426BB}"/>
    <cellStyle name="Comma 2 2 2 2 2 2 2 2" xfId="2360" xr:uid="{0966DDF1-C448-47B2-B301-5D2D15552AD7}"/>
    <cellStyle name="Comma 2 2 2 2 2 2 2 2 2" xfId="4831" xr:uid="{CD9C2CB4-1A29-4390-94FD-B27376F2F11D}"/>
    <cellStyle name="Comma 2 2 2 2 2 2 2 2 2 2" xfId="5965" xr:uid="{73E05ACC-C618-46C4-A2DC-0E19539A674D}"/>
    <cellStyle name="Comma 2 2 2 2 2 2 2 2 3" xfId="5537" xr:uid="{03CAA942-A07B-427B-9206-47F08DD6E9DA}"/>
    <cellStyle name="Comma 2 2 2 2 2 2 2 2 4" xfId="5150" xr:uid="{A0D31A6B-10AA-4602-B9F4-C94CD5121BE4}"/>
    <cellStyle name="Comma 2 2 2 2 2 2 2 3" xfId="4658" xr:uid="{B6937E1B-830F-4AE4-956B-67FD10FF79CD}"/>
    <cellStyle name="Comma 2 2 2 2 2 2 2 3 2" xfId="5792" xr:uid="{B92C94C4-5585-449C-8DBB-723B0A2D03E5}"/>
    <cellStyle name="Comma 2 2 2 2 2 2 2 4" xfId="5364" xr:uid="{C12B0B01-B4FD-4737-8E70-6A92D3DC5520}"/>
    <cellStyle name="Comma 2 2 2 2 2 2 2 5" xfId="4977" xr:uid="{3164DCD4-4D0E-4E62-B9F8-E175ED7B3BD7}"/>
    <cellStyle name="Comma 2 2 2 2 2 2 3" xfId="2251" xr:uid="{82C11DCE-6359-4457-8793-EC49486B583B}"/>
    <cellStyle name="Comma 2 2 2 2 2 2 3 2" xfId="4722" xr:uid="{F4D226F8-358E-4697-9FC0-7FA00F264B4E}"/>
    <cellStyle name="Comma 2 2 2 2 2 2 3 2 2" xfId="5856" xr:uid="{5B87E787-6CC8-4EC0-886A-C40998236FDC}"/>
    <cellStyle name="Comma 2 2 2 2 2 2 3 3" xfId="5428" xr:uid="{3ED86581-AB8A-4019-AF48-F95111125969}"/>
    <cellStyle name="Comma 2 2 2 2 2 2 3 4" xfId="5041" xr:uid="{03120C5E-8CD1-4A26-A9C8-5F2A7067E5B2}"/>
    <cellStyle name="Comma 2 2 2 2 2 2 4" xfId="4425" xr:uid="{44B1D7D4-0082-4C97-AFF5-336E0A2E8F68}"/>
    <cellStyle name="Comma 2 2 2 2 2 2 4 2" xfId="5559" xr:uid="{145A2ACE-4829-4556-AA58-44476F833C96}"/>
    <cellStyle name="Comma 2 2 2 2 2 2 5" xfId="5162" xr:uid="{81DD9E01-37EB-42B0-B1BB-B0C6EB69E52C}"/>
    <cellStyle name="Comma 2 2 2 2 2 2 6" xfId="4839" xr:uid="{A9AFD66A-434F-4D91-A6A1-FEED8FF6708A}"/>
    <cellStyle name="Comma 2 2 2 2 2 3" xfId="68" xr:uid="{E0D12771-AC45-4800-BCD8-E68E4756A4EA}"/>
    <cellStyle name="Comma 2 2 2 2 2 3 2" xfId="1215" xr:uid="{7DF1BD35-159A-4EB2-8A1A-D7DADEB93B90}"/>
    <cellStyle name="Comma 2 2 2 2 2 3 2 2" xfId="2004" xr:uid="{521B9A62-9180-4C37-8EFC-2777EE1572D4}"/>
    <cellStyle name="Comma 2 2 2 2 2 3 2 2 2" xfId="2929" xr:uid="{7DE8D6B7-D115-4BA5-9FAF-4436BBCA1152}"/>
    <cellStyle name="Comma 2 2 2 2 2 3 2 2 2 2" xfId="3231" xr:uid="{90590F4B-0477-4E93-B5E5-702CBD644D61}"/>
    <cellStyle name="Comma 2 2 2 2 2 3 2 2 3" xfId="2707" xr:uid="{8D0F23CE-C508-4F08-B1BF-A97014D36FA0}"/>
    <cellStyle name="Comma 2 2 2 2 2 3 2 2 3 2" xfId="3232" xr:uid="{B8039A2A-975F-46FE-AF28-4E7EC7B4DBDD}"/>
    <cellStyle name="Comma 2 2 2 2 2 3 2 2 4" xfId="3233" xr:uid="{3202D364-DD6D-4F33-A384-0E33F993AF3E}"/>
    <cellStyle name="Comma 2 2 2 2 2 3 2 3" xfId="2482" xr:uid="{4D035B2C-F489-4EF5-B50B-AE631AB073FB}"/>
    <cellStyle name="Comma 2 2 2 2 2 3 2 3 2" xfId="3234" xr:uid="{7243A8A1-CC51-4917-ACD8-89213510CDC2}"/>
    <cellStyle name="Comma 2 2 2 2 2 3 2 4" xfId="3235" xr:uid="{C4B56DEA-FAE4-4192-8E49-DB13C1A2A21A}"/>
    <cellStyle name="Comma 2 2 2 2 2 3 3" xfId="1934" xr:uid="{B93043C7-B01D-4C2E-9C05-E849D1A1FC83}"/>
    <cellStyle name="Comma 2 2 2 2 2 3 3 2" xfId="2859" xr:uid="{5B7F3A47-A65D-4EE8-88D6-F985F24C8693}"/>
    <cellStyle name="Comma 2 2 2 2 2 3 3 2 2" xfId="3236" xr:uid="{5D3D7C1F-AA4E-4551-93E3-62D7942DE2E0}"/>
    <cellStyle name="Comma 2 2 2 2 2 3 3 3" xfId="2637" xr:uid="{AC4BAA54-C5DA-474B-A395-6547690F414D}"/>
    <cellStyle name="Comma 2 2 2 2 2 3 3 3 2" xfId="3237" xr:uid="{20F08CB9-AAC8-475E-BB34-A38233532E52}"/>
    <cellStyle name="Comma 2 2 2 2 2 3 3 4" xfId="3238" xr:uid="{EAA0D29C-F68C-42F1-966B-4850F62C101A}"/>
    <cellStyle name="Comma 2 2 2 2 2 3 4" xfId="2412" xr:uid="{458ED411-8CE8-4A3C-AF93-3B669ECBD342}"/>
    <cellStyle name="Comma 2 2 2 2 2 3 4 2" xfId="3239" xr:uid="{33CE4070-DA1A-476E-9E66-2BF5DB8F4C50}"/>
    <cellStyle name="Comma 2 2 2 2 2 3 5" xfId="1042" xr:uid="{51D4E256-71F6-4859-BD97-433E99E73607}"/>
    <cellStyle name="Comma 2 2 2 2 2 3 5 2" xfId="3240" xr:uid="{D77ED9EB-8EDD-4C18-8A98-95D6D2957755}"/>
    <cellStyle name="Comma 2 2 2 2 2 3 6" xfId="3241" xr:uid="{E693F245-D614-42DE-B16F-DC83A239A9A4}"/>
    <cellStyle name="Comma 2 2 2 2 2 3 7" xfId="4426" xr:uid="{31B25633-0A12-4738-9147-3117720F30B5}"/>
    <cellStyle name="Comma 2 2 2 2 2 3 7 2" xfId="5560" xr:uid="{BC0C1288-74FE-4651-B166-732F9A0F91BD}"/>
    <cellStyle name="Comma 2 2 2 2 2 3 8" xfId="5163" xr:uid="{6E071D97-4398-473B-8497-71277637E91E}"/>
    <cellStyle name="Comma 2 2 2 2 2 4" xfId="1632" xr:uid="{61E9AEDC-DE59-45F6-BB3D-E2E28A7C1793}"/>
    <cellStyle name="Comma 2 2 2 2 2 4 2" xfId="2286" xr:uid="{952B2F4D-0E6F-4C55-970F-4B264C2B2849}"/>
    <cellStyle name="Comma 2 2 2 2 2 4 2 2" xfId="4757" xr:uid="{0585CB1E-D68C-4115-AC72-7A2374B51C8C}"/>
    <cellStyle name="Comma 2 2 2 2 2 4 2 2 2" xfId="5891" xr:uid="{A1AF2D0A-DF0D-4D83-A300-C543474E0CFF}"/>
    <cellStyle name="Comma 2 2 2 2 2 4 2 3" xfId="5463" xr:uid="{D6C38F67-674D-4A51-9404-6791CA5A1957}"/>
    <cellStyle name="Comma 2 2 2 2 2 4 2 4" xfId="5076" xr:uid="{0723FE59-3482-46DF-840E-DE64D0B6944C}"/>
    <cellStyle name="Comma 2 2 2 2 2 4 3" xfId="4584" xr:uid="{3625ACCA-147C-456C-8BB5-7C2EC4BD4668}"/>
    <cellStyle name="Comma 2 2 2 2 2 4 3 2" xfId="5718" xr:uid="{0CE4DAC9-DA89-4D8E-B44A-E414D83D4A36}"/>
    <cellStyle name="Comma 2 2 2 2 2 4 4" xfId="5290" xr:uid="{EB531B7E-F41A-421C-8F68-68C9577081E4}"/>
    <cellStyle name="Comma 2 2 2 2 2 4 5" xfId="4903" xr:uid="{52AFEAEA-0BA9-44EE-B699-C45B00C44A20}"/>
    <cellStyle name="Comma 2 2 2 2 2 5" xfId="1755" xr:uid="{B90C77AB-DB82-4D81-B0B7-BDB35FD8FAB6}"/>
    <cellStyle name="Comma 2 2 2 2 2 5 2" xfId="2328" xr:uid="{9833057C-2C4E-443B-993A-53F78DA1435B}"/>
    <cellStyle name="Comma 2 2 2 2 2 5 2 2" xfId="4799" xr:uid="{9C520092-5B43-4207-AA73-9DD6D6F933C5}"/>
    <cellStyle name="Comma 2 2 2 2 2 5 2 2 2" xfId="5933" xr:uid="{4A666CDE-7D7B-418F-BACB-F97877EAEF05}"/>
    <cellStyle name="Comma 2 2 2 2 2 5 2 3" xfId="5505" xr:uid="{E97B8A01-D9E5-4698-A339-4F1DEF3E0A44}"/>
    <cellStyle name="Comma 2 2 2 2 2 5 2 4" xfId="5118" xr:uid="{B204F11A-50E9-4E3D-BAD5-DDBBE4290C48}"/>
    <cellStyle name="Comma 2 2 2 2 2 5 3" xfId="4626" xr:uid="{82790DF7-3A8D-4178-A0D1-322282FD33F1}"/>
    <cellStyle name="Comma 2 2 2 2 2 5 3 2" xfId="5760" xr:uid="{9D96296A-BBC6-4469-BC10-F99EDD3F55F6}"/>
    <cellStyle name="Comma 2 2 2 2 2 5 4" xfId="5332" xr:uid="{5CD910BB-ECF8-4EFC-B8DE-BC5A424F4C0C}"/>
    <cellStyle name="Comma 2 2 2 2 2 5 5" xfId="4945" xr:uid="{A6806B8A-1115-47E0-88F4-5406DBB49BC1}"/>
    <cellStyle name="Comma 2 2 2 2 2 6" xfId="2079" xr:uid="{A19F8583-5C73-4643-809C-FE8F1B1AAD62}"/>
    <cellStyle name="Comma 2 2 2 2 2 6 2" xfId="2759" xr:uid="{DBDF0317-25E2-49D4-A7A7-E53BEAEB67C8}"/>
    <cellStyle name="Comma 2 2 2 2 2 6 2 2" xfId="3085" xr:uid="{69225ACB-641A-45A3-9F01-2C182FD6CCB6}"/>
    <cellStyle name="Comma 2 2 2 2 2 6 2 2 2" xfId="3242" xr:uid="{0FF1CA5C-B165-4061-819A-1FE56CB46008}"/>
    <cellStyle name="Comma 2 2 2 2 2 6 2 3" xfId="3243" xr:uid="{4842B8E0-4AED-4D78-B9CC-99E64EFFF840}"/>
    <cellStyle name="Comma 2 2 2 2 2 6 3" xfId="2981" xr:uid="{0A7AB230-02A7-47A8-9474-A2DFA8B62823}"/>
    <cellStyle name="Comma 2 2 2 2 2 6 3 2" xfId="3244" xr:uid="{9703FDDF-FECB-46EC-95FB-5EF105C93271}"/>
    <cellStyle name="Comma 2 2 2 2 2 6 4" xfId="2534" xr:uid="{128EA63E-741E-4E36-9A39-E8953AE92D01}"/>
    <cellStyle name="Comma 2 2 2 2 2 6 4 2" xfId="3245" xr:uid="{CF7560DC-2D25-4B2C-89CF-977382AA0008}"/>
    <cellStyle name="Comma 2 2 2 2 2 6 5" xfId="3246" xr:uid="{F3DFFBD2-4593-4AE9-982E-1C951B4F2AFB}"/>
    <cellStyle name="Comma 2 2 2 2 2 7" xfId="2219" xr:uid="{D1CC6B2B-3D0B-4C6E-8276-EB0429937FF6}"/>
    <cellStyle name="Comma 2 2 2 2 2 7 2" xfId="4690" xr:uid="{CFF2F077-DBCD-43ED-ADC1-347BD0A0D5AD}"/>
    <cellStyle name="Comma 2 2 2 2 2 7 2 2" xfId="5824" xr:uid="{61B9C2E1-3DE3-44C0-8290-3BFAFD8DAF58}"/>
    <cellStyle name="Comma 2 2 2 2 2 7 3" xfId="5396" xr:uid="{E429FF1D-2946-4438-916F-76628245E48D}"/>
    <cellStyle name="Comma 2 2 2 2 2 7 4" xfId="5009" xr:uid="{B534D18C-86DA-42E0-95C4-C0E52F6AB08C}"/>
    <cellStyle name="Comma 2 2 2 2 2 8" xfId="992" xr:uid="{3DDA9140-9FFC-4680-AB2F-229A8947D034}"/>
    <cellStyle name="Comma 2 2 2 2 2 8 2" xfId="3247" xr:uid="{77655A3D-380C-44FD-8EE0-A72AFBD99D5D}"/>
    <cellStyle name="Comma 2 2 2 2 2 9" xfId="3248" xr:uid="{4B4F1252-1443-4905-99EE-D56F76B51E0D}"/>
    <cellStyle name="Comma 2 2 2 2 3" xfId="69" xr:uid="{CD79E986-C9F0-4752-A333-638A5788F709}"/>
    <cellStyle name="Comma 2 2 2 2 3 2" xfId="1656" xr:uid="{A9669CD6-59C9-4867-89FA-DE0A4B2ADE3A}"/>
    <cellStyle name="Comma 2 2 2 2 3 2 2" xfId="2298" xr:uid="{0D07EB21-2CD4-4B74-9AE9-7884BCE1F9E7}"/>
    <cellStyle name="Comma 2 2 2 2 3 2 2 2" xfId="4769" xr:uid="{83294592-DF95-46B4-9DDA-CE99DF230445}"/>
    <cellStyle name="Comma 2 2 2 2 3 2 2 2 2" xfId="5903" xr:uid="{B8214F1D-4786-4090-B681-A2AD9375AD56}"/>
    <cellStyle name="Comma 2 2 2 2 3 2 2 3" xfId="5475" xr:uid="{6723CBFB-49C0-496D-AEA7-06E9F5119EF6}"/>
    <cellStyle name="Comma 2 2 2 2 3 2 2 4" xfId="5088" xr:uid="{13BBBB68-E0EF-4B4A-B845-19B22EF41929}"/>
    <cellStyle name="Comma 2 2 2 2 3 2 3" xfId="4596" xr:uid="{10608429-4CA7-4E7B-A9E3-9C08440F8680}"/>
    <cellStyle name="Comma 2 2 2 2 3 2 3 2" xfId="5730" xr:uid="{5FD464CB-6B54-446A-A5E2-EACF2BD8444A}"/>
    <cellStyle name="Comma 2 2 2 2 3 2 4" xfId="5302" xr:uid="{59395BC7-9D81-4B19-970B-C9ED6D00BE3D}"/>
    <cellStyle name="Comma 2 2 2 2 3 2 5" xfId="4915" xr:uid="{E90A3BDF-F0E0-4AB1-8C18-66A7BEF27975}"/>
    <cellStyle name="Comma 2 2 2 2 3 3" xfId="1771" xr:uid="{AFBC0901-5E04-4FF5-BC90-469F0EC59C5F}"/>
    <cellStyle name="Comma 2 2 2 2 3 3 2" xfId="2344" xr:uid="{F66ADAB9-1B26-4399-8447-E06743075D29}"/>
    <cellStyle name="Comma 2 2 2 2 3 3 2 2" xfId="4815" xr:uid="{2B3DC5EB-EFB0-4E01-9772-B3A76AC8D7FB}"/>
    <cellStyle name="Comma 2 2 2 2 3 3 2 2 2" xfId="5949" xr:uid="{7DD39209-848D-4440-8BF3-6662A76D1772}"/>
    <cellStyle name="Comma 2 2 2 2 3 3 2 3" xfId="5521" xr:uid="{FACFAFE2-EEFC-4332-A048-18879E75CED1}"/>
    <cellStyle name="Comma 2 2 2 2 3 3 2 4" xfId="5134" xr:uid="{334731A4-824B-4EF4-9968-9782B056324D}"/>
    <cellStyle name="Comma 2 2 2 2 3 3 3" xfId="4642" xr:uid="{FD3BFFFB-CC4F-4E15-99C7-FCFFCCCAD4DB}"/>
    <cellStyle name="Comma 2 2 2 2 3 3 3 2" xfId="5776" xr:uid="{891E4945-9B15-4B80-8DCE-5D3F5FB4BD67}"/>
    <cellStyle name="Comma 2 2 2 2 3 3 4" xfId="5348" xr:uid="{FF41DEA4-1077-4375-81B6-49E9132B221A}"/>
    <cellStyle name="Comma 2 2 2 2 3 3 5" xfId="4961" xr:uid="{1BFF277F-CBA0-4A44-9E19-1F1D19811D60}"/>
    <cellStyle name="Comma 2 2 2 2 3 4" xfId="1465" xr:uid="{34CE1B1F-0AD7-43B2-AE5C-DB2B97C783D7}"/>
    <cellStyle name="Comma 2 2 2 2 3 4 2" xfId="2036" xr:uid="{F70C6B46-D85F-49C2-9909-6D102F8B6C31}"/>
    <cellStyle name="Comma 2 2 2 2 3 4 2 2" xfId="2961" xr:uid="{97D74A35-9A14-4CD9-855D-EF54CFF293B5}"/>
    <cellStyle name="Comma 2 2 2 2 3 4 2 2 2" xfId="3249" xr:uid="{D597B287-26BA-4D91-80EC-5E9BDC3E8837}"/>
    <cellStyle name="Comma 2 2 2 2 3 4 2 3" xfId="2739" xr:uid="{4ECD9453-9205-47D4-A811-9075D1B80EA4}"/>
    <cellStyle name="Comma 2 2 2 2 3 4 2 3 2" xfId="3250" xr:uid="{B3A1A468-C00F-4B94-A177-6BDB389D63ED}"/>
    <cellStyle name="Comma 2 2 2 2 3 4 2 4" xfId="3251" xr:uid="{92512815-7D43-4C7F-882A-E47DF96FB4C1}"/>
    <cellStyle name="Comma 2 2 2 2 3 4 3" xfId="2514" xr:uid="{E0E9E87F-B84C-4782-AF9F-8388311C87A4}"/>
    <cellStyle name="Comma 2 2 2 2 3 4 3 2" xfId="3252" xr:uid="{50019C72-1FFA-4DDB-BC4E-770AFC3B2465}"/>
    <cellStyle name="Comma 2 2 2 2 3 4 4" xfId="3253" xr:uid="{35C3C7F5-00C0-4016-A499-5213336CE005}"/>
    <cellStyle name="Comma 2 2 2 2 3 5" xfId="2080" xr:uid="{2E81ABD9-43EC-459F-AF76-0FF01C700FAA}"/>
    <cellStyle name="Comma 2 2 2 2 3 5 2" xfId="2760" xr:uid="{B3D9FCC4-48E2-4236-B3E7-7A20471C08F0}"/>
    <cellStyle name="Comma 2 2 2 2 3 5 2 2" xfId="3086" xr:uid="{1956AB93-6F40-47F4-8011-0E6442C651B6}"/>
    <cellStyle name="Comma 2 2 2 2 3 5 2 2 2" xfId="3254" xr:uid="{6C5A368F-532F-4D13-A2A2-6FFB1523BCAE}"/>
    <cellStyle name="Comma 2 2 2 2 3 5 2 3" xfId="3255" xr:uid="{331F9F94-2035-45A4-B3DA-27DB473A1FA0}"/>
    <cellStyle name="Comma 2 2 2 2 3 5 3" xfId="2982" xr:uid="{B911AECA-C8A2-4795-AF77-544AA4C9083B}"/>
    <cellStyle name="Comma 2 2 2 2 3 5 3 2" xfId="3256" xr:uid="{EBFD0D00-8CEE-455E-8A53-55A1B5C2D728}"/>
    <cellStyle name="Comma 2 2 2 2 3 5 4" xfId="2535" xr:uid="{6D196452-DC50-4E42-8BA4-4693D6DA3A56}"/>
    <cellStyle name="Comma 2 2 2 2 3 5 4 2" xfId="3257" xr:uid="{E3AC9A25-655A-445A-8C76-A284395DB0AF}"/>
    <cellStyle name="Comma 2 2 2 2 3 5 5" xfId="3258" xr:uid="{A97A94AC-4D15-470A-B98C-DCAE6A78A77A}"/>
    <cellStyle name="Comma 2 2 2 2 3 6" xfId="2235" xr:uid="{3ED10A69-5901-4340-9026-8B3BB6DFFE7D}"/>
    <cellStyle name="Comma 2 2 2 2 3 6 2" xfId="4706" xr:uid="{6BEA6D47-9447-4991-9AA2-D20BC1DC64AD}"/>
    <cellStyle name="Comma 2 2 2 2 3 6 2 2" xfId="5840" xr:uid="{4AF997F7-01CA-4114-8B41-A731453607DE}"/>
    <cellStyle name="Comma 2 2 2 2 3 6 3" xfId="5412" xr:uid="{69B62D14-CDBF-4455-82C9-0C095FD4BF13}"/>
    <cellStyle name="Comma 2 2 2 2 3 6 4" xfId="5025" xr:uid="{72CF7A05-3A96-4402-A0F1-C07801219C93}"/>
    <cellStyle name="Comma 2 2 2 2 3 7" xfId="4427" xr:uid="{F5B56CF3-31E7-43D0-9F5A-13F779D1F370}"/>
    <cellStyle name="Comma 2 2 2 2 3 7 2" xfId="5561" xr:uid="{16474C6B-D03F-4183-942D-CD7C3852C4DA}"/>
    <cellStyle name="Comma 2 2 2 2 3 8" xfId="5164" xr:uid="{B124E26E-B0F3-44BB-8633-82B505389B37}"/>
    <cellStyle name="Comma 2 2 2 2 3 9" xfId="4840" xr:uid="{A09B2F21-1762-4F87-97CC-BA95B28D6AB4}"/>
    <cellStyle name="Comma 2 2 2 2 4" xfId="70" xr:uid="{40FA10E4-09D8-4176-B1FF-F36DB6B6F35D}"/>
    <cellStyle name="Comma 2 2 2 2 4 2" xfId="1199" xr:uid="{97D49FC1-B960-433A-ADAA-D18A3CFF6017}"/>
    <cellStyle name="Comma 2 2 2 2 4 2 2" xfId="1988" xr:uid="{5B4FBE14-3C64-445A-BF8D-5295FF88EABE}"/>
    <cellStyle name="Comma 2 2 2 2 4 2 2 2" xfId="2913" xr:uid="{228D4087-6F54-46A8-8816-0392F9C7C91A}"/>
    <cellStyle name="Comma 2 2 2 2 4 2 2 2 2" xfId="3259" xr:uid="{F2240E7F-37C0-42F3-B6B2-19D8FF57CCA6}"/>
    <cellStyle name="Comma 2 2 2 2 4 2 2 3" xfId="2691" xr:uid="{1366ADD1-C6D1-44C9-9E7E-39E61651312F}"/>
    <cellStyle name="Comma 2 2 2 2 4 2 2 3 2" xfId="3260" xr:uid="{A644490F-218C-49C8-BD6A-877A00F56458}"/>
    <cellStyle name="Comma 2 2 2 2 4 2 2 4" xfId="3261" xr:uid="{96CFADE6-73D9-4870-95D1-59126512FBE1}"/>
    <cellStyle name="Comma 2 2 2 2 4 2 3" xfId="2466" xr:uid="{3E8FD529-9668-42C8-9C6D-045ABA00C9CA}"/>
    <cellStyle name="Comma 2 2 2 2 4 2 3 2" xfId="3262" xr:uid="{D269F7A4-26A2-4C3B-A93C-92AC1761CC4B}"/>
    <cellStyle name="Comma 2 2 2 2 4 2 4" xfId="3263" xr:uid="{9A4B84E3-8580-4913-8AE9-FE2C312D4669}"/>
    <cellStyle name="Comma 2 2 2 2 4 3" xfId="1918" xr:uid="{1B690B95-C113-4D48-8076-48200DA59C86}"/>
    <cellStyle name="Comma 2 2 2 2 4 3 2" xfId="2843" xr:uid="{A0366AFA-0AC4-4E8E-9FFA-E1CBAB44AEDD}"/>
    <cellStyle name="Comma 2 2 2 2 4 3 2 2" xfId="3264" xr:uid="{2A636E09-E3BD-46E9-ACD4-12DAEF5D9377}"/>
    <cellStyle name="Comma 2 2 2 2 4 3 3" xfId="2621" xr:uid="{E814F49A-D4B2-4446-AAB5-C12C960ED4CB}"/>
    <cellStyle name="Comma 2 2 2 2 4 3 3 2" xfId="3265" xr:uid="{A331FFBF-FC38-4E5E-9840-8A70EB4FC27B}"/>
    <cellStyle name="Comma 2 2 2 2 4 3 4" xfId="3266" xr:uid="{F4D2A1A7-CA84-4F0B-9489-2E4837183EB9}"/>
    <cellStyle name="Comma 2 2 2 2 4 4" xfId="2396" xr:uid="{5F9433C1-F31B-4CB1-8789-19A2217FA2CB}"/>
    <cellStyle name="Comma 2 2 2 2 4 4 2" xfId="3267" xr:uid="{95A5CA72-E1B6-4C25-931F-7155A04E6BA5}"/>
    <cellStyle name="Comma 2 2 2 2 4 5" xfId="1026" xr:uid="{D3A2FECD-58CD-47B0-88A2-917765FA653F}"/>
    <cellStyle name="Comma 2 2 2 2 4 5 2" xfId="3268" xr:uid="{ED6ECF47-8D70-4060-81FE-101DD00ACAF8}"/>
    <cellStyle name="Comma 2 2 2 2 4 6" xfId="3269" xr:uid="{2A116078-D581-45CB-96BB-A8B4069DAEB0}"/>
    <cellStyle name="Comma 2 2 2 2 4 7" xfId="4428" xr:uid="{190F65B3-2673-4BF4-88B5-E5E9295F2D32}"/>
    <cellStyle name="Comma 2 2 2 2 4 7 2" xfId="5562" xr:uid="{895C8353-F661-46F7-AC7A-6C93276F1B92}"/>
    <cellStyle name="Comma 2 2 2 2 4 8" xfId="5165" xr:uid="{0DDFB1AA-91D9-43F6-93FA-F55132C468A2}"/>
    <cellStyle name="Comma 2 2 2 2 5" xfId="1511" xr:uid="{9A4A22E0-2EA1-4CF4-8FF8-AFE1E698CD32}"/>
    <cellStyle name="Comma 2 2 2 2 5 2" xfId="2081" xr:uid="{18D1F057-A823-4FB5-ABEF-EE021CEFBC06}"/>
    <cellStyle name="Comma 2 2 2 2 5 2 2" xfId="2761" xr:uid="{2A472A44-F321-4496-BC61-7FBBB7C523B0}"/>
    <cellStyle name="Comma 2 2 2 2 5 2 2 2" xfId="3087" xr:uid="{8E9CD3F9-3399-469C-A9DB-8BF40ED4C6CA}"/>
    <cellStyle name="Comma 2 2 2 2 5 2 2 2 2" xfId="3270" xr:uid="{CD31F775-B4A3-48F0-A584-ED7B469BE5F4}"/>
    <cellStyle name="Comma 2 2 2 2 5 2 2 3" xfId="3271" xr:uid="{E338E099-5ED0-4A71-8B0C-FCAE1ABBEA3D}"/>
    <cellStyle name="Comma 2 2 2 2 5 2 3" xfId="2983" xr:uid="{77E66861-C464-43D9-A11E-E0EEE163C256}"/>
    <cellStyle name="Comma 2 2 2 2 5 2 3 2" xfId="3272" xr:uid="{D1122BAC-1D63-4058-809F-D134D157B880}"/>
    <cellStyle name="Comma 2 2 2 2 5 2 4" xfId="2536" xr:uid="{DC1BD1DC-722F-481B-BC6C-19971DF9B200}"/>
    <cellStyle name="Comma 2 2 2 2 5 2 4 2" xfId="3273" xr:uid="{FCF9D551-3C3E-49DD-AFD3-7DA0067E1BE4}"/>
    <cellStyle name="Comma 2 2 2 2 5 2 5" xfId="3274" xr:uid="{1354FBCB-F0DC-47CD-A3A5-23B5E5FFFE7B}"/>
    <cellStyle name="Comma 2 2 2 2 5 3" xfId="2049" xr:uid="{ADB2F821-53BF-407A-9340-333730B1438E}"/>
    <cellStyle name="Comma 2 2 2 2 5 3 2" xfId="2974" xr:uid="{C623E876-5945-4A54-BC02-46FADA883484}"/>
    <cellStyle name="Comma 2 2 2 2 5 3 2 2" xfId="3275" xr:uid="{BA32EFBA-2BA7-4802-ADBB-FE5CC1A361F2}"/>
    <cellStyle name="Comma 2 2 2 2 5 3 3" xfId="2752" xr:uid="{9E6D2851-4DDE-41D6-ACB1-37B25D05B44E}"/>
    <cellStyle name="Comma 2 2 2 2 5 3 3 2" xfId="3276" xr:uid="{FA158C78-3054-4423-AD5A-D6083D8ED308}"/>
    <cellStyle name="Comma 2 2 2 2 5 3 4" xfId="3277" xr:uid="{9593C75A-5373-41F0-A0C7-DB0327054E37}"/>
    <cellStyle name="Comma 2 2 2 2 5 4" xfId="2527" xr:uid="{78A285A9-A5EB-4588-AF51-6D5DB89B77BA}"/>
    <cellStyle name="Comma 2 2 2 2 5 4 2" xfId="3278" xr:uid="{AAD3B242-7468-492E-BD3F-231C8E0B7F88}"/>
    <cellStyle name="Comma 2 2 2 2 5 5" xfId="3279" xr:uid="{C86B31E3-3D6F-4F74-8D38-B74577F6CD04}"/>
    <cellStyle name="Comma 2 2 2 2 6" xfId="1551" xr:uid="{BAB2EFD7-7CAC-4397-9B4E-F89E36420B10}"/>
    <cellStyle name="Comma 2 2 2 2 6 2" xfId="2271" xr:uid="{9D6F808B-CB4E-47D9-A933-8553D4598D4B}"/>
    <cellStyle name="Comma 2 2 2 2 6 2 2" xfId="4742" xr:uid="{A17B060D-4875-4919-A16C-DED35B9533E8}"/>
    <cellStyle name="Comma 2 2 2 2 6 2 2 2" xfId="5876" xr:uid="{51D67FDF-912C-46A7-97C6-7B5A89B3E6A4}"/>
    <cellStyle name="Comma 2 2 2 2 6 2 3" xfId="5448" xr:uid="{AC181D4E-B2A8-46EB-B32C-2033CF67BBFE}"/>
    <cellStyle name="Comma 2 2 2 2 6 2 4" xfId="5061" xr:uid="{C2903D89-74B1-42EE-B8E6-E04DC8A50177}"/>
    <cellStyle name="Comma 2 2 2 2 6 3" xfId="4569" xr:uid="{F3F6405E-A059-493E-A77A-2C2ACD06139E}"/>
    <cellStyle name="Comma 2 2 2 2 6 3 2" xfId="5703" xr:uid="{27981C4F-FC95-471B-9265-4C14460AE8C7}"/>
    <cellStyle name="Comma 2 2 2 2 6 4" xfId="5275" xr:uid="{49FD7FA2-4489-4E59-9B3C-DF931B1C75BC}"/>
    <cellStyle name="Comma 2 2 2 2 6 5" xfId="4888" xr:uid="{7F58CFDC-66B3-4784-9EF9-492411355D62}"/>
    <cellStyle name="Comma 2 2 2 2 7" xfId="1739" xr:uid="{BC2C8CE5-C93D-4418-B429-254922BBFDAA}"/>
    <cellStyle name="Comma 2 2 2 2 7 2" xfId="2312" xr:uid="{61101173-077C-43E8-AEAA-1A7545FB3C7A}"/>
    <cellStyle name="Comma 2 2 2 2 7 2 2" xfId="4783" xr:uid="{6D572205-B39E-4C5C-ACB9-152FBD530EA4}"/>
    <cellStyle name="Comma 2 2 2 2 7 2 2 2" xfId="5917" xr:uid="{A6D57765-38A7-4135-BA5E-378809D475B6}"/>
    <cellStyle name="Comma 2 2 2 2 7 2 3" xfId="5489" xr:uid="{03B9232C-F9F6-43DD-9ABC-11322010A04E}"/>
    <cellStyle name="Comma 2 2 2 2 7 2 4" xfId="5102" xr:uid="{921C6DBC-ECE7-499C-965A-3BB13C92E132}"/>
    <cellStyle name="Comma 2 2 2 2 7 3" xfId="4610" xr:uid="{547AE474-535D-40AE-94DC-40A0236830BB}"/>
    <cellStyle name="Comma 2 2 2 2 7 3 2" xfId="5744" xr:uid="{29519602-0DA7-44C7-B0D5-81F7E7850F14}"/>
    <cellStyle name="Comma 2 2 2 2 7 4" xfId="5316" xr:uid="{EF69BE2F-423C-489D-9CB5-75E9ACF0F691}"/>
    <cellStyle name="Comma 2 2 2 2 7 5" xfId="4929" xr:uid="{D3B260AA-AB11-4239-8EDA-8DE6B09824D8}"/>
    <cellStyle name="Comma 2 2 2 2 8" xfId="2082" xr:uid="{4C13D3A9-2961-420F-B94D-E11BF65BAEB6}"/>
    <cellStyle name="Comma 2 2 2 2 8 2" xfId="2762" xr:uid="{F565C0B0-6246-4F1F-8597-86E2D8513FAB}"/>
    <cellStyle name="Comma 2 2 2 2 8 2 2" xfId="3088" xr:uid="{5ED2A8D8-5832-45CD-813D-FC95AC0A89AC}"/>
    <cellStyle name="Comma 2 2 2 2 8 2 2 2" xfId="3280" xr:uid="{13A09096-3E07-480B-A2B4-F5E469878DD5}"/>
    <cellStyle name="Comma 2 2 2 2 8 2 3" xfId="3281" xr:uid="{E58CD526-E571-4F2D-9104-4B92BA0E7185}"/>
    <cellStyle name="Comma 2 2 2 2 8 3" xfId="2984" xr:uid="{A314CAA2-6C97-48CE-ADFB-0B1978A7646E}"/>
    <cellStyle name="Comma 2 2 2 2 8 3 2" xfId="3282" xr:uid="{DD67B94A-EF12-4A09-B8DF-653D9DAC3A75}"/>
    <cellStyle name="Comma 2 2 2 2 8 4" xfId="2537" xr:uid="{1112A204-06E8-4155-BBD0-2722E1D3BC74}"/>
    <cellStyle name="Comma 2 2 2 2 8 4 2" xfId="3283" xr:uid="{5F1029E4-B6D2-4775-AE23-D1147993839E}"/>
    <cellStyle name="Comma 2 2 2 2 8 5" xfId="3284" xr:uid="{C2D7D783-B101-44A1-A4C1-B1750E21F07C}"/>
    <cellStyle name="Comma 2 2 2 2 9" xfId="2203" xr:uid="{9451D3A1-FCC3-40DA-9A3F-1C34932F8C35}"/>
    <cellStyle name="Comma 2 2 2 2 9 2" xfId="4674" xr:uid="{C450B695-EFB8-4146-8D1B-37863C6D0021}"/>
    <cellStyle name="Comma 2 2 2 2 9 2 2" xfId="5808" xr:uid="{C40078FF-B37C-400C-A838-7B371619163A}"/>
    <cellStyle name="Comma 2 2 2 2 9 3" xfId="5380" xr:uid="{2A2C5D2B-952D-43C9-81CA-59CA8C6CC840}"/>
    <cellStyle name="Comma 2 2 2 2 9 4" xfId="4993" xr:uid="{6CC7B46B-200E-4446-AB94-AC7B24A3117D}"/>
    <cellStyle name="Comma 2 2 2 3" xfId="71" xr:uid="{2F463D13-45E6-4A6B-BB00-4E2CC96D3F52}"/>
    <cellStyle name="Comma 2 2 2 3 10" xfId="4429" xr:uid="{14B4317D-3F3B-425B-8DEC-F07E243D5F87}"/>
    <cellStyle name="Comma 2 2 2 3 10 2" xfId="5563" xr:uid="{4831F5FB-57B2-4F45-AC1A-652A3FAAE405}"/>
    <cellStyle name="Comma 2 2 2 3 2" xfId="72" xr:uid="{2619F477-8793-48AA-B805-27FACB877CC1}"/>
    <cellStyle name="Comma 2 2 2 3 2 2" xfId="1780" xr:uid="{74C83388-E65F-4DC4-9074-BD8926A578A5}"/>
    <cellStyle name="Comma 2 2 2 3 2 2 2" xfId="2353" xr:uid="{784216E3-0EED-49DF-9E0A-827EC2905D03}"/>
    <cellStyle name="Comma 2 2 2 3 2 2 2 2" xfId="4824" xr:uid="{7416D1B2-AD81-4F79-BEA5-C5553A3A5D5E}"/>
    <cellStyle name="Comma 2 2 2 3 2 2 2 2 2" xfId="5958" xr:uid="{6DE7FA94-4AB9-4950-BC52-2B9207154050}"/>
    <cellStyle name="Comma 2 2 2 3 2 2 2 3" xfId="5530" xr:uid="{819DA398-7041-4A66-9BBD-C2920C1E9251}"/>
    <cellStyle name="Comma 2 2 2 3 2 2 2 4" xfId="5143" xr:uid="{C5CA0AA0-1873-4FF0-A529-D608FB11A047}"/>
    <cellStyle name="Comma 2 2 2 3 2 2 3" xfId="4651" xr:uid="{524B74ED-954B-4AB6-B4AB-D0EDEFDFD2F7}"/>
    <cellStyle name="Comma 2 2 2 3 2 2 3 2" xfId="5785" xr:uid="{0F7A10D1-3B88-46A7-9B80-6B7189934D28}"/>
    <cellStyle name="Comma 2 2 2 3 2 2 4" xfId="5357" xr:uid="{D391EDB3-6929-4C32-9C12-61C654EE861C}"/>
    <cellStyle name="Comma 2 2 2 3 2 2 5" xfId="4970" xr:uid="{86B9DC3E-6BF9-47D5-BE7F-76C2BDE2CEDA}"/>
    <cellStyle name="Comma 2 2 2 3 2 3" xfId="2244" xr:uid="{BF24ED4C-8A86-447A-95E5-17EECD4CD82D}"/>
    <cellStyle name="Comma 2 2 2 3 2 3 2" xfId="4715" xr:uid="{AFF98DA0-C3A5-46B3-9670-C2C5FC329EE6}"/>
    <cellStyle name="Comma 2 2 2 3 2 3 2 2" xfId="5849" xr:uid="{65B4558E-CB97-423E-A0EE-4142B5942507}"/>
    <cellStyle name="Comma 2 2 2 3 2 3 3" xfId="5421" xr:uid="{A75C8E23-0D8D-48CA-8505-96A1BB0A0C43}"/>
    <cellStyle name="Comma 2 2 2 3 2 3 4" xfId="5034" xr:uid="{D6F529D6-96F6-4834-A780-4DBF7C36E5C1}"/>
    <cellStyle name="Comma 2 2 2 3 2 4" xfId="4430" xr:uid="{0D9787CC-8FB2-4D97-AB74-E337847C5CF1}"/>
    <cellStyle name="Comma 2 2 2 3 2 4 2" xfId="5564" xr:uid="{9EFDFAEF-BF18-47D1-814F-DDD65E4C745E}"/>
    <cellStyle name="Comma 2 2 2 3 2 5" xfId="5166" xr:uid="{6E78CF34-F41D-4D5E-BAFE-921F8B3984D7}"/>
    <cellStyle name="Comma 2 2 2 3 2 6" xfId="4841" xr:uid="{3F050B32-B111-4ECF-803C-8F5306ECCF09}"/>
    <cellStyle name="Comma 2 2 2 3 3" xfId="73" xr:uid="{DA773412-36D2-4254-B65B-3B066EA80EE4}"/>
    <cellStyle name="Comma 2 2 2 3 3 2" xfId="1208" xr:uid="{7AF50C08-3871-4293-9C96-BD17D128E11D}"/>
    <cellStyle name="Comma 2 2 2 3 3 2 2" xfId="1997" xr:uid="{3513EFF9-BE40-42F0-8194-442982116662}"/>
    <cellStyle name="Comma 2 2 2 3 3 2 2 2" xfId="2922" xr:uid="{28C51A29-47B9-4509-B74B-9E4FF13485E4}"/>
    <cellStyle name="Comma 2 2 2 3 3 2 2 2 2" xfId="3285" xr:uid="{1CDCB57D-DEE0-45D3-86C9-0CE046C0824F}"/>
    <cellStyle name="Comma 2 2 2 3 3 2 2 3" xfId="2700" xr:uid="{57CD49B1-E4C5-4D71-AC5A-096E47A1E0E5}"/>
    <cellStyle name="Comma 2 2 2 3 3 2 2 3 2" xfId="3286" xr:uid="{1F77D53C-FA43-4C6D-8D29-15041C51DAAD}"/>
    <cellStyle name="Comma 2 2 2 3 3 2 2 4" xfId="3287" xr:uid="{5D948548-FCC9-4B59-92CA-34D5EDB427C5}"/>
    <cellStyle name="Comma 2 2 2 3 3 2 3" xfId="2475" xr:uid="{2520776F-946D-413F-AB30-8245C1134CE5}"/>
    <cellStyle name="Comma 2 2 2 3 3 2 3 2" xfId="3288" xr:uid="{548A59A1-8C45-4854-8745-C4DB6FAA4E75}"/>
    <cellStyle name="Comma 2 2 2 3 3 2 4" xfId="3289" xr:uid="{224D230E-A351-4A6A-ADDB-8206C1A201E8}"/>
    <cellStyle name="Comma 2 2 2 3 3 3" xfId="1927" xr:uid="{68FBF01E-B8D2-4D18-8BEF-E11BFE0A030C}"/>
    <cellStyle name="Comma 2 2 2 3 3 3 2" xfId="2852" xr:uid="{419EA76E-B6ED-4B64-9D3B-8B694CA1E6F4}"/>
    <cellStyle name="Comma 2 2 2 3 3 3 2 2" xfId="3290" xr:uid="{E80996B7-FA7B-46BE-AF64-998231995DBE}"/>
    <cellStyle name="Comma 2 2 2 3 3 3 3" xfId="2630" xr:uid="{C637318C-BB68-4728-BEFA-CF9BD84D3ADB}"/>
    <cellStyle name="Comma 2 2 2 3 3 3 3 2" xfId="3291" xr:uid="{A6FA3675-D48F-42CA-B4C1-93A50CDFA5CA}"/>
    <cellStyle name="Comma 2 2 2 3 3 3 4" xfId="3292" xr:uid="{53511804-C6CF-4ACE-96BF-0F386E6B87CC}"/>
    <cellStyle name="Comma 2 2 2 3 3 4" xfId="2405" xr:uid="{08A4F4C4-BBCF-4FF6-98EA-9CC6D3443230}"/>
    <cellStyle name="Comma 2 2 2 3 3 4 2" xfId="3293" xr:uid="{8CFE29AE-0A28-4F66-85E5-471474ABC45C}"/>
    <cellStyle name="Comma 2 2 2 3 3 5" xfId="1035" xr:uid="{D378C5C9-0ABB-460A-86E8-E045CACDBFA4}"/>
    <cellStyle name="Comma 2 2 2 3 3 5 2" xfId="3294" xr:uid="{6D241405-C436-4D5E-9776-F346D7182CBB}"/>
    <cellStyle name="Comma 2 2 2 3 3 6" xfId="3295" xr:uid="{D9145E46-01D5-43A2-94A6-B2C1F8AC0E6B}"/>
    <cellStyle name="Comma 2 2 2 3 3 7" xfId="4431" xr:uid="{FDA6AC95-13F6-4683-A92A-E97D0F4F32FE}"/>
    <cellStyle name="Comma 2 2 2 3 3 7 2" xfId="5565" xr:uid="{0390170F-231D-4280-B764-CBD26B0CDCCE}"/>
    <cellStyle name="Comma 2 2 2 3 3 8" xfId="5167" xr:uid="{30539B81-2825-4A6A-85D6-5268DA18E1DA}"/>
    <cellStyle name="Comma 2 2 2 3 4" xfId="1626" xr:uid="{9A532B97-48E0-4B05-A615-B5C2BDAC029B}"/>
    <cellStyle name="Comma 2 2 2 3 4 2" xfId="2280" xr:uid="{12FCE393-7839-42A6-BEC7-67BD7E5B2D1C}"/>
    <cellStyle name="Comma 2 2 2 3 4 2 2" xfId="4751" xr:uid="{DC71EA89-7016-4DBF-B654-9A0081FA090B}"/>
    <cellStyle name="Comma 2 2 2 3 4 2 2 2" xfId="5885" xr:uid="{B5270481-501B-4CCF-B691-DB0551F8EF0C}"/>
    <cellStyle name="Comma 2 2 2 3 4 2 3" xfId="5457" xr:uid="{78D4F0AC-50F7-4B4D-94AE-8913CC469A13}"/>
    <cellStyle name="Comma 2 2 2 3 4 2 4" xfId="5070" xr:uid="{2B15F99F-97FD-4C99-B8F6-6324E9612671}"/>
    <cellStyle name="Comma 2 2 2 3 4 3" xfId="4578" xr:uid="{08D8F91D-1C59-4BD8-B888-316E9747428A}"/>
    <cellStyle name="Comma 2 2 2 3 4 3 2" xfId="5712" xr:uid="{ECFD4659-9A33-4D8A-AF66-A315B749AC8C}"/>
    <cellStyle name="Comma 2 2 2 3 4 4" xfId="5284" xr:uid="{59844A8F-DC2A-4BA8-9107-6204F328D41A}"/>
    <cellStyle name="Comma 2 2 2 3 4 5" xfId="4897" xr:uid="{3E816D59-6886-4010-8DFE-C299476CC284}"/>
    <cellStyle name="Comma 2 2 2 3 5" xfId="1748" xr:uid="{11EF03EB-5EAF-4C9C-8E18-D53C6CCC20EE}"/>
    <cellStyle name="Comma 2 2 2 3 5 2" xfId="2321" xr:uid="{1B57BDBC-481F-45EB-B3B4-BE6B680F57E3}"/>
    <cellStyle name="Comma 2 2 2 3 5 2 2" xfId="4792" xr:uid="{145D392D-B16D-429C-8A52-5319C56CD09F}"/>
    <cellStyle name="Comma 2 2 2 3 5 2 2 2" xfId="5926" xr:uid="{79FA2DCB-3F50-41AD-960B-C307FFFFDAEE}"/>
    <cellStyle name="Comma 2 2 2 3 5 2 3" xfId="5498" xr:uid="{B254EE69-6BDC-48E4-A254-63244985557C}"/>
    <cellStyle name="Comma 2 2 2 3 5 2 4" xfId="5111" xr:uid="{93122C7B-2F3D-463B-9103-30EE6B4A74B6}"/>
    <cellStyle name="Comma 2 2 2 3 5 3" xfId="4619" xr:uid="{8ABEDD5E-66A8-405B-8AF4-690FE28010ED}"/>
    <cellStyle name="Comma 2 2 2 3 5 3 2" xfId="5753" xr:uid="{A99993F8-76CC-425B-808C-7D9AB958A16D}"/>
    <cellStyle name="Comma 2 2 2 3 5 4" xfId="5325" xr:uid="{AD9263F7-E3F2-4B8D-82C0-0C76A127520E}"/>
    <cellStyle name="Comma 2 2 2 3 5 5" xfId="4938" xr:uid="{E10816E4-C001-439D-BFD9-D3BDC276FA36}"/>
    <cellStyle name="Comma 2 2 2 3 6" xfId="2083" xr:uid="{9C0AF5C6-5E66-4187-843B-ABA04AADC164}"/>
    <cellStyle name="Comma 2 2 2 3 6 2" xfId="2763" xr:uid="{9E5B3FDB-9F8F-478B-A5DE-01D27A4B948D}"/>
    <cellStyle name="Comma 2 2 2 3 6 2 2" xfId="3089" xr:uid="{192BB654-BA64-42A5-A5B4-5E8B2B289560}"/>
    <cellStyle name="Comma 2 2 2 3 6 2 2 2" xfId="3296" xr:uid="{D59DD585-436C-4E05-AF3A-FF569992E77F}"/>
    <cellStyle name="Comma 2 2 2 3 6 2 3" xfId="3297" xr:uid="{6BB307EA-2170-4D95-8805-962DF7D2CAB7}"/>
    <cellStyle name="Comma 2 2 2 3 6 3" xfId="2985" xr:uid="{43FC7A1D-759F-44FE-9898-40316ECBF0F3}"/>
    <cellStyle name="Comma 2 2 2 3 6 3 2" xfId="3298" xr:uid="{73CE3C44-37D5-4A4C-A5E5-7DE69EEA6240}"/>
    <cellStyle name="Comma 2 2 2 3 6 4" xfId="2538" xr:uid="{904E06F9-09FD-4A8B-8C09-C55FCA4FB672}"/>
    <cellStyle name="Comma 2 2 2 3 6 4 2" xfId="3299" xr:uid="{37393FAE-54F7-49A9-A113-8E6D17911607}"/>
    <cellStyle name="Comma 2 2 2 3 6 5" xfId="3300" xr:uid="{5E040358-6396-45C3-A7F8-194C59CF5768}"/>
    <cellStyle name="Comma 2 2 2 3 7" xfId="2212" xr:uid="{CF3A48E1-CBB6-4E5A-B84E-8781069DAED1}"/>
    <cellStyle name="Comma 2 2 2 3 7 2" xfId="4683" xr:uid="{9818AFD7-CA0C-49C5-BEA9-C7CBD7573CBE}"/>
    <cellStyle name="Comma 2 2 2 3 7 2 2" xfId="5817" xr:uid="{D96813E8-A0F5-43A4-9329-310C5942EB2F}"/>
    <cellStyle name="Comma 2 2 2 3 7 3" xfId="5389" xr:uid="{20FFC570-AC2F-42E3-A06C-DDD118850DC7}"/>
    <cellStyle name="Comma 2 2 2 3 7 4" xfId="5002" xr:uid="{EAFB2701-24C5-41B9-90A5-1141ED5F50DA}"/>
    <cellStyle name="Comma 2 2 2 3 8" xfId="985" xr:uid="{1DA0AEA5-E0C0-41C1-BA51-EEFC78B2A21F}"/>
    <cellStyle name="Comma 2 2 2 3 8 2" xfId="3301" xr:uid="{B936D23F-01F0-448E-A476-0302C92090DE}"/>
    <cellStyle name="Comma 2 2 2 3 9" xfId="3302" xr:uid="{E59AC9C4-7F26-48CC-903C-85E03E852175}"/>
    <cellStyle name="Comma 2 2 2 4" xfId="74" xr:uid="{3871A25C-04DA-4B1D-B8F9-F73E98DECE6C}"/>
    <cellStyle name="Comma 2 2 2 4 10" xfId="5168" xr:uid="{6CD19204-0F7E-4709-BAED-2CAD2B84A1FD}"/>
    <cellStyle name="Comma 2 2 2 4 2" xfId="75" xr:uid="{6BFB66BC-FBBD-43BF-8460-5E6A30568E9D}"/>
    <cellStyle name="Comma 2 2 2 4 2 2" xfId="76" xr:uid="{0AD24A22-85BD-4A79-9210-5E00B1E466BB}"/>
    <cellStyle name="Comma 2 2 2 4 2 2 2" xfId="1234" xr:uid="{61D5C524-A8D0-43B7-9E90-C7E2155E2108}"/>
    <cellStyle name="Comma 2 2 2 4 2 2 2 2" xfId="2023" xr:uid="{35BA08FE-6FE2-49F9-A198-B4E8FA244402}"/>
    <cellStyle name="Comma 2 2 2 4 2 2 2 2 2" xfId="2948" xr:uid="{9D4DD011-0CEC-4399-A2B1-8EB20C02C775}"/>
    <cellStyle name="Comma 2 2 2 4 2 2 2 2 2 2" xfId="3303" xr:uid="{9EF66CC3-4803-4C9F-87AF-2AD18A009BDA}"/>
    <cellStyle name="Comma 2 2 2 4 2 2 2 2 3" xfId="2726" xr:uid="{1BA0E45D-146B-48B4-B103-48CC8B1462D0}"/>
    <cellStyle name="Comma 2 2 2 4 2 2 2 2 3 2" xfId="3304" xr:uid="{3410C009-97D4-49CE-9D8A-8C042BEB982F}"/>
    <cellStyle name="Comma 2 2 2 4 2 2 2 2 4" xfId="3305" xr:uid="{8C6E2414-55AB-447B-A9C3-CBA0A32B49B3}"/>
    <cellStyle name="Comma 2 2 2 4 2 2 2 3" xfId="2501" xr:uid="{A75BC37E-AE1F-4DE4-9B0A-B43A9A4872CE}"/>
    <cellStyle name="Comma 2 2 2 4 2 2 2 3 2" xfId="3306" xr:uid="{55DDF148-22B9-4608-9AEE-1B30A109900C}"/>
    <cellStyle name="Comma 2 2 2 4 2 2 2 4" xfId="3307" xr:uid="{E260021B-5532-4439-B095-74926C8003A1}"/>
    <cellStyle name="Comma 2 2 2 4 2 2 3" xfId="1953" xr:uid="{22D9B845-0B5E-4F3C-B8BF-60609C24C729}"/>
    <cellStyle name="Comma 2 2 2 4 2 2 3 2" xfId="2878" xr:uid="{58975BBB-266F-4847-923E-44F404A6540A}"/>
    <cellStyle name="Comma 2 2 2 4 2 2 3 2 2" xfId="3308" xr:uid="{7A994084-11E2-4649-9786-09977D3A8258}"/>
    <cellStyle name="Comma 2 2 2 4 2 2 3 3" xfId="2656" xr:uid="{B9E4F048-22B4-4CF1-A0AB-BEEF025633E9}"/>
    <cellStyle name="Comma 2 2 2 4 2 2 3 3 2" xfId="3309" xr:uid="{187B3E2F-3FDC-4A31-B608-711B5092E493}"/>
    <cellStyle name="Comma 2 2 2 4 2 2 3 4" xfId="3310" xr:uid="{2D2753CB-1EE7-4B27-B9C8-B0619123B34A}"/>
    <cellStyle name="Comma 2 2 2 4 2 2 4" xfId="2431" xr:uid="{8D3E9799-0B72-4F84-B43B-E67DE0FF43EC}"/>
    <cellStyle name="Comma 2 2 2 4 2 2 4 2" xfId="3311" xr:uid="{C6EA12C5-557E-495C-B97F-B4C4B1498205}"/>
    <cellStyle name="Comma 2 2 2 4 2 2 5" xfId="1061" xr:uid="{CFD23737-9A78-4D1C-A07D-2211E726A86B}"/>
    <cellStyle name="Comma 2 2 2 4 2 2 5 2" xfId="3312" xr:uid="{01A8900F-E8D9-4F3D-A28E-61E000D9DB2A}"/>
    <cellStyle name="Comma 2 2 2 4 2 2 6" xfId="3313" xr:uid="{211F639B-433A-4814-BEA5-89C30DB4A943}"/>
    <cellStyle name="Comma 2 2 2 4 2 2 7" xfId="4434" xr:uid="{717D4553-FA51-44CD-B163-62F6BB9BE072}"/>
    <cellStyle name="Comma 2 2 2 4 2 2 7 2" xfId="5568" xr:uid="{A298776A-BFFB-47EB-82B1-F7D3008CF005}"/>
    <cellStyle name="Comma 2 2 2 4 2 2 8" xfId="5170" xr:uid="{6C1C0BD6-4D90-46A4-A4F4-B2807A266DE3}"/>
    <cellStyle name="Comma 2 2 2 4 2 3" xfId="1184" xr:uid="{8701DEFA-B942-453B-846D-0B0EDC810B02}"/>
    <cellStyle name="Comma 2 2 2 4 2 3 2" xfId="1973" xr:uid="{6F49D010-9DCB-4BD4-8096-5972EBEE7F78}"/>
    <cellStyle name="Comma 2 2 2 4 2 3 2 2" xfId="2898" xr:uid="{9A551225-2FEA-4C36-8496-76A4BC0913DA}"/>
    <cellStyle name="Comma 2 2 2 4 2 3 2 2 2" xfId="3314" xr:uid="{9B6C9B72-12A5-4B21-8CD3-A443E6D04921}"/>
    <cellStyle name="Comma 2 2 2 4 2 3 2 3" xfId="2676" xr:uid="{915EF9E3-6EE9-4464-A25A-1A5249C0049A}"/>
    <cellStyle name="Comma 2 2 2 4 2 3 2 3 2" xfId="3315" xr:uid="{16AB3C84-10EF-4CEC-BD58-FBAA8DC09F0B}"/>
    <cellStyle name="Comma 2 2 2 4 2 3 2 4" xfId="3316" xr:uid="{CD5F6328-3B40-46C3-BAB1-3EC85DBDE9D0}"/>
    <cellStyle name="Comma 2 2 2 4 2 3 3" xfId="2451" xr:uid="{0BDC918F-F203-4C9D-9C44-78227E228521}"/>
    <cellStyle name="Comma 2 2 2 4 2 3 3 2" xfId="3317" xr:uid="{94C51C9D-7743-4965-A81F-4964198FCCFE}"/>
    <cellStyle name="Comma 2 2 2 4 2 3 4" xfId="3318" xr:uid="{81D5026D-20B9-4D6C-8D9A-4B9BFECA9D31}"/>
    <cellStyle name="Comma 2 2 2 4 2 4" xfId="1903" xr:uid="{2B993EFA-6A8D-4384-95FD-A5B3683A8081}"/>
    <cellStyle name="Comma 2 2 2 4 2 4 2" xfId="2828" xr:uid="{D6C10511-4E95-4ECF-A8B6-54475927E396}"/>
    <cellStyle name="Comma 2 2 2 4 2 4 2 2" xfId="3319" xr:uid="{D2E83FA8-17A6-441A-957E-9B3E61888E3D}"/>
    <cellStyle name="Comma 2 2 2 4 2 4 3" xfId="2606" xr:uid="{9E0E2AC2-2930-4755-B565-AC8C602255FC}"/>
    <cellStyle name="Comma 2 2 2 4 2 4 3 2" xfId="3320" xr:uid="{6A95256C-A678-4B7B-BB72-192D566D4794}"/>
    <cellStyle name="Comma 2 2 2 4 2 4 4" xfId="3321" xr:uid="{35034317-C164-45F3-A869-4F4C3EC3D5A9}"/>
    <cellStyle name="Comma 2 2 2 4 2 5" xfId="2381" xr:uid="{2D1BEB3F-CAD0-4198-B0C6-01F12228676F}"/>
    <cellStyle name="Comma 2 2 2 4 2 5 2" xfId="3322" xr:uid="{F8439EBA-0567-4DB9-812C-040CAF2EAD2D}"/>
    <cellStyle name="Comma 2 2 2 4 2 6" xfId="1011" xr:uid="{202DA667-EC55-4C89-9620-E2D888E197CC}"/>
    <cellStyle name="Comma 2 2 2 4 2 6 2" xfId="3323" xr:uid="{E6647F43-3A34-4498-8285-74227E27E9EA}"/>
    <cellStyle name="Comma 2 2 2 4 2 7" xfId="3324" xr:uid="{4254F4BD-607D-4D7C-A754-8A142699B424}"/>
    <cellStyle name="Comma 2 2 2 4 2 8" xfId="4433" xr:uid="{E118F8F7-AEBF-4135-B4D7-B03502695F08}"/>
    <cellStyle name="Comma 2 2 2 4 2 8 2" xfId="5567" xr:uid="{A1DB5623-95B0-4639-9F46-2F38BA6950C6}"/>
    <cellStyle name="Comma 2 2 2 4 2 9" xfId="5169" xr:uid="{36789176-B61D-4928-BBA1-39DB5B6EC237}"/>
    <cellStyle name="Comma 2 2 2 4 3" xfId="77" xr:uid="{1ED1BB0E-861C-4104-8211-30DE8C78E851}"/>
    <cellStyle name="Comma 2 2 2 4 3 2" xfId="1225" xr:uid="{828C9BAF-B137-463E-815D-C2CDAB17E6C9}"/>
    <cellStyle name="Comma 2 2 2 4 3 2 2" xfId="2014" xr:uid="{7AD87545-8B2E-4942-B552-AD6394E37CC4}"/>
    <cellStyle name="Comma 2 2 2 4 3 2 2 2" xfId="2939" xr:uid="{F23910D4-9E7E-4D17-89DA-E920F8C389FD}"/>
    <cellStyle name="Comma 2 2 2 4 3 2 2 2 2" xfId="3325" xr:uid="{2D2C977A-840F-4B23-916C-74169A5E861D}"/>
    <cellStyle name="Comma 2 2 2 4 3 2 2 3" xfId="2717" xr:uid="{3310857A-A062-450A-8352-EA064EC54A69}"/>
    <cellStyle name="Comma 2 2 2 4 3 2 2 3 2" xfId="3326" xr:uid="{006F3C0B-9FD6-44D3-A7CC-B34105A937DB}"/>
    <cellStyle name="Comma 2 2 2 4 3 2 2 4" xfId="3327" xr:uid="{5CA4B1DA-D65C-4F14-80EE-FBAA277631C0}"/>
    <cellStyle name="Comma 2 2 2 4 3 2 3" xfId="2492" xr:uid="{2AEB5618-49F7-4BE1-BC6A-B912152D80B3}"/>
    <cellStyle name="Comma 2 2 2 4 3 2 3 2" xfId="3328" xr:uid="{92E9D92B-9E75-4994-BF8D-160554696FF8}"/>
    <cellStyle name="Comma 2 2 2 4 3 2 4" xfId="3329" xr:uid="{7701F4E4-23A4-4D4A-A917-4314890FFB88}"/>
    <cellStyle name="Comma 2 2 2 4 3 3" xfId="1944" xr:uid="{298A8A33-9571-408B-BA60-67FA090CB1E7}"/>
    <cellStyle name="Comma 2 2 2 4 3 3 2" xfId="2869" xr:uid="{C4B7E30A-33DF-4192-A2BB-34F9E762A305}"/>
    <cellStyle name="Comma 2 2 2 4 3 3 2 2" xfId="3330" xr:uid="{E79D6E87-CECF-4541-A7EE-7D538A81066E}"/>
    <cellStyle name="Comma 2 2 2 4 3 3 3" xfId="2647" xr:uid="{59956A19-9A44-4D42-82A0-B3F8C75ECA36}"/>
    <cellStyle name="Comma 2 2 2 4 3 3 3 2" xfId="3331" xr:uid="{04B922EA-BCA0-4D66-AB2D-12FED6C00E3B}"/>
    <cellStyle name="Comma 2 2 2 4 3 3 4" xfId="3332" xr:uid="{80A7AB08-4932-4D7D-911F-54FE33653226}"/>
    <cellStyle name="Comma 2 2 2 4 3 4" xfId="2422" xr:uid="{4A8F61F2-E1B7-46BF-BED3-6C6A917C7FAA}"/>
    <cellStyle name="Comma 2 2 2 4 3 4 2" xfId="3333" xr:uid="{BA8061D3-196A-4745-86C0-A3453C65C040}"/>
    <cellStyle name="Comma 2 2 2 4 3 5" xfId="1052" xr:uid="{A55BDB10-873C-4D44-81B7-424F4526FD43}"/>
    <cellStyle name="Comma 2 2 2 4 3 5 2" xfId="3334" xr:uid="{5E8E652A-F711-48D1-A652-83DE0E4616D0}"/>
    <cellStyle name="Comma 2 2 2 4 3 6" xfId="3335" xr:uid="{954C7CEC-2CB7-4246-846D-D6DB6368E47E}"/>
    <cellStyle name="Comma 2 2 2 4 3 7" xfId="4435" xr:uid="{DF349050-0E14-4F70-8A9A-DF494D246832}"/>
    <cellStyle name="Comma 2 2 2 4 3 7 2" xfId="5569" xr:uid="{CF7CDA41-D7C9-4697-AA0E-F4ABF7CD0B86}"/>
    <cellStyle name="Comma 2 2 2 4 3 8" xfId="5171" xr:uid="{A7EC76CE-5157-4357-92A2-95ABDB614E0F}"/>
    <cellStyle name="Comma 2 2 2 4 4" xfId="1175" xr:uid="{1457D405-D32F-4970-8819-D85F3B0194C2}"/>
    <cellStyle name="Comma 2 2 2 4 4 2" xfId="1964" xr:uid="{9A2FB06D-80E0-480E-8F76-D6DE0107EE7D}"/>
    <cellStyle name="Comma 2 2 2 4 4 2 2" xfId="2889" xr:uid="{A14C3CFB-F640-4F40-804E-F245213FEA27}"/>
    <cellStyle name="Comma 2 2 2 4 4 2 2 2" xfId="3336" xr:uid="{DC0E5138-A567-4D98-B4F2-A0AD20BED457}"/>
    <cellStyle name="Comma 2 2 2 4 4 2 3" xfId="2667" xr:uid="{B660A540-5469-4C2A-B4A6-E9930EBDAEAE}"/>
    <cellStyle name="Comma 2 2 2 4 4 2 3 2" xfId="3337" xr:uid="{4C1FC9F8-8BBB-4EAD-B1F0-29F36D539C28}"/>
    <cellStyle name="Comma 2 2 2 4 4 2 4" xfId="3338" xr:uid="{A315A06C-3666-44F8-8CE2-DBCAE94C82E8}"/>
    <cellStyle name="Comma 2 2 2 4 4 3" xfId="2442" xr:uid="{5DAB93E7-955F-47AF-AEBA-51436939E27C}"/>
    <cellStyle name="Comma 2 2 2 4 4 3 2" xfId="3339" xr:uid="{1CE31D98-2678-4480-AB0E-54F7F75B64C7}"/>
    <cellStyle name="Comma 2 2 2 4 4 4" xfId="3340" xr:uid="{F39D90DD-5AEB-4A75-82B0-5DC842EFB1AF}"/>
    <cellStyle name="Comma 2 2 2 4 5" xfId="1894" xr:uid="{CDF2B21E-BE88-4B5A-A9C1-6A6B14543B23}"/>
    <cellStyle name="Comma 2 2 2 4 5 2" xfId="2819" xr:uid="{245C8575-54B3-4E23-ADF4-22A07ABE43FC}"/>
    <cellStyle name="Comma 2 2 2 4 5 2 2" xfId="3341" xr:uid="{E97BD9AC-AFDE-4027-A256-54526B410DBF}"/>
    <cellStyle name="Comma 2 2 2 4 5 3" xfId="2597" xr:uid="{02FBF110-2C56-47DB-9A43-D83C451F56F8}"/>
    <cellStyle name="Comma 2 2 2 4 5 3 2" xfId="3342" xr:uid="{2ACD3DC7-58A2-429E-9720-5FE7F3350AE6}"/>
    <cellStyle name="Comma 2 2 2 4 5 4" xfId="3343" xr:uid="{86080E1E-B7B4-42F0-9CED-AEE13DE5F6EC}"/>
    <cellStyle name="Comma 2 2 2 4 6" xfId="2372" xr:uid="{9AB75366-5797-4448-A529-C9577046D73E}"/>
    <cellStyle name="Comma 2 2 2 4 6 2" xfId="3344" xr:uid="{F6FB5462-2D24-4673-A68C-175A26BF9F9B}"/>
    <cellStyle name="Comma 2 2 2 4 7" xfId="1002" xr:uid="{968CA63F-B758-4071-913A-E8D1E77ACC60}"/>
    <cellStyle name="Comma 2 2 2 4 7 2" xfId="3345" xr:uid="{F15559FF-FA49-47E0-AC81-3ECD1802DF01}"/>
    <cellStyle name="Comma 2 2 2 4 8" xfId="3346" xr:uid="{71ED622D-48B1-441D-824B-3080B15A41EE}"/>
    <cellStyle name="Comma 2 2 2 4 9" xfId="4432" xr:uid="{60DAA55A-2C05-4DC5-91DF-983C6F1C1CC3}"/>
    <cellStyle name="Comma 2 2 2 4 9 2" xfId="5566" xr:uid="{59DE4D53-D484-4232-93AC-F9E2A48300CF}"/>
    <cellStyle name="Comma 2 2 2 5" xfId="78" xr:uid="{6A684005-DF11-4733-8807-7B74AC88D565}"/>
    <cellStyle name="Comma 2 2 2 5 2" xfId="1651" xr:uid="{D53F5A3B-F83E-45F8-AFC3-7729619D5BA5}"/>
    <cellStyle name="Comma 2 2 2 5 2 2" xfId="2293" xr:uid="{72B8F6E2-08E3-4020-B8EC-BA70D2932740}"/>
    <cellStyle name="Comma 2 2 2 5 2 2 2" xfId="4764" xr:uid="{FF15F438-973B-48A4-B7A2-ABD270F69435}"/>
    <cellStyle name="Comma 2 2 2 5 2 2 2 2" xfId="5898" xr:uid="{0C76936E-AE1A-4004-A383-1ABFA6FF6CC1}"/>
    <cellStyle name="Comma 2 2 2 5 2 2 3" xfId="5470" xr:uid="{4D71A5C6-10DB-44FA-8BF3-682B63838961}"/>
    <cellStyle name="Comma 2 2 2 5 2 2 4" xfId="5083" xr:uid="{152DE921-3E07-4030-846C-86019C03946F}"/>
    <cellStyle name="Comma 2 2 2 5 2 3" xfId="4591" xr:uid="{6901D294-43CD-4004-B6B1-A2AD9CF76833}"/>
    <cellStyle name="Comma 2 2 2 5 2 3 2" xfId="5725" xr:uid="{D6F86A40-2E8C-4737-B926-EA3F219EA301}"/>
    <cellStyle name="Comma 2 2 2 5 2 4" xfId="5297" xr:uid="{302FAA52-7546-46EE-BC21-9D42E98DAD7D}"/>
    <cellStyle name="Comma 2 2 2 5 2 5" xfId="4910" xr:uid="{68318611-C0C0-4AED-BFBB-8A70A69C91F1}"/>
    <cellStyle name="Comma 2 2 2 5 3" xfId="1764" xr:uid="{7A99FD19-2497-4836-8611-2C559141BE5D}"/>
    <cellStyle name="Comma 2 2 2 5 3 2" xfId="2337" xr:uid="{A3737D10-1ABB-4E45-9031-D4ECD016B682}"/>
    <cellStyle name="Comma 2 2 2 5 3 2 2" xfId="4808" xr:uid="{BD11AECD-C589-4629-8D98-791856A1328F}"/>
    <cellStyle name="Comma 2 2 2 5 3 2 2 2" xfId="5942" xr:uid="{584C6399-1A79-4DF8-82E4-A5FF463E900F}"/>
    <cellStyle name="Comma 2 2 2 5 3 2 3" xfId="5514" xr:uid="{0DEBF48B-4A7C-4E1D-9372-3F931AE4AAA7}"/>
    <cellStyle name="Comma 2 2 2 5 3 2 4" xfId="5127" xr:uid="{633B859C-7042-4AA0-9DA6-2AA12630D378}"/>
    <cellStyle name="Comma 2 2 2 5 3 3" xfId="4635" xr:uid="{E6578B64-BB1E-4EF3-8E11-DC4561A52779}"/>
    <cellStyle name="Comma 2 2 2 5 3 3 2" xfId="5769" xr:uid="{5D045D17-678F-4B63-A837-445E5A5271C4}"/>
    <cellStyle name="Comma 2 2 2 5 3 4" xfId="5341" xr:uid="{5DC1B168-8DF2-49A5-ADE9-051B379BF6BA}"/>
    <cellStyle name="Comma 2 2 2 5 3 5" xfId="4954" xr:uid="{5BCC4BEB-B1B3-4D5E-9D3B-F7E9B40CBFA7}"/>
    <cellStyle name="Comma 2 2 2 5 4" xfId="1506" xr:uid="{AFDCAC50-2A0C-439E-AE41-646E7B4A5068}"/>
    <cellStyle name="Comma 2 2 2 5 4 2" xfId="2044" xr:uid="{9F65B790-9E66-4979-A16E-2C1A82084465}"/>
    <cellStyle name="Comma 2 2 2 5 4 2 2" xfId="2969" xr:uid="{81B2D3AF-A80A-4EA5-9FC0-E01B182C4487}"/>
    <cellStyle name="Comma 2 2 2 5 4 2 2 2" xfId="3347" xr:uid="{4AF89212-570E-45CC-9CF4-3A4AA67A7976}"/>
    <cellStyle name="Comma 2 2 2 5 4 2 3" xfId="2747" xr:uid="{4F0ED19D-6AD5-4C23-95CF-69AE6FD0480A}"/>
    <cellStyle name="Comma 2 2 2 5 4 2 3 2" xfId="3348" xr:uid="{42F0DF2E-102E-45B9-B9C0-5CBDE8E021BD}"/>
    <cellStyle name="Comma 2 2 2 5 4 2 4" xfId="3349" xr:uid="{FD7CC8D2-EAC6-4415-B5AE-58A3FF486B68}"/>
    <cellStyle name="Comma 2 2 2 5 4 3" xfId="2522" xr:uid="{21CE4025-80CD-43FA-AF8B-C79A78016DBA}"/>
    <cellStyle name="Comma 2 2 2 5 4 3 2" xfId="3350" xr:uid="{65C180DF-0EB0-472A-9852-D5E4C5413D5D}"/>
    <cellStyle name="Comma 2 2 2 5 4 4" xfId="3351" xr:uid="{F6C23B4B-70B9-4FB4-B400-8D244CF760F6}"/>
    <cellStyle name="Comma 2 2 2 5 5" xfId="2084" xr:uid="{72D19C87-3BAC-4DC9-9A47-780B0FE76C4A}"/>
    <cellStyle name="Comma 2 2 2 5 5 2" xfId="2764" xr:uid="{1DD75A02-D14E-4079-94C9-9AEBB106F9CF}"/>
    <cellStyle name="Comma 2 2 2 5 5 2 2" xfId="3090" xr:uid="{962F180A-808C-4A2E-AFD4-79BCE8323AC1}"/>
    <cellStyle name="Comma 2 2 2 5 5 2 2 2" xfId="3352" xr:uid="{FA29F7D5-C1DD-41D3-A83C-EE75A8CC1592}"/>
    <cellStyle name="Comma 2 2 2 5 5 2 3" xfId="3353" xr:uid="{04054C37-69F0-47E6-AB5B-97B3C86F1531}"/>
    <cellStyle name="Comma 2 2 2 5 5 3" xfId="2986" xr:uid="{244EAF61-D72F-4108-9C20-855A43A6387F}"/>
    <cellStyle name="Comma 2 2 2 5 5 3 2" xfId="3354" xr:uid="{99DE8D56-26EC-420D-A9F3-7CD6C381AEC0}"/>
    <cellStyle name="Comma 2 2 2 5 5 4" xfId="2539" xr:uid="{43151A41-D1D2-47C1-849E-AEAD7622ED35}"/>
    <cellStyle name="Comma 2 2 2 5 5 4 2" xfId="3355" xr:uid="{30152594-3A1A-4044-9562-3B5A238D4380}"/>
    <cellStyle name="Comma 2 2 2 5 5 5" xfId="3356" xr:uid="{7A6E1DEB-00E3-4231-B092-DEBE4FB3DC86}"/>
    <cellStyle name="Comma 2 2 2 5 6" xfId="2228" xr:uid="{C5620DF8-FF76-4B98-AEED-05BEDAD10F3D}"/>
    <cellStyle name="Comma 2 2 2 5 6 2" xfId="4699" xr:uid="{43A3D77C-64F1-4F05-B1DD-67092ACCF0A2}"/>
    <cellStyle name="Comma 2 2 2 5 6 2 2" xfId="5833" xr:uid="{63FFBCAC-C922-43CE-A329-DA58AFF0C9C3}"/>
    <cellStyle name="Comma 2 2 2 5 6 3" xfId="5405" xr:uid="{5A8053A2-8E4F-4037-940D-97715585808C}"/>
    <cellStyle name="Comma 2 2 2 5 6 4" xfId="5018" xr:uid="{C940B313-B66A-4805-A92C-8DC230E4B120}"/>
    <cellStyle name="Comma 2 2 2 5 7" xfId="4436" xr:uid="{29218A33-CFFF-4BD2-9507-BE228142EA77}"/>
    <cellStyle name="Comma 2 2 2 5 7 2" xfId="5570" xr:uid="{9F7798E0-8782-4EC3-B320-ED35C5DC6F00}"/>
    <cellStyle name="Comma 2 2 2 5 8" xfId="5172" xr:uid="{EBD9EEE0-8F12-424B-B30C-4C6583FE8B4B}"/>
    <cellStyle name="Comma 2 2 2 5 9" xfId="4842" xr:uid="{FE0EAA8D-17C8-40E3-8368-DE491993425A}"/>
    <cellStyle name="Comma 2 2 2 6" xfId="79" xr:uid="{D2DCE153-1608-4D41-9621-866ABAE645F1}"/>
    <cellStyle name="Comma 2 2 2 6 2" xfId="1192" xr:uid="{8D771DF6-2D23-4368-AC8B-99EF1774A580}"/>
    <cellStyle name="Comma 2 2 2 6 2 2" xfId="1981" xr:uid="{2C2046D5-5159-472B-B80C-4042111DCF38}"/>
    <cellStyle name="Comma 2 2 2 6 2 2 2" xfId="2906" xr:uid="{2D97273E-EBDF-4D2E-9E36-6D52CDC401D1}"/>
    <cellStyle name="Comma 2 2 2 6 2 2 2 2" xfId="3357" xr:uid="{D720909C-EA0F-41E7-AEB8-ED24378958A1}"/>
    <cellStyle name="Comma 2 2 2 6 2 2 3" xfId="2684" xr:uid="{6DB6894D-A6AF-48A9-90E1-3E19287D1848}"/>
    <cellStyle name="Comma 2 2 2 6 2 2 3 2" xfId="3358" xr:uid="{4697AAB0-0EB5-47D7-B004-E695960E9A9C}"/>
    <cellStyle name="Comma 2 2 2 6 2 2 4" xfId="3359" xr:uid="{0E07B313-2794-4536-A97E-315231B82E58}"/>
    <cellStyle name="Comma 2 2 2 6 2 3" xfId="2459" xr:uid="{7EBF3FE8-716D-4407-8B21-E87219377002}"/>
    <cellStyle name="Comma 2 2 2 6 2 3 2" xfId="3360" xr:uid="{75A01873-408B-4DA6-933E-C6CF2DD29A7C}"/>
    <cellStyle name="Comma 2 2 2 6 2 4" xfId="3361" xr:uid="{49C6C758-FCC2-4FD4-86D3-2014F9CF4F00}"/>
    <cellStyle name="Comma 2 2 2 6 3" xfId="1911" xr:uid="{ADA5CAA7-E7EC-4E4F-B1FA-28ABB4B75BC0}"/>
    <cellStyle name="Comma 2 2 2 6 3 2" xfId="2836" xr:uid="{0ACE250B-E7AA-4BA4-996C-AF53E79C2C69}"/>
    <cellStyle name="Comma 2 2 2 6 3 2 2" xfId="3362" xr:uid="{BE174E27-8339-41E6-9A9D-67E0FC41B746}"/>
    <cellStyle name="Comma 2 2 2 6 3 3" xfId="2614" xr:uid="{618F6356-179B-4F4F-8A63-C5017F9D56CD}"/>
    <cellStyle name="Comma 2 2 2 6 3 3 2" xfId="3363" xr:uid="{6AA38B51-A232-4151-B6AB-21D3191926AA}"/>
    <cellStyle name="Comma 2 2 2 6 3 4" xfId="3364" xr:uid="{A60E7318-F1DF-4906-981E-FD923E0FB7D7}"/>
    <cellStyle name="Comma 2 2 2 6 4" xfId="2389" xr:uid="{B5A803CF-897F-4563-8F15-93AFB64B4D4B}"/>
    <cellStyle name="Comma 2 2 2 6 4 2" xfId="3365" xr:uid="{05B2FF38-83DF-4EAA-84AF-B6430D2231ED}"/>
    <cellStyle name="Comma 2 2 2 6 5" xfId="1019" xr:uid="{E9E64105-19F7-4112-A330-9491C35FAF12}"/>
    <cellStyle name="Comma 2 2 2 6 5 2" xfId="3366" xr:uid="{2F016A33-C2FF-48A4-9B41-96519ADA17D4}"/>
    <cellStyle name="Comma 2 2 2 6 6" xfId="3367" xr:uid="{1AB114DF-5E39-4015-993C-BFFCE5E2D487}"/>
    <cellStyle name="Comma 2 2 2 6 7" xfId="4437" xr:uid="{5308AEE0-9B87-413B-BCF6-9B579EBA01BA}"/>
    <cellStyle name="Comma 2 2 2 6 7 2" xfId="5571" xr:uid="{4857853F-6C63-4AE5-A81E-472AACDF2C35}"/>
    <cellStyle name="Comma 2 2 2 6 8" xfId="5173" xr:uid="{2A56F2A2-14A0-42C9-B5A6-FFA3A65280D2}"/>
    <cellStyle name="Comma 2 2 2 7" xfId="80" xr:uid="{0268FBEF-31CB-45F8-A24F-C276F550647B}"/>
    <cellStyle name="Comma 2 2 2 7 2" xfId="2264" xr:uid="{9612F8C8-E714-4245-A110-9A609C27A0C7}"/>
    <cellStyle name="Comma 2 2 2 7 2 2" xfId="4735" xr:uid="{C56600C1-6E9D-47D8-A1C8-6AEF855F1AB5}"/>
    <cellStyle name="Comma 2 2 2 7 2 2 2" xfId="5869" xr:uid="{F0B2CECF-3D88-430C-8074-F6388343D40F}"/>
    <cellStyle name="Comma 2 2 2 7 2 3" xfId="5441" xr:uid="{123DD86E-765F-43C0-A0EA-4A5AA9C0A06D}"/>
    <cellStyle name="Comma 2 2 2 7 2 4" xfId="5054" xr:uid="{75D6869B-B15F-45AD-B185-469A43395D37}"/>
    <cellStyle name="Comma 2 2 2 7 3" xfId="1544" xr:uid="{994123AD-84EE-45D2-855E-3BE992F44815}"/>
    <cellStyle name="Comma 2 2 2 7 3 2" xfId="4562" xr:uid="{DB752EA4-CE01-4A54-BB2D-AA4429243BD0}"/>
    <cellStyle name="Comma 2 2 2 7 3 2 2" xfId="5696" xr:uid="{0F61C4F9-A944-4980-ACAB-1D3F6E306CA6}"/>
    <cellStyle name="Comma 2 2 2 7 3 3" xfId="5268" xr:uid="{D39B48A9-8DB5-4221-AE52-338684C9095E}"/>
    <cellStyle name="Comma 2 2 2 7 3 4" xfId="4881" xr:uid="{84DB471F-4D35-4077-8630-1A1A9C9DA151}"/>
    <cellStyle name="Comma 2 2 2 7 4" xfId="3368" xr:uid="{32F0BC13-4953-46A9-96A0-15A9AA1A6508}"/>
    <cellStyle name="Comma 2 2 2 7 5" xfId="4438" xr:uid="{997359CC-D6A0-47C3-AF0B-8E7A8D11AE13}"/>
    <cellStyle name="Comma 2 2 2 7 5 2" xfId="5572" xr:uid="{61490A6B-4351-4AB4-A1F1-926E01562C8E}"/>
    <cellStyle name="Comma 2 2 2 8" xfId="1732" xr:uid="{B9C2B612-49DC-4A16-B76D-50CFA952B515}"/>
    <cellStyle name="Comma 2 2 2 8 2" xfId="2305" xr:uid="{D64B8453-323B-4F54-8466-9D2833677ABD}"/>
    <cellStyle name="Comma 2 2 2 8 2 2" xfId="4776" xr:uid="{D5213300-4FC2-4C9C-BAE1-41CF523C0AE2}"/>
    <cellStyle name="Comma 2 2 2 8 2 2 2" xfId="5910" xr:uid="{6AADD27F-405A-4F49-836F-2EE1659217B6}"/>
    <cellStyle name="Comma 2 2 2 8 2 3" xfId="5482" xr:uid="{EA345EAA-0816-464E-940A-4D71771879C8}"/>
    <cellStyle name="Comma 2 2 2 8 2 4" xfId="5095" xr:uid="{D075FBF6-3E80-4D76-B8FD-3DA8D6B31E36}"/>
    <cellStyle name="Comma 2 2 2 8 3" xfId="4603" xr:uid="{F6B1C2C9-45DE-4846-B31E-ABBBCFE9A4F5}"/>
    <cellStyle name="Comma 2 2 2 8 3 2" xfId="5737" xr:uid="{FE51C496-1434-489D-8BE0-A6D191571B45}"/>
    <cellStyle name="Comma 2 2 2 8 4" xfId="5309" xr:uid="{75BE18EA-630A-4BFC-888A-CB5E384E9A49}"/>
    <cellStyle name="Comma 2 2 2 8 5" xfId="4922" xr:uid="{62CCE032-8774-4103-AF32-878618340ED5}"/>
    <cellStyle name="Comma 2 2 2 9" xfId="1271" xr:uid="{6428CD18-C79F-45C3-AAF4-73A8E89602BF}"/>
    <cellStyle name="Comma 2 2 2 9 2" xfId="2029" xr:uid="{FBAD6BFF-84DE-4C1A-A04E-AA0540BE020C}"/>
    <cellStyle name="Comma 2 2 2 9 2 2" xfId="2954" xr:uid="{B914A553-D536-465E-840F-EF1D5B218210}"/>
    <cellStyle name="Comma 2 2 2 9 2 2 2" xfId="3369" xr:uid="{101A8980-125E-4517-AF16-3ADC5DD6FECD}"/>
    <cellStyle name="Comma 2 2 2 9 2 3" xfId="2732" xr:uid="{864E13D4-0ABE-45BF-A297-3EE24EC0FF69}"/>
    <cellStyle name="Comma 2 2 2 9 2 3 2" xfId="3370" xr:uid="{C65C59F0-AE4A-4933-8229-94C463EA18D1}"/>
    <cellStyle name="Comma 2 2 2 9 2 4" xfId="3371" xr:uid="{71B8C5EE-6E88-4D32-97F4-9F3A50780B74}"/>
    <cellStyle name="Comma 2 2 2 9 3" xfId="2507" xr:uid="{0959F014-D753-4695-B7CD-5B389C0E7160}"/>
    <cellStyle name="Comma 2 2 2 9 3 2" xfId="3372" xr:uid="{B9A3DF8E-88B9-44F3-8FAD-4956D8F4F215}"/>
    <cellStyle name="Comma 2 2 2 9 4" xfId="3373" xr:uid="{0E59ED99-2240-4037-B94F-40BE4B45535C}"/>
    <cellStyle name="Comma 2 2 3" xfId="81" xr:uid="{3AB7D9E8-D0E2-418A-953A-4C1A2E5B741A}"/>
    <cellStyle name="Comma 2 2 3 10" xfId="2200" xr:uid="{41A29808-65D9-4199-A4B2-7EAA19971B56}"/>
    <cellStyle name="Comma 2 2 3 10 2" xfId="4671" xr:uid="{88DFEA52-535F-4371-A611-03993FA119B3}"/>
    <cellStyle name="Comma 2 2 3 10 2 2" xfId="5805" xr:uid="{C7133829-6723-4A5B-B047-8FE988EB80A1}"/>
    <cellStyle name="Comma 2 2 3 10 3" xfId="5377" xr:uid="{76EE429D-9786-4188-918D-5C762C0FF7D5}"/>
    <cellStyle name="Comma 2 2 3 10 4" xfId="4990" xr:uid="{DEB9D6C9-9089-4E4C-820C-FF0A80DC0393}"/>
    <cellStyle name="Comma 2 2 3 11" xfId="968" xr:uid="{3D8FDFB8-F9CF-4A1D-803E-CA20F4D7C75A}"/>
    <cellStyle name="Comma 2 2 3 11 2" xfId="3374" xr:uid="{F1CF61C9-54B1-41F6-A311-FD6E477E8265}"/>
    <cellStyle name="Comma 2 2 3 12" xfId="3375" xr:uid="{D65F15C3-460D-44F5-AB16-AB09704642CC}"/>
    <cellStyle name="Comma 2 2 3 13" xfId="4439" xr:uid="{E5D5C721-59FE-427C-ABC0-ECE73304B841}"/>
    <cellStyle name="Comma 2 2 3 13 2" xfId="5573" xr:uid="{8DAC4D6C-7802-433D-BD26-80EC41F4CA4E}"/>
    <cellStyle name="Comma 2 2 3 2" xfId="82" xr:uid="{BDEEEE56-9B39-45A6-9BFD-B1EDCE38B0F9}"/>
    <cellStyle name="Comma 2 2 3 2 10" xfId="4440" xr:uid="{1D232D79-6904-48B3-958A-DB35CD035F65}"/>
    <cellStyle name="Comma 2 2 3 2 10 2" xfId="5574" xr:uid="{7EA3A35D-1905-4134-AFBD-BDC2BE0CAC6A}"/>
    <cellStyle name="Comma 2 2 3 2 2" xfId="83" xr:uid="{FD27843A-49F1-4C36-AB09-760DB93D8365}"/>
    <cellStyle name="Comma 2 2 3 2 2 2" xfId="1784" xr:uid="{D994DD7F-1075-4538-9C2C-909E061654C3}"/>
    <cellStyle name="Comma 2 2 3 2 2 2 2" xfId="2357" xr:uid="{90A706FD-D881-4DA0-99EB-3B1D900D775C}"/>
    <cellStyle name="Comma 2 2 3 2 2 2 2 2" xfId="4828" xr:uid="{5026B1F2-C85D-4BD9-ACA9-F3992127D813}"/>
    <cellStyle name="Comma 2 2 3 2 2 2 2 2 2" xfId="5962" xr:uid="{162FD61D-9B6E-4486-828D-F6AC573399AC}"/>
    <cellStyle name="Comma 2 2 3 2 2 2 2 3" xfId="5534" xr:uid="{16FA4026-EF4D-4B82-9977-C713588C8AED}"/>
    <cellStyle name="Comma 2 2 3 2 2 2 2 4" xfId="5147" xr:uid="{AFCF5A9E-A757-4255-A850-259BDD8528CE}"/>
    <cellStyle name="Comma 2 2 3 2 2 2 3" xfId="4655" xr:uid="{85BED2E8-C029-4492-AB44-21ECF06BD7AC}"/>
    <cellStyle name="Comma 2 2 3 2 2 2 3 2" xfId="5789" xr:uid="{645BEFD3-0E81-45C2-817E-3BA18611E1B2}"/>
    <cellStyle name="Comma 2 2 3 2 2 2 4" xfId="5361" xr:uid="{21C0C29F-9FDD-48AC-BB69-0C06F3A18069}"/>
    <cellStyle name="Comma 2 2 3 2 2 2 5" xfId="4974" xr:uid="{25118117-68E7-47F5-BD10-3A63404ABE35}"/>
    <cellStyle name="Comma 2 2 3 2 2 3" xfId="2248" xr:uid="{752F70E2-DCB7-47CE-9A62-E5C9BD109C76}"/>
    <cellStyle name="Comma 2 2 3 2 2 3 2" xfId="4719" xr:uid="{F697C6BD-FBB1-43C8-BE57-A276B6E5E9E8}"/>
    <cellStyle name="Comma 2 2 3 2 2 3 2 2" xfId="5853" xr:uid="{11B15D1A-F918-4169-86DA-4A02B225733F}"/>
    <cellStyle name="Comma 2 2 3 2 2 3 3" xfId="5425" xr:uid="{32C777DD-D76A-4722-AAD1-561886E30AA2}"/>
    <cellStyle name="Comma 2 2 3 2 2 3 4" xfId="5038" xr:uid="{F91B2A57-22B2-4FC3-A721-5EDED70D7A16}"/>
    <cellStyle name="Comma 2 2 3 2 2 4" xfId="4441" xr:uid="{9AE29664-1BB1-4C95-A799-B9B2F6156291}"/>
    <cellStyle name="Comma 2 2 3 2 2 4 2" xfId="5575" xr:uid="{351CAA42-3D5D-4638-BD4D-AE5E571230A5}"/>
    <cellStyle name="Comma 2 2 3 2 2 5" xfId="5174" xr:uid="{466C4733-F674-4F42-9143-94FC3A46F0D2}"/>
    <cellStyle name="Comma 2 2 3 2 2 6" xfId="4843" xr:uid="{0E002784-FE1E-4074-9693-D55AFEE705D3}"/>
    <cellStyle name="Comma 2 2 3 2 3" xfId="84" xr:uid="{0CC2EC94-0FD6-4742-B0D3-F3228FE94D99}"/>
    <cellStyle name="Comma 2 2 3 2 3 2" xfId="1212" xr:uid="{DC657B39-2372-4D7D-AD9E-1B41AE3D4F93}"/>
    <cellStyle name="Comma 2 2 3 2 3 2 2" xfId="2001" xr:uid="{89A94790-19E0-408A-9F57-631DA78D5F98}"/>
    <cellStyle name="Comma 2 2 3 2 3 2 2 2" xfId="2926" xr:uid="{F41C66AE-0D68-441B-B2A3-84F544AEDDCC}"/>
    <cellStyle name="Comma 2 2 3 2 3 2 2 2 2" xfId="3376" xr:uid="{D821BB16-DA37-425E-BAB6-E90E57275545}"/>
    <cellStyle name="Comma 2 2 3 2 3 2 2 3" xfId="2704" xr:uid="{A65C862A-B0DB-4E3C-A109-E13C58CA01E5}"/>
    <cellStyle name="Comma 2 2 3 2 3 2 2 3 2" xfId="3377" xr:uid="{6C4E2608-54F3-416F-A402-09A38B7464FE}"/>
    <cellStyle name="Comma 2 2 3 2 3 2 2 4" xfId="3378" xr:uid="{125516AD-6817-48CA-ADA3-577FF38A96EF}"/>
    <cellStyle name="Comma 2 2 3 2 3 2 3" xfId="2479" xr:uid="{8BF13BFF-F2E3-4D5E-BD2E-42F3327F572C}"/>
    <cellStyle name="Comma 2 2 3 2 3 2 3 2" xfId="3379" xr:uid="{840159C3-8809-4EA3-9261-75735E331ADE}"/>
    <cellStyle name="Comma 2 2 3 2 3 2 4" xfId="3380" xr:uid="{845073C0-7F55-4271-85C7-550D7D61CB80}"/>
    <cellStyle name="Comma 2 2 3 2 3 3" xfId="1931" xr:uid="{9B74EDDA-EB85-4B3D-B7D8-809476B5C1BD}"/>
    <cellStyle name="Comma 2 2 3 2 3 3 2" xfId="2856" xr:uid="{75C15E96-5888-4B7E-95FD-6E8BFF08518C}"/>
    <cellStyle name="Comma 2 2 3 2 3 3 2 2" xfId="3381" xr:uid="{44E4B80B-7906-4BEC-8CCC-12A204971C0A}"/>
    <cellStyle name="Comma 2 2 3 2 3 3 3" xfId="2634" xr:uid="{FA451476-6538-4230-812D-FE34DF3E00AE}"/>
    <cellStyle name="Comma 2 2 3 2 3 3 3 2" xfId="3382" xr:uid="{C54821C8-68B6-4E41-9591-9C0908BDAE37}"/>
    <cellStyle name="Comma 2 2 3 2 3 3 4" xfId="3383" xr:uid="{87AB3550-1073-463C-89A8-3BB2902BB1A7}"/>
    <cellStyle name="Comma 2 2 3 2 3 4" xfId="2409" xr:uid="{A8BA0215-8BB3-4350-8666-9B5CA048199F}"/>
    <cellStyle name="Comma 2 2 3 2 3 4 2" xfId="3384" xr:uid="{FE53B4F3-4E83-4DE6-B293-4ACC64B5939A}"/>
    <cellStyle name="Comma 2 2 3 2 3 5" xfId="1039" xr:uid="{D40C6DE6-5F7B-4C9D-9156-F27BB79B7210}"/>
    <cellStyle name="Comma 2 2 3 2 3 5 2" xfId="3385" xr:uid="{69D0EC3C-D16F-4502-970D-E46EE18EF2EA}"/>
    <cellStyle name="Comma 2 2 3 2 3 6" xfId="3386" xr:uid="{7CAD09D0-E294-4B31-9951-515E428FFAEF}"/>
    <cellStyle name="Comma 2 2 3 2 3 7" xfId="4442" xr:uid="{CF18A3C5-4382-40B0-B4A3-89644A67B2F2}"/>
    <cellStyle name="Comma 2 2 3 2 3 7 2" xfId="5576" xr:uid="{CFA93929-5FC0-4ECD-9845-EB285808CEE0}"/>
    <cellStyle name="Comma 2 2 3 2 3 8" xfId="5175" xr:uid="{9A7677AF-F171-489C-9CE5-E43E824F2AFB}"/>
    <cellStyle name="Comma 2 2 3 2 4" xfId="1629" xr:uid="{F322462C-A6A0-4689-A010-8155E6EEE627}"/>
    <cellStyle name="Comma 2 2 3 2 4 2" xfId="2283" xr:uid="{C892331D-B4CC-4CBA-8F5A-02C7119DD86E}"/>
    <cellStyle name="Comma 2 2 3 2 4 2 2" xfId="4754" xr:uid="{CD724D10-1A9F-401D-B47E-327FD7E4F067}"/>
    <cellStyle name="Comma 2 2 3 2 4 2 2 2" xfId="5888" xr:uid="{45C8A404-2FF7-4A17-87C0-2BC68C18B682}"/>
    <cellStyle name="Comma 2 2 3 2 4 2 3" xfId="5460" xr:uid="{DCA15D19-E849-4E10-8648-94004C35B155}"/>
    <cellStyle name="Comma 2 2 3 2 4 2 4" xfId="5073" xr:uid="{81FF60DA-7821-4AEA-BE31-592284944148}"/>
    <cellStyle name="Comma 2 2 3 2 4 3" xfId="4581" xr:uid="{6EB27178-E0A7-4BE1-BAE7-E19097EC6DF8}"/>
    <cellStyle name="Comma 2 2 3 2 4 3 2" xfId="5715" xr:uid="{964A94EC-5AF5-421E-9007-3CABD73D0A9E}"/>
    <cellStyle name="Comma 2 2 3 2 4 4" xfId="5287" xr:uid="{5FCE3A0F-91BB-4024-B0AF-BC490E9209D9}"/>
    <cellStyle name="Comma 2 2 3 2 4 5" xfId="4900" xr:uid="{16F8A46A-9EE8-4D84-9C06-E622B1CBDE60}"/>
    <cellStyle name="Comma 2 2 3 2 5" xfId="1752" xr:uid="{3B410DC1-E1E7-46F9-89C3-FDE1E019F442}"/>
    <cellStyle name="Comma 2 2 3 2 5 2" xfId="2325" xr:uid="{93911061-F8F7-4D7A-A4B7-64EA126DA0C6}"/>
    <cellStyle name="Comma 2 2 3 2 5 2 2" xfId="4796" xr:uid="{36118282-6AD8-458E-BBDA-78888591051E}"/>
    <cellStyle name="Comma 2 2 3 2 5 2 2 2" xfId="5930" xr:uid="{710A30B9-B78D-49E5-964E-84E48B319A33}"/>
    <cellStyle name="Comma 2 2 3 2 5 2 3" xfId="5502" xr:uid="{BC9486A1-4008-46E6-AAC8-349DD841E4BF}"/>
    <cellStyle name="Comma 2 2 3 2 5 2 4" xfId="5115" xr:uid="{7973DA14-0684-490D-80E6-3DAFDF2C89E7}"/>
    <cellStyle name="Comma 2 2 3 2 5 3" xfId="4623" xr:uid="{A7B88A7B-1ECB-4344-9451-E6AF392D0AB4}"/>
    <cellStyle name="Comma 2 2 3 2 5 3 2" xfId="5757" xr:uid="{8F1D0BD1-810D-4A46-BEE8-D6698AADF567}"/>
    <cellStyle name="Comma 2 2 3 2 5 4" xfId="5329" xr:uid="{5F625004-D723-455C-A5F3-4C181E688ADA}"/>
    <cellStyle name="Comma 2 2 3 2 5 5" xfId="4942" xr:uid="{5932D579-3E08-445C-A41E-400ECAEDADBE}"/>
    <cellStyle name="Comma 2 2 3 2 6" xfId="2085" xr:uid="{522E4325-D964-4C1E-BC4D-CA8F85941F80}"/>
    <cellStyle name="Comma 2 2 3 2 6 2" xfId="2765" xr:uid="{126227FB-AEF1-440A-9A45-78EE590FFD1F}"/>
    <cellStyle name="Comma 2 2 3 2 6 2 2" xfId="3091" xr:uid="{E679EB47-ED2B-4565-82A8-71E4720DEE64}"/>
    <cellStyle name="Comma 2 2 3 2 6 2 2 2" xfId="3387" xr:uid="{DE655215-19C3-4459-AC65-3B3B762D4751}"/>
    <cellStyle name="Comma 2 2 3 2 6 2 3" xfId="3388" xr:uid="{6FB4E458-748F-4A16-9EFC-0A8E916BBFD8}"/>
    <cellStyle name="Comma 2 2 3 2 6 3" xfId="2987" xr:uid="{CC75EA65-D4D1-4D0A-8DB2-59AB7DBCBE85}"/>
    <cellStyle name="Comma 2 2 3 2 6 3 2" xfId="3389" xr:uid="{10E8711F-B754-4BA2-8634-68C90FD10F01}"/>
    <cellStyle name="Comma 2 2 3 2 6 4" xfId="2540" xr:uid="{D5CBA11C-00C4-4AF2-B13E-F2D965C7B889}"/>
    <cellStyle name="Comma 2 2 3 2 6 4 2" xfId="3390" xr:uid="{8976DA77-91E6-4F65-B2D1-70D534A749B3}"/>
    <cellStyle name="Comma 2 2 3 2 6 5" xfId="3391" xr:uid="{7329DEAB-A831-48C8-A4D5-99A7426C3F13}"/>
    <cellStyle name="Comma 2 2 3 2 7" xfId="2216" xr:uid="{920E4FE9-28B2-4F54-87A5-B2345660B207}"/>
    <cellStyle name="Comma 2 2 3 2 7 2" xfId="4687" xr:uid="{9CE8156A-8A79-4BC5-8834-DFF2A637F93C}"/>
    <cellStyle name="Comma 2 2 3 2 7 2 2" xfId="5821" xr:uid="{52FCEA96-3F40-44A1-B00D-4AFAC63B7660}"/>
    <cellStyle name="Comma 2 2 3 2 7 3" xfId="5393" xr:uid="{131052F1-A4D7-4039-B988-F6F1E1886238}"/>
    <cellStyle name="Comma 2 2 3 2 7 4" xfId="5006" xr:uid="{2DA74902-B139-485B-9C41-4634C7CE377A}"/>
    <cellStyle name="Comma 2 2 3 2 8" xfId="989" xr:uid="{5146983C-0318-4F31-B7BB-834E05C60D14}"/>
    <cellStyle name="Comma 2 2 3 2 8 2" xfId="3392" xr:uid="{44C8E5A5-20E5-45A9-B812-311CFD5106BC}"/>
    <cellStyle name="Comma 2 2 3 2 9" xfId="3393" xr:uid="{CA5D8F7D-3489-4291-8460-D8D8A2813838}"/>
    <cellStyle name="Comma 2 2 3 3" xfId="85" xr:uid="{F183FB23-BB5C-4528-BEE1-E8B9FA89E1CE}"/>
    <cellStyle name="Comma 2 2 3 3 2" xfId="1653" xr:uid="{0CE5AFF4-33CA-4FDA-BB59-6A19D3427B5C}"/>
    <cellStyle name="Comma 2 2 3 3 2 2" xfId="2295" xr:uid="{2DD6515C-9EEC-46A2-9BD5-AC6F2C410BAB}"/>
    <cellStyle name="Comma 2 2 3 3 2 2 2" xfId="4766" xr:uid="{82971750-005F-47BE-B817-AA50EEBFDCBD}"/>
    <cellStyle name="Comma 2 2 3 3 2 2 2 2" xfId="5900" xr:uid="{53DBB405-E70C-4241-9E22-1D52177DD4ED}"/>
    <cellStyle name="Comma 2 2 3 3 2 2 3" xfId="5472" xr:uid="{6AC4E561-FEFE-4896-A058-4AFE44B56FA9}"/>
    <cellStyle name="Comma 2 2 3 3 2 2 4" xfId="5085" xr:uid="{BFE5FC2C-1E2D-4E20-8E5B-009413352B6D}"/>
    <cellStyle name="Comma 2 2 3 3 2 3" xfId="4593" xr:uid="{7388A0C2-07F7-41DC-853D-F6BAA48D6A6C}"/>
    <cellStyle name="Comma 2 2 3 3 2 3 2" xfId="5727" xr:uid="{DB61E511-962A-41A3-BA1C-840D8470632B}"/>
    <cellStyle name="Comma 2 2 3 3 2 4" xfId="5299" xr:uid="{0620490C-53EB-4AE6-8C18-42816056E6D6}"/>
    <cellStyle name="Comma 2 2 3 3 2 5" xfId="4912" xr:uid="{B6EB6CA3-9326-49B6-83FC-7F71CD43A363}"/>
    <cellStyle name="Comma 2 2 3 3 3" xfId="1768" xr:uid="{9E1DFF04-2F00-4A9A-94E4-56F1546D1C5E}"/>
    <cellStyle name="Comma 2 2 3 3 3 2" xfId="2341" xr:uid="{F97B638B-DBEB-4239-9530-FCB39E143CCF}"/>
    <cellStyle name="Comma 2 2 3 3 3 2 2" xfId="4812" xr:uid="{9C49245E-E84B-4B40-BF54-309E865009C5}"/>
    <cellStyle name="Comma 2 2 3 3 3 2 2 2" xfId="5946" xr:uid="{69F9DC40-37EA-4501-BE9B-FDB2EA80A3BE}"/>
    <cellStyle name="Comma 2 2 3 3 3 2 3" xfId="5518" xr:uid="{A7A76432-2D4F-4352-96F3-7A3596D002D9}"/>
    <cellStyle name="Comma 2 2 3 3 3 2 4" xfId="5131" xr:uid="{E511F3CA-E38E-4F3A-910D-DAF152C91B0F}"/>
    <cellStyle name="Comma 2 2 3 3 3 3" xfId="4639" xr:uid="{DDB37941-9486-4EDB-A314-615DCCB7946D}"/>
    <cellStyle name="Comma 2 2 3 3 3 3 2" xfId="5773" xr:uid="{F26D2A52-FAE8-4694-A0A9-765E7A5162B4}"/>
    <cellStyle name="Comma 2 2 3 3 3 4" xfId="5345" xr:uid="{94D14893-77C8-4A54-B08B-008AE186D192}"/>
    <cellStyle name="Comma 2 2 3 3 3 5" xfId="4958" xr:uid="{C3BD25FE-DFDC-4E3F-BFAF-E28D03EC7282}"/>
    <cellStyle name="Comma 2 2 3 3 4" xfId="1455" xr:uid="{26A5BBCA-B2D4-401C-89C6-43FCE484D77D}"/>
    <cellStyle name="Comma 2 2 3 3 4 2" xfId="2034" xr:uid="{6F9970DE-133B-4076-AF8B-A30053503CEF}"/>
    <cellStyle name="Comma 2 2 3 3 4 2 2" xfId="2959" xr:uid="{82B981E0-8053-4B83-A00C-3136CE406C4C}"/>
    <cellStyle name="Comma 2 2 3 3 4 2 2 2" xfId="3394" xr:uid="{BFB83305-551E-435A-BAB1-0D14BCB2CA4C}"/>
    <cellStyle name="Comma 2 2 3 3 4 2 3" xfId="2737" xr:uid="{489282FE-9E2B-4B96-8CA7-E9A05F99F335}"/>
    <cellStyle name="Comma 2 2 3 3 4 2 3 2" xfId="3395" xr:uid="{72601E54-88C1-4474-AE0E-B231E0643A0E}"/>
    <cellStyle name="Comma 2 2 3 3 4 2 4" xfId="3396" xr:uid="{D61B7167-FE00-454C-9F5E-796326776EAE}"/>
    <cellStyle name="Comma 2 2 3 3 4 3" xfId="2512" xr:uid="{0D36B176-8299-49A9-8738-03843897424E}"/>
    <cellStyle name="Comma 2 2 3 3 4 3 2" xfId="3397" xr:uid="{52A1E359-4D8A-49F4-9952-46FF0139D9A2}"/>
    <cellStyle name="Comma 2 2 3 3 4 4" xfId="3398" xr:uid="{95C93FE6-EC2D-4913-945F-1D0822F978AE}"/>
    <cellStyle name="Comma 2 2 3 3 5" xfId="2086" xr:uid="{680AFC06-825D-4F4A-B898-3A6AF081F772}"/>
    <cellStyle name="Comma 2 2 3 3 5 2" xfId="2766" xr:uid="{3E13304D-1D84-4DDF-8419-4276406CD5FE}"/>
    <cellStyle name="Comma 2 2 3 3 5 2 2" xfId="3092" xr:uid="{BBA5BA1A-91F1-4B00-83B3-DD0F2C3E7637}"/>
    <cellStyle name="Comma 2 2 3 3 5 2 2 2" xfId="3399" xr:uid="{4F05DC5A-3215-4D5A-B424-20BC84E2DA77}"/>
    <cellStyle name="Comma 2 2 3 3 5 2 3" xfId="3400" xr:uid="{C3101D3F-79DA-4442-B7A5-1416BEA95339}"/>
    <cellStyle name="Comma 2 2 3 3 5 3" xfId="2988" xr:uid="{18CB39EE-C019-458B-8F72-0D457397DB4F}"/>
    <cellStyle name="Comma 2 2 3 3 5 3 2" xfId="3401" xr:uid="{0BAFC1F6-04CA-4D00-A90B-0E6BE70D7648}"/>
    <cellStyle name="Comma 2 2 3 3 5 4" xfId="2541" xr:uid="{B13E5ED5-CA7B-4811-933A-7B638C900EB8}"/>
    <cellStyle name="Comma 2 2 3 3 5 4 2" xfId="3402" xr:uid="{2F32D06D-B063-4498-AD8F-FDE6546B3CF5}"/>
    <cellStyle name="Comma 2 2 3 3 5 5" xfId="3403" xr:uid="{DFE8DB5E-3531-470F-BE4B-10773F5DA2D5}"/>
    <cellStyle name="Comma 2 2 3 3 6" xfId="2232" xr:uid="{A2FA5638-F3EA-4C25-8ABA-18535EEDDB27}"/>
    <cellStyle name="Comma 2 2 3 3 6 2" xfId="4703" xr:uid="{357CD08C-0A41-4FA7-AFA4-15F161593142}"/>
    <cellStyle name="Comma 2 2 3 3 6 2 2" xfId="5837" xr:uid="{F35AF853-D14A-41E3-842E-62EDB2EFB35C}"/>
    <cellStyle name="Comma 2 2 3 3 6 3" xfId="5409" xr:uid="{F8E8213C-E719-4E1A-9473-4F63BF3D7155}"/>
    <cellStyle name="Comma 2 2 3 3 6 4" xfId="5022" xr:uid="{718E0F41-2E74-4DE9-B406-2E401425A744}"/>
    <cellStyle name="Comma 2 2 3 3 7" xfId="4443" xr:uid="{731A100A-F2DD-46B5-A020-17A4AF7C94F8}"/>
    <cellStyle name="Comma 2 2 3 3 7 2" xfId="5577" xr:uid="{5812D8F2-3095-476A-9665-E90C93B00C9B}"/>
    <cellStyle name="Comma 2 2 3 3 8" xfId="5176" xr:uid="{BF89FAB5-D352-487A-8F6A-251829928C4A}"/>
    <cellStyle name="Comma 2 2 3 3 9" xfId="4844" xr:uid="{9EFF10D0-08FC-4F69-880A-77D6A321D8E3}"/>
    <cellStyle name="Comma 2 2 3 4" xfId="86" xr:uid="{A6992492-BDC8-42C4-A5C1-B00DA8A931AC}"/>
    <cellStyle name="Comma 2 2 3 4 2" xfId="1196" xr:uid="{6F9C8EF1-A3AB-4C73-B5ED-F4FE07E2C904}"/>
    <cellStyle name="Comma 2 2 3 4 2 2" xfId="1985" xr:uid="{3BC215A3-2DD7-4DC9-B75C-953C73B627BA}"/>
    <cellStyle name="Comma 2 2 3 4 2 2 2" xfId="2910" xr:uid="{36744FFF-D5F2-4719-9C56-9738B48471C3}"/>
    <cellStyle name="Comma 2 2 3 4 2 2 2 2" xfId="3404" xr:uid="{4762B358-AFF4-4386-A3B8-67F233B5EB1F}"/>
    <cellStyle name="Comma 2 2 3 4 2 2 3" xfId="2688" xr:uid="{921EB4C0-8B24-4AC0-B264-6CCCDDCCBF0E}"/>
    <cellStyle name="Comma 2 2 3 4 2 2 3 2" xfId="3405" xr:uid="{8A2ADD6E-2162-48CF-BB17-CD8FB0AF77D6}"/>
    <cellStyle name="Comma 2 2 3 4 2 2 4" xfId="3406" xr:uid="{2601442F-8384-49A1-A608-B652BE061CCD}"/>
    <cellStyle name="Comma 2 2 3 4 2 3" xfId="2463" xr:uid="{E81BC9FF-8687-48A6-AB5E-EF6C97F785E8}"/>
    <cellStyle name="Comma 2 2 3 4 2 3 2" xfId="3407" xr:uid="{00C3D835-6453-4963-AE76-55CF35ACCD54}"/>
    <cellStyle name="Comma 2 2 3 4 2 4" xfId="3408" xr:uid="{5CE1F997-B083-410D-AD25-DA0F6EC4005B}"/>
    <cellStyle name="Comma 2 2 3 4 3" xfId="1915" xr:uid="{C623F1B7-1D37-4602-8D14-AFCCD2BEF7D6}"/>
    <cellStyle name="Comma 2 2 3 4 3 2" xfId="2840" xr:uid="{734727BB-6C38-41E6-BE7C-8FF5FDA4ABA3}"/>
    <cellStyle name="Comma 2 2 3 4 3 2 2" xfId="3409" xr:uid="{FA666F61-D1FC-4C4D-8BD0-EF29B430AA8C}"/>
    <cellStyle name="Comma 2 2 3 4 3 3" xfId="2618" xr:uid="{9558B048-B251-46DD-B513-98E6BD1A989E}"/>
    <cellStyle name="Comma 2 2 3 4 3 3 2" xfId="3410" xr:uid="{58EF497F-1D97-456B-B3CA-C73ABCE7E28D}"/>
    <cellStyle name="Comma 2 2 3 4 3 4" xfId="3411" xr:uid="{09754D68-3124-4694-8175-37B5B90BDBE7}"/>
    <cellStyle name="Comma 2 2 3 4 4" xfId="2393" xr:uid="{B520DA40-2BBD-4752-81F7-1144E6BC353D}"/>
    <cellStyle name="Comma 2 2 3 4 4 2" xfId="3412" xr:uid="{F9F08A81-553A-41B4-BF7C-D0075EF80CB3}"/>
    <cellStyle name="Comma 2 2 3 4 5" xfId="1023" xr:uid="{0E3151C0-CD0B-463E-912A-487907FB4E45}"/>
    <cellStyle name="Comma 2 2 3 4 5 2" xfId="3413" xr:uid="{E59ABFDB-A618-4D83-814A-07D0BF8A0959}"/>
    <cellStyle name="Comma 2 2 3 4 6" xfId="3414" xr:uid="{D45D75C8-B269-4665-B396-84ECFDF87B17}"/>
    <cellStyle name="Comma 2 2 3 4 7" xfId="4444" xr:uid="{F23F4077-6495-499E-9BF6-09C84B180785}"/>
    <cellStyle name="Comma 2 2 3 4 7 2" xfId="5578" xr:uid="{D9546266-1C21-4509-8581-CA8B04B65E1B}"/>
    <cellStyle name="Comma 2 2 3 4 8" xfId="5177" xr:uid="{209792CC-47DB-4939-9ECA-24C9B7BE5512}"/>
    <cellStyle name="Comma 2 2 3 5" xfId="1488" xr:uid="{6116A6BD-C630-43D1-8E6E-F7C21441C15B}"/>
    <cellStyle name="Comma 2 2 3 5 2" xfId="2087" xr:uid="{0179608A-08FD-4A9A-8FD4-F603453F8977}"/>
    <cellStyle name="Comma 2 2 3 5 2 2" xfId="2767" xr:uid="{917EECD9-EB9A-4619-82A8-F396B900A831}"/>
    <cellStyle name="Comma 2 2 3 5 2 2 2" xfId="3093" xr:uid="{C6FB6B04-4AC8-4BAA-A6AA-F3904ECFF2F0}"/>
    <cellStyle name="Comma 2 2 3 5 2 2 2 2" xfId="3415" xr:uid="{FD082FEF-B14F-45AC-ACC8-13BFB56393A4}"/>
    <cellStyle name="Comma 2 2 3 5 2 2 3" xfId="3416" xr:uid="{E28BD952-DA68-4737-BB34-3F11D364838D}"/>
    <cellStyle name="Comma 2 2 3 5 2 3" xfId="2989" xr:uid="{061ECDC3-6967-4119-8C44-30F8CC0E0E80}"/>
    <cellStyle name="Comma 2 2 3 5 2 3 2" xfId="3417" xr:uid="{BDC7C0D4-941F-482F-ADC3-59A4FFBF62EE}"/>
    <cellStyle name="Comma 2 2 3 5 2 4" xfId="2542" xr:uid="{4EF28166-0037-4C1B-A842-1A69F216BFAA}"/>
    <cellStyle name="Comma 2 2 3 5 2 4 2" xfId="3418" xr:uid="{22B39763-3F9B-4C5F-BBF7-DA9DCC5BA014}"/>
    <cellStyle name="Comma 2 2 3 5 2 5" xfId="3419" xr:uid="{81E593EB-CE19-4242-9EB4-AB43E2521C75}"/>
    <cellStyle name="Comma 2 2 3 5 3" xfId="2041" xr:uid="{3228B68B-34A3-4189-9F37-A86BB399EE1B}"/>
    <cellStyle name="Comma 2 2 3 5 3 2" xfId="2966" xr:uid="{BD09ACD6-BD17-42FF-926D-AC1D40BAF073}"/>
    <cellStyle name="Comma 2 2 3 5 3 2 2" xfId="3420" xr:uid="{0774F14D-6A59-4070-9A29-81A21DA5EAE6}"/>
    <cellStyle name="Comma 2 2 3 5 3 3" xfId="2744" xr:uid="{E91583AC-7181-4693-8BC5-AAF2D8269878}"/>
    <cellStyle name="Comma 2 2 3 5 3 3 2" xfId="3421" xr:uid="{92E48F2D-B3F6-44C1-A1C7-D5B07520EE5E}"/>
    <cellStyle name="Comma 2 2 3 5 3 4" xfId="3422" xr:uid="{070AF511-D13E-4B6E-B84F-55E31E30BB4B}"/>
    <cellStyle name="Comma 2 2 3 5 4" xfId="2519" xr:uid="{54AC1A6C-0AB2-49C6-8CFD-7D8168282F06}"/>
    <cellStyle name="Comma 2 2 3 5 4 2" xfId="3423" xr:uid="{90ABCB1D-81C1-4BCE-8F8E-7E315D3BFF45}"/>
    <cellStyle name="Comma 2 2 3 5 5" xfId="3424" xr:uid="{DF332764-07ED-430F-AA0C-B90E06148BFE}"/>
    <cellStyle name="Comma 2 2 3 6" xfId="1508" xr:uid="{65E86913-E898-42C5-8975-F0A32C902DD7}"/>
    <cellStyle name="Comma 2 2 3 6 2" xfId="2088" xr:uid="{9375AB6B-80F1-44B0-8E82-27E858FE68C4}"/>
    <cellStyle name="Comma 2 2 3 6 2 2" xfId="2768" xr:uid="{BF4A650D-F6E0-4D3E-BA93-5B4DD7B4DB28}"/>
    <cellStyle name="Comma 2 2 3 6 2 2 2" xfId="3094" xr:uid="{F63A5921-4982-4DDE-A054-281EA9592E99}"/>
    <cellStyle name="Comma 2 2 3 6 2 2 2 2" xfId="3425" xr:uid="{08E1DB6A-8BBA-443E-8AA0-E117A7BAE4F8}"/>
    <cellStyle name="Comma 2 2 3 6 2 2 3" xfId="3426" xr:uid="{3BC6B3CB-B8FF-4CAB-83C9-8110D3C73089}"/>
    <cellStyle name="Comma 2 2 3 6 2 3" xfId="2990" xr:uid="{B6A518A3-32A4-48CB-B177-4A6109D146D5}"/>
    <cellStyle name="Comma 2 2 3 6 2 3 2" xfId="3427" xr:uid="{7E284554-72DA-4B1C-9E7B-08F0175F8612}"/>
    <cellStyle name="Comma 2 2 3 6 2 4" xfId="2543" xr:uid="{791B4722-E958-4782-91F0-229EF18F8D0A}"/>
    <cellStyle name="Comma 2 2 3 6 2 4 2" xfId="3428" xr:uid="{91C4C376-6717-4283-B6F5-A13FD9AB9962}"/>
    <cellStyle name="Comma 2 2 3 6 2 5" xfId="3429" xr:uid="{71D74CE3-BC2C-41EC-9506-B4376900B29D}"/>
    <cellStyle name="Comma 2 2 3 6 3" xfId="2046" xr:uid="{41A5F7A7-5C3E-40DF-A1C4-1C6F307915CB}"/>
    <cellStyle name="Comma 2 2 3 6 3 2" xfId="2971" xr:uid="{89B4F6F3-0AD7-44C7-A02C-EEBF306EE6BC}"/>
    <cellStyle name="Comma 2 2 3 6 3 2 2" xfId="3430" xr:uid="{DD339FC6-2EC7-4699-A18B-6B0AA7E15D56}"/>
    <cellStyle name="Comma 2 2 3 6 3 3" xfId="2749" xr:uid="{6F8E5A00-C151-4888-A5EC-0711E7B51F76}"/>
    <cellStyle name="Comma 2 2 3 6 3 3 2" xfId="3431" xr:uid="{B1CF6C31-5EA3-4163-95F7-59258C178112}"/>
    <cellStyle name="Comma 2 2 3 6 3 4" xfId="3432" xr:uid="{C24387A3-EFF5-4B6D-8E66-CFEA300B25A2}"/>
    <cellStyle name="Comma 2 2 3 6 4" xfId="2524" xr:uid="{3B7DF3C3-339B-4436-913C-B9645BFFCE8F}"/>
    <cellStyle name="Comma 2 2 3 6 4 2" xfId="3433" xr:uid="{36B48386-F704-4A7B-BD37-CAAD452C1FBA}"/>
    <cellStyle name="Comma 2 2 3 6 5" xfId="3434" xr:uid="{F240AEFF-7E32-4890-B1E2-B1401DA224EC}"/>
    <cellStyle name="Comma 2 2 3 7" xfId="1548" xr:uid="{0624078D-27C6-420A-8A34-8932A6CE44FF}"/>
    <cellStyle name="Comma 2 2 3 7 2" xfId="2268" xr:uid="{C9938D9D-950E-4420-9817-99485DBDEB14}"/>
    <cellStyle name="Comma 2 2 3 7 2 2" xfId="4739" xr:uid="{1696333D-B52B-411E-8072-E740136B2047}"/>
    <cellStyle name="Comma 2 2 3 7 2 2 2" xfId="5873" xr:uid="{7CF96A85-0B51-476C-9CD4-BDE590FD0871}"/>
    <cellStyle name="Comma 2 2 3 7 2 3" xfId="5445" xr:uid="{34F08FD5-45D5-4AC8-9C6B-2297B59F0C16}"/>
    <cellStyle name="Comma 2 2 3 7 2 4" xfId="5058" xr:uid="{AE6D320D-7510-4BA1-8A40-BB816C84C77A}"/>
    <cellStyle name="Comma 2 2 3 7 3" xfId="4566" xr:uid="{1B231974-9149-40B8-A2E4-94EA3B74321B}"/>
    <cellStyle name="Comma 2 2 3 7 3 2" xfId="5700" xr:uid="{1F506D38-3C1F-43A5-9007-4D0FDD8C91E7}"/>
    <cellStyle name="Comma 2 2 3 7 4" xfId="5272" xr:uid="{205C418F-42E8-4AD9-9DC6-4AA620E8B739}"/>
    <cellStyle name="Comma 2 2 3 7 5" xfId="4885" xr:uid="{87AD3BC6-760E-4A47-80B3-F121936C0721}"/>
    <cellStyle name="Comma 2 2 3 8" xfId="1736" xr:uid="{D8BCBDFD-3F00-4CA0-A861-774A8B0CEDE3}"/>
    <cellStyle name="Comma 2 2 3 8 2" xfId="2309" xr:uid="{A85A5C20-4469-4165-8597-2EE0B5CC98C4}"/>
    <cellStyle name="Comma 2 2 3 8 2 2" xfId="4780" xr:uid="{7CC4E2AA-495D-43FD-B9E6-58ED885D7B32}"/>
    <cellStyle name="Comma 2 2 3 8 2 2 2" xfId="5914" xr:uid="{13AFCECB-96D9-4E59-A2F5-296CCC1943EF}"/>
    <cellStyle name="Comma 2 2 3 8 2 3" xfId="5486" xr:uid="{D93800E2-288A-4752-9C3D-6E13E2F09E87}"/>
    <cellStyle name="Comma 2 2 3 8 2 4" xfId="5099" xr:uid="{407620D9-5761-4830-8435-8FF8FDE956F7}"/>
    <cellStyle name="Comma 2 2 3 8 3" xfId="4607" xr:uid="{67D8629B-4416-4BCF-8DC9-4337EF6628DE}"/>
    <cellStyle name="Comma 2 2 3 8 3 2" xfId="5741" xr:uid="{5D673746-5962-46F6-A2DE-69B34D0B64DB}"/>
    <cellStyle name="Comma 2 2 3 8 4" xfId="5313" xr:uid="{348880F0-AC26-4287-98BA-1D3A77BAE01E}"/>
    <cellStyle name="Comma 2 2 3 8 5" xfId="4926" xr:uid="{E807FA3A-06A4-4094-B83B-8CC3250872FB}"/>
    <cellStyle name="Comma 2 2 3 9" xfId="1272" xr:uid="{2F06EC02-7E3D-4F58-BDD0-88DC6ADD5638}"/>
    <cellStyle name="Comma 2 2 4" xfId="87" xr:uid="{D0196DEC-2E1A-492D-8306-9F404D3266CA}"/>
    <cellStyle name="Comma 2 2 4 10" xfId="4445" xr:uid="{82502D34-30D6-4504-8196-E969BAC8A1F1}"/>
    <cellStyle name="Comma 2 2 4 10 2" xfId="5579" xr:uid="{41D703FD-CDC1-4DE2-8F31-E1563A365624}"/>
    <cellStyle name="Comma 2 2 4 2" xfId="88" xr:uid="{3D960933-D67D-4ED6-80F3-E10D866657CC}"/>
    <cellStyle name="Comma 2 2 4 2 2" xfId="1777" xr:uid="{CE2F6AEA-717A-47A5-87FD-1959E75BF194}"/>
    <cellStyle name="Comma 2 2 4 2 2 2" xfId="2350" xr:uid="{71C61554-B288-42E7-B64D-24B3783799F0}"/>
    <cellStyle name="Comma 2 2 4 2 2 2 2" xfId="4821" xr:uid="{97A7E6A6-3CEF-4622-BDF5-962FE25CECB3}"/>
    <cellStyle name="Comma 2 2 4 2 2 2 2 2" xfId="5955" xr:uid="{4E27DAA4-83EF-41C4-ADE4-714760FA7E5B}"/>
    <cellStyle name="Comma 2 2 4 2 2 2 3" xfId="5527" xr:uid="{F494C4A8-5103-4F35-85D8-2957D8818C62}"/>
    <cellStyle name="Comma 2 2 4 2 2 2 4" xfId="5140" xr:uid="{F24A5BC9-0B02-478E-82D8-6A9764535C73}"/>
    <cellStyle name="Comma 2 2 4 2 2 3" xfId="4648" xr:uid="{290AF3BE-1551-4178-AE2F-E9CFEFFC975D}"/>
    <cellStyle name="Comma 2 2 4 2 2 3 2" xfId="5782" xr:uid="{1B15E282-8CAE-466B-93E7-F9CFDC142405}"/>
    <cellStyle name="Comma 2 2 4 2 2 4" xfId="5354" xr:uid="{416A8257-2403-44DB-ACEA-CE9FE52403EF}"/>
    <cellStyle name="Comma 2 2 4 2 2 5" xfId="4967" xr:uid="{90222EA8-A87E-43FD-AA29-02FBC0420836}"/>
    <cellStyle name="Comma 2 2 4 2 3" xfId="2241" xr:uid="{F3597A09-344B-4DDA-B85D-8DBD42B3F38C}"/>
    <cellStyle name="Comma 2 2 4 2 3 2" xfId="4712" xr:uid="{4714A61A-A341-40A1-9854-BD5DB9EA9EEA}"/>
    <cellStyle name="Comma 2 2 4 2 3 2 2" xfId="5846" xr:uid="{30C7D797-AFB8-488A-BDA5-9603A3C0BA50}"/>
    <cellStyle name="Comma 2 2 4 2 3 3" xfId="5418" xr:uid="{465D07BC-C3AD-4041-86D9-3677625C415C}"/>
    <cellStyle name="Comma 2 2 4 2 3 4" xfId="5031" xr:uid="{F18AFCD7-C6F2-46AB-9917-891568C9755D}"/>
    <cellStyle name="Comma 2 2 4 2 4" xfId="4446" xr:uid="{4A8FACA4-D301-4408-B4A2-8094566C0E07}"/>
    <cellStyle name="Comma 2 2 4 2 4 2" xfId="5580" xr:uid="{8CE80366-E487-47C5-B0FD-62352236CA77}"/>
    <cellStyle name="Comma 2 2 4 2 5" xfId="5178" xr:uid="{D00C4E00-3E30-4D9A-95E0-354FAB0F44BF}"/>
    <cellStyle name="Comma 2 2 4 2 6" xfId="4845" xr:uid="{1357D9D8-111C-4403-89AA-E2D75A043151}"/>
    <cellStyle name="Comma 2 2 4 3" xfId="89" xr:uid="{EA819816-8151-4022-BCA6-184EF9E8592F}"/>
    <cellStyle name="Comma 2 2 4 3 2" xfId="1205" xr:uid="{719CE18F-34DB-4194-8BCE-7F1E131B5CC0}"/>
    <cellStyle name="Comma 2 2 4 3 2 2" xfId="1994" xr:uid="{33F39D6F-4916-46E2-9371-B40A75830901}"/>
    <cellStyle name="Comma 2 2 4 3 2 2 2" xfId="2919" xr:uid="{F9935896-DE60-4B7B-B120-869919671880}"/>
    <cellStyle name="Comma 2 2 4 3 2 2 2 2" xfId="3435" xr:uid="{A0003AA2-A9A1-43D6-85BD-74039C05D5DD}"/>
    <cellStyle name="Comma 2 2 4 3 2 2 3" xfId="2697" xr:uid="{622D51D2-8FD1-4442-BAF3-2E6541427332}"/>
    <cellStyle name="Comma 2 2 4 3 2 2 3 2" xfId="3436" xr:uid="{115BDD15-3187-4C0E-B8FC-4469AF158589}"/>
    <cellStyle name="Comma 2 2 4 3 2 2 4" xfId="3437" xr:uid="{8EF98388-3266-43C0-8911-31325FC2AC90}"/>
    <cellStyle name="Comma 2 2 4 3 2 3" xfId="2472" xr:uid="{67F467AE-1DF8-49B1-A800-62F2372A02C1}"/>
    <cellStyle name="Comma 2 2 4 3 2 3 2" xfId="3438" xr:uid="{2CF912DD-C7C0-4627-BC9F-73095BEE1CEC}"/>
    <cellStyle name="Comma 2 2 4 3 2 4" xfId="3439" xr:uid="{8340A481-B8D1-44A0-BFED-8AB11E911414}"/>
    <cellStyle name="Comma 2 2 4 3 3" xfId="1924" xr:uid="{C0C88A65-4F7F-4B0B-A0B2-41A0A863BB03}"/>
    <cellStyle name="Comma 2 2 4 3 3 2" xfId="2849" xr:uid="{9D465969-C43D-4FB6-9B75-FEE8FCD9590A}"/>
    <cellStyle name="Comma 2 2 4 3 3 2 2" xfId="3440" xr:uid="{E7D741CC-64A1-41B3-8423-4032D05F7AA8}"/>
    <cellStyle name="Comma 2 2 4 3 3 3" xfId="2627" xr:uid="{9D31D8DD-98EB-4405-8CF8-38273267139F}"/>
    <cellStyle name="Comma 2 2 4 3 3 3 2" xfId="3441" xr:uid="{C6C6D161-ABC6-4773-8573-D8ADB9F32C41}"/>
    <cellStyle name="Comma 2 2 4 3 3 4" xfId="3442" xr:uid="{E6907206-D2A5-4B82-BB4C-2A11ABEA4BD3}"/>
    <cellStyle name="Comma 2 2 4 3 4" xfId="2402" xr:uid="{1DD650AA-D137-4116-94E3-C9CF139D2341}"/>
    <cellStyle name="Comma 2 2 4 3 4 2" xfId="3443" xr:uid="{2B0AAF07-F235-4FDA-A4B1-2AF9C1A9024B}"/>
    <cellStyle name="Comma 2 2 4 3 5" xfId="1032" xr:uid="{C3A47E8F-C913-473A-8A2F-7FEE65280BD0}"/>
    <cellStyle name="Comma 2 2 4 3 5 2" xfId="3444" xr:uid="{0DE5A36E-3635-445F-A243-9F183C441F53}"/>
    <cellStyle name="Comma 2 2 4 3 6" xfId="3445" xr:uid="{586B3118-4615-4E4A-966B-6B6676741E8A}"/>
    <cellStyle name="Comma 2 2 4 3 7" xfId="4447" xr:uid="{44A362A1-A581-4C48-9B85-1CEF88C1D3B4}"/>
    <cellStyle name="Comma 2 2 4 3 7 2" xfId="5581" xr:uid="{F7A9765D-2FCF-40EA-AB63-59DA11F52E38}"/>
    <cellStyle name="Comma 2 2 4 3 8" xfId="5179" xr:uid="{E557CDF3-F061-46F6-B558-0C94DD352CFA}"/>
    <cellStyle name="Comma 2 2 4 4" xfId="1623" xr:uid="{DDE5BB61-6EFB-4FD4-88AE-901A726E289E}"/>
    <cellStyle name="Comma 2 2 4 4 2" xfId="2277" xr:uid="{42B07AAE-AB42-4BFE-A4B7-FD22BB033B92}"/>
    <cellStyle name="Comma 2 2 4 4 2 2" xfId="4748" xr:uid="{A1338077-8A8D-451D-8B6B-56FADFB82B0C}"/>
    <cellStyle name="Comma 2 2 4 4 2 2 2" xfId="5882" xr:uid="{D8587C97-9EB7-4C55-9916-324D369054FC}"/>
    <cellStyle name="Comma 2 2 4 4 2 3" xfId="5454" xr:uid="{311585BB-7870-48A3-9960-A8FA12113C5E}"/>
    <cellStyle name="Comma 2 2 4 4 2 4" xfId="5067" xr:uid="{40AD1938-1EAD-4579-88AD-52EEDD653483}"/>
    <cellStyle name="Comma 2 2 4 4 3" xfId="4575" xr:uid="{036F94A1-E857-4FEE-B818-D668D1DD531F}"/>
    <cellStyle name="Comma 2 2 4 4 3 2" xfId="5709" xr:uid="{69D5207B-EA7D-4F62-B128-93DAB691E4F7}"/>
    <cellStyle name="Comma 2 2 4 4 4" xfId="5281" xr:uid="{FEB1B41C-0FF7-4B0C-B674-0F0108040DA1}"/>
    <cellStyle name="Comma 2 2 4 4 5" xfId="4894" xr:uid="{D1714001-D157-4A6A-947F-831F750E29B9}"/>
    <cellStyle name="Comma 2 2 4 5" xfId="1745" xr:uid="{F2B3B6D2-BD67-4C9E-A2B8-581D61A1D420}"/>
    <cellStyle name="Comma 2 2 4 5 2" xfId="2318" xr:uid="{E5B55705-8594-4853-9009-9E7B3412B2FD}"/>
    <cellStyle name="Comma 2 2 4 5 2 2" xfId="4789" xr:uid="{64192890-C880-4AAA-8413-8CAAAF0A66E0}"/>
    <cellStyle name="Comma 2 2 4 5 2 2 2" xfId="5923" xr:uid="{D28F6B9E-35FC-4509-B84A-442D07AAFDE1}"/>
    <cellStyle name="Comma 2 2 4 5 2 3" xfId="5495" xr:uid="{2BD6DD60-3D23-4225-8343-B23735302F75}"/>
    <cellStyle name="Comma 2 2 4 5 2 4" xfId="5108" xr:uid="{7403E988-152A-4D73-8D3E-B00DAF9E303A}"/>
    <cellStyle name="Comma 2 2 4 5 3" xfId="4616" xr:uid="{56BAABCF-1BFF-4337-BC60-DB788F5189D5}"/>
    <cellStyle name="Comma 2 2 4 5 3 2" xfId="5750" xr:uid="{9D419D84-CF02-4801-9D2E-39FCB88B53BE}"/>
    <cellStyle name="Comma 2 2 4 5 4" xfId="5322" xr:uid="{0BE5BF30-04F4-42A2-972D-EAB46867B0A2}"/>
    <cellStyle name="Comma 2 2 4 5 5" xfId="4935" xr:uid="{928EE5E7-8C06-4DFC-B791-08B31D6FB791}"/>
    <cellStyle name="Comma 2 2 4 6" xfId="2089" xr:uid="{EE233E38-6D55-4ED0-8141-E359BA30CED7}"/>
    <cellStyle name="Comma 2 2 4 6 2" xfId="2769" xr:uid="{2CAE76B8-4D27-4CB9-9BBA-4D9F7A882FE4}"/>
    <cellStyle name="Comma 2 2 4 6 2 2" xfId="3095" xr:uid="{F8709070-8BCF-4B88-9352-9A30E2EFD4CA}"/>
    <cellStyle name="Comma 2 2 4 6 2 2 2" xfId="3446" xr:uid="{3FA4A6C7-42EB-458F-B575-74CC90A12576}"/>
    <cellStyle name="Comma 2 2 4 6 2 3" xfId="3447" xr:uid="{4BB309D1-B2B9-4114-8B48-010DA566323C}"/>
    <cellStyle name="Comma 2 2 4 6 3" xfId="2991" xr:uid="{E191D552-8B33-437E-84A2-53D8E220B5C7}"/>
    <cellStyle name="Comma 2 2 4 6 3 2" xfId="3448" xr:uid="{BE433DDE-B6C0-471C-A781-4033580E618D}"/>
    <cellStyle name="Comma 2 2 4 6 4" xfId="2544" xr:uid="{5594990D-D784-4DA3-AA75-9C0F02D18AC6}"/>
    <cellStyle name="Comma 2 2 4 6 4 2" xfId="3449" xr:uid="{9DBB83E3-A1F8-4A95-B2F0-3453F1F005D9}"/>
    <cellStyle name="Comma 2 2 4 6 5" xfId="3450" xr:uid="{6FCF855D-981B-4288-8019-059330052C0B}"/>
    <cellStyle name="Comma 2 2 4 7" xfId="2209" xr:uid="{8C9FE785-9430-47D3-A2B8-6DFCCEA26788}"/>
    <cellStyle name="Comma 2 2 4 7 2" xfId="4680" xr:uid="{0BD722D4-E9ED-4F49-8711-AF9D30A198FA}"/>
    <cellStyle name="Comma 2 2 4 7 2 2" xfId="5814" xr:uid="{29494554-19C1-4C3C-B00D-87F4B9D6FA97}"/>
    <cellStyle name="Comma 2 2 4 7 3" xfId="5386" xr:uid="{B6353567-8697-4947-B607-2BA5DA85D634}"/>
    <cellStyle name="Comma 2 2 4 7 4" xfId="4999" xr:uid="{DBDF1103-894F-4831-A735-6D6CC41BCD95}"/>
    <cellStyle name="Comma 2 2 4 8" xfId="981" xr:uid="{B678BC05-543E-41BD-AAD7-0332019F8946}"/>
    <cellStyle name="Comma 2 2 4 8 2" xfId="3451" xr:uid="{CD3B4104-91FA-4EAE-9B30-456053FADCE3}"/>
    <cellStyle name="Comma 2 2 4 9" xfId="3452" xr:uid="{E12806C4-5A1E-42B9-A931-17DD5EC6A366}"/>
    <cellStyle name="Comma 2 2 5" xfId="90" xr:uid="{9CA5C6E3-DA07-4452-8532-3357C4C3BEA5}"/>
    <cellStyle name="Comma 2 2 5 10" xfId="5180" xr:uid="{F3A6FF7F-2C61-4C88-B87A-A7BE01BF1E6D}"/>
    <cellStyle name="Comma 2 2 5 2" xfId="91" xr:uid="{27376548-8AFC-4A6C-8E52-F95CA1D36AB3}"/>
    <cellStyle name="Comma 2 2 5 2 2" xfId="92" xr:uid="{D6870B4F-3883-4A23-9C5C-393E46A99516}"/>
    <cellStyle name="Comma 2 2 5 2 2 2" xfId="1230" xr:uid="{1B78EFB9-06FE-46CA-A035-E3D429D5EA98}"/>
    <cellStyle name="Comma 2 2 5 2 2 2 2" xfId="2019" xr:uid="{CD7781FB-ADA7-4510-BE1B-FA157CEE964A}"/>
    <cellStyle name="Comma 2 2 5 2 2 2 2 2" xfId="2944" xr:uid="{BA186D16-08EA-40EB-9C22-4C0405B6A01B}"/>
    <cellStyle name="Comma 2 2 5 2 2 2 2 2 2" xfId="3453" xr:uid="{971AD55A-D77B-4B99-8D8B-37D80188D043}"/>
    <cellStyle name="Comma 2 2 5 2 2 2 2 3" xfId="2722" xr:uid="{9E509C15-24BC-4797-A764-E46FF091226D}"/>
    <cellStyle name="Comma 2 2 5 2 2 2 2 3 2" xfId="3454" xr:uid="{FC290E48-8B2D-41E7-8245-57C8AC87703E}"/>
    <cellStyle name="Comma 2 2 5 2 2 2 2 4" xfId="3455" xr:uid="{3E49B69C-136E-48B4-9055-B98CAD66F0E5}"/>
    <cellStyle name="Comma 2 2 5 2 2 2 3" xfId="2497" xr:uid="{92D7D994-A487-44A6-BFFE-AB4694B6B4F8}"/>
    <cellStyle name="Comma 2 2 5 2 2 2 3 2" xfId="3456" xr:uid="{E8D61ACF-BFE9-4A28-9B53-E56246778006}"/>
    <cellStyle name="Comma 2 2 5 2 2 2 4" xfId="3457" xr:uid="{EBF416E6-FDC3-40F0-A732-986D3BD93D48}"/>
    <cellStyle name="Comma 2 2 5 2 2 3" xfId="1949" xr:uid="{500F23CB-A270-405C-9C74-36D146BDE387}"/>
    <cellStyle name="Comma 2 2 5 2 2 3 2" xfId="2874" xr:uid="{8E3E9A1B-EE96-4272-B50B-D181C635DF11}"/>
    <cellStyle name="Comma 2 2 5 2 2 3 2 2" xfId="3458" xr:uid="{EAC522F4-9D26-4103-A411-4707EEBEB7AA}"/>
    <cellStyle name="Comma 2 2 5 2 2 3 3" xfId="2652" xr:uid="{676F7DCB-A776-45DF-8FA9-6D145D7791C8}"/>
    <cellStyle name="Comma 2 2 5 2 2 3 3 2" xfId="3459" xr:uid="{97C159AE-2338-4781-BBE7-D973F9FA88A5}"/>
    <cellStyle name="Comma 2 2 5 2 2 3 4" xfId="3460" xr:uid="{63170FFD-81AD-4EDE-917F-B79DE6CAC5CB}"/>
    <cellStyle name="Comma 2 2 5 2 2 4" xfId="2427" xr:uid="{C68D839B-C25F-4DA2-9D5B-FAA815FB91B6}"/>
    <cellStyle name="Comma 2 2 5 2 2 4 2" xfId="3461" xr:uid="{DB683A68-5618-4D7E-A199-F2C881D5ADD8}"/>
    <cellStyle name="Comma 2 2 5 2 2 5" xfId="1057" xr:uid="{C52C776B-3B01-46EC-8ADA-39E0507E2479}"/>
    <cellStyle name="Comma 2 2 5 2 2 5 2" xfId="3462" xr:uid="{6D0ECBD1-82DF-43D3-94D6-43BFD84C5C53}"/>
    <cellStyle name="Comma 2 2 5 2 2 6" xfId="3463" xr:uid="{F7184542-B38D-4AD7-9F32-FF754AA815F4}"/>
    <cellStyle name="Comma 2 2 5 2 2 7" xfId="4450" xr:uid="{640D0E69-8464-4EA1-A717-E2C217DD3409}"/>
    <cellStyle name="Comma 2 2 5 2 2 7 2" xfId="5584" xr:uid="{D1AF9D78-4FE9-4C6B-BAF2-0E0464B814A3}"/>
    <cellStyle name="Comma 2 2 5 2 2 8" xfId="5182" xr:uid="{A5195B90-D050-4B8A-9B55-9820088F27C4}"/>
    <cellStyle name="Comma 2 2 5 2 3" xfId="1180" xr:uid="{CE592141-5DA9-406E-A43D-587F643ABE3D}"/>
    <cellStyle name="Comma 2 2 5 2 3 2" xfId="1969" xr:uid="{7EEAB77B-C436-4DDA-855E-2CAEC63B1F22}"/>
    <cellStyle name="Comma 2 2 5 2 3 2 2" xfId="2894" xr:uid="{EAB86034-DB92-4F8D-A7C7-559452E566EA}"/>
    <cellStyle name="Comma 2 2 5 2 3 2 2 2" xfId="3464" xr:uid="{EAB392C0-FA1D-4E5A-9E25-52878D33684C}"/>
    <cellStyle name="Comma 2 2 5 2 3 2 3" xfId="2672" xr:uid="{BCAB41F2-555D-4B88-BCAB-F6AE7528C9F8}"/>
    <cellStyle name="Comma 2 2 5 2 3 2 3 2" xfId="3465" xr:uid="{6B2BDD0C-0AA3-4E20-9021-D4712E95539B}"/>
    <cellStyle name="Comma 2 2 5 2 3 2 4" xfId="3466" xr:uid="{401C5FE3-A573-4B9A-9552-BCD8E04D1E83}"/>
    <cellStyle name="Comma 2 2 5 2 3 3" xfId="2447" xr:uid="{090C0CCF-425C-4185-B756-3A0AAFFAD24F}"/>
    <cellStyle name="Comma 2 2 5 2 3 3 2" xfId="3467" xr:uid="{301D0548-2EF7-4CA0-B947-74A183AF27A8}"/>
    <cellStyle name="Comma 2 2 5 2 3 4" xfId="3468" xr:uid="{EFE24F34-E766-4C0A-BE50-AC1F21E283F2}"/>
    <cellStyle name="Comma 2 2 5 2 4" xfId="1899" xr:uid="{DBF9ED82-CBE9-4401-953B-B521DAE7BF79}"/>
    <cellStyle name="Comma 2 2 5 2 4 2" xfId="2824" xr:uid="{5C623285-4931-433A-AE77-BE186632E68E}"/>
    <cellStyle name="Comma 2 2 5 2 4 2 2" xfId="3469" xr:uid="{D1C6E633-B377-433F-A9DC-0ECB820FD1F9}"/>
    <cellStyle name="Comma 2 2 5 2 4 3" xfId="2602" xr:uid="{A5EC16F4-5AC4-41C6-971D-3DF2B732B3F8}"/>
    <cellStyle name="Comma 2 2 5 2 4 3 2" xfId="3470" xr:uid="{10155FC8-5466-4D49-AB34-D2814E8B7267}"/>
    <cellStyle name="Comma 2 2 5 2 4 4" xfId="3471" xr:uid="{0A744B5E-5A01-4BCC-98EB-FEEBB36E0D50}"/>
    <cellStyle name="Comma 2 2 5 2 5" xfId="2377" xr:uid="{ED4D3779-9850-4BDD-889C-972652412FA2}"/>
    <cellStyle name="Comma 2 2 5 2 5 2" xfId="3472" xr:uid="{F2F9837D-7022-4B33-8E16-40CEC7864995}"/>
    <cellStyle name="Comma 2 2 5 2 6" xfId="1007" xr:uid="{301C5845-D564-4C10-8072-39965F688819}"/>
    <cellStyle name="Comma 2 2 5 2 6 2" xfId="3473" xr:uid="{65EF86C3-B963-4589-9D42-E7E1B3137668}"/>
    <cellStyle name="Comma 2 2 5 2 7" xfId="3474" xr:uid="{73CB7CEF-60B7-4653-B3C4-90B34EEA6C0D}"/>
    <cellStyle name="Comma 2 2 5 2 8" xfId="4449" xr:uid="{5D237CE8-8B9F-4230-B51A-9F631E08A4F8}"/>
    <cellStyle name="Comma 2 2 5 2 8 2" xfId="5583" xr:uid="{052EB7F5-CF2F-46C6-8FE5-87608F8E1CC7}"/>
    <cellStyle name="Comma 2 2 5 2 9" xfId="5181" xr:uid="{A2894982-0AB1-4096-A31C-72C03617C693}"/>
    <cellStyle name="Comma 2 2 5 3" xfId="93" xr:uid="{95873001-8029-47A5-833A-0870930CA959}"/>
    <cellStyle name="Comma 2 2 5 3 2" xfId="1221" xr:uid="{38EA3157-3CE5-4D3B-96EE-AC5C9C222DFD}"/>
    <cellStyle name="Comma 2 2 5 3 2 2" xfId="2010" xr:uid="{450DDB13-AC9F-4B31-AEDA-AB4BED067FB3}"/>
    <cellStyle name="Comma 2 2 5 3 2 2 2" xfId="2935" xr:uid="{1102E155-CAB4-486D-99E5-96AF4B8F66E7}"/>
    <cellStyle name="Comma 2 2 5 3 2 2 2 2" xfId="3475" xr:uid="{8E1D1321-C77F-4B1D-A452-0F438E8C8098}"/>
    <cellStyle name="Comma 2 2 5 3 2 2 3" xfId="2713" xr:uid="{43424486-6ADE-4067-B960-CE0DDB1DEC62}"/>
    <cellStyle name="Comma 2 2 5 3 2 2 3 2" xfId="3476" xr:uid="{4038CD3D-A2D5-4E21-A2C8-3D8B7161D44E}"/>
    <cellStyle name="Comma 2 2 5 3 2 2 4" xfId="3477" xr:uid="{CE012A66-75F9-4451-8ECC-185ACAFE4C4C}"/>
    <cellStyle name="Comma 2 2 5 3 2 3" xfId="2488" xr:uid="{4AF78FA0-42F6-4042-A233-B58815F7431E}"/>
    <cellStyle name="Comma 2 2 5 3 2 3 2" xfId="3478" xr:uid="{78B3E12C-66B4-42DD-A397-5537CC5C4569}"/>
    <cellStyle name="Comma 2 2 5 3 2 4" xfId="3479" xr:uid="{C6823A3A-4AB1-44B5-8984-F3DC8425E4BA}"/>
    <cellStyle name="Comma 2 2 5 3 3" xfId="1940" xr:uid="{1BBE5622-4D39-4DA0-AF6D-AACFB80A7046}"/>
    <cellStyle name="Comma 2 2 5 3 3 2" xfId="2865" xr:uid="{2CDA4B16-1087-4990-B138-1C744AB491D4}"/>
    <cellStyle name="Comma 2 2 5 3 3 2 2" xfId="3480" xr:uid="{591CAC08-A3B8-4C5F-B97B-EA1E818B9E71}"/>
    <cellStyle name="Comma 2 2 5 3 3 3" xfId="2643" xr:uid="{52A0AECA-885E-4BD1-BED8-B8CD63644E2F}"/>
    <cellStyle name="Comma 2 2 5 3 3 3 2" xfId="3481" xr:uid="{DC3BF180-1105-42A9-815C-B4FB15BD44C8}"/>
    <cellStyle name="Comma 2 2 5 3 3 4" xfId="3482" xr:uid="{86D5CBFB-5742-4CF5-BEB3-1E6DCAED6F9B}"/>
    <cellStyle name="Comma 2 2 5 3 4" xfId="2418" xr:uid="{E651ED6B-9B47-446C-8A33-C8F5ECB2DAA1}"/>
    <cellStyle name="Comma 2 2 5 3 4 2" xfId="3483" xr:uid="{09B16EA6-4D33-4475-BE8D-FBF914C123DB}"/>
    <cellStyle name="Comma 2 2 5 3 5" xfId="1048" xr:uid="{55690DB1-6365-4174-B700-021309D3B3CE}"/>
    <cellStyle name="Comma 2 2 5 3 5 2" xfId="3484" xr:uid="{D35F0330-5D18-4DD0-9E13-5A1F69939958}"/>
    <cellStyle name="Comma 2 2 5 3 6" xfId="3485" xr:uid="{A47DB8A6-DE67-411B-98BD-EDC035546CB5}"/>
    <cellStyle name="Comma 2 2 5 3 7" xfId="4451" xr:uid="{DB2564D1-914B-4BEB-B095-A5C8B2A543F3}"/>
    <cellStyle name="Comma 2 2 5 3 7 2" xfId="5585" xr:uid="{91E19F5D-B01B-4A01-B24B-FADB2526A5CE}"/>
    <cellStyle name="Comma 2 2 5 3 8" xfId="5183" xr:uid="{77DB7520-3516-4C8C-A3A9-9E68A299C9A9}"/>
    <cellStyle name="Comma 2 2 5 4" xfId="1171" xr:uid="{B77BABF2-3708-4020-8ADB-97A50D8F112E}"/>
    <cellStyle name="Comma 2 2 5 4 2" xfId="1960" xr:uid="{5A7D5DF8-DE9D-4D40-9D09-CE8722F1FC3C}"/>
    <cellStyle name="Comma 2 2 5 4 2 2" xfId="2885" xr:uid="{D3391BB9-F261-43BB-AB79-0CDD7644A4D2}"/>
    <cellStyle name="Comma 2 2 5 4 2 2 2" xfId="3486" xr:uid="{1789E8DA-FCB2-4BB3-8DC8-9B4A88893C67}"/>
    <cellStyle name="Comma 2 2 5 4 2 3" xfId="2663" xr:uid="{52D80271-6E02-41F4-80EF-57067EC132B2}"/>
    <cellStyle name="Comma 2 2 5 4 2 3 2" xfId="3487" xr:uid="{B6E7C426-9649-4DAE-8CD0-EC91C07546EA}"/>
    <cellStyle name="Comma 2 2 5 4 2 4" xfId="3488" xr:uid="{7B9FB7F8-5E22-407A-AD36-07667FAB7700}"/>
    <cellStyle name="Comma 2 2 5 4 3" xfId="2438" xr:uid="{A023899E-682E-4F18-99FA-765266DFE782}"/>
    <cellStyle name="Comma 2 2 5 4 3 2" xfId="3489" xr:uid="{640FD4B8-6002-48CC-845C-C68EF38E046B}"/>
    <cellStyle name="Comma 2 2 5 4 4" xfId="3490" xr:uid="{02C6D0CD-95D0-42E7-BBEE-54CE4E85EA09}"/>
    <cellStyle name="Comma 2 2 5 5" xfId="1890" xr:uid="{611A19B2-C62F-472D-8F21-2AF48609E999}"/>
    <cellStyle name="Comma 2 2 5 5 2" xfId="2815" xr:uid="{34FE501C-7AFB-424C-893E-4DFECC004066}"/>
    <cellStyle name="Comma 2 2 5 5 2 2" xfId="3491" xr:uid="{0A600904-E77D-43E8-90C0-94EE558EFCE0}"/>
    <cellStyle name="Comma 2 2 5 5 3" xfId="2593" xr:uid="{43136A89-D9B2-4B65-B9E9-597FDB081A11}"/>
    <cellStyle name="Comma 2 2 5 5 3 2" xfId="3492" xr:uid="{E38652F1-2045-4F7B-9D85-1E4D16723985}"/>
    <cellStyle name="Comma 2 2 5 5 4" xfId="3493" xr:uid="{F9DDB4CD-32D3-4E25-89E6-7C5F9AA88A81}"/>
    <cellStyle name="Comma 2 2 5 6" xfId="2368" xr:uid="{1FF1C3BF-99FD-4AA4-92FA-7DD2E332B8B7}"/>
    <cellStyle name="Comma 2 2 5 6 2" xfId="3494" xr:uid="{8D8F00A4-90F5-45A3-9A94-4A39FCCDEEAB}"/>
    <cellStyle name="Comma 2 2 5 7" xfId="998" xr:uid="{032E47BE-7873-4B4E-838C-2D0578DEC343}"/>
    <cellStyle name="Comma 2 2 5 7 2" xfId="3495" xr:uid="{912A1277-1170-4453-9974-D502E9E19BF5}"/>
    <cellStyle name="Comma 2 2 5 8" xfId="3496" xr:uid="{B600385A-15AF-44C0-9B40-764499C32DDE}"/>
    <cellStyle name="Comma 2 2 5 9" xfId="4448" xr:uid="{761C0FB1-1FAB-4CFB-98BA-F31250B5C823}"/>
    <cellStyle name="Comma 2 2 5 9 2" xfId="5582" xr:uid="{FF6173B8-BB50-4DD4-8EE1-D163B5BCB321}"/>
    <cellStyle name="Comma 2 2 6" xfId="94" xr:uid="{D522C440-AF06-462C-A571-FB23540A7098}"/>
    <cellStyle name="Comma 2 2 6 2" xfId="1649" xr:uid="{D806BF38-4128-445E-A398-18BC2D707D4A}"/>
    <cellStyle name="Comma 2 2 6 2 2" xfId="2291" xr:uid="{05DB4617-CF3B-4254-AAB7-0201EF878BA4}"/>
    <cellStyle name="Comma 2 2 6 2 2 2" xfId="4762" xr:uid="{A78FB1D6-44BC-4ACB-B784-F190ED44551C}"/>
    <cellStyle name="Comma 2 2 6 2 2 2 2" xfId="5896" xr:uid="{10C4DC75-F9E4-44F8-9EE9-55504923A104}"/>
    <cellStyle name="Comma 2 2 6 2 2 3" xfId="5468" xr:uid="{7EB93AAF-0D66-4A7C-A0E4-44217C6A95B0}"/>
    <cellStyle name="Comma 2 2 6 2 2 4" xfId="5081" xr:uid="{3A8CFE23-ADED-4BB4-9B0F-E4CD3E988615}"/>
    <cellStyle name="Comma 2 2 6 2 3" xfId="4589" xr:uid="{2B5E7FB8-9D65-4F74-8E40-C36B69D0F88C}"/>
    <cellStyle name="Comma 2 2 6 2 3 2" xfId="5723" xr:uid="{4A65A8CA-6632-4B6E-8850-EAE1B2FE830A}"/>
    <cellStyle name="Comma 2 2 6 2 4" xfId="5295" xr:uid="{36FAB5D8-9EF0-4158-8AC5-0A22C2AE17EF}"/>
    <cellStyle name="Comma 2 2 6 2 5" xfId="4908" xr:uid="{2B9ED000-EE77-4DA0-8C22-9AA4DD5C729C}"/>
    <cellStyle name="Comma 2 2 6 3" xfId="1761" xr:uid="{56FA6DB6-A8EF-4942-82B0-E46E700B7F0A}"/>
    <cellStyle name="Comma 2 2 6 3 2" xfId="2334" xr:uid="{36C2B93E-E3EF-4519-86E6-233678F3D9E2}"/>
    <cellStyle name="Comma 2 2 6 3 2 2" xfId="4805" xr:uid="{76681950-84AA-4C2F-A151-D13E7CAEF072}"/>
    <cellStyle name="Comma 2 2 6 3 2 2 2" xfId="5939" xr:uid="{6510D8D0-742C-4567-B7B7-C0A28081C007}"/>
    <cellStyle name="Comma 2 2 6 3 2 3" xfId="5511" xr:uid="{AB23422B-A1A0-48B0-B8D7-9555F215C6E9}"/>
    <cellStyle name="Comma 2 2 6 3 2 4" xfId="5124" xr:uid="{7BD134EC-5214-4556-A70E-ED38E6BB9072}"/>
    <cellStyle name="Comma 2 2 6 3 3" xfId="4632" xr:uid="{8091BFDC-12C4-48EB-ADC7-D57C435AA08E}"/>
    <cellStyle name="Comma 2 2 6 3 3 2" xfId="5766" xr:uid="{F3D2349C-62F2-4E4B-8BE6-7C70E95B2239}"/>
    <cellStyle name="Comma 2 2 6 3 4" xfId="5338" xr:uid="{17ACBC93-D42A-4965-8C45-05237432748D}"/>
    <cellStyle name="Comma 2 2 6 3 5" xfId="4951" xr:uid="{BF280559-CD9A-4028-80FB-E886D3448067}"/>
    <cellStyle name="Comma 2 2 6 4" xfId="1504" xr:uid="{565AC99C-D373-47AF-8452-2B3E39355668}"/>
    <cellStyle name="Comma 2 2 6 4 2" xfId="2042" xr:uid="{9B948895-134B-4DC3-90D7-A9B980135BBD}"/>
    <cellStyle name="Comma 2 2 6 4 2 2" xfId="2967" xr:uid="{DC2C3028-CEFB-46E8-87B7-65C666C2A546}"/>
    <cellStyle name="Comma 2 2 6 4 2 2 2" xfId="3497" xr:uid="{8BBB60B2-6392-4138-A237-D439D159A76B}"/>
    <cellStyle name="Comma 2 2 6 4 2 3" xfId="2745" xr:uid="{C985478B-91BE-4770-9EEE-CB708C6696C0}"/>
    <cellStyle name="Comma 2 2 6 4 2 3 2" xfId="3498" xr:uid="{4FCD0DAA-55C6-4853-B3DA-64D4F63E8217}"/>
    <cellStyle name="Comma 2 2 6 4 2 4" xfId="3499" xr:uid="{3A42F51D-BDB9-41DB-8878-6C817E253393}"/>
    <cellStyle name="Comma 2 2 6 4 3" xfId="2520" xr:uid="{B7FC8750-7EBC-46B3-8F37-27A1E19EE303}"/>
    <cellStyle name="Comma 2 2 6 4 3 2" xfId="3500" xr:uid="{90F71CDA-BD9A-437E-8C6D-1524D407FC42}"/>
    <cellStyle name="Comma 2 2 6 4 4" xfId="3501" xr:uid="{5E52889B-B64B-4926-96F6-EE3B4D201B54}"/>
    <cellStyle name="Comma 2 2 6 5" xfId="2090" xr:uid="{D54EE2A1-9292-4DD5-ADB5-F11A54488D9B}"/>
    <cellStyle name="Comma 2 2 6 5 2" xfId="2770" xr:uid="{01ECF8C1-90BF-4B67-9DB1-081BE7C479C0}"/>
    <cellStyle name="Comma 2 2 6 5 2 2" xfId="3096" xr:uid="{155F438D-0505-45EF-AA47-CD6360DB151A}"/>
    <cellStyle name="Comma 2 2 6 5 2 2 2" xfId="3502" xr:uid="{ADE05765-6FF6-4672-B416-4855D5E33F1C}"/>
    <cellStyle name="Comma 2 2 6 5 2 3" xfId="3503" xr:uid="{255708E1-C6C5-47A3-B77F-D46B65AD7539}"/>
    <cellStyle name="Comma 2 2 6 5 3" xfId="2992" xr:uid="{CECFC85B-DF84-4586-9870-8A8411D56637}"/>
    <cellStyle name="Comma 2 2 6 5 3 2" xfId="3504" xr:uid="{A6FC9C33-045E-4983-BA86-1C9F14FD5D22}"/>
    <cellStyle name="Comma 2 2 6 5 4" xfId="2545" xr:uid="{8461F95C-E67C-44AB-92EA-49A3B0C22395}"/>
    <cellStyle name="Comma 2 2 6 5 4 2" xfId="3505" xr:uid="{45B6F1B4-2F8D-4C40-977B-6F4961A9E061}"/>
    <cellStyle name="Comma 2 2 6 5 5" xfId="3506" xr:uid="{AF83F5D2-B15C-4C58-953B-5596AB0F347F}"/>
    <cellStyle name="Comma 2 2 6 6" xfId="2225" xr:uid="{E68807A5-BA7D-46CD-8B44-661165CEE071}"/>
    <cellStyle name="Comma 2 2 6 6 2" xfId="4696" xr:uid="{F4F2BA1A-DF7B-4392-AF40-6278A07CAF5C}"/>
    <cellStyle name="Comma 2 2 6 6 2 2" xfId="5830" xr:uid="{FAA5F8A6-0276-4563-AD00-3DC3F560B38A}"/>
    <cellStyle name="Comma 2 2 6 6 3" xfId="5402" xr:uid="{8B5CFC90-AEA6-4D30-A753-38F35DC639C8}"/>
    <cellStyle name="Comma 2 2 6 6 4" xfId="5015" xr:uid="{0CED94AE-3D71-4420-9A5A-AE5A64407A65}"/>
    <cellStyle name="Comma 2 2 6 7" xfId="4452" xr:uid="{71109AE2-DCD9-4108-85B2-685DF5760519}"/>
    <cellStyle name="Comma 2 2 6 7 2" xfId="5586" xr:uid="{BF2FB861-3504-46B0-BEDC-A42C908B8ECC}"/>
    <cellStyle name="Comma 2 2 6 8" xfId="5184" xr:uid="{0A19168B-0686-49E5-83EA-232AF82CA11E}"/>
    <cellStyle name="Comma 2 2 6 9" xfId="4846" xr:uid="{5DF6D1F8-2646-4903-B044-2759676D3410}"/>
    <cellStyle name="Comma 2 2 7" xfId="95" xr:uid="{16D59FAB-CDC7-456F-9AC8-1E264A10C71C}"/>
    <cellStyle name="Comma 2 2 7 2" xfId="1189" xr:uid="{C5E7545B-AAEB-4D2A-84E1-6EEC674F3B03}"/>
    <cellStyle name="Comma 2 2 7 2 2" xfId="1978" xr:uid="{7528ED14-E0E8-480A-964F-12668D1B88CC}"/>
    <cellStyle name="Comma 2 2 7 2 2 2" xfId="2903" xr:uid="{82ED5657-FE57-47D0-8AF2-F08F6B679BB5}"/>
    <cellStyle name="Comma 2 2 7 2 2 2 2" xfId="3507" xr:uid="{F382D16D-2D00-4D00-9700-2BE55A1CB365}"/>
    <cellStyle name="Comma 2 2 7 2 2 3" xfId="2681" xr:uid="{EC6543E2-8CF4-4724-9128-438072636C0D}"/>
    <cellStyle name="Comma 2 2 7 2 2 3 2" xfId="3508" xr:uid="{7F0013B6-ADBD-44CB-85E1-D9680545E850}"/>
    <cellStyle name="Comma 2 2 7 2 2 4" xfId="3509" xr:uid="{D73617ED-A5F8-450D-9E8F-F7CDEC5B8687}"/>
    <cellStyle name="Comma 2 2 7 2 3" xfId="2456" xr:uid="{A71CAEF6-0B0C-494A-B33E-84312A8E41D1}"/>
    <cellStyle name="Comma 2 2 7 2 3 2" xfId="3510" xr:uid="{4788DCD4-7675-47A4-BD23-998A00238CBD}"/>
    <cellStyle name="Comma 2 2 7 2 4" xfId="3511" xr:uid="{87CEC476-B74C-4F34-B8D0-B2E0EBB49021}"/>
    <cellStyle name="Comma 2 2 7 3" xfId="1908" xr:uid="{6EE8CF0F-29C5-4047-B227-E4BB2B912319}"/>
    <cellStyle name="Comma 2 2 7 3 2" xfId="2833" xr:uid="{73658E8B-AB79-4D0F-BE88-7B51408B13E1}"/>
    <cellStyle name="Comma 2 2 7 3 2 2" xfId="3512" xr:uid="{59122C2A-04EB-4A17-B0BD-A9889E349649}"/>
    <cellStyle name="Comma 2 2 7 3 3" xfId="2611" xr:uid="{AF3B2C8F-313B-4715-BE51-A91C87EE108E}"/>
    <cellStyle name="Comma 2 2 7 3 3 2" xfId="3513" xr:uid="{AAB659BD-2238-4A59-B593-4BB49505D57C}"/>
    <cellStyle name="Comma 2 2 7 3 4" xfId="3514" xr:uid="{30BF0AF8-BAC2-443B-A837-40E61D762E9E}"/>
    <cellStyle name="Comma 2 2 7 4" xfId="2386" xr:uid="{6D330AC3-0171-4F6D-80B5-2EAFF6865887}"/>
    <cellStyle name="Comma 2 2 7 4 2" xfId="3515" xr:uid="{14A774CF-9012-4F5C-AD23-514DB0FE9321}"/>
    <cellStyle name="Comma 2 2 7 5" xfId="1016" xr:uid="{EFE1A119-87A3-488E-A59B-A2343855B4AE}"/>
    <cellStyle name="Comma 2 2 7 5 2" xfId="3516" xr:uid="{28522E60-FBEB-4A8B-A5C1-A5CE8970B0D7}"/>
    <cellStyle name="Comma 2 2 7 6" xfId="3517" xr:uid="{7EC6668E-AB99-4730-AFD7-4CA793FD3BE1}"/>
    <cellStyle name="Comma 2 2 7 7" xfId="4453" xr:uid="{3F93EAC0-22BD-43AD-B1B8-D77D33183D18}"/>
    <cellStyle name="Comma 2 2 7 7 2" xfId="5587" xr:uid="{8299C856-7ECC-4F98-934E-DAEE2F24C5A3}"/>
    <cellStyle name="Comma 2 2 7 8" xfId="5185" xr:uid="{CB102116-13CC-4079-B9C2-C664F2DD05F2}"/>
    <cellStyle name="Comma 2 2 8" xfId="96" xr:uid="{0A1A4A99-4639-4781-B27C-DA44EC129168}"/>
    <cellStyle name="Comma 2 2 8 2" xfId="2261" xr:uid="{631E5406-C2A1-4527-B6EF-508F7E75BC91}"/>
    <cellStyle name="Comma 2 2 8 2 2" xfId="4732" xr:uid="{578C81FD-D8B0-4520-984F-2DFBF7538A65}"/>
    <cellStyle name="Comma 2 2 8 2 2 2" xfId="5866" xr:uid="{3A0E2D1B-E2E8-4FCD-BF14-590A027EFB31}"/>
    <cellStyle name="Comma 2 2 8 2 3" xfId="5438" xr:uid="{0625C2E1-160E-4933-9400-A1B93427D1CB}"/>
    <cellStyle name="Comma 2 2 8 2 4" xfId="5051" xr:uid="{9029F5A6-310F-43D7-840A-FA0AF7C6DE47}"/>
    <cellStyle name="Comma 2 2 8 3" xfId="1541" xr:uid="{7242A50A-7C00-48D5-9274-DA4D147CA2E0}"/>
    <cellStyle name="Comma 2 2 8 3 2" xfId="4559" xr:uid="{492D9A69-2B92-4932-BEE1-E13E696DEB44}"/>
    <cellStyle name="Comma 2 2 8 3 2 2" xfId="5693" xr:uid="{BFB11621-E98A-4744-B6ED-EEDF5C44502A}"/>
    <cellStyle name="Comma 2 2 8 3 3" xfId="5265" xr:uid="{5DDF78CA-C855-4C89-91AB-2034C13EDDD4}"/>
    <cellStyle name="Comma 2 2 8 3 4" xfId="4878" xr:uid="{7E255E30-6631-4C35-A584-080D5A45241F}"/>
    <cellStyle name="Comma 2 2 8 4" xfId="3518" xr:uid="{685F6859-7582-4D6B-B645-1C40C3D2756E}"/>
    <cellStyle name="Comma 2 2 8 5" xfId="4454" xr:uid="{E83BE3E8-1C37-4B50-9D93-5053E41379E1}"/>
    <cellStyle name="Comma 2 2 8 5 2" xfId="5588" xr:uid="{298EA61F-8062-45D5-B5D5-9C502B3F1C18}"/>
    <cellStyle name="Comma 2 2 9" xfId="1712" xr:uid="{B823430B-45CD-413D-9454-E2C6BE8EA79B}"/>
    <cellStyle name="Comma 2 2 9 2" xfId="2302" xr:uid="{C948F8F3-9DF9-43B4-9C96-7C552AC6BBAD}"/>
    <cellStyle name="Comma 2 2 9 2 2" xfId="4773" xr:uid="{F0E4C33C-1835-4419-9255-DAD8F4946A18}"/>
    <cellStyle name="Comma 2 2 9 2 2 2" xfId="5907" xr:uid="{CA095CD0-F2B6-4BF0-8141-0A47BA487540}"/>
    <cellStyle name="Comma 2 2 9 2 3" xfId="5479" xr:uid="{07E15149-06F0-4DA3-AC6F-6B09DAC3BD21}"/>
    <cellStyle name="Comma 2 2 9 2 4" xfId="5092" xr:uid="{76AD8F56-763E-45A3-BF73-A94852FF50C4}"/>
    <cellStyle name="Comma 2 2 9 3" xfId="4600" xr:uid="{D6F45750-191E-4863-9F6F-F4B45552D34B}"/>
    <cellStyle name="Comma 2 2 9 3 2" xfId="5734" xr:uid="{C5FABBAD-A731-4053-B765-90B9D226BF72}"/>
    <cellStyle name="Comma 2 2 9 4" xfId="5306" xr:uid="{A1A5E84B-A20F-425B-8DCD-D07D3B0D7E37}"/>
    <cellStyle name="Comma 2 2 9 5" xfId="4919" xr:uid="{35CEC585-C876-4C87-BB2E-91E120F71407}"/>
    <cellStyle name="Comma 2 3" xfId="50" xr:uid="{D10D84F3-33A8-4841-9595-03752BD5934D}"/>
    <cellStyle name="Comma 2 3 10" xfId="1831" xr:uid="{C98DDFE6-7FCE-40F3-802F-7AF3B9C7490D}"/>
    <cellStyle name="Comma 2 3 10 2" xfId="2195" xr:uid="{D5CBC6D1-2F03-4F99-9930-21188F49EE30}"/>
    <cellStyle name="Comma 2 3 10 2 2" xfId="4666" xr:uid="{66749B3C-2F64-4B9E-858A-2B0AA1F070EB}"/>
    <cellStyle name="Comma 2 3 10 2 2 2" xfId="5800" xr:uid="{A97FD866-87C3-4A8C-B423-CC0D89E068F1}"/>
    <cellStyle name="Comma 2 3 10 2 3" xfId="5372" xr:uid="{43719123-3F7C-4C6E-A98B-B6B391880CD5}"/>
    <cellStyle name="Comma 2 3 10 2 4" xfId="4985" xr:uid="{438FB726-A153-47A3-8816-279644D237CC}"/>
    <cellStyle name="Comma 2 3 10 3" xfId="2586" xr:uid="{9B0F527F-0AD6-4254-9BFB-E8B4A03DA292}"/>
    <cellStyle name="Comma 2 3 10 3 2" xfId="3078" xr:uid="{DF13E225-436B-47D2-A6E2-B980E5C078A0}"/>
    <cellStyle name="Comma 2 3 10 3 2 2" xfId="3519" xr:uid="{256903D4-1665-4830-8FA3-089C118AC26C}"/>
    <cellStyle name="Comma 2 3 10 3 3" xfId="3520" xr:uid="{10EAB331-400D-4B5D-8966-378C9DAFCF7D}"/>
    <cellStyle name="Comma 2 3 10 4" xfId="2809" xr:uid="{4101D1CF-C796-40F5-B843-AC26FA62FF3C}"/>
    <cellStyle name="Comma 2 3 10 4 2" xfId="3521" xr:uid="{717EB8A0-F4BF-44AE-BABB-B5BF0500D38E}"/>
    <cellStyle name="Comma 2 3 10 5" xfId="3522" xr:uid="{F723C750-C8A4-448F-A7EC-D17E7043FE75}"/>
    <cellStyle name="Comma 2 3 11" xfId="963" xr:uid="{63C23BEB-00B7-4A5C-9E54-BA0E7B78D970}"/>
    <cellStyle name="Comma 2 3 11 2" xfId="3523" xr:uid="{F0287E9C-5077-453B-A972-D14698764CEA}"/>
    <cellStyle name="Comma 2 3 12" xfId="3524" xr:uid="{37017946-F497-4683-88AA-025573CA750C}"/>
    <cellStyle name="Comma 2 3 13" xfId="4415" xr:uid="{4F21AF69-5471-42A8-8536-D098253BBFE2}"/>
    <cellStyle name="Comma 2 3 13 2" xfId="5549" xr:uid="{5BD4528F-EF4B-434E-B90B-8ABD0E393DD3}"/>
    <cellStyle name="Comma 2 3 2" xfId="97" xr:uid="{2A2C55BA-EC20-4D75-8DCD-1C5C03B716D2}"/>
    <cellStyle name="Comma 2 3 2 10" xfId="970" xr:uid="{7DCC4C76-DC62-4638-B0F8-DA5D0B4BE204}"/>
    <cellStyle name="Comma 2 3 2 10 2" xfId="3525" xr:uid="{7EDC4B03-DE5D-444E-9C02-DB758099D6F1}"/>
    <cellStyle name="Comma 2 3 2 11" xfId="3526" xr:uid="{AB6BAB6B-A6AD-48F7-8EF9-C4B72C7DF66B}"/>
    <cellStyle name="Comma 2 3 2 12" xfId="4455" xr:uid="{17EEB554-BE1F-419F-8D38-6C4EB183A7F7}"/>
    <cellStyle name="Comma 2 3 2 12 2" xfId="5589" xr:uid="{A15EF660-D69B-4538-8F4D-A7F1C4123513}"/>
    <cellStyle name="Comma 2 3 2 2" xfId="98" xr:uid="{0EBFDB08-3FCC-4199-AA6B-5A9BC29B6E0C}"/>
    <cellStyle name="Comma 2 3 2 2 10" xfId="4456" xr:uid="{B149FD3B-4D11-456B-94D1-0B5AC3A699FC}"/>
    <cellStyle name="Comma 2 3 2 2 10 2" xfId="5590" xr:uid="{C3786070-BB06-4D7D-B800-EE4D3991A50F}"/>
    <cellStyle name="Comma 2 3 2 2 2" xfId="99" xr:uid="{F682F6C0-BC9D-40E8-9C38-21A3D9CA16E6}"/>
    <cellStyle name="Comma 2 3 2 2 2 2" xfId="1786" xr:uid="{0C73CADC-A52D-49C1-BF0F-0DA406BB8EFE}"/>
    <cellStyle name="Comma 2 3 2 2 2 2 2" xfId="2359" xr:uid="{F99662A8-3108-4EB1-AB4B-B9A640DA64B7}"/>
    <cellStyle name="Comma 2 3 2 2 2 2 2 2" xfId="4830" xr:uid="{096BAC1E-49B3-4812-9915-208CF988C0A1}"/>
    <cellStyle name="Comma 2 3 2 2 2 2 2 2 2" xfId="5964" xr:uid="{6001EAAB-0BE8-439F-BA6D-6E9431399042}"/>
    <cellStyle name="Comma 2 3 2 2 2 2 2 3" xfId="5536" xr:uid="{21FAB5A8-0B16-496A-B92C-A727003206AF}"/>
    <cellStyle name="Comma 2 3 2 2 2 2 2 4" xfId="5149" xr:uid="{E7C677FE-73C5-4373-82AE-533908650551}"/>
    <cellStyle name="Comma 2 3 2 2 2 2 3" xfId="4657" xr:uid="{AD4442BC-9827-4F9E-833B-3547CFF5E6EB}"/>
    <cellStyle name="Comma 2 3 2 2 2 2 3 2" xfId="5791" xr:uid="{3E6811DD-3049-4245-956A-D5CC5A904C71}"/>
    <cellStyle name="Comma 2 3 2 2 2 2 4" xfId="5363" xr:uid="{B879DA6D-4C36-4DB3-856C-7A4AC2473CE0}"/>
    <cellStyle name="Comma 2 3 2 2 2 2 5" xfId="4976" xr:uid="{5ED23AC8-683C-4A55-9367-0BD4ED844F8A}"/>
    <cellStyle name="Comma 2 3 2 2 2 3" xfId="2250" xr:uid="{303AF0EC-CAB8-463F-9DB8-2368DB8EC773}"/>
    <cellStyle name="Comma 2 3 2 2 2 3 2" xfId="4721" xr:uid="{6528D25C-35D0-41BC-A33D-B5B13E0EA370}"/>
    <cellStyle name="Comma 2 3 2 2 2 3 2 2" xfId="5855" xr:uid="{D47F337D-3364-498A-B29F-DDAEB2C2F075}"/>
    <cellStyle name="Comma 2 3 2 2 2 3 3" xfId="5427" xr:uid="{A8BBCB13-CE67-41B8-B1E2-07CD27748300}"/>
    <cellStyle name="Comma 2 3 2 2 2 3 4" xfId="5040" xr:uid="{8BB05BBD-E0F9-4302-87A1-E699E94A9929}"/>
    <cellStyle name="Comma 2 3 2 2 2 4" xfId="4457" xr:uid="{C5C64D34-1183-4E5F-B439-E621165DA3BB}"/>
    <cellStyle name="Comma 2 3 2 2 2 4 2" xfId="5591" xr:uid="{124F0F00-0132-4232-9F9F-D217059E772E}"/>
    <cellStyle name="Comma 2 3 2 2 2 5" xfId="5186" xr:uid="{2A11F073-E59C-4D2E-8CC1-E8E841300B25}"/>
    <cellStyle name="Comma 2 3 2 2 2 6" xfId="4847" xr:uid="{2B5945D4-C88B-4EF9-9234-22EB33BFCC61}"/>
    <cellStyle name="Comma 2 3 2 2 3" xfId="100" xr:uid="{A4B27F98-E898-4BD4-8F3D-A8ACB719F607}"/>
    <cellStyle name="Comma 2 3 2 2 3 2" xfId="1214" xr:uid="{A9785890-3AC9-4CCE-B76D-F03732E4036A}"/>
    <cellStyle name="Comma 2 3 2 2 3 2 2" xfId="2003" xr:uid="{5D62F444-D07D-4CDB-AE36-84872621D5CA}"/>
    <cellStyle name="Comma 2 3 2 2 3 2 2 2" xfId="2928" xr:uid="{99AA52C6-C82B-4B8C-8FA1-526F01AE887E}"/>
    <cellStyle name="Comma 2 3 2 2 3 2 2 2 2" xfId="3527" xr:uid="{A6D190DE-EE7A-43F6-BFE7-F87D2CCDFB8B}"/>
    <cellStyle name="Comma 2 3 2 2 3 2 2 3" xfId="2706" xr:uid="{4F58CB8E-08E3-47B2-92B4-38B4706765FB}"/>
    <cellStyle name="Comma 2 3 2 2 3 2 2 3 2" xfId="3528" xr:uid="{AA5B2B35-B56A-4637-AA37-F0E2ECDB76C4}"/>
    <cellStyle name="Comma 2 3 2 2 3 2 2 4" xfId="3529" xr:uid="{18F240B3-92B1-4975-97A9-CCDB6CC3F517}"/>
    <cellStyle name="Comma 2 3 2 2 3 2 3" xfId="2481" xr:uid="{3F1BA35C-9A1F-4D01-B4EF-39D4B41E2BED}"/>
    <cellStyle name="Comma 2 3 2 2 3 2 3 2" xfId="3530" xr:uid="{975B287B-122C-4E1C-AF61-D742C0EBE5B6}"/>
    <cellStyle name="Comma 2 3 2 2 3 2 4" xfId="3531" xr:uid="{801EAD18-99DC-41F2-9913-C226516B4EA1}"/>
    <cellStyle name="Comma 2 3 2 2 3 3" xfId="1933" xr:uid="{0ECEE3D8-34F0-41AC-9FE4-7D711DFC2DCD}"/>
    <cellStyle name="Comma 2 3 2 2 3 3 2" xfId="2858" xr:uid="{ED52F9AF-75E9-4176-9C46-831BF01F9293}"/>
    <cellStyle name="Comma 2 3 2 2 3 3 2 2" xfId="3532" xr:uid="{273A09FA-4CEF-4373-B9BD-F030C2DAD8AB}"/>
    <cellStyle name="Comma 2 3 2 2 3 3 3" xfId="2636" xr:uid="{D936105F-4871-42BB-B0F0-35BDEBD86D24}"/>
    <cellStyle name="Comma 2 3 2 2 3 3 3 2" xfId="3533" xr:uid="{84F8A658-3BF2-43CD-83F3-8FA38AA98D89}"/>
    <cellStyle name="Comma 2 3 2 2 3 3 4" xfId="3534" xr:uid="{BB925A74-729A-4F4B-9513-B5E79C592248}"/>
    <cellStyle name="Comma 2 3 2 2 3 4" xfId="2411" xr:uid="{21E88CBA-02B2-41EC-AC3D-7BDBFB50390C}"/>
    <cellStyle name="Comma 2 3 2 2 3 4 2" xfId="3535" xr:uid="{51FC0108-5DD2-4697-8FEF-5523FD054E6A}"/>
    <cellStyle name="Comma 2 3 2 2 3 5" xfId="1041" xr:uid="{94CFEFE9-6BEC-40EA-8B69-C88BE196022F}"/>
    <cellStyle name="Comma 2 3 2 2 3 5 2" xfId="3536" xr:uid="{AA584C3D-611D-46BD-A815-5A73A14660E0}"/>
    <cellStyle name="Comma 2 3 2 2 3 6" xfId="3537" xr:uid="{C432447F-9264-451B-804D-4CAC9BFECC07}"/>
    <cellStyle name="Comma 2 3 2 2 3 7" xfId="4458" xr:uid="{20B8CBF6-8963-43B0-92ED-DF5D3D6B66A0}"/>
    <cellStyle name="Comma 2 3 2 2 3 7 2" xfId="5592" xr:uid="{8D379AEE-F743-483E-A77B-FB7C6AFC9193}"/>
    <cellStyle name="Comma 2 3 2 2 3 8" xfId="5187" xr:uid="{E63C960F-31A9-4738-8081-7C4678273522}"/>
    <cellStyle name="Comma 2 3 2 2 4" xfId="1631" xr:uid="{6917443D-8DB5-49BA-B933-BC8D09AEF6EA}"/>
    <cellStyle name="Comma 2 3 2 2 4 2" xfId="2285" xr:uid="{B2FD0F78-A71B-44C3-9F62-C64B65266E30}"/>
    <cellStyle name="Comma 2 3 2 2 4 2 2" xfId="4756" xr:uid="{B7ACBF2E-B35C-4850-AAC5-22E4295143EC}"/>
    <cellStyle name="Comma 2 3 2 2 4 2 2 2" xfId="5890" xr:uid="{C43FE47C-92A6-4135-846F-29A53B88289A}"/>
    <cellStyle name="Comma 2 3 2 2 4 2 3" xfId="5462" xr:uid="{D561F492-F2DC-4FDF-9706-9BCF96A8E9D9}"/>
    <cellStyle name="Comma 2 3 2 2 4 2 4" xfId="5075" xr:uid="{38D31E1F-9987-4A59-B576-7E6697F7B792}"/>
    <cellStyle name="Comma 2 3 2 2 4 3" xfId="4583" xr:uid="{9C219361-EC8B-479B-BC87-4C2F2111AE9D}"/>
    <cellStyle name="Comma 2 3 2 2 4 3 2" xfId="5717" xr:uid="{3F735913-77EA-495B-87DD-B7800CE371FE}"/>
    <cellStyle name="Comma 2 3 2 2 4 4" xfId="5289" xr:uid="{A711868C-B7B9-4DEC-9662-B6225C236AD2}"/>
    <cellStyle name="Comma 2 3 2 2 4 5" xfId="4902" xr:uid="{BF91FCAD-DD40-4491-89E4-032ED649C224}"/>
    <cellStyle name="Comma 2 3 2 2 5" xfId="1754" xr:uid="{9FA68BA5-D759-4C83-B416-FF22F57420F4}"/>
    <cellStyle name="Comma 2 3 2 2 5 2" xfId="2327" xr:uid="{33658817-C3B0-4E9D-8D61-6BC3884FA59C}"/>
    <cellStyle name="Comma 2 3 2 2 5 2 2" xfId="4798" xr:uid="{9A285650-0600-4F76-AB34-13829E70DBEF}"/>
    <cellStyle name="Comma 2 3 2 2 5 2 2 2" xfId="5932" xr:uid="{2F0F0B09-12C1-4B90-8930-AE6CC09B06E1}"/>
    <cellStyle name="Comma 2 3 2 2 5 2 3" xfId="5504" xr:uid="{393ED4BB-5105-479C-961B-090650A04B2C}"/>
    <cellStyle name="Comma 2 3 2 2 5 2 4" xfId="5117" xr:uid="{858D53B1-68B2-49A7-ACFB-F75FF9CD490B}"/>
    <cellStyle name="Comma 2 3 2 2 5 3" xfId="4625" xr:uid="{DAE1C6DA-7FBC-4EE1-86EF-000F958EBF1C}"/>
    <cellStyle name="Comma 2 3 2 2 5 3 2" xfId="5759" xr:uid="{EF51BA64-961D-4E79-9DA3-01569A33C33E}"/>
    <cellStyle name="Comma 2 3 2 2 5 4" xfId="5331" xr:uid="{22C1AB1F-B9B7-495A-A3AE-45C0F3689EB5}"/>
    <cellStyle name="Comma 2 3 2 2 5 5" xfId="4944" xr:uid="{24B4D724-BB3F-41D9-B799-512200A4689F}"/>
    <cellStyle name="Comma 2 3 2 2 6" xfId="2091" xr:uid="{3F90BB15-EEE1-47E9-A581-0FAF57827E21}"/>
    <cellStyle name="Comma 2 3 2 2 6 2" xfId="2771" xr:uid="{61AA1C23-0ECB-45F1-B3D5-3A99E4E7DEDC}"/>
    <cellStyle name="Comma 2 3 2 2 6 2 2" xfId="3097" xr:uid="{510D4F3C-A2D2-4512-89C2-D1CB2FA2095F}"/>
    <cellStyle name="Comma 2 3 2 2 6 2 2 2" xfId="3538" xr:uid="{9E25AF9B-4835-4485-97E8-B7A1627B8BFA}"/>
    <cellStyle name="Comma 2 3 2 2 6 2 3" xfId="3539" xr:uid="{A7815816-56AA-46C5-94F7-7DD44CEB8E4B}"/>
    <cellStyle name="Comma 2 3 2 2 6 3" xfId="2993" xr:uid="{7E48CCB9-5190-46A7-9D06-1F60CFE13728}"/>
    <cellStyle name="Comma 2 3 2 2 6 3 2" xfId="3540" xr:uid="{E2188C28-7470-4E05-92AC-33F71F2DEEAF}"/>
    <cellStyle name="Comma 2 3 2 2 6 4" xfId="2546" xr:uid="{68390D33-0B13-44BB-BEC8-698CDC6E6EF2}"/>
    <cellStyle name="Comma 2 3 2 2 6 4 2" xfId="3541" xr:uid="{9625FE7F-AD4B-4F99-9FFE-18557C14448C}"/>
    <cellStyle name="Comma 2 3 2 2 6 5" xfId="3542" xr:uid="{0C72EC0B-4337-435E-95F1-C37106614E13}"/>
    <cellStyle name="Comma 2 3 2 2 7" xfId="2218" xr:uid="{1FBA7AB7-59CE-4021-B2E0-3D99AE0DFB52}"/>
    <cellStyle name="Comma 2 3 2 2 7 2" xfId="4689" xr:uid="{DCE332EC-8A47-4421-BE08-9B197E9B4956}"/>
    <cellStyle name="Comma 2 3 2 2 7 2 2" xfId="5823" xr:uid="{EA4845D9-EA99-4D68-BBE8-8626B6812CF7}"/>
    <cellStyle name="Comma 2 3 2 2 7 3" xfId="5395" xr:uid="{2D091C51-DABE-42C9-9C5D-1B44E69C9F09}"/>
    <cellStyle name="Comma 2 3 2 2 7 4" xfId="5008" xr:uid="{04AC8023-706A-4BC2-ADA7-A056687FC48B}"/>
    <cellStyle name="Comma 2 3 2 2 8" xfId="991" xr:uid="{8B7C3B42-86EA-408B-AAFD-8120C41A011B}"/>
    <cellStyle name="Comma 2 3 2 2 8 2" xfId="3543" xr:uid="{46226D30-E3AD-47B0-A064-732C30FFA57C}"/>
    <cellStyle name="Comma 2 3 2 2 9" xfId="3544" xr:uid="{EED98EE6-B187-4B3A-B30E-753653A64027}"/>
    <cellStyle name="Comma 2 3 2 3" xfId="101" xr:uid="{F674500B-DE96-464C-BF42-7DAD6ABB0FC7}"/>
    <cellStyle name="Comma 2 3 2 3 2" xfId="1655" xr:uid="{038C285A-6C78-480F-BA02-ACDDF2756D41}"/>
    <cellStyle name="Comma 2 3 2 3 2 2" xfId="2297" xr:uid="{92AC952D-EBEB-4C96-9AAB-C723FD5FEE83}"/>
    <cellStyle name="Comma 2 3 2 3 2 2 2" xfId="4768" xr:uid="{45DFF623-0517-4C4B-85BF-27A7CB0D328C}"/>
    <cellStyle name="Comma 2 3 2 3 2 2 2 2" xfId="5902" xr:uid="{F2E913E4-95E1-42AC-B80A-145CF551BB6A}"/>
    <cellStyle name="Comma 2 3 2 3 2 2 3" xfId="5474" xr:uid="{4BAEE3F0-4F62-408B-A72F-17A8D7139CA0}"/>
    <cellStyle name="Comma 2 3 2 3 2 2 4" xfId="5087" xr:uid="{6F1D7B00-66A0-40E5-94E0-AEC83FFF0955}"/>
    <cellStyle name="Comma 2 3 2 3 2 3" xfId="4595" xr:uid="{A1556162-213E-418F-A895-520A9538F99B}"/>
    <cellStyle name="Comma 2 3 2 3 2 3 2" xfId="5729" xr:uid="{FF4D07BF-2A63-4A27-8C32-5320A29373EE}"/>
    <cellStyle name="Comma 2 3 2 3 2 4" xfId="5301" xr:uid="{2945D3F2-D95C-4F64-B4C5-26AA813F2A80}"/>
    <cellStyle name="Comma 2 3 2 3 2 5" xfId="4914" xr:uid="{013DAC87-88DE-45D7-9F08-D2B3462E67C2}"/>
    <cellStyle name="Comma 2 3 2 3 3" xfId="1770" xr:uid="{2304E498-E764-48EF-B64E-A5ED62DF0763}"/>
    <cellStyle name="Comma 2 3 2 3 3 2" xfId="2343" xr:uid="{1DC52BEB-06AC-4643-916E-33590B4F530E}"/>
    <cellStyle name="Comma 2 3 2 3 3 2 2" xfId="4814" xr:uid="{C76EC140-F0B8-4BB1-A697-45CB11E436FA}"/>
    <cellStyle name="Comma 2 3 2 3 3 2 2 2" xfId="5948" xr:uid="{E72A8C90-24BD-45B8-8882-E68F078F4E4C}"/>
    <cellStyle name="Comma 2 3 2 3 3 2 3" xfId="5520" xr:uid="{C3DC36EA-8CC2-4358-8668-980E4B7E0847}"/>
    <cellStyle name="Comma 2 3 2 3 3 2 4" xfId="5133" xr:uid="{83C34C3E-C20E-476B-98D9-AA36E4E8647B}"/>
    <cellStyle name="Comma 2 3 2 3 3 3" xfId="4641" xr:uid="{B2945B0D-1247-45C5-A85A-E73740905FBA}"/>
    <cellStyle name="Comma 2 3 2 3 3 3 2" xfId="5775" xr:uid="{BD586310-4ABE-4CDD-A6D0-5BD005963678}"/>
    <cellStyle name="Comma 2 3 2 3 3 4" xfId="5347" xr:uid="{64876AAA-BA6B-44E9-846A-FB193FDAEA54}"/>
    <cellStyle name="Comma 2 3 2 3 3 5" xfId="4960" xr:uid="{0AA74633-2B2B-4CE2-BC01-F600704F8985}"/>
    <cellStyle name="Comma 2 3 2 3 4" xfId="1466" xr:uid="{5A13C0C3-E7AB-43F5-814A-BCD41E25C99A}"/>
    <cellStyle name="Comma 2 3 2 3 4 2" xfId="2037" xr:uid="{CAA9C848-9DFA-484C-AC68-1FED9F8B6F4B}"/>
    <cellStyle name="Comma 2 3 2 3 4 2 2" xfId="2962" xr:uid="{57156CC5-2AB6-4EF5-8EB5-7D8C25B60303}"/>
    <cellStyle name="Comma 2 3 2 3 4 2 2 2" xfId="3545" xr:uid="{1DF0A01F-4233-4D6F-88EF-515A0EA1E18F}"/>
    <cellStyle name="Comma 2 3 2 3 4 2 3" xfId="2740" xr:uid="{0322804D-8576-43B4-942D-4CF12C0012F7}"/>
    <cellStyle name="Comma 2 3 2 3 4 2 3 2" xfId="3546" xr:uid="{D1A6AB02-DA1B-44C4-BBAD-303A417F0725}"/>
    <cellStyle name="Comma 2 3 2 3 4 2 4" xfId="3547" xr:uid="{BDC87B7A-8973-471B-890E-0A24AB6640CF}"/>
    <cellStyle name="Comma 2 3 2 3 4 3" xfId="2515" xr:uid="{23B7F274-BAC5-4703-B6D5-2E8EB7237CC3}"/>
    <cellStyle name="Comma 2 3 2 3 4 3 2" xfId="3548" xr:uid="{2AF6E0F2-ED16-4536-BFCC-B42602966FA8}"/>
    <cellStyle name="Comma 2 3 2 3 4 4" xfId="3549" xr:uid="{96FBCD92-4082-4E63-9D65-4514F7019CB3}"/>
    <cellStyle name="Comma 2 3 2 3 5" xfId="2092" xr:uid="{F5BD7263-C5D8-4F1F-B740-6000FF34422B}"/>
    <cellStyle name="Comma 2 3 2 3 5 2" xfId="2772" xr:uid="{4194DB7F-1B61-4E88-AF01-E73E6987F7A9}"/>
    <cellStyle name="Comma 2 3 2 3 5 2 2" xfId="3098" xr:uid="{7113A15C-73A7-4C4F-851B-E6318E745456}"/>
    <cellStyle name="Comma 2 3 2 3 5 2 2 2" xfId="3550" xr:uid="{CE54C7D2-ECED-4ECC-A01B-6B7F0EBED4CC}"/>
    <cellStyle name="Comma 2 3 2 3 5 2 3" xfId="3551" xr:uid="{F9CAA8E1-49BC-4237-8CF3-8B70277B1384}"/>
    <cellStyle name="Comma 2 3 2 3 5 3" xfId="2994" xr:uid="{F7F4FFD5-F3CA-474A-A11F-DD95A4AC7D0F}"/>
    <cellStyle name="Comma 2 3 2 3 5 3 2" xfId="3552" xr:uid="{42C27041-D579-433C-BED4-A10D9926C48A}"/>
    <cellStyle name="Comma 2 3 2 3 5 4" xfId="2547" xr:uid="{A2EA17EE-D722-40C5-9322-7E0F5C1AECCC}"/>
    <cellStyle name="Comma 2 3 2 3 5 4 2" xfId="3553" xr:uid="{F886E30D-CCF1-48D5-97BA-30C390DD57A0}"/>
    <cellStyle name="Comma 2 3 2 3 5 5" xfId="3554" xr:uid="{D17D6BC8-F401-4231-8E20-EB552AAD7460}"/>
    <cellStyle name="Comma 2 3 2 3 6" xfId="2234" xr:uid="{E51F89DE-C568-4027-A3B0-CE3AAC24951A}"/>
    <cellStyle name="Comma 2 3 2 3 6 2" xfId="4705" xr:uid="{AB642775-1C8D-4EC5-A41B-0FC0FE87039B}"/>
    <cellStyle name="Comma 2 3 2 3 6 2 2" xfId="5839" xr:uid="{AEBF914B-857A-4610-8E1C-1B3435DA3857}"/>
    <cellStyle name="Comma 2 3 2 3 6 3" xfId="5411" xr:uid="{8FD8A19D-BD07-4206-954E-A7EEC66DF81A}"/>
    <cellStyle name="Comma 2 3 2 3 6 4" xfId="5024" xr:uid="{2917CBC1-CFCE-4427-953D-3468E856C59D}"/>
    <cellStyle name="Comma 2 3 2 3 7" xfId="4459" xr:uid="{72C8AB23-DACF-4273-BE8A-8AE31CC79D37}"/>
    <cellStyle name="Comma 2 3 2 3 7 2" xfId="5593" xr:uid="{0A59C049-2D9E-429E-B062-599A9C1ACC84}"/>
    <cellStyle name="Comma 2 3 2 3 8" xfId="5188" xr:uid="{88CCAF3D-9F09-4CBF-AEFD-8692311E28D0}"/>
    <cellStyle name="Comma 2 3 2 3 9" xfId="4848" xr:uid="{30443AE4-A4CA-4EBB-83AE-18F506812338}"/>
    <cellStyle name="Comma 2 3 2 4" xfId="102" xr:uid="{F0E57606-87A2-4179-8EEA-5CF87E06D76F}"/>
    <cellStyle name="Comma 2 3 2 4 2" xfId="1198" xr:uid="{B800B7F0-3685-489B-8844-E9664A10B1EF}"/>
    <cellStyle name="Comma 2 3 2 4 2 2" xfId="1987" xr:uid="{4B826064-3D92-48FA-A827-4E7F55ABE2D5}"/>
    <cellStyle name="Comma 2 3 2 4 2 2 2" xfId="2912" xr:uid="{FA54760D-7667-464F-AD25-01D5783775CE}"/>
    <cellStyle name="Comma 2 3 2 4 2 2 2 2" xfId="3555" xr:uid="{41E3AE5C-9C38-4C4F-83E2-72E96109BDB9}"/>
    <cellStyle name="Comma 2 3 2 4 2 2 3" xfId="2690" xr:uid="{946B6E7B-E68C-4CD7-BE5B-B0409BD0ABD5}"/>
    <cellStyle name="Comma 2 3 2 4 2 2 3 2" xfId="3556" xr:uid="{C64C0963-2D74-48C1-82BC-121B1D17AE31}"/>
    <cellStyle name="Comma 2 3 2 4 2 2 4" xfId="3557" xr:uid="{D59EEC3A-64E1-432A-8937-D629D14A6B14}"/>
    <cellStyle name="Comma 2 3 2 4 2 3" xfId="2465" xr:uid="{9BF882EC-9FC0-435F-99EC-E69AF72F2400}"/>
    <cellStyle name="Comma 2 3 2 4 2 3 2" xfId="3558" xr:uid="{F46743ED-8311-44F8-AD57-1B97FDF087A0}"/>
    <cellStyle name="Comma 2 3 2 4 2 4" xfId="3559" xr:uid="{CEBDF07E-F5AC-4D50-9B7A-5627B4AE3032}"/>
    <cellStyle name="Comma 2 3 2 4 3" xfId="1917" xr:uid="{BF710AE1-ACFC-4E4B-B6D7-174E5F727816}"/>
    <cellStyle name="Comma 2 3 2 4 3 2" xfId="2842" xr:uid="{77D11DF1-4511-40DC-BC94-91EA362F2014}"/>
    <cellStyle name="Comma 2 3 2 4 3 2 2" xfId="3560" xr:uid="{06EBF066-43BF-48AE-8E7B-E5E59A98C857}"/>
    <cellStyle name="Comma 2 3 2 4 3 3" xfId="2620" xr:uid="{46DBBA24-342C-4D2A-B8D2-5C3B46A9D135}"/>
    <cellStyle name="Comma 2 3 2 4 3 3 2" xfId="3561" xr:uid="{9BE0146F-260F-499C-9760-01879A7DDCE4}"/>
    <cellStyle name="Comma 2 3 2 4 3 4" xfId="3562" xr:uid="{99B11C42-84A9-48BA-B307-A3BAC2B09952}"/>
    <cellStyle name="Comma 2 3 2 4 4" xfId="2395" xr:uid="{A760C752-F1CE-4522-9076-4AC7C9F63277}"/>
    <cellStyle name="Comma 2 3 2 4 4 2" xfId="3563" xr:uid="{26DA3F49-B3CD-4B0D-B1AA-538801C7ED64}"/>
    <cellStyle name="Comma 2 3 2 4 5" xfId="1025" xr:uid="{DC9E7531-664B-4019-A972-5311D0DDFD3D}"/>
    <cellStyle name="Comma 2 3 2 4 5 2" xfId="3564" xr:uid="{35D30F63-D22B-4A03-A512-40A3313383D3}"/>
    <cellStyle name="Comma 2 3 2 4 6" xfId="3565" xr:uid="{95193664-5404-4F00-A8DB-A5D11B924978}"/>
    <cellStyle name="Comma 2 3 2 4 7" xfId="4460" xr:uid="{E4E05405-DD7B-44C7-93F4-1F7BA22FDDA7}"/>
    <cellStyle name="Comma 2 3 2 4 7 2" xfId="5594" xr:uid="{2CAC9618-782E-4D95-B693-2896F600F660}"/>
    <cellStyle name="Comma 2 3 2 4 8" xfId="5189" xr:uid="{6C4222D1-ED3D-4D07-A610-086948D4C8A4}"/>
    <cellStyle name="Comma 2 3 2 5" xfId="1510" xr:uid="{584383D6-7763-4626-9233-649963432444}"/>
    <cellStyle name="Comma 2 3 2 5 2" xfId="2093" xr:uid="{F96480A1-0002-4DE7-86A9-DBE7659CC61C}"/>
    <cellStyle name="Comma 2 3 2 5 2 2" xfId="2773" xr:uid="{C9F94915-90D3-40AC-8666-6004312582E2}"/>
    <cellStyle name="Comma 2 3 2 5 2 2 2" xfId="3099" xr:uid="{4361DAB7-3B7E-419A-A6C3-4651FF7712B8}"/>
    <cellStyle name="Comma 2 3 2 5 2 2 2 2" xfId="3566" xr:uid="{87F4687F-351D-4252-A3A7-02BD922D7CD2}"/>
    <cellStyle name="Comma 2 3 2 5 2 2 3" xfId="3567" xr:uid="{A4E7790C-5E00-4F78-82F9-F965FDB65F1C}"/>
    <cellStyle name="Comma 2 3 2 5 2 3" xfId="2995" xr:uid="{DE5E2447-A847-4CD2-BD14-D72C47C50D59}"/>
    <cellStyle name="Comma 2 3 2 5 2 3 2" xfId="3568" xr:uid="{E02A0286-315E-4CFA-B510-913B2754524E}"/>
    <cellStyle name="Comma 2 3 2 5 2 4" xfId="2548" xr:uid="{21B85AB6-7898-40B9-BE62-512C8EDF7E34}"/>
    <cellStyle name="Comma 2 3 2 5 2 4 2" xfId="3569" xr:uid="{5E798725-1C0A-4B89-A079-0AE38A41B6A9}"/>
    <cellStyle name="Comma 2 3 2 5 2 5" xfId="3570" xr:uid="{02DC2E60-129F-4652-90DD-C308417F4054}"/>
    <cellStyle name="Comma 2 3 2 5 3" xfId="2048" xr:uid="{8287461D-EA5B-40CE-9A55-0B6555E2AB44}"/>
    <cellStyle name="Comma 2 3 2 5 3 2" xfId="2973" xr:uid="{20631A5C-224F-46CC-9835-27D685E9A3F7}"/>
    <cellStyle name="Comma 2 3 2 5 3 2 2" xfId="3571" xr:uid="{A75E07A3-CE11-4174-B451-5DFF220C8172}"/>
    <cellStyle name="Comma 2 3 2 5 3 3" xfId="2751" xr:uid="{985DF171-757E-4458-A3E4-9F9ECEF87B09}"/>
    <cellStyle name="Comma 2 3 2 5 3 3 2" xfId="3572" xr:uid="{672DE7E8-CF10-4E81-9C58-7F2A92C061F0}"/>
    <cellStyle name="Comma 2 3 2 5 3 4" xfId="3573" xr:uid="{F405E36D-1076-4875-8B7D-ECFE98A0D46F}"/>
    <cellStyle name="Comma 2 3 2 5 4" xfId="2526" xr:uid="{48144860-BA01-4ACB-BCDC-68959B1DA215}"/>
    <cellStyle name="Comma 2 3 2 5 4 2" xfId="3574" xr:uid="{0A7DDBCC-AFA6-43BA-90E7-3AB5A73B14CA}"/>
    <cellStyle name="Comma 2 3 2 5 5" xfId="3575" xr:uid="{1965AAF4-C6F3-4AB5-A172-E35982BBC884}"/>
    <cellStyle name="Comma 2 3 2 6" xfId="1550" xr:uid="{DB372320-4D74-4DE0-A25E-1E1D2F35001E}"/>
    <cellStyle name="Comma 2 3 2 6 2" xfId="2270" xr:uid="{59F6D881-9352-45A4-B1E1-46D1F2203355}"/>
    <cellStyle name="Comma 2 3 2 6 2 2" xfId="4741" xr:uid="{4E5252C7-3B02-4EF4-8BA3-DAECC493887C}"/>
    <cellStyle name="Comma 2 3 2 6 2 2 2" xfId="5875" xr:uid="{53CDCAEF-5B29-4E80-9E55-11BD59C982DC}"/>
    <cellStyle name="Comma 2 3 2 6 2 3" xfId="5447" xr:uid="{CAF4F6BE-0390-49DB-B51F-0AD44281F227}"/>
    <cellStyle name="Comma 2 3 2 6 2 4" xfId="5060" xr:uid="{9D89D059-7A85-44C5-BD64-2EACF5448B32}"/>
    <cellStyle name="Comma 2 3 2 6 3" xfId="4568" xr:uid="{B379808C-4807-471D-9CCD-B7822223BA1C}"/>
    <cellStyle name="Comma 2 3 2 6 3 2" xfId="5702" xr:uid="{1E41718F-D276-4D4A-802B-8A5E0B8F0D09}"/>
    <cellStyle name="Comma 2 3 2 6 4" xfId="5274" xr:uid="{E2F3BF27-FA14-42E3-ABEE-7086FBC3B9E0}"/>
    <cellStyle name="Comma 2 3 2 6 5" xfId="4887" xr:uid="{1D4925DC-6B38-4B2E-9B05-75C2D0E876FD}"/>
    <cellStyle name="Comma 2 3 2 7" xfId="1738" xr:uid="{6EB3081F-619F-4060-BEFF-CC283078268A}"/>
    <cellStyle name="Comma 2 3 2 7 2" xfId="2311" xr:uid="{FDE4F64C-48D4-43A0-B9A1-8E9E84FEE93F}"/>
    <cellStyle name="Comma 2 3 2 7 2 2" xfId="4782" xr:uid="{47750954-2DF7-43A2-B748-C770ADFA6534}"/>
    <cellStyle name="Comma 2 3 2 7 2 2 2" xfId="5916" xr:uid="{C88CAE6D-C740-4726-89AB-651D5A106F32}"/>
    <cellStyle name="Comma 2 3 2 7 2 3" xfId="5488" xr:uid="{DC8774B5-F7E7-4C7A-A108-F4E891644D60}"/>
    <cellStyle name="Comma 2 3 2 7 2 4" xfId="5101" xr:uid="{0FE83827-B424-45CD-B412-40D48957FE53}"/>
    <cellStyle name="Comma 2 3 2 7 3" xfId="4609" xr:uid="{A86F9947-AA3B-4743-97B0-DE38CC8F0D72}"/>
    <cellStyle name="Comma 2 3 2 7 3 2" xfId="5743" xr:uid="{07D33A16-1760-48E8-A7B5-93ABF64B1726}"/>
    <cellStyle name="Comma 2 3 2 7 4" xfId="5315" xr:uid="{A2209429-7C93-4A32-8DD9-4EC900DB2429}"/>
    <cellStyle name="Comma 2 3 2 7 5" xfId="4928" xr:uid="{909DF875-21EE-49BA-A652-4C2615DDEB85}"/>
    <cellStyle name="Comma 2 3 2 8" xfId="2094" xr:uid="{47D7A463-1D34-4CE6-927E-0B57A708FC36}"/>
    <cellStyle name="Comma 2 3 2 8 2" xfId="2774" xr:uid="{1F266A13-F5E4-48F1-A44E-8434121C659B}"/>
    <cellStyle name="Comma 2 3 2 8 2 2" xfId="3100" xr:uid="{93A9F24B-B64E-4F0F-898E-DDF470B98FB4}"/>
    <cellStyle name="Comma 2 3 2 8 2 2 2" xfId="3576" xr:uid="{B300006F-46FE-4DFF-8CEB-A52479EC640B}"/>
    <cellStyle name="Comma 2 3 2 8 2 3" xfId="3577" xr:uid="{A3BFBD32-46C9-416A-B382-78D038AD00F7}"/>
    <cellStyle name="Comma 2 3 2 8 3" xfId="2996" xr:uid="{59AD88C8-C241-491F-A921-A66BBBAA36BA}"/>
    <cellStyle name="Comma 2 3 2 8 3 2" xfId="3578" xr:uid="{ABF94F66-8864-4623-8F7C-AED87CA9CAAF}"/>
    <cellStyle name="Comma 2 3 2 8 4" xfId="2549" xr:uid="{AE55DE68-1779-4CA5-841B-57AC5701C539}"/>
    <cellStyle name="Comma 2 3 2 8 4 2" xfId="3579" xr:uid="{2713DA91-0FFD-4C50-AD43-59DE7DE16600}"/>
    <cellStyle name="Comma 2 3 2 8 5" xfId="3580" xr:uid="{B0EAF911-E789-4D10-8E0E-4E78F103F80D}"/>
    <cellStyle name="Comma 2 3 2 9" xfId="2202" xr:uid="{D538290D-D51B-41CF-B4D8-DD5FA3DF1190}"/>
    <cellStyle name="Comma 2 3 2 9 2" xfId="4673" xr:uid="{19819B29-9C3D-4C67-8AD4-9000F753C96F}"/>
    <cellStyle name="Comma 2 3 2 9 2 2" xfId="5807" xr:uid="{9A60601D-F5F6-49B1-9CE3-D9CACF7260A1}"/>
    <cellStyle name="Comma 2 3 2 9 3" xfId="5379" xr:uid="{EAB82D17-3975-435B-9595-536C9EB04F22}"/>
    <cellStyle name="Comma 2 3 2 9 4" xfId="4992" xr:uid="{8CFC37DC-6E5B-4C58-B254-E91E9C580743}"/>
    <cellStyle name="Comma 2 3 3" xfId="103" xr:uid="{B72F0FAA-4999-4FD9-BC9F-08564AC81210}"/>
    <cellStyle name="Comma 2 3 3 10" xfId="4461" xr:uid="{8C53F2A9-F2C7-4080-A807-10B4869BD840}"/>
    <cellStyle name="Comma 2 3 3 10 2" xfId="5595" xr:uid="{C7A1040A-7A21-4CE3-BCDF-836F005CCBA2}"/>
    <cellStyle name="Comma 2 3 3 2" xfId="104" xr:uid="{B7827090-D93D-4F8C-B5D6-5CD6034FBDE5}"/>
    <cellStyle name="Comma 2 3 3 2 2" xfId="1779" xr:uid="{508FE6F2-F051-4483-8C15-D4DC43F533B4}"/>
    <cellStyle name="Comma 2 3 3 2 2 2" xfId="2352" xr:uid="{56C4D548-56BD-400D-AACC-DBEB5EFFDAE4}"/>
    <cellStyle name="Comma 2 3 3 2 2 2 2" xfId="4823" xr:uid="{87D64515-F265-441C-8D34-E04F5FD6BD56}"/>
    <cellStyle name="Comma 2 3 3 2 2 2 2 2" xfId="5957" xr:uid="{F1B85568-0128-423F-9C75-0A6BC659CF87}"/>
    <cellStyle name="Comma 2 3 3 2 2 2 3" xfId="5529" xr:uid="{D374250F-0AF2-40B1-ABC8-9AFD45A0D478}"/>
    <cellStyle name="Comma 2 3 3 2 2 2 4" xfId="5142" xr:uid="{C52C7CF9-D8BF-400E-B1FB-66AF448D5A4B}"/>
    <cellStyle name="Comma 2 3 3 2 2 3" xfId="4650" xr:uid="{D32FF4A4-C37B-4BF1-8B91-E269EC86928C}"/>
    <cellStyle name="Comma 2 3 3 2 2 3 2" xfId="5784" xr:uid="{2D19152C-4924-407B-A400-95AB746B706F}"/>
    <cellStyle name="Comma 2 3 3 2 2 4" xfId="5356" xr:uid="{CC8DDFD1-5397-4F58-B292-99C8BAC3B042}"/>
    <cellStyle name="Comma 2 3 3 2 2 5" xfId="4969" xr:uid="{F21EC59D-C0C1-4269-8E7A-475691F132B7}"/>
    <cellStyle name="Comma 2 3 3 2 3" xfId="2243" xr:uid="{06F3AAC8-7EBD-4AD9-BAD9-1C3A2127310F}"/>
    <cellStyle name="Comma 2 3 3 2 3 2" xfId="4714" xr:uid="{FE03EF89-5C3F-45A3-BB3F-8F940A1D3728}"/>
    <cellStyle name="Comma 2 3 3 2 3 2 2" xfId="5848" xr:uid="{262C7374-ECB1-4ACA-B4E1-4EE190566D2B}"/>
    <cellStyle name="Comma 2 3 3 2 3 3" xfId="5420" xr:uid="{8C867837-0928-4F34-AD58-8B04D3CDF832}"/>
    <cellStyle name="Comma 2 3 3 2 3 4" xfId="5033" xr:uid="{5F52D231-D1F9-4491-9856-6D9948AB4294}"/>
    <cellStyle name="Comma 2 3 3 2 4" xfId="4462" xr:uid="{575FC6AE-ED95-419A-B79F-C3EA40E333CC}"/>
    <cellStyle name="Comma 2 3 3 2 4 2" xfId="5596" xr:uid="{40E3063C-FE67-47DA-B3E5-1657132DE171}"/>
    <cellStyle name="Comma 2 3 3 2 5" xfId="5190" xr:uid="{3D190055-68CB-4D25-8B10-899C2A6B035E}"/>
    <cellStyle name="Comma 2 3 3 2 6" xfId="4849" xr:uid="{B9068ED9-5B37-4115-A171-71D12B37E290}"/>
    <cellStyle name="Comma 2 3 3 3" xfId="105" xr:uid="{688C707C-BD6B-470B-8ADE-2CE5793FDCA7}"/>
    <cellStyle name="Comma 2 3 3 3 2" xfId="1207" xr:uid="{4E616F40-0A65-49F6-8474-ABA19FC1ECF3}"/>
    <cellStyle name="Comma 2 3 3 3 2 2" xfId="1996" xr:uid="{43ACF206-B59E-49DA-9CED-0F75C5931855}"/>
    <cellStyle name="Comma 2 3 3 3 2 2 2" xfId="2921" xr:uid="{D91DBC46-CFBA-4C4A-B2A7-0EC65200A550}"/>
    <cellStyle name="Comma 2 3 3 3 2 2 2 2" xfId="3581" xr:uid="{3F8038DF-DBF0-48F4-8998-04DD6D031C6E}"/>
    <cellStyle name="Comma 2 3 3 3 2 2 3" xfId="2699" xr:uid="{E6852E52-30E7-4E73-B299-723E6145A627}"/>
    <cellStyle name="Comma 2 3 3 3 2 2 3 2" xfId="3582" xr:uid="{B46A6837-BDD4-44CB-8D9C-B29B291E2849}"/>
    <cellStyle name="Comma 2 3 3 3 2 2 4" xfId="3583" xr:uid="{57D7C9EC-9825-4A8E-A369-7A3067D31B24}"/>
    <cellStyle name="Comma 2 3 3 3 2 3" xfId="2474" xr:uid="{248249AA-B580-43A7-B7D8-ABDE5D412C43}"/>
    <cellStyle name="Comma 2 3 3 3 2 3 2" xfId="3584" xr:uid="{822458E0-586D-4684-BBD7-C228E7731DB7}"/>
    <cellStyle name="Comma 2 3 3 3 2 4" xfId="3585" xr:uid="{B1285DB4-9817-430D-8AF7-A473E299256E}"/>
    <cellStyle name="Comma 2 3 3 3 3" xfId="1926" xr:uid="{412E3B2D-D67B-4D67-BAD0-02E337611316}"/>
    <cellStyle name="Comma 2 3 3 3 3 2" xfId="2851" xr:uid="{8574499E-DD58-4DEA-BD36-274E5CFE9983}"/>
    <cellStyle name="Comma 2 3 3 3 3 2 2" xfId="3586" xr:uid="{EC9D703B-A228-4414-9160-F30554EA10F3}"/>
    <cellStyle name="Comma 2 3 3 3 3 3" xfId="2629" xr:uid="{C9839818-8255-4D17-BD0E-94626140FB1E}"/>
    <cellStyle name="Comma 2 3 3 3 3 3 2" xfId="3587" xr:uid="{8FAF1DC8-F775-4BED-8067-70825FB01FDA}"/>
    <cellStyle name="Comma 2 3 3 3 3 4" xfId="3588" xr:uid="{0F11C3F2-7FC0-41B4-B98E-36BA2239BAC3}"/>
    <cellStyle name="Comma 2 3 3 3 4" xfId="2404" xr:uid="{638F3190-58C7-4B2C-850F-9552074A9DB2}"/>
    <cellStyle name="Comma 2 3 3 3 4 2" xfId="3589" xr:uid="{C00B480C-273A-4CC3-ADB4-4B77C9263633}"/>
    <cellStyle name="Comma 2 3 3 3 5" xfId="1034" xr:uid="{103AAAAA-C41F-4C0F-8E31-DF1B0AF09295}"/>
    <cellStyle name="Comma 2 3 3 3 5 2" xfId="3590" xr:uid="{0BF59720-6AFB-4603-B8FB-01F59E30E063}"/>
    <cellStyle name="Comma 2 3 3 3 6" xfId="3591" xr:uid="{1379424D-615C-4E71-95AA-AC350235ED68}"/>
    <cellStyle name="Comma 2 3 3 3 7" xfId="4463" xr:uid="{682227B6-F92B-4333-AB49-1570E020BB71}"/>
    <cellStyle name="Comma 2 3 3 3 7 2" xfId="5597" xr:uid="{F5D0005E-5027-4A32-B858-58BDD1BF8B00}"/>
    <cellStyle name="Comma 2 3 3 3 8" xfId="5191" xr:uid="{0B70A8D1-8148-4481-B518-1EEDD7937806}"/>
    <cellStyle name="Comma 2 3 3 4" xfId="1625" xr:uid="{489183F3-6915-4DEA-8D26-27CDBC7CF4F7}"/>
    <cellStyle name="Comma 2 3 3 4 2" xfId="2279" xr:uid="{7F7E558D-3812-49C7-BE9E-9AE3A2D51E43}"/>
    <cellStyle name="Comma 2 3 3 4 2 2" xfId="4750" xr:uid="{F191E541-63F2-4EAF-9706-9AEFB6FA6375}"/>
    <cellStyle name="Comma 2 3 3 4 2 2 2" xfId="5884" xr:uid="{36FC4D7C-14C6-420E-BFF9-7F1BE6F7A48F}"/>
    <cellStyle name="Comma 2 3 3 4 2 3" xfId="5456" xr:uid="{60A7BF49-6404-4C5A-B7EA-5F4A2A3E427D}"/>
    <cellStyle name="Comma 2 3 3 4 2 4" xfId="5069" xr:uid="{688D313F-AA2E-4634-B26F-0DCDD9FA8220}"/>
    <cellStyle name="Comma 2 3 3 4 3" xfId="4577" xr:uid="{32D1DAD5-765A-4D78-8D0D-ABC96CDD1839}"/>
    <cellStyle name="Comma 2 3 3 4 3 2" xfId="5711" xr:uid="{197EF7A3-29AC-4601-AFC9-E2F4D9732585}"/>
    <cellStyle name="Comma 2 3 3 4 4" xfId="5283" xr:uid="{9691C9C4-0FDA-4BA5-947B-6C60F1CC20AD}"/>
    <cellStyle name="Comma 2 3 3 4 5" xfId="4896" xr:uid="{65E9C854-2C07-4E01-9C3E-A6B3690BFA76}"/>
    <cellStyle name="Comma 2 3 3 5" xfId="1747" xr:uid="{0F38C440-7294-4D20-9DE2-9320AC7200C0}"/>
    <cellStyle name="Comma 2 3 3 5 2" xfId="2320" xr:uid="{55C956AF-13F1-4523-861D-530EFA18AF50}"/>
    <cellStyle name="Comma 2 3 3 5 2 2" xfId="4791" xr:uid="{AB33F3C9-31CE-4EA0-9B13-153126ED4710}"/>
    <cellStyle name="Comma 2 3 3 5 2 2 2" xfId="5925" xr:uid="{B707C102-8A3B-4BF9-BFD3-7BFD5C7C4516}"/>
    <cellStyle name="Comma 2 3 3 5 2 3" xfId="5497" xr:uid="{22F8E3D5-9727-4643-A406-86B6BC1E4D64}"/>
    <cellStyle name="Comma 2 3 3 5 2 4" xfId="5110" xr:uid="{06BB7946-D74B-4B0C-89F2-3ECA8EBE28B9}"/>
    <cellStyle name="Comma 2 3 3 5 3" xfId="4618" xr:uid="{637FEA79-2573-4ACD-8FB8-B758D16CEFEC}"/>
    <cellStyle name="Comma 2 3 3 5 3 2" xfId="5752" xr:uid="{EA29A3BF-A3CC-447D-A60B-45DC4CF8E0F7}"/>
    <cellStyle name="Comma 2 3 3 5 4" xfId="5324" xr:uid="{217FB2FB-A31F-41BC-9A23-E8A8CCAB3484}"/>
    <cellStyle name="Comma 2 3 3 5 5" xfId="4937" xr:uid="{DBD233EB-1EB1-435D-B216-E2BB218DEE43}"/>
    <cellStyle name="Comma 2 3 3 6" xfId="2095" xr:uid="{6AB5B2CD-1821-4C50-82C1-A908CF71D68D}"/>
    <cellStyle name="Comma 2 3 3 6 2" xfId="2775" xr:uid="{8E96CA5B-F1A9-411C-8195-228BD7C3ADE7}"/>
    <cellStyle name="Comma 2 3 3 6 2 2" xfId="3101" xr:uid="{5A48650D-DA78-4BBC-9C6E-27C4609CC3EB}"/>
    <cellStyle name="Comma 2 3 3 6 2 2 2" xfId="3592" xr:uid="{B14C7105-C768-4FDF-B613-620BF8FB73AA}"/>
    <cellStyle name="Comma 2 3 3 6 2 3" xfId="3593" xr:uid="{001C9606-03DF-442E-8582-41CB4822967E}"/>
    <cellStyle name="Comma 2 3 3 6 3" xfId="2997" xr:uid="{AE6F52AB-7DC0-406D-AA13-44B3598D5006}"/>
    <cellStyle name="Comma 2 3 3 6 3 2" xfId="3594" xr:uid="{C7F6A604-9F6C-447C-B534-F5DF35492277}"/>
    <cellStyle name="Comma 2 3 3 6 4" xfId="2550" xr:uid="{3DBD61E3-285B-4F86-8D19-980D8C3D726B}"/>
    <cellStyle name="Comma 2 3 3 6 4 2" xfId="3595" xr:uid="{29F387C9-F752-487B-83DD-33D319C0CDC2}"/>
    <cellStyle name="Comma 2 3 3 6 5" xfId="3596" xr:uid="{A91A4AF8-1199-4DE0-8B47-6353096BF06A}"/>
    <cellStyle name="Comma 2 3 3 7" xfId="2211" xr:uid="{D5572E70-2B4E-495A-9916-3B8F65D80694}"/>
    <cellStyle name="Comma 2 3 3 7 2" xfId="4682" xr:uid="{27121464-1592-4BA5-84E4-241B6598B580}"/>
    <cellStyle name="Comma 2 3 3 7 2 2" xfId="5816" xr:uid="{ABA5BE80-90AB-405C-B008-D62A10C9361B}"/>
    <cellStyle name="Comma 2 3 3 7 3" xfId="5388" xr:uid="{71BEF57F-3A1D-4B0C-982B-528006601411}"/>
    <cellStyle name="Comma 2 3 3 7 4" xfId="5001" xr:uid="{CB6780D2-63A9-458F-A7F3-C792235CBD4B}"/>
    <cellStyle name="Comma 2 3 3 8" xfId="984" xr:uid="{E3F03F0E-C5D1-4C40-9494-FC82E3EB323E}"/>
    <cellStyle name="Comma 2 3 3 8 2" xfId="3597" xr:uid="{FF9121BA-A60D-4445-BEF3-30719F5F2682}"/>
    <cellStyle name="Comma 2 3 3 9" xfId="3598" xr:uid="{6796996F-65A9-40FB-BC23-CE64AED70802}"/>
    <cellStyle name="Comma 2 3 4" xfId="106" xr:uid="{2C5528C7-76AB-4600-AEC8-9387244F2ED1}"/>
    <cellStyle name="Comma 2 3 4 10" xfId="5192" xr:uid="{C99DDEE1-3BE4-4EB4-A7F0-6FE6679AD63D}"/>
    <cellStyle name="Comma 2 3 4 2" xfId="107" xr:uid="{6B8F112E-CF7E-4AE9-A4E0-6B7A52559080}"/>
    <cellStyle name="Comma 2 3 4 2 2" xfId="108" xr:uid="{353DE66E-7ECB-4683-983F-6F02B77D025A}"/>
    <cellStyle name="Comma 2 3 4 2 2 2" xfId="1233" xr:uid="{0E042DF5-3159-4CAD-9A0E-1D44BE92177F}"/>
    <cellStyle name="Comma 2 3 4 2 2 2 2" xfId="2022" xr:uid="{7E64AA25-5D16-4752-9B63-6A740414B85A}"/>
    <cellStyle name="Comma 2 3 4 2 2 2 2 2" xfId="2947" xr:uid="{B4B24DFA-FAAB-47F4-9B1F-F3918CA80F46}"/>
    <cellStyle name="Comma 2 3 4 2 2 2 2 2 2" xfId="3599" xr:uid="{ADB908BD-08F4-4D5C-9D29-4D52D29B7D64}"/>
    <cellStyle name="Comma 2 3 4 2 2 2 2 3" xfId="2725" xr:uid="{67F2159C-43CA-4D07-A3E3-63DB88AED1A1}"/>
    <cellStyle name="Comma 2 3 4 2 2 2 2 3 2" xfId="3600" xr:uid="{EC66E84B-670A-4990-9DF5-EEF3E8B05F53}"/>
    <cellStyle name="Comma 2 3 4 2 2 2 2 4" xfId="3601" xr:uid="{451CDC78-9246-46F9-9549-188C1D59FA0B}"/>
    <cellStyle name="Comma 2 3 4 2 2 2 3" xfId="2500" xr:uid="{9C4585CE-E9F5-4676-808B-AB3B9068FE7C}"/>
    <cellStyle name="Comma 2 3 4 2 2 2 3 2" xfId="3602" xr:uid="{DA07518D-CC9B-404B-A59D-CDCEA368F81E}"/>
    <cellStyle name="Comma 2 3 4 2 2 2 4" xfId="3603" xr:uid="{31A91142-47D7-4834-8FD9-28591E2F8603}"/>
    <cellStyle name="Comma 2 3 4 2 2 3" xfId="1952" xr:uid="{728CA7BB-4965-4DCE-9DB2-42265347AE90}"/>
    <cellStyle name="Comma 2 3 4 2 2 3 2" xfId="2877" xr:uid="{B4B79A61-A118-4E6E-8CF0-A827CA540655}"/>
    <cellStyle name="Comma 2 3 4 2 2 3 2 2" xfId="3604" xr:uid="{96E3470F-E56C-4359-A6C5-680E81B70356}"/>
    <cellStyle name="Comma 2 3 4 2 2 3 3" xfId="2655" xr:uid="{28F2FFA6-A4F7-4976-8EF4-C967A4D29B42}"/>
    <cellStyle name="Comma 2 3 4 2 2 3 3 2" xfId="3605" xr:uid="{CE703139-F60F-402C-88FB-2FD0225F3A10}"/>
    <cellStyle name="Comma 2 3 4 2 2 3 4" xfId="3606" xr:uid="{3BC23BBD-98A3-403C-AC63-E2FA4CF1010F}"/>
    <cellStyle name="Comma 2 3 4 2 2 4" xfId="2430" xr:uid="{A374B5A8-7730-4B0D-AD88-5D520BE67BC9}"/>
    <cellStyle name="Comma 2 3 4 2 2 4 2" xfId="3607" xr:uid="{16C28032-1562-42A8-8281-CF981B586A6E}"/>
    <cellStyle name="Comma 2 3 4 2 2 5" xfId="1060" xr:uid="{FB30500D-7E7C-4B38-B585-EAF3267EA38F}"/>
    <cellStyle name="Comma 2 3 4 2 2 5 2" xfId="3608" xr:uid="{E60C8825-D6FE-4AAE-ADD2-7DD6A195F513}"/>
    <cellStyle name="Comma 2 3 4 2 2 6" xfId="3609" xr:uid="{C57F62D2-7D2A-460E-A0CF-3E3C7527E0C0}"/>
    <cellStyle name="Comma 2 3 4 2 2 7" xfId="4466" xr:uid="{F34D486F-5DCC-4CA9-9FD8-BE3CC1E203B6}"/>
    <cellStyle name="Comma 2 3 4 2 2 7 2" xfId="5600" xr:uid="{3E38F9FC-AA69-4779-9C11-CCFCC81E53CB}"/>
    <cellStyle name="Comma 2 3 4 2 2 8" xfId="5194" xr:uid="{09D397C0-D831-4428-A305-F9C282929750}"/>
    <cellStyle name="Comma 2 3 4 2 3" xfId="1183" xr:uid="{1A3523C2-B5BD-4159-AFD5-031CD18038CD}"/>
    <cellStyle name="Comma 2 3 4 2 3 2" xfId="1972" xr:uid="{46C0171E-DE22-46FD-897B-7AB40BFE2203}"/>
    <cellStyle name="Comma 2 3 4 2 3 2 2" xfId="2897" xr:uid="{1FE8311B-EA1E-4819-9E55-E5362C7B2DF0}"/>
    <cellStyle name="Comma 2 3 4 2 3 2 2 2" xfId="3610" xr:uid="{DECAD0D8-1B75-4170-8120-B3E5265304CA}"/>
    <cellStyle name="Comma 2 3 4 2 3 2 3" xfId="2675" xr:uid="{8A5B6690-2DD8-4345-A78B-C61E04FD034A}"/>
    <cellStyle name="Comma 2 3 4 2 3 2 3 2" xfId="3611" xr:uid="{7F886D5B-792C-4393-95BA-FD9953F5E6E9}"/>
    <cellStyle name="Comma 2 3 4 2 3 2 4" xfId="3612" xr:uid="{9A879FAF-6370-4EF1-B4CB-989C8DCD323C}"/>
    <cellStyle name="Comma 2 3 4 2 3 3" xfId="2450" xr:uid="{A5EF5807-FE4E-4163-8272-ADDC479EBBAE}"/>
    <cellStyle name="Comma 2 3 4 2 3 3 2" xfId="3613" xr:uid="{8CFB9AB9-1CA0-47C2-BA10-46E14BD227AC}"/>
    <cellStyle name="Comma 2 3 4 2 3 4" xfId="3614" xr:uid="{E5998375-ABB3-491F-95BD-983475E1AB6A}"/>
    <cellStyle name="Comma 2 3 4 2 4" xfId="1902" xr:uid="{28AF94A7-B919-42E5-AE12-5D96462E4295}"/>
    <cellStyle name="Comma 2 3 4 2 4 2" xfId="2827" xr:uid="{22ABC3AB-42EF-459A-A4EE-67906FC0865E}"/>
    <cellStyle name="Comma 2 3 4 2 4 2 2" xfId="3615" xr:uid="{08215F26-C386-4C3F-945F-5D125AFD7037}"/>
    <cellStyle name="Comma 2 3 4 2 4 3" xfId="2605" xr:uid="{BC4D4F6A-9289-45F0-B8C4-B8E684436B25}"/>
    <cellStyle name="Comma 2 3 4 2 4 3 2" xfId="3616" xr:uid="{A5443B13-ED9C-4AA9-B6F8-501510EC2A76}"/>
    <cellStyle name="Comma 2 3 4 2 4 4" xfId="3617" xr:uid="{D52E1B69-D375-40F4-8F00-AB81686EEDC4}"/>
    <cellStyle name="Comma 2 3 4 2 5" xfId="2380" xr:uid="{14CEFC1D-B5F4-4AF7-BE18-F55BCEEA90E8}"/>
    <cellStyle name="Comma 2 3 4 2 5 2" xfId="3618" xr:uid="{19EE0539-6056-4DDF-9B2B-32255D8A0A7B}"/>
    <cellStyle name="Comma 2 3 4 2 6" xfId="1010" xr:uid="{F5C17B78-8C38-47BB-962D-1E87E42E724D}"/>
    <cellStyle name="Comma 2 3 4 2 6 2" xfId="3619" xr:uid="{B8F91ABD-4F67-44E7-BD25-3EADD9C1C60A}"/>
    <cellStyle name="Comma 2 3 4 2 7" xfId="3620" xr:uid="{EE985E06-2593-48E2-B5C7-D2D72BD4631C}"/>
    <cellStyle name="Comma 2 3 4 2 8" xfId="4465" xr:uid="{E729A58D-9DB4-4CB8-943A-67C84ACB473B}"/>
    <cellStyle name="Comma 2 3 4 2 8 2" xfId="5599" xr:uid="{C6EDFA6A-C4B3-42D4-832E-1BD66DC4C5F6}"/>
    <cellStyle name="Comma 2 3 4 2 9" xfId="5193" xr:uid="{FF7C5A92-215A-4337-8E03-0082780B4308}"/>
    <cellStyle name="Comma 2 3 4 3" xfId="109" xr:uid="{05B96540-9A30-43F0-A062-8ACD960773FE}"/>
    <cellStyle name="Comma 2 3 4 3 2" xfId="1224" xr:uid="{1C7A6136-F6BB-4A54-9C2D-DAD4D7847A01}"/>
    <cellStyle name="Comma 2 3 4 3 2 2" xfId="2013" xr:uid="{BE2AB6C6-F4FF-4755-8676-E40A52CFA7FF}"/>
    <cellStyle name="Comma 2 3 4 3 2 2 2" xfId="2938" xr:uid="{419A203F-4414-47CE-86B2-07A7C4981DC3}"/>
    <cellStyle name="Comma 2 3 4 3 2 2 2 2" xfId="3621" xr:uid="{D40977F6-382B-44B7-BCC3-9B8D468587ED}"/>
    <cellStyle name="Comma 2 3 4 3 2 2 3" xfId="2716" xr:uid="{E27782DC-5CA0-47B9-888C-281286347AF8}"/>
    <cellStyle name="Comma 2 3 4 3 2 2 3 2" xfId="3622" xr:uid="{0120D7C6-BC79-4029-883F-CE4EB793C775}"/>
    <cellStyle name="Comma 2 3 4 3 2 2 4" xfId="3623" xr:uid="{7FFB3AE9-0FF9-4E32-A90B-D8BDE285DE8D}"/>
    <cellStyle name="Comma 2 3 4 3 2 3" xfId="2491" xr:uid="{8AE1B8A0-FC13-43A4-A1F7-992135F70BAF}"/>
    <cellStyle name="Comma 2 3 4 3 2 3 2" xfId="3624" xr:uid="{EFA57C72-9CE4-4692-BCCB-B3B488B2904C}"/>
    <cellStyle name="Comma 2 3 4 3 2 4" xfId="3625" xr:uid="{2C588E33-6EFE-4C30-BADF-824E0F5E7BD1}"/>
    <cellStyle name="Comma 2 3 4 3 3" xfId="1943" xr:uid="{838F9DA0-E045-44A1-AB0A-42B0954A6236}"/>
    <cellStyle name="Comma 2 3 4 3 3 2" xfId="2868" xr:uid="{9813B6D1-D8C9-48B7-BFEA-8D8FDD80C46C}"/>
    <cellStyle name="Comma 2 3 4 3 3 2 2" xfId="3626" xr:uid="{0C6B5598-BAF1-4507-8C6D-3D52539EA8CE}"/>
    <cellStyle name="Comma 2 3 4 3 3 3" xfId="2646" xr:uid="{38BFAC2E-20A6-4AEA-8378-F8B7B684683D}"/>
    <cellStyle name="Comma 2 3 4 3 3 3 2" xfId="3627" xr:uid="{B41EB13A-306F-49E1-9ADB-7F18C28120D3}"/>
    <cellStyle name="Comma 2 3 4 3 3 4" xfId="3628" xr:uid="{E821650B-4A07-41A0-BCD7-C19689EB3228}"/>
    <cellStyle name="Comma 2 3 4 3 4" xfId="2421" xr:uid="{A35B3F22-8CB6-4710-9BDE-1EBFB4364154}"/>
    <cellStyle name="Comma 2 3 4 3 4 2" xfId="3629" xr:uid="{05212D29-80EB-44B3-AF7B-B375069A99B6}"/>
    <cellStyle name="Comma 2 3 4 3 5" xfId="1051" xr:uid="{3F9A288D-6C75-46A4-957E-FF2A4694C470}"/>
    <cellStyle name="Comma 2 3 4 3 5 2" xfId="3630" xr:uid="{342C9C35-3DEC-4D0A-8AFF-6F3AEDC40CCC}"/>
    <cellStyle name="Comma 2 3 4 3 6" xfId="3631" xr:uid="{BCB98D5E-22C6-403C-85FC-BF5167B6B1D4}"/>
    <cellStyle name="Comma 2 3 4 3 7" xfId="4467" xr:uid="{991A2E10-E862-426C-9305-DD60AA94810D}"/>
    <cellStyle name="Comma 2 3 4 3 7 2" xfId="5601" xr:uid="{19E9F4E0-A541-4DA3-ADC7-65C1D0E1AE26}"/>
    <cellStyle name="Comma 2 3 4 3 8" xfId="5195" xr:uid="{E4620710-B74B-4801-808A-768E9D0EFD8B}"/>
    <cellStyle name="Comma 2 3 4 4" xfId="1174" xr:uid="{3DF05A8C-A17C-42BC-9C7B-9DF7DB341EA5}"/>
    <cellStyle name="Comma 2 3 4 4 2" xfId="1963" xr:uid="{31EE02B9-3911-4C02-919E-9EAD66BB23F3}"/>
    <cellStyle name="Comma 2 3 4 4 2 2" xfId="2888" xr:uid="{2B355520-1DF0-4B41-A75F-6FA5952D5217}"/>
    <cellStyle name="Comma 2 3 4 4 2 2 2" xfId="3632" xr:uid="{C690B8E5-322A-4896-8AFC-6AC4CA6F67E0}"/>
    <cellStyle name="Comma 2 3 4 4 2 3" xfId="2666" xr:uid="{7D73344A-2D55-4EC2-9883-09D7C7462077}"/>
    <cellStyle name="Comma 2 3 4 4 2 3 2" xfId="3633" xr:uid="{51DF80CA-BE74-4125-9370-BD165272CBFD}"/>
    <cellStyle name="Comma 2 3 4 4 2 4" xfId="3634" xr:uid="{AA9BFB20-F820-4C41-9023-12B537277C68}"/>
    <cellStyle name="Comma 2 3 4 4 3" xfId="2441" xr:uid="{8571E87D-1F3D-4674-8111-37218C5D7666}"/>
    <cellStyle name="Comma 2 3 4 4 3 2" xfId="3635" xr:uid="{83F7B252-6F8D-4F41-90F5-D257A9868911}"/>
    <cellStyle name="Comma 2 3 4 4 4" xfId="3636" xr:uid="{55246FDC-C2CE-4B5A-9794-B262777E5536}"/>
    <cellStyle name="Comma 2 3 4 5" xfId="1893" xr:uid="{BA97EE13-EF20-4AD5-BDC0-E73679EC318B}"/>
    <cellStyle name="Comma 2 3 4 5 2" xfId="2818" xr:uid="{42664C3F-2ECE-4445-8DBA-94ADF3A43A2C}"/>
    <cellStyle name="Comma 2 3 4 5 2 2" xfId="3637" xr:uid="{C10C0897-436F-4063-BEAF-658CE377080B}"/>
    <cellStyle name="Comma 2 3 4 5 3" xfId="2596" xr:uid="{F82944AA-1FFC-4E33-8F87-5EB5A642E98D}"/>
    <cellStyle name="Comma 2 3 4 5 3 2" xfId="3638" xr:uid="{D4BAA429-A257-437B-A69F-4B1EF7DD9195}"/>
    <cellStyle name="Comma 2 3 4 5 4" xfId="3639" xr:uid="{84F4FF02-37EB-4A95-AD25-478E53820076}"/>
    <cellStyle name="Comma 2 3 4 6" xfId="2371" xr:uid="{A15AE0B3-AD77-4051-8C67-DCCAD9C34945}"/>
    <cellStyle name="Comma 2 3 4 6 2" xfId="3640" xr:uid="{DA53F532-EBA6-4086-BDE7-7AF1CA3D7D6A}"/>
    <cellStyle name="Comma 2 3 4 7" xfId="1001" xr:uid="{1EB6B698-2700-498F-995D-F6ADB1476191}"/>
    <cellStyle name="Comma 2 3 4 7 2" xfId="3641" xr:uid="{D6B3C1C1-90AF-43E5-8E0A-9CCE2B9B0455}"/>
    <cellStyle name="Comma 2 3 4 8" xfId="3642" xr:uid="{E704F012-324B-424E-B9E3-59B4345D491E}"/>
    <cellStyle name="Comma 2 3 4 9" xfId="4464" xr:uid="{8C1CC345-C37D-4448-AF85-5428346E76A1}"/>
    <cellStyle name="Comma 2 3 4 9 2" xfId="5598" xr:uid="{7F644909-6857-4808-9296-199889E6A790}"/>
    <cellStyle name="Comma 2 3 5" xfId="110" xr:uid="{5C2EAF77-7EE7-4298-89CE-A81CDEAF76A4}"/>
    <cellStyle name="Comma 2 3 5 2" xfId="1763" xr:uid="{E57DB9F4-1524-416F-852B-955279AD1A70}"/>
    <cellStyle name="Comma 2 3 5 2 2" xfId="2336" xr:uid="{95FAFC69-D568-4784-8107-812AE8A15CA4}"/>
    <cellStyle name="Comma 2 3 5 2 2 2" xfId="4807" xr:uid="{A9CB78D5-1A99-4FC7-8B2D-EC77734A87F4}"/>
    <cellStyle name="Comma 2 3 5 2 2 2 2" xfId="5941" xr:uid="{36385ABA-CAFA-4971-A3C4-80CC76014ACA}"/>
    <cellStyle name="Comma 2 3 5 2 2 3" xfId="5513" xr:uid="{469386F0-8A79-4213-BC15-5D558201DB29}"/>
    <cellStyle name="Comma 2 3 5 2 2 4" xfId="5126" xr:uid="{04482154-3792-46C5-A646-EDECFD37A645}"/>
    <cellStyle name="Comma 2 3 5 2 3" xfId="4634" xr:uid="{45E550C1-73D5-4333-AB2B-9A10FED235F6}"/>
    <cellStyle name="Comma 2 3 5 2 3 2" xfId="5768" xr:uid="{6FDA631E-BC3F-457A-A309-EC8DB40ED56A}"/>
    <cellStyle name="Comma 2 3 5 2 4" xfId="5340" xr:uid="{65C6FFFD-D286-42E7-99D2-F6E35227A0E3}"/>
    <cellStyle name="Comma 2 3 5 2 5" xfId="4953" xr:uid="{BF95B42B-F261-4E87-8D98-28CB09C4404F}"/>
    <cellStyle name="Comma 2 3 5 3" xfId="2227" xr:uid="{68FF0496-A717-44E8-8D75-426067E15F5D}"/>
    <cellStyle name="Comma 2 3 5 3 2" xfId="4698" xr:uid="{B1269DD1-A73A-425D-A372-3D4D2B8BE9D0}"/>
    <cellStyle name="Comma 2 3 5 3 2 2" xfId="5832" xr:uid="{8024EE4B-07ED-40A3-B240-04E548443F2F}"/>
    <cellStyle name="Comma 2 3 5 3 3" xfId="5404" xr:uid="{D2B9C960-1A2B-46E2-9C52-E074062C9D14}"/>
    <cellStyle name="Comma 2 3 5 3 4" xfId="5017" xr:uid="{DADB9ED0-CD7D-4ACE-B18E-BBF565B88960}"/>
    <cellStyle name="Comma 2 3 5 4" xfId="4468" xr:uid="{9918AC29-0DA7-4245-9F76-7F5A611D61B5}"/>
    <cellStyle name="Comma 2 3 5 4 2" xfId="5602" xr:uid="{8868F842-3491-4724-BFC7-8AECAFA6FBCD}"/>
    <cellStyle name="Comma 2 3 5 5" xfId="5196" xr:uid="{C0A76C83-82E4-4D41-BC53-199930A814D5}"/>
    <cellStyle name="Comma 2 3 5 6" xfId="4850" xr:uid="{0C9F16DB-5B5E-434E-9B88-B9030AF694CB}"/>
    <cellStyle name="Comma 2 3 6" xfId="111" xr:uid="{5B5F1D23-0D2D-4A83-92D5-0A5042E4439C}"/>
    <cellStyle name="Comma 2 3 6 2" xfId="1191" xr:uid="{CC674842-D9F4-48EB-80EE-50ADBF233ACA}"/>
    <cellStyle name="Comma 2 3 6 2 2" xfId="1980" xr:uid="{2689A93E-2275-45D7-8621-BD4BFDF6D3BD}"/>
    <cellStyle name="Comma 2 3 6 2 2 2" xfId="2905" xr:uid="{A8DB96AC-0AB0-43E9-B73E-7A213B5C5EA5}"/>
    <cellStyle name="Comma 2 3 6 2 2 2 2" xfId="3643" xr:uid="{9AE86C19-315A-4AAD-AD17-1EF8D427C11A}"/>
    <cellStyle name="Comma 2 3 6 2 2 3" xfId="2683" xr:uid="{F1269C90-CEF3-4BB6-A32F-37333A00F12E}"/>
    <cellStyle name="Comma 2 3 6 2 2 3 2" xfId="3644" xr:uid="{4C94A29B-2697-4177-9A19-53F82ED93186}"/>
    <cellStyle name="Comma 2 3 6 2 2 4" xfId="3645" xr:uid="{8718C050-1429-48CA-81DC-B40FD7A10608}"/>
    <cellStyle name="Comma 2 3 6 2 3" xfId="2458" xr:uid="{7DA491CF-DC05-40DA-8546-3AD7782D885C}"/>
    <cellStyle name="Comma 2 3 6 2 3 2" xfId="3646" xr:uid="{D17585FD-601A-42BE-BA6C-7A8D2921AB31}"/>
    <cellStyle name="Comma 2 3 6 2 4" xfId="3647" xr:uid="{2D670FD3-4A23-4C3E-A4DD-8D1C40BB16AC}"/>
    <cellStyle name="Comma 2 3 6 3" xfId="1910" xr:uid="{2A245000-45DF-4A60-92DE-C5BD55D9180C}"/>
    <cellStyle name="Comma 2 3 6 3 2" xfId="2835" xr:uid="{725C15A2-6FAB-4C99-B2CE-0D4F8A3A135C}"/>
    <cellStyle name="Comma 2 3 6 3 2 2" xfId="3648" xr:uid="{F08AC222-5693-49B6-9B10-0DF8C3994243}"/>
    <cellStyle name="Comma 2 3 6 3 3" xfId="2613" xr:uid="{7015C4C8-4D3D-48AA-A32A-1ACCB355669C}"/>
    <cellStyle name="Comma 2 3 6 3 3 2" xfId="3649" xr:uid="{6BF90C51-71FC-4FDB-9CFE-27158D8A018A}"/>
    <cellStyle name="Comma 2 3 6 3 4" xfId="3650" xr:uid="{3C7A0DB8-BFDE-4A30-9D94-8C613E99CA43}"/>
    <cellStyle name="Comma 2 3 6 4" xfId="2388" xr:uid="{B74D4CCF-4C2F-46F9-B24A-FE446326BFC2}"/>
    <cellStyle name="Comma 2 3 6 4 2" xfId="3651" xr:uid="{CCCC6A35-385A-4396-8568-567BBF37B258}"/>
    <cellStyle name="Comma 2 3 6 5" xfId="1018" xr:uid="{F884BA5F-2C5C-4DE4-934F-8853FF51CE25}"/>
    <cellStyle name="Comma 2 3 6 5 2" xfId="3652" xr:uid="{5CD99EBA-A499-46CB-AC84-7F4AEE0BA308}"/>
    <cellStyle name="Comma 2 3 6 6" xfId="3653" xr:uid="{BB559308-B37F-4288-BAF2-A2A67780AAB0}"/>
    <cellStyle name="Comma 2 3 6 7" xfId="4469" xr:uid="{AFE8AC5C-7162-4CD5-9291-173BCA5470AB}"/>
    <cellStyle name="Comma 2 3 6 7 2" xfId="5603" xr:uid="{547C60A6-9386-48B0-858D-700C721F54AC}"/>
    <cellStyle name="Comma 2 3 6 8" xfId="5197" xr:uid="{D9A66A35-1F3F-4D6B-B92A-904910373A46}"/>
    <cellStyle name="Comma 2 3 7" xfId="112" xr:uid="{95B77E63-5939-4212-A82D-E345F837CE51}"/>
    <cellStyle name="Comma 2 3 7 2" xfId="2263" xr:uid="{C2ACDF31-F425-43BB-B60D-985BE48980B3}"/>
    <cellStyle name="Comma 2 3 7 2 2" xfId="4734" xr:uid="{A7F9763D-0B30-4FEC-907E-CF7C6427B23E}"/>
    <cellStyle name="Comma 2 3 7 2 2 2" xfId="5868" xr:uid="{BD938AD3-D7B3-4145-974A-3B8D6D6B7B93}"/>
    <cellStyle name="Comma 2 3 7 2 3" xfId="5440" xr:uid="{28F5DF2B-B6F5-4A4E-8277-620097FE63B2}"/>
    <cellStyle name="Comma 2 3 7 2 4" xfId="5053" xr:uid="{AEB699E9-FF34-4CF7-AC3C-759AB9F08423}"/>
    <cellStyle name="Comma 2 3 7 3" xfId="1543" xr:uid="{ABC66323-3E36-4AB1-BCD4-104F4A716F4F}"/>
    <cellStyle name="Comma 2 3 7 3 2" xfId="4561" xr:uid="{13C39039-755A-4D04-8B84-1E4D4A12AA9E}"/>
    <cellStyle name="Comma 2 3 7 3 2 2" xfId="5695" xr:uid="{67EC6D5F-5382-419C-BE2B-2BD31C28C90A}"/>
    <cellStyle name="Comma 2 3 7 3 3" xfId="5267" xr:uid="{7508A7FD-7DE9-4F0B-93F2-9ADD12889C81}"/>
    <cellStyle name="Comma 2 3 7 3 4" xfId="4880" xr:uid="{F6C711F2-AF83-4F5F-B916-D3ED9B33E456}"/>
    <cellStyle name="Comma 2 3 7 4" xfId="3654" xr:uid="{C870AB49-C831-4340-A22F-5FD2DA33895A}"/>
    <cellStyle name="Comma 2 3 7 5" xfId="4470" xr:uid="{1FD57CA9-6993-4CD6-ACEB-1AE6E097CB86}"/>
    <cellStyle name="Comma 2 3 7 5 2" xfId="5604" xr:uid="{C66DC46D-B758-4F63-83CB-530C8E2374EF}"/>
    <cellStyle name="Comma 2 3 8" xfId="1731" xr:uid="{F2359930-0878-40F0-806D-FF234CBEE4D0}"/>
    <cellStyle name="Comma 2 3 8 2" xfId="2304" xr:uid="{025D6734-3594-4D24-A404-70E992AE5F77}"/>
    <cellStyle name="Comma 2 3 8 2 2" xfId="4775" xr:uid="{479FE582-43AD-4A60-A542-3F7D99A6C3CA}"/>
    <cellStyle name="Comma 2 3 8 2 2 2" xfId="5909" xr:uid="{A940CEA1-F9AF-4BE7-9CC1-AD0B69761EFE}"/>
    <cellStyle name="Comma 2 3 8 2 3" xfId="5481" xr:uid="{E315ABAE-BAA4-4D09-9F91-0AC634978722}"/>
    <cellStyle name="Comma 2 3 8 2 4" xfId="5094" xr:uid="{76070459-B8EB-4860-90B8-D9EBDD445130}"/>
    <cellStyle name="Comma 2 3 8 3" xfId="4602" xr:uid="{FCF308FC-5B5C-4AFB-9753-80EFB2CB7E35}"/>
    <cellStyle name="Comma 2 3 8 3 2" xfId="5736" xr:uid="{4B5A2F7E-0C01-48BA-B334-F71AAFAB379E}"/>
    <cellStyle name="Comma 2 3 8 4" xfId="5308" xr:uid="{61C23129-3B90-4EAB-868C-6B67ACF2C8A0}"/>
    <cellStyle name="Comma 2 3 8 5" xfId="4921" xr:uid="{2F2C8872-6DBB-4EF3-A4BD-F3C812B417AE}"/>
    <cellStyle name="Comma 2 3 9" xfId="1166" xr:uid="{DBCCC523-EED2-4F2A-8090-6393A2A05179}"/>
    <cellStyle name="Comma 2 3 9 2" xfId="2257" xr:uid="{60575BD3-08C8-44C6-BCB8-6D9356810ABA}"/>
    <cellStyle name="Comma 2 3 9 2 2" xfId="4728" xr:uid="{7ED0CC81-0E4A-4539-86B4-848F2B40CE97}"/>
    <cellStyle name="Comma 2 3 9 2 2 2" xfId="5862" xr:uid="{A32F1110-0836-49A9-88C6-5ED480190408}"/>
    <cellStyle name="Comma 2 3 9 2 3" xfId="5434" xr:uid="{4564B890-1D2C-47A6-85D3-9079DB916F01}"/>
    <cellStyle name="Comma 2 3 9 2 4" xfId="5047" xr:uid="{D63D9952-6A79-4761-8C28-5F4946868083}"/>
    <cellStyle name="Comma 2 3 9 3" xfId="2096" xr:uid="{936A2C62-A2E7-44F9-9E10-76D429B3EBE6}"/>
    <cellStyle name="Comma 2 3 9 3 2" xfId="2776" xr:uid="{A315F921-46F2-48A4-B263-DAD26AED370E}"/>
    <cellStyle name="Comma 2 3 9 3 2 2" xfId="3102" xr:uid="{5E595FCE-AA54-487C-95AB-7CC671D5863C}"/>
    <cellStyle name="Comma 2 3 9 3 2 2 2" xfId="3655" xr:uid="{E1C58BBA-49BE-49DA-9921-203B350D1B5F}"/>
    <cellStyle name="Comma 2 3 9 3 2 3" xfId="3656" xr:uid="{63CC68FF-9E66-450A-A3DA-372682BA3636}"/>
    <cellStyle name="Comma 2 3 9 3 3" xfId="2998" xr:uid="{6C1451A3-2A4A-4B21-82A3-6026B9AB6EB9}"/>
    <cellStyle name="Comma 2 3 9 3 3 2" xfId="3657" xr:uid="{52F7F115-F241-421C-9CDB-69901C9D37BF}"/>
    <cellStyle name="Comma 2 3 9 3 4" xfId="2551" xr:uid="{4D0DB345-E8D4-42E7-AE7F-BB6DE374812C}"/>
    <cellStyle name="Comma 2 3 9 3 4 2" xfId="3658" xr:uid="{9B2D2951-4268-443D-94C7-CFCFE15E1062}"/>
    <cellStyle name="Comma 2 3 9 3 5" xfId="3659" xr:uid="{A29F2426-145B-488A-8610-46E6C15FA212}"/>
    <cellStyle name="Comma 2 3 9 4" xfId="4555" xr:uid="{55A07660-89BD-446A-8960-4CED9EE6D2BB}"/>
    <cellStyle name="Comma 2 3 9 4 2" xfId="5689" xr:uid="{F9E71D97-B3B2-4C58-933A-57C317B797B3}"/>
    <cellStyle name="Comma 2 3 9 5" xfId="5261" xr:uid="{F155A1FE-2A1A-465C-9AB6-C87774E2280F}"/>
    <cellStyle name="Comma 2 3 9 6" xfId="4874" xr:uid="{2F4E003D-E3DF-4CC2-995A-5868D459F9CD}"/>
    <cellStyle name="Comma 2 4" xfId="113" xr:uid="{2004FD90-1A37-471C-B3AA-AA9B6EB10708}"/>
    <cellStyle name="Comma 2 4 10" xfId="2199" xr:uid="{6E2265C2-6F5B-438A-94E9-7646FE01E4A7}"/>
    <cellStyle name="Comma 2 4 10 2" xfId="4670" xr:uid="{F34D0A2E-23F0-4B96-AD28-69433A28ED9E}"/>
    <cellStyle name="Comma 2 4 10 2 2" xfId="5804" xr:uid="{20133D10-149D-4253-A6CC-48CC98EEB211}"/>
    <cellStyle name="Comma 2 4 10 3" xfId="5376" xr:uid="{00602849-88C2-40E2-BF4E-CBD9ECA42DB8}"/>
    <cellStyle name="Comma 2 4 10 4" xfId="4989" xr:uid="{BE8AC2B6-0A23-4B0A-BAED-A439A12F264B}"/>
    <cellStyle name="Comma 2 4 11" xfId="967" xr:uid="{AD72A63A-538A-44A5-A5F8-97E27C1D8A98}"/>
    <cellStyle name="Comma 2 4 11 2" xfId="3660" xr:uid="{BC44D560-D2F4-4470-BECB-EAE69D825A2E}"/>
    <cellStyle name="Comma 2 4 12" xfId="3661" xr:uid="{C61F5D36-5F16-4449-95C8-417DC27FDF16}"/>
    <cellStyle name="Comma 2 4 13" xfId="4471" xr:uid="{B799279B-EF60-4C9E-BE4D-A8B8BAAE5876}"/>
    <cellStyle name="Comma 2 4 13 2" xfId="5605" xr:uid="{35992DE1-7A06-47C4-AE25-E07A2EB6CED9}"/>
    <cellStyle name="Comma 2 4 2" xfId="114" xr:uid="{1D33173D-C800-4706-BA92-7205610F8562}"/>
    <cellStyle name="Comma 2 4 2 10" xfId="4472" xr:uid="{A69107A5-B628-4233-BE9F-4B084527BBDB}"/>
    <cellStyle name="Comma 2 4 2 10 2" xfId="5606" xr:uid="{4330A3EA-0316-46E1-950C-D4D9B062AFA2}"/>
    <cellStyle name="Comma 2 4 2 2" xfId="115" xr:uid="{D99FCEFF-10A2-4B3E-9745-402475949BDE}"/>
    <cellStyle name="Comma 2 4 2 2 2" xfId="1783" xr:uid="{29377464-EFC9-4CD2-B9BB-33ABAEECD190}"/>
    <cellStyle name="Comma 2 4 2 2 2 2" xfId="2356" xr:uid="{B2BF0F2F-7234-4E41-AB5C-AD815AB15BE7}"/>
    <cellStyle name="Comma 2 4 2 2 2 2 2" xfId="4827" xr:uid="{0BB3125F-C290-4B32-8DB6-C72CB4941FDA}"/>
    <cellStyle name="Comma 2 4 2 2 2 2 2 2" xfId="5961" xr:uid="{972ECC74-22C8-457C-9E54-063190F09D70}"/>
    <cellStyle name="Comma 2 4 2 2 2 2 3" xfId="5533" xr:uid="{1BC073AA-2630-4066-BA49-A4526721E1D6}"/>
    <cellStyle name="Comma 2 4 2 2 2 2 4" xfId="5146" xr:uid="{8B005A07-9B10-463C-9109-491F673A07CF}"/>
    <cellStyle name="Comma 2 4 2 2 2 3" xfId="4654" xr:uid="{1A8B2EC7-ED80-4C21-BB2A-B8E7CD20FCCA}"/>
    <cellStyle name="Comma 2 4 2 2 2 3 2" xfId="5788" xr:uid="{4CEEFC79-9578-4505-8177-1A8985E9C6EB}"/>
    <cellStyle name="Comma 2 4 2 2 2 4" xfId="5360" xr:uid="{9B25B45A-5D80-440E-97BE-5C4A59692656}"/>
    <cellStyle name="Comma 2 4 2 2 2 5" xfId="4973" xr:uid="{F039AA3A-A774-44BC-8112-60FF05781420}"/>
    <cellStyle name="Comma 2 4 2 2 3" xfId="2247" xr:uid="{F5776AC0-CE9F-4F05-8951-51A7CA9E1144}"/>
    <cellStyle name="Comma 2 4 2 2 3 2" xfId="4718" xr:uid="{E66F01C4-B038-4E0C-B427-72055E364FD0}"/>
    <cellStyle name="Comma 2 4 2 2 3 2 2" xfId="5852" xr:uid="{5D64E326-4EE8-4E77-AD65-D88B0901B9D5}"/>
    <cellStyle name="Comma 2 4 2 2 3 3" xfId="5424" xr:uid="{36AA2A3D-0F39-47D9-B91A-8E752AA7CCB4}"/>
    <cellStyle name="Comma 2 4 2 2 3 4" xfId="5037" xr:uid="{9E9E6CC7-7C06-446C-B08B-3FE0C0BFD587}"/>
    <cellStyle name="Comma 2 4 2 2 4" xfId="4473" xr:uid="{40529B67-AAB6-4A45-8D4E-D2BAC93EF0B5}"/>
    <cellStyle name="Comma 2 4 2 2 4 2" xfId="5607" xr:uid="{49A07392-0249-4FBF-88B2-39C02C72232E}"/>
    <cellStyle name="Comma 2 4 2 2 5" xfId="5198" xr:uid="{71666172-3F52-46F3-8D97-9173A014D6E1}"/>
    <cellStyle name="Comma 2 4 2 2 6" xfId="4851" xr:uid="{790792D3-9ECB-4C27-AFA0-71CC7665591D}"/>
    <cellStyle name="Comma 2 4 2 3" xfId="116" xr:uid="{A69DA350-D7E6-492B-B5FA-E7FDAF88569A}"/>
    <cellStyle name="Comma 2 4 2 3 2" xfId="1211" xr:uid="{7E7A58C9-3239-46CE-8D10-6D87D0EE71A3}"/>
    <cellStyle name="Comma 2 4 2 3 2 2" xfId="2000" xr:uid="{294EACC8-42F9-4591-8C62-80F86D3FC0F6}"/>
    <cellStyle name="Comma 2 4 2 3 2 2 2" xfId="2925" xr:uid="{188521EA-A253-4CE8-B7F2-AE422AB8177B}"/>
    <cellStyle name="Comma 2 4 2 3 2 2 2 2" xfId="3662" xr:uid="{DF004C12-B64D-4300-97FF-E10E9D0D9DAC}"/>
    <cellStyle name="Comma 2 4 2 3 2 2 3" xfId="2703" xr:uid="{A3443ABF-CC4C-4ACE-996D-7071FACA8D2B}"/>
    <cellStyle name="Comma 2 4 2 3 2 2 3 2" xfId="3663" xr:uid="{0F0C47B8-A3F6-4384-9E0B-5889A0D7A9E2}"/>
    <cellStyle name="Comma 2 4 2 3 2 2 4" xfId="3664" xr:uid="{BBE2B973-3112-4D7D-A4D8-C627F0BAC23C}"/>
    <cellStyle name="Comma 2 4 2 3 2 3" xfId="2478" xr:uid="{28A02DDE-B791-4B16-9684-BF8AFC4AF306}"/>
    <cellStyle name="Comma 2 4 2 3 2 3 2" xfId="3665" xr:uid="{052A73D8-1586-42E1-A2D9-210145191533}"/>
    <cellStyle name="Comma 2 4 2 3 2 4" xfId="3666" xr:uid="{AF922A51-06C4-4BD5-95EB-65FD67D138E3}"/>
    <cellStyle name="Comma 2 4 2 3 3" xfId="1930" xr:uid="{25EBFFE6-4F79-4118-9EC0-D43634FE6119}"/>
    <cellStyle name="Comma 2 4 2 3 3 2" xfId="2855" xr:uid="{56EE1C72-EEDA-4F51-85CC-699A5AC608A8}"/>
    <cellStyle name="Comma 2 4 2 3 3 2 2" xfId="3667" xr:uid="{E2010851-94AC-4AC7-A05A-AE5A6DB4DD89}"/>
    <cellStyle name="Comma 2 4 2 3 3 3" xfId="2633" xr:uid="{80AD85E5-9C4E-4BF1-8839-C96DB7CA1733}"/>
    <cellStyle name="Comma 2 4 2 3 3 3 2" xfId="3668" xr:uid="{AE1F98AE-87FA-4461-B786-5DA7D8875265}"/>
    <cellStyle name="Comma 2 4 2 3 3 4" xfId="3669" xr:uid="{30FBD02E-45AB-42F3-894D-2D905C956E80}"/>
    <cellStyle name="Comma 2 4 2 3 4" xfId="2408" xr:uid="{9EEA1B62-A6E8-4892-87EC-D0AD03FA0CA6}"/>
    <cellStyle name="Comma 2 4 2 3 4 2" xfId="3670" xr:uid="{CA5EAAFC-ED70-464D-AA1B-FDB9F94683F4}"/>
    <cellStyle name="Comma 2 4 2 3 5" xfId="1038" xr:uid="{3DA056E7-4CA0-428F-AB4B-7B4BDDC43B4E}"/>
    <cellStyle name="Comma 2 4 2 3 5 2" xfId="3671" xr:uid="{8DB3D3BB-AB3B-4DB5-BA9A-5C4CD5DC711F}"/>
    <cellStyle name="Comma 2 4 2 3 6" xfId="3672" xr:uid="{49757164-F87C-4E2D-849A-40C9A3062F67}"/>
    <cellStyle name="Comma 2 4 2 3 7" xfId="4474" xr:uid="{E1FFCDBC-378D-46BD-8FCB-D032507F0489}"/>
    <cellStyle name="Comma 2 4 2 3 7 2" xfId="5608" xr:uid="{78D00E52-D168-450A-8117-9C97A6D38915}"/>
    <cellStyle name="Comma 2 4 2 3 8" xfId="5199" xr:uid="{39DCBB5B-155A-44CE-857B-6E2DF4229B21}"/>
    <cellStyle name="Comma 2 4 2 4" xfId="1628" xr:uid="{E4ADB05A-10EF-43C8-A7F4-185E9D554D1C}"/>
    <cellStyle name="Comma 2 4 2 4 2" xfId="2282" xr:uid="{5052B0C2-9AB6-4F4B-9780-B68FBAC1BF74}"/>
    <cellStyle name="Comma 2 4 2 4 2 2" xfId="4753" xr:uid="{D9AEF15C-1182-4AD0-874A-3E45FBB5803C}"/>
    <cellStyle name="Comma 2 4 2 4 2 2 2" xfId="5887" xr:uid="{C966D54D-7D6C-4DC0-9F4B-BC6E8477B379}"/>
    <cellStyle name="Comma 2 4 2 4 2 3" xfId="5459" xr:uid="{042A0E0B-7DB4-417C-AA50-709BDA2BAF45}"/>
    <cellStyle name="Comma 2 4 2 4 2 4" xfId="5072" xr:uid="{76193D5C-6438-4C11-A8CB-17DF2BD412B2}"/>
    <cellStyle name="Comma 2 4 2 4 3" xfId="4580" xr:uid="{377C0E85-A89C-4DB8-AA70-EFA16170981D}"/>
    <cellStyle name="Comma 2 4 2 4 3 2" xfId="5714" xr:uid="{587A0D37-F1D9-4E98-9A84-940805D659D4}"/>
    <cellStyle name="Comma 2 4 2 4 4" xfId="5286" xr:uid="{E3831F00-9582-411C-985E-0364B6CB3657}"/>
    <cellStyle name="Comma 2 4 2 4 5" xfId="4899" xr:uid="{EDD2133E-17B5-4FB5-9EF3-4DA446F7773F}"/>
    <cellStyle name="Comma 2 4 2 5" xfId="1751" xr:uid="{A54FEE60-8BC1-4245-B760-E67BED3DD139}"/>
    <cellStyle name="Comma 2 4 2 5 2" xfId="2324" xr:uid="{1407F1DC-D960-47AD-BC40-FD8D0CCFD3B0}"/>
    <cellStyle name="Comma 2 4 2 5 2 2" xfId="4795" xr:uid="{48229048-31ED-4B92-A6E5-8AAF8CF8F972}"/>
    <cellStyle name="Comma 2 4 2 5 2 2 2" xfId="5929" xr:uid="{1A367229-E625-44CB-A4D0-1D877D4BE5D8}"/>
    <cellStyle name="Comma 2 4 2 5 2 3" xfId="5501" xr:uid="{184F048B-D06B-49BB-A39B-F30AEF2B4BD4}"/>
    <cellStyle name="Comma 2 4 2 5 2 4" xfId="5114" xr:uid="{A1FEF682-C95D-4AE4-A4AA-F98C06C7BC98}"/>
    <cellStyle name="Comma 2 4 2 5 3" xfId="4622" xr:uid="{AEE9E6E2-DFD0-4BC2-88F6-6296D8DD8CB1}"/>
    <cellStyle name="Comma 2 4 2 5 3 2" xfId="5756" xr:uid="{37C18CBD-599B-431D-9830-8676F1C4A86B}"/>
    <cellStyle name="Comma 2 4 2 5 4" xfId="5328" xr:uid="{C3BD80A3-903F-4EB7-BE5F-6058811A8197}"/>
    <cellStyle name="Comma 2 4 2 5 5" xfId="4941" xr:uid="{04B3F934-466C-4DEE-91E8-9ED3EA6665BA}"/>
    <cellStyle name="Comma 2 4 2 6" xfId="2097" xr:uid="{892A3A89-0366-4A05-81F2-A4A80D183A1B}"/>
    <cellStyle name="Comma 2 4 2 6 2" xfId="2777" xr:uid="{933A1FF9-5433-4672-9542-76EBE0A42F33}"/>
    <cellStyle name="Comma 2 4 2 6 2 2" xfId="3103" xr:uid="{AA007E99-F3A1-4C40-B4FE-B3103650A586}"/>
    <cellStyle name="Comma 2 4 2 6 2 2 2" xfId="3673" xr:uid="{307FF0EB-466A-4E41-99BE-13F376B40A19}"/>
    <cellStyle name="Comma 2 4 2 6 2 3" xfId="3674" xr:uid="{7B42BCC4-7D03-4068-B8E2-443292460FED}"/>
    <cellStyle name="Comma 2 4 2 6 3" xfId="2999" xr:uid="{DD18D1DB-F297-4061-840F-99A5D89B08EC}"/>
    <cellStyle name="Comma 2 4 2 6 3 2" xfId="3675" xr:uid="{24AF68F3-F56C-443F-A903-B68B75580E53}"/>
    <cellStyle name="Comma 2 4 2 6 4" xfId="2552" xr:uid="{357F6A50-761A-46CC-8620-E360BA9396B9}"/>
    <cellStyle name="Comma 2 4 2 6 4 2" xfId="3676" xr:uid="{D771F0AA-3EDD-4809-A627-3F52CDEBABB7}"/>
    <cellStyle name="Comma 2 4 2 6 5" xfId="3677" xr:uid="{4DE31A03-A8F6-40F3-B27C-7ECFB55121A8}"/>
    <cellStyle name="Comma 2 4 2 7" xfId="2215" xr:uid="{23FF49AF-1422-4406-AC35-37EEA7EEFECC}"/>
    <cellStyle name="Comma 2 4 2 7 2" xfId="4686" xr:uid="{09252BD7-B3DF-4749-BB11-D09F9A57E99B}"/>
    <cellStyle name="Comma 2 4 2 7 2 2" xfId="5820" xr:uid="{DCEBAB3E-828F-4D78-95E0-D290CD2C0B64}"/>
    <cellStyle name="Comma 2 4 2 7 3" xfId="5392" xr:uid="{A2417A28-5778-4B69-962F-1CACE927820F}"/>
    <cellStyle name="Comma 2 4 2 7 4" xfId="5005" xr:uid="{268FBCFD-64A9-41E9-B014-93ABB18D0DAA}"/>
    <cellStyle name="Comma 2 4 2 8" xfId="988" xr:uid="{62DE5D56-FD0D-4222-BF2B-D0BD9C03AD93}"/>
    <cellStyle name="Comma 2 4 2 8 2" xfId="3678" xr:uid="{4652C8FD-BB93-4A57-ACBF-E08381AAEE7C}"/>
    <cellStyle name="Comma 2 4 2 9" xfId="3679" xr:uid="{BF1D4448-377F-4CBE-9BB8-30CEA1B7312C}"/>
    <cellStyle name="Comma 2 4 3" xfId="117" xr:uid="{F0CE35FF-C391-4FE6-824B-6A9741BE17FD}"/>
    <cellStyle name="Comma 2 4 3 2" xfId="1652" xr:uid="{C0921266-9496-4D72-861C-816F2874B902}"/>
    <cellStyle name="Comma 2 4 3 2 2" xfId="2294" xr:uid="{B67FFE4A-1F66-4C55-B986-529129DEACC3}"/>
    <cellStyle name="Comma 2 4 3 2 2 2" xfId="4765" xr:uid="{7FD8F55D-9332-45E0-AF35-E9FAF08D43FE}"/>
    <cellStyle name="Comma 2 4 3 2 2 2 2" xfId="5899" xr:uid="{1D7E1355-D5C1-425F-90A2-5A88C5426AB6}"/>
    <cellStyle name="Comma 2 4 3 2 2 3" xfId="5471" xr:uid="{C26CE288-4DFD-4260-B5B9-A2D4B1A9B88F}"/>
    <cellStyle name="Comma 2 4 3 2 2 4" xfId="5084" xr:uid="{CCBEE5F0-1FDD-45EB-8961-10A3085CB8BC}"/>
    <cellStyle name="Comma 2 4 3 2 3" xfId="4592" xr:uid="{47084C03-385C-42A8-B81F-255610B2994E}"/>
    <cellStyle name="Comma 2 4 3 2 3 2" xfId="5726" xr:uid="{01D9F3EA-BBF3-4EED-AB80-537EC606FA75}"/>
    <cellStyle name="Comma 2 4 3 2 4" xfId="5298" xr:uid="{CDB870F1-877F-4F85-8640-63D7DDF1AB8C}"/>
    <cellStyle name="Comma 2 4 3 2 5" xfId="4911" xr:uid="{BA5EA36A-78F8-49F0-8CC2-10827E181AB9}"/>
    <cellStyle name="Comma 2 4 3 3" xfId="1767" xr:uid="{70F3D865-1BD6-4034-B8BB-3AB155372DD9}"/>
    <cellStyle name="Comma 2 4 3 3 2" xfId="2340" xr:uid="{3D24ABF9-1B70-4A37-B312-AA186FBB8FBF}"/>
    <cellStyle name="Comma 2 4 3 3 2 2" xfId="4811" xr:uid="{D5BD5B4A-6C76-48C0-9832-47317C602DD5}"/>
    <cellStyle name="Comma 2 4 3 3 2 2 2" xfId="5945" xr:uid="{2E6A7783-4282-41FA-9090-1AAD7D7321DA}"/>
    <cellStyle name="Comma 2 4 3 3 2 3" xfId="5517" xr:uid="{9F554679-6B8B-40E4-9CB9-0DE2A95B8A10}"/>
    <cellStyle name="Comma 2 4 3 3 2 4" xfId="5130" xr:uid="{A838EE4E-F7F7-4E83-B97F-AEBD19C84857}"/>
    <cellStyle name="Comma 2 4 3 3 3" xfId="4638" xr:uid="{7BD966C8-12F8-46CC-8008-870BBCABC436}"/>
    <cellStyle name="Comma 2 4 3 3 3 2" xfId="5772" xr:uid="{ED11F770-1DB7-47E0-8F58-BC1CA5E4B98B}"/>
    <cellStyle name="Comma 2 4 3 3 4" xfId="5344" xr:uid="{F6DF9C61-A3DD-464E-8DBF-15621F26C66C}"/>
    <cellStyle name="Comma 2 4 3 3 5" xfId="4957" xr:uid="{C3EBA751-1833-4923-9A40-0B59EC513575}"/>
    <cellStyle name="Comma 2 4 3 4" xfId="1454" xr:uid="{197F5A3D-6BE6-4B36-832A-A5659CB5D113}"/>
    <cellStyle name="Comma 2 4 3 4 2" xfId="2033" xr:uid="{AB891D10-08C6-4B79-A10D-6A91B497A4FA}"/>
    <cellStyle name="Comma 2 4 3 4 2 2" xfId="2958" xr:uid="{62DB8ECB-C3F4-40F1-9B72-FB0474240D22}"/>
    <cellStyle name="Comma 2 4 3 4 2 2 2" xfId="3680" xr:uid="{A19A20D6-52B4-4C89-AC2B-D5E0AE5A64C9}"/>
    <cellStyle name="Comma 2 4 3 4 2 3" xfId="2736" xr:uid="{0350D68E-67A0-4801-8653-91025DA328DC}"/>
    <cellStyle name="Comma 2 4 3 4 2 3 2" xfId="3681" xr:uid="{B47A4ED7-8AC0-4185-929E-76C5AA869694}"/>
    <cellStyle name="Comma 2 4 3 4 2 4" xfId="3682" xr:uid="{9D4BAAB5-2F65-4544-AE96-667E8DE7A19F}"/>
    <cellStyle name="Comma 2 4 3 4 3" xfId="2511" xr:uid="{D4E2C6C8-5E32-4DB1-8E24-C3D4EAA87DC6}"/>
    <cellStyle name="Comma 2 4 3 4 3 2" xfId="3683" xr:uid="{8342873C-4493-44B2-AE17-AD64A88A5A67}"/>
    <cellStyle name="Comma 2 4 3 4 4" xfId="3684" xr:uid="{0DB61364-2489-4632-9B44-529B60514B79}"/>
    <cellStyle name="Comma 2 4 3 5" xfId="2098" xr:uid="{A5BB54A1-2164-4947-8918-05668C0A8358}"/>
    <cellStyle name="Comma 2 4 3 5 2" xfId="2778" xr:uid="{91B8A684-2DA8-4F90-8A39-F42D21E21FFF}"/>
    <cellStyle name="Comma 2 4 3 5 2 2" xfId="3104" xr:uid="{A8D1BF18-3DC7-47FE-949C-56C07049BDDE}"/>
    <cellStyle name="Comma 2 4 3 5 2 2 2" xfId="3685" xr:uid="{6D1965C2-0610-4F91-9140-466FA346ACC6}"/>
    <cellStyle name="Comma 2 4 3 5 2 3" xfId="3686" xr:uid="{1E3130D1-58E3-464C-BF5C-E115FC7A3844}"/>
    <cellStyle name="Comma 2 4 3 5 3" xfId="3000" xr:uid="{8B41DBA1-1815-4947-876D-2751F460E81A}"/>
    <cellStyle name="Comma 2 4 3 5 3 2" xfId="3687" xr:uid="{BD3AEF1E-D5F5-40CA-BFD2-2A552044BFB0}"/>
    <cellStyle name="Comma 2 4 3 5 4" xfId="2553" xr:uid="{8C768E78-B682-4983-86EB-623B49123071}"/>
    <cellStyle name="Comma 2 4 3 5 4 2" xfId="3688" xr:uid="{E562CB28-1A78-4E3A-A65E-68FD03A302C7}"/>
    <cellStyle name="Comma 2 4 3 5 5" xfId="3689" xr:uid="{0D31453D-6839-437F-8A42-A80A99B779F3}"/>
    <cellStyle name="Comma 2 4 3 6" xfId="2231" xr:uid="{4671087B-B500-4872-B58B-E56D8806BBF9}"/>
    <cellStyle name="Comma 2 4 3 6 2" xfId="4702" xr:uid="{31B6548D-A842-42CA-906E-4A2C1A37E676}"/>
    <cellStyle name="Comma 2 4 3 6 2 2" xfId="5836" xr:uid="{7CDC14BA-BED0-4D77-A082-BF9D478D1430}"/>
    <cellStyle name="Comma 2 4 3 6 3" xfId="5408" xr:uid="{082DAD72-6F4F-412B-96E4-B6B6351CCA20}"/>
    <cellStyle name="Comma 2 4 3 6 4" xfId="5021" xr:uid="{915B678E-8134-44BE-86B7-E47277BCEA46}"/>
    <cellStyle name="Comma 2 4 3 7" xfId="4475" xr:uid="{12B152D5-D73F-453C-82E9-FD44B90AEF7F}"/>
    <cellStyle name="Comma 2 4 3 7 2" xfId="5609" xr:uid="{3BC71A8D-1312-46BF-81E2-6373BA24B270}"/>
    <cellStyle name="Comma 2 4 3 8" xfId="5200" xr:uid="{988D61AB-BFB2-4231-A902-7DAB0F7A296F}"/>
    <cellStyle name="Comma 2 4 3 9" xfId="4852" xr:uid="{C22E33E2-858E-40CF-83E1-1DD42C5875DA}"/>
    <cellStyle name="Comma 2 4 4" xfId="118" xr:uid="{FE228F84-C18A-4E11-97CB-8E32A21B8DB0}"/>
    <cellStyle name="Comma 2 4 4 2" xfId="1195" xr:uid="{102E8BB6-CF91-47B1-9600-8F9B4FF9F87E}"/>
    <cellStyle name="Comma 2 4 4 2 2" xfId="1984" xr:uid="{E35F2970-1F04-40E8-A6E1-BC0E9AD9B8D2}"/>
    <cellStyle name="Comma 2 4 4 2 2 2" xfId="2909" xr:uid="{8B5CFE19-C9A1-4414-B1A7-E7D8EBD745D7}"/>
    <cellStyle name="Comma 2 4 4 2 2 2 2" xfId="3690" xr:uid="{5FB86E80-5599-46B6-B54C-39ECD7C5BB95}"/>
    <cellStyle name="Comma 2 4 4 2 2 3" xfId="2687" xr:uid="{86F79513-FCCD-4266-8724-EA5A76BDBF53}"/>
    <cellStyle name="Comma 2 4 4 2 2 3 2" xfId="3691" xr:uid="{63F051B0-4625-4E93-BD7A-3506892BE2F5}"/>
    <cellStyle name="Comma 2 4 4 2 2 4" xfId="3692" xr:uid="{4DFF5EB5-EDE0-4A88-A06F-5B7931401D8D}"/>
    <cellStyle name="Comma 2 4 4 2 3" xfId="2462" xr:uid="{49DB3607-50FD-424A-8FDD-381FDDADFFC1}"/>
    <cellStyle name="Comma 2 4 4 2 3 2" xfId="3693" xr:uid="{410E6A9E-3D18-4FDE-B175-0B202EC1E236}"/>
    <cellStyle name="Comma 2 4 4 2 4" xfId="3694" xr:uid="{494828BE-6BA0-4ED5-A02E-DA151F4A0A9E}"/>
    <cellStyle name="Comma 2 4 4 3" xfId="1914" xr:uid="{AA3B98A7-02F4-4823-A852-B8759CC1A629}"/>
    <cellStyle name="Comma 2 4 4 3 2" xfId="2839" xr:uid="{31757181-5AF6-40EA-9959-DA76A3842CA2}"/>
    <cellStyle name="Comma 2 4 4 3 2 2" xfId="3695" xr:uid="{5AA4D54B-9F7B-4725-A1F4-2A7B17DE5DC7}"/>
    <cellStyle name="Comma 2 4 4 3 3" xfId="2617" xr:uid="{84950D16-372D-411E-9BDD-050740A89DE1}"/>
    <cellStyle name="Comma 2 4 4 3 3 2" xfId="3696" xr:uid="{B3273058-3C2F-44B6-B60D-392F95FD1EDD}"/>
    <cellStyle name="Comma 2 4 4 3 4" xfId="3697" xr:uid="{D4C4FDDD-BC23-415F-AEA1-301E24C2B1EC}"/>
    <cellStyle name="Comma 2 4 4 4" xfId="2392" xr:uid="{1478A730-B0E4-4F00-9FA8-66721FD9F931}"/>
    <cellStyle name="Comma 2 4 4 4 2" xfId="3698" xr:uid="{E54E433F-04F5-4A3D-AEFF-9610E0F809AF}"/>
    <cellStyle name="Comma 2 4 4 5" xfId="1022" xr:uid="{5E7D5889-C831-4A8B-A3DC-E0C1797224EF}"/>
    <cellStyle name="Comma 2 4 4 5 2" xfId="3699" xr:uid="{F40DCB02-68CD-435D-94E1-1C706D5E3A3D}"/>
    <cellStyle name="Comma 2 4 4 6" xfId="3700" xr:uid="{F6144C5C-0E5C-4E17-884B-A8F5B6277190}"/>
    <cellStyle name="Comma 2 4 4 7" xfId="4476" xr:uid="{EB65C8C0-B4B7-438A-A40A-4DE2B592B7F9}"/>
    <cellStyle name="Comma 2 4 4 7 2" xfId="5610" xr:uid="{D69558CA-0313-4C86-A1E6-B7FF04FF5CB6}"/>
    <cellStyle name="Comma 2 4 4 8" xfId="5201" xr:uid="{A2A84645-1E39-4227-9A9E-8BE2BA27A587}"/>
    <cellStyle name="Comma 2 4 5" xfId="1487" xr:uid="{F7902A61-0355-4653-89D6-A57686BE2EC8}"/>
    <cellStyle name="Comma 2 4 5 2" xfId="2099" xr:uid="{DE7994F3-0B3C-440B-9117-09706033CD08}"/>
    <cellStyle name="Comma 2 4 5 2 2" xfId="2779" xr:uid="{3F629116-0B54-4C61-9987-671A9554F2F1}"/>
    <cellStyle name="Comma 2 4 5 2 2 2" xfId="3105" xr:uid="{FFE3CD50-D600-4595-9716-6630E3949523}"/>
    <cellStyle name="Comma 2 4 5 2 2 2 2" xfId="3701" xr:uid="{3C2A438A-5C96-4F03-BE89-E549291EFFC5}"/>
    <cellStyle name="Comma 2 4 5 2 2 3" xfId="3702" xr:uid="{2E1FD27F-4A75-441C-865A-A5A929D49E03}"/>
    <cellStyle name="Comma 2 4 5 2 3" xfId="3001" xr:uid="{A31D3BA4-8EC7-4319-92BF-183C743BE7AB}"/>
    <cellStyle name="Comma 2 4 5 2 3 2" xfId="3703" xr:uid="{475C18B0-4E06-43E0-9DDC-60E7DEA210AA}"/>
    <cellStyle name="Comma 2 4 5 2 4" xfId="2554" xr:uid="{F32C05BB-AFF9-4B10-9A5A-890487DC1144}"/>
    <cellStyle name="Comma 2 4 5 2 4 2" xfId="3704" xr:uid="{A4D8327A-CE99-4FF7-83D9-8A6F859EA359}"/>
    <cellStyle name="Comma 2 4 5 2 5" xfId="3705" xr:uid="{D6B1F3FD-1E84-44D6-8066-FEFDBCDEF5BF}"/>
    <cellStyle name="Comma 2 4 5 3" xfId="2040" xr:uid="{4106E4F4-B5BB-49CB-9B9F-F65FF0F4624E}"/>
    <cellStyle name="Comma 2 4 5 3 2" xfId="2965" xr:uid="{E0F995E3-4BBD-4AAE-99E8-8C1F5ABE02EE}"/>
    <cellStyle name="Comma 2 4 5 3 2 2" xfId="3706" xr:uid="{DC175891-9A24-47AE-BC94-CB51CB477181}"/>
    <cellStyle name="Comma 2 4 5 3 3" xfId="2743" xr:uid="{116D7E3C-E552-4796-8B13-280E8C9A5C13}"/>
    <cellStyle name="Comma 2 4 5 3 3 2" xfId="3707" xr:uid="{A89D1B43-6AA0-4708-AE91-179969B5D1A2}"/>
    <cellStyle name="Comma 2 4 5 3 4" xfId="3708" xr:uid="{EBDB79BB-4A8D-4ECC-87AD-BE18A6EDE1D3}"/>
    <cellStyle name="Comma 2 4 5 4" xfId="2518" xr:uid="{30E02330-2CAD-41F9-905A-AC6107CCD505}"/>
    <cellStyle name="Comma 2 4 5 4 2" xfId="3709" xr:uid="{DFF89150-748A-498B-B33B-9F6AA40DE541}"/>
    <cellStyle name="Comma 2 4 5 5" xfId="3710" xr:uid="{FB75F8FB-3F53-4B0F-9329-C7A97D1C1BEA}"/>
    <cellStyle name="Comma 2 4 6" xfId="1507" xr:uid="{F1D494BA-3869-4781-B009-F7314F6E13E9}"/>
    <cellStyle name="Comma 2 4 6 2" xfId="2100" xr:uid="{C46BCAB6-08B5-4FE4-977E-6CE3DE02CD9B}"/>
    <cellStyle name="Comma 2 4 6 2 2" xfId="2780" xr:uid="{77685565-CE96-4DEC-9787-58B1FAB1FA87}"/>
    <cellStyle name="Comma 2 4 6 2 2 2" xfId="3106" xr:uid="{D6ADE1C2-91D5-4920-8A28-E25C0858CC8C}"/>
    <cellStyle name="Comma 2 4 6 2 2 2 2" xfId="3711" xr:uid="{592993A0-A848-4CCA-9BB3-1F38D2213D70}"/>
    <cellStyle name="Comma 2 4 6 2 2 3" xfId="3712" xr:uid="{EED862B8-4910-4147-B881-826235A3AAE3}"/>
    <cellStyle name="Comma 2 4 6 2 3" xfId="3002" xr:uid="{CEEC61DF-76F7-4379-AB42-934074F19A2E}"/>
    <cellStyle name="Comma 2 4 6 2 3 2" xfId="3713" xr:uid="{9EDAA0E5-19E9-4A73-8342-92CBADC541C9}"/>
    <cellStyle name="Comma 2 4 6 2 4" xfId="2555" xr:uid="{E2D20D45-2E2E-4FFA-8DFA-A475DA5FEB34}"/>
    <cellStyle name="Comma 2 4 6 2 4 2" xfId="3714" xr:uid="{FE36D017-60DE-4345-8DB6-C949E8F3D8F1}"/>
    <cellStyle name="Comma 2 4 6 2 5" xfId="3715" xr:uid="{8B345784-67E4-43E9-AC6F-47850DCA13F4}"/>
    <cellStyle name="Comma 2 4 6 3" xfId="2045" xr:uid="{024F44D2-14EA-47A2-9D2A-9723550027D4}"/>
    <cellStyle name="Comma 2 4 6 3 2" xfId="2970" xr:uid="{18BDCAE5-46AC-43D4-82DC-032F275BB878}"/>
    <cellStyle name="Comma 2 4 6 3 2 2" xfId="3716" xr:uid="{415D5D63-811D-49E9-9490-2A314B78A42E}"/>
    <cellStyle name="Comma 2 4 6 3 3" xfId="2748" xr:uid="{ADD90DF2-C361-4AC1-979E-DF4E057A1EB2}"/>
    <cellStyle name="Comma 2 4 6 3 3 2" xfId="3717" xr:uid="{11A28E63-613D-49F2-A5C1-14096A840D9A}"/>
    <cellStyle name="Comma 2 4 6 3 4" xfId="3718" xr:uid="{F9CC522D-B688-4935-B403-A9E7A5BDB85E}"/>
    <cellStyle name="Comma 2 4 6 4" xfId="2523" xr:uid="{36C4FE49-F504-4AD9-BC6E-B58DA48E0AA6}"/>
    <cellStyle name="Comma 2 4 6 4 2" xfId="3719" xr:uid="{63BC14CF-A08E-4170-94EB-D21E2FFDE5E0}"/>
    <cellStyle name="Comma 2 4 6 5" xfId="3720" xr:uid="{F956D167-DAB0-49B1-9DCD-9DC765009495}"/>
    <cellStyle name="Comma 2 4 7" xfId="1547" xr:uid="{FF8BA318-2E08-4F60-A650-66568921014E}"/>
    <cellStyle name="Comma 2 4 7 2" xfId="2267" xr:uid="{FBED88A8-5E26-421E-A70D-8F63E0768566}"/>
    <cellStyle name="Comma 2 4 7 2 2" xfId="4738" xr:uid="{766C09B7-C8FF-4025-B46F-A023B8743D53}"/>
    <cellStyle name="Comma 2 4 7 2 2 2" xfId="5872" xr:uid="{6DC972D3-C04A-4380-9A5D-CBD0F2107337}"/>
    <cellStyle name="Comma 2 4 7 2 3" xfId="5444" xr:uid="{FB1CA3D7-0FF6-45B5-B593-36CBD8873093}"/>
    <cellStyle name="Comma 2 4 7 2 4" xfId="5057" xr:uid="{E9CF108E-9C64-428A-BD59-13F6A58DA06B}"/>
    <cellStyle name="Comma 2 4 7 3" xfId="4565" xr:uid="{5D230CDA-5EF4-4177-835C-908D243B5729}"/>
    <cellStyle name="Comma 2 4 7 3 2" xfId="5699" xr:uid="{A7841B77-5C74-474E-B9A0-C9DCB2442394}"/>
    <cellStyle name="Comma 2 4 7 4" xfId="5271" xr:uid="{4F7696E0-6E67-4129-8A21-ECA90204C801}"/>
    <cellStyle name="Comma 2 4 7 5" xfId="4884" xr:uid="{D264DCDD-FCA7-44B4-8693-22057281FD95}"/>
    <cellStyle name="Comma 2 4 8" xfId="1735" xr:uid="{45577846-4E98-4B9E-8192-2F3C2E4C1A4A}"/>
    <cellStyle name="Comma 2 4 8 2" xfId="2308" xr:uid="{6AE10F0C-5538-4243-AB72-8769F9712639}"/>
    <cellStyle name="Comma 2 4 8 2 2" xfId="4779" xr:uid="{C1A849F0-56CC-4CB8-9270-97E4B2A52D41}"/>
    <cellStyle name="Comma 2 4 8 2 2 2" xfId="5913" xr:uid="{43F3E2BD-A834-46BE-B29D-0A742418A3C6}"/>
    <cellStyle name="Comma 2 4 8 2 3" xfId="5485" xr:uid="{27355714-34AD-4D76-8AC6-A0F996825649}"/>
    <cellStyle name="Comma 2 4 8 2 4" xfId="5098" xr:uid="{316EEDA5-6671-422D-BBC4-63B1FC673797}"/>
    <cellStyle name="Comma 2 4 8 3" xfId="4606" xr:uid="{FE5DE692-03E1-4389-83E1-386A963CED8C}"/>
    <cellStyle name="Comma 2 4 8 3 2" xfId="5740" xr:uid="{518CD687-F27F-4062-9908-7C9079EF0E8D}"/>
    <cellStyle name="Comma 2 4 8 4" xfId="5312" xr:uid="{15FF99F5-7A80-4DDD-9614-3C91C76A60FD}"/>
    <cellStyle name="Comma 2 4 8 5" xfId="4925" xr:uid="{85DD8AE6-D8B6-49AD-B5BD-4D90E24B223F}"/>
    <cellStyle name="Comma 2 4 9" xfId="1273" xr:uid="{04AE585D-7738-4B33-8D6B-9ADEC3CBD268}"/>
    <cellStyle name="Comma 2 5" xfId="119" xr:uid="{0A18BE85-578E-4BBE-AD80-335D7F1CB418}"/>
    <cellStyle name="Comma 2 5 10" xfId="4477" xr:uid="{06EFC1B5-0DCA-4E9E-8735-D90213703980}"/>
    <cellStyle name="Comma 2 5 10 2" xfId="5611" xr:uid="{FB5097D0-F4D2-4D8A-9467-A0D642CB21E7}"/>
    <cellStyle name="Comma 2 5 2" xfId="120" xr:uid="{8F8A1AE4-99B6-4F6E-8EEA-D8379A2685DF}"/>
    <cellStyle name="Comma 2 5 2 2" xfId="1658" xr:uid="{96C0F0AA-CF90-4330-BCCF-5636FE8780B0}"/>
    <cellStyle name="Comma 2 5 2 2 2" xfId="2300" xr:uid="{50B1A4C7-988D-4CD3-BC55-323642A5DE11}"/>
    <cellStyle name="Comma 2 5 2 2 2 2" xfId="4771" xr:uid="{7C34D612-A605-4940-8FE0-36E6024A1628}"/>
    <cellStyle name="Comma 2 5 2 2 2 2 2" xfId="5905" xr:uid="{20583F88-4D1D-4242-BC85-24913CCD5A97}"/>
    <cellStyle name="Comma 2 5 2 2 2 3" xfId="5477" xr:uid="{9695D37A-5672-48E1-89A8-AAD7DF2703F5}"/>
    <cellStyle name="Comma 2 5 2 2 2 4" xfId="5090" xr:uid="{DFEA4D5A-9551-4524-B2EA-CF4F503688FB}"/>
    <cellStyle name="Comma 2 5 2 2 3" xfId="4598" xr:uid="{8D7D8B27-C498-4D5F-B436-616795C062B8}"/>
    <cellStyle name="Comma 2 5 2 2 3 2" xfId="5732" xr:uid="{4716883D-C842-4802-9183-18314644165D}"/>
    <cellStyle name="Comma 2 5 2 2 4" xfId="5304" xr:uid="{426D1249-2750-4174-80A9-9098B7CD7D4A}"/>
    <cellStyle name="Comma 2 5 2 2 5" xfId="4917" xr:uid="{F9FD4A0C-5DD2-481E-8919-64C5234555A7}"/>
    <cellStyle name="Comma 2 5 2 3" xfId="1776" xr:uid="{69258842-E684-41B3-B6B0-830C854AC751}"/>
    <cellStyle name="Comma 2 5 2 3 2" xfId="2349" xr:uid="{7B470D03-FDEA-45AF-8806-3C0BF38938FB}"/>
    <cellStyle name="Comma 2 5 2 3 2 2" xfId="4820" xr:uid="{FD9A35F4-4A29-47C9-BBCD-161A8B790B5F}"/>
    <cellStyle name="Comma 2 5 2 3 2 2 2" xfId="5954" xr:uid="{3DDD312B-53C0-44C4-A68D-6D0921C805E9}"/>
    <cellStyle name="Comma 2 5 2 3 2 3" xfId="5526" xr:uid="{FC46EA95-A50B-48D4-98E9-850D23F948B3}"/>
    <cellStyle name="Comma 2 5 2 3 2 4" xfId="5139" xr:uid="{1059A2E1-317D-4D13-AEA1-A244956EF312}"/>
    <cellStyle name="Comma 2 5 2 3 3" xfId="4647" xr:uid="{DEB2FD4F-10B1-41D6-88BA-DBBE72032383}"/>
    <cellStyle name="Comma 2 5 2 3 3 2" xfId="5781" xr:uid="{67F5041E-1D0F-45C7-9036-978A781CAA37}"/>
    <cellStyle name="Comma 2 5 2 3 4" xfId="5353" xr:uid="{0E8BB255-9AE4-47E4-9AF3-0674B4DA2EBA}"/>
    <cellStyle name="Comma 2 5 2 3 5" xfId="4966" xr:uid="{BB67BB0C-FEE6-4E2B-9C2B-88A57E915191}"/>
    <cellStyle name="Comma 2 5 2 4" xfId="1459" xr:uid="{F121DAB0-1C21-4694-9CFF-E3B3D4A63001}"/>
    <cellStyle name="Comma 2 5 2 4 2" xfId="2035" xr:uid="{1AB01634-F43C-482F-8236-FCBCCB2320AD}"/>
    <cellStyle name="Comma 2 5 2 4 2 2" xfId="2960" xr:uid="{1479D0CF-C158-48EC-A555-736D048869C0}"/>
    <cellStyle name="Comma 2 5 2 4 2 2 2" xfId="3721" xr:uid="{A5FAF03A-6C4C-4D33-91F9-AA28DCD71D90}"/>
    <cellStyle name="Comma 2 5 2 4 2 3" xfId="2738" xr:uid="{B325D712-773C-412E-A4EA-FB16688B6FAA}"/>
    <cellStyle name="Comma 2 5 2 4 2 3 2" xfId="3722" xr:uid="{C55C1507-EA49-428C-B9FD-04DCA8D3F879}"/>
    <cellStyle name="Comma 2 5 2 4 2 4" xfId="3723" xr:uid="{C7C3E271-7C9E-4834-937F-1B4C71A2A8B9}"/>
    <cellStyle name="Comma 2 5 2 4 3" xfId="2513" xr:uid="{884EF807-2411-405A-8F7B-B85286A261DA}"/>
    <cellStyle name="Comma 2 5 2 4 3 2" xfId="3724" xr:uid="{DAAEDFBF-1100-439D-984E-B0729017D758}"/>
    <cellStyle name="Comma 2 5 2 4 4" xfId="3725" xr:uid="{17DE3791-AABD-43BB-BAF0-92412CE149AD}"/>
    <cellStyle name="Comma 2 5 2 5" xfId="2101" xr:uid="{64CC6DA1-A3F7-4D49-B3F7-F8C62954767B}"/>
    <cellStyle name="Comma 2 5 2 5 2" xfId="2781" xr:uid="{2D9279EF-ECB0-474E-8DE0-0C1A0399AECA}"/>
    <cellStyle name="Comma 2 5 2 5 2 2" xfId="3107" xr:uid="{C7BF0659-07D2-40A0-98F6-EEE2E462B1D0}"/>
    <cellStyle name="Comma 2 5 2 5 2 2 2" xfId="3726" xr:uid="{056544E0-D786-471C-AD87-6149C84E652A}"/>
    <cellStyle name="Comma 2 5 2 5 2 3" xfId="3727" xr:uid="{EB62F19C-524C-4BCA-A2F3-0F250773C6EE}"/>
    <cellStyle name="Comma 2 5 2 5 3" xfId="3003" xr:uid="{7AE67345-1B84-44B4-95A0-D7607C928A36}"/>
    <cellStyle name="Comma 2 5 2 5 3 2" xfId="3728" xr:uid="{D5601852-BA40-4FAA-9E16-CCD98E674B65}"/>
    <cellStyle name="Comma 2 5 2 5 4" xfId="2556" xr:uid="{2DAA3464-87CF-4A4D-AF9B-0DD36BD98735}"/>
    <cellStyle name="Comma 2 5 2 5 4 2" xfId="3729" xr:uid="{313D6996-34ED-4867-8A59-47B59EA1CBB9}"/>
    <cellStyle name="Comma 2 5 2 5 5" xfId="3730" xr:uid="{0640EC85-B621-4183-B65C-6F3ADDC879DF}"/>
    <cellStyle name="Comma 2 5 2 6" xfId="2240" xr:uid="{DAB3C9FB-C605-486C-AA38-32C5F2554254}"/>
    <cellStyle name="Comma 2 5 2 6 2" xfId="4711" xr:uid="{A908E778-F87A-4780-B4D8-EA9745EDE847}"/>
    <cellStyle name="Comma 2 5 2 6 2 2" xfId="5845" xr:uid="{343FD9F3-A69A-4476-AEB1-3FBB5AB70247}"/>
    <cellStyle name="Comma 2 5 2 6 3" xfId="5417" xr:uid="{9D7FB979-B402-4481-83A1-627A506A4763}"/>
    <cellStyle name="Comma 2 5 2 6 4" xfId="5030" xr:uid="{1F972D1F-8137-45CC-B86D-F9EE725B4551}"/>
    <cellStyle name="Comma 2 5 2 7" xfId="4478" xr:uid="{971F0255-4472-4173-B095-F09C117FF703}"/>
    <cellStyle name="Comma 2 5 2 7 2" xfId="5612" xr:uid="{0CCCD09E-22C4-4E05-8511-9B2B709BE7B7}"/>
    <cellStyle name="Comma 2 5 2 8" xfId="5202" xr:uid="{9163F354-E6C4-4D66-BA82-6092CDEF76F3}"/>
    <cellStyle name="Comma 2 5 2 9" xfId="4853" xr:uid="{E95EDDB2-918C-4693-8D55-B6DF3864D3F3}"/>
    <cellStyle name="Comma 2 5 3" xfId="121" xr:uid="{50EC38BA-635A-4BB9-B0FC-82CB954A1CB1}"/>
    <cellStyle name="Comma 2 5 3 2" xfId="1204" xr:uid="{FCE5C00C-5CDD-41F6-9CEE-3E957B31D653}"/>
    <cellStyle name="Comma 2 5 3 2 2" xfId="1993" xr:uid="{22613B24-4C10-4E38-8452-33175871817E}"/>
    <cellStyle name="Comma 2 5 3 2 2 2" xfId="2918" xr:uid="{2D1D11B4-934E-4BDD-956B-06294F6AEE44}"/>
    <cellStyle name="Comma 2 5 3 2 2 2 2" xfId="3731" xr:uid="{7F0D6C3E-9A44-43B9-83DD-8643A2E90D45}"/>
    <cellStyle name="Comma 2 5 3 2 2 3" xfId="2696" xr:uid="{F4ABAD40-1357-4560-BD8C-14F14CB707CA}"/>
    <cellStyle name="Comma 2 5 3 2 2 3 2" xfId="3732" xr:uid="{FFEA078A-12EC-4D20-AF46-2E0618CFA793}"/>
    <cellStyle name="Comma 2 5 3 2 2 4" xfId="3733" xr:uid="{402884CC-6490-4C3A-BEAA-BB910719619A}"/>
    <cellStyle name="Comma 2 5 3 2 3" xfId="2471" xr:uid="{67534286-5FEF-4685-A630-A2ED5AF3370C}"/>
    <cellStyle name="Comma 2 5 3 2 3 2" xfId="3734" xr:uid="{0DD4DFAB-D553-4D86-BEF1-9EE9B15AC4BE}"/>
    <cellStyle name="Comma 2 5 3 2 4" xfId="3735" xr:uid="{6881EF32-E429-4626-A4C1-4BF2AEE6AC98}"/>
    <cellStyle name="Comma 2 5 3 3" xfId="1923" xr:uid="{EB32E5D7-3712-45E3-A57A-D9D652BA2455}"/>
    <cellStyle name="Comma 2 5 3 3 2" xfId="2848" xr:uid="{9B5CC42A-AE42-43AC-A5E8-EF675663B359}"/>
    <cellStyle name="Comma 2 5 3 3 2 2" xfId="3736" xr:uid="{CFB440DA-740E-4E9E-AE02-67D818170B1F}"/>
    <cellStyle name="Comma 2 5 3 3 3" xfId="2626" xr:uid="{174AED54-6331-4BE0-8AB8-AB88025E1EFE}"/>
    <cellStyle name="Comma 2 5 3 3 3 2" xfId="3737" xr:uid="{C944227C-A0AF-4FDB-BFD6-DEC2F8C21880}"/>
    <cellStyle name="Comma 2 5 3 3 4" xfId="3738" xr:uid="{8C415FAE-C859-49E4-AE39-7A7E9781A160}"/>
    <cellStyle name="Comma 2 5 3 4" xfId="2401" xr:uid="{196EA98A-A0B0-4000-8273-78C689E7305C}"/>
    <cellStyle name="Comma 2 5 3 4 2" xfId="3739" xr:uid="{444894F3-70E7-4D4F-9282-17DDB9DB48F4}"/>
    <cellStyle name="Comma 2 5 3 5" xfId="1031" xr:uid="{24162585-D3A9-4481-8472-807E4594966E}"/>
    <cellStyle name="Comma 2 5 3 5 2" xfId="3740" xr:uid="{9E8B7838-4451-4C90-A7CD-28AD700C70B6}"/>
    <cellStyle name="Comma 2 5 3 6" xfId="3741" xr:uid="{77461634-9933-4288-83CA-0F4F687AD690}"/>
    <cellStyle name="Comma 2 5 3 7" xfId="4479" xr:uid="{ECBE74E9-35AD-4690-9D4E-FFC7786C49C6}"/>
    <cellStyle name="Comma 2 5 3 7 2" xfId="5613" xr:uid="{895F765B-BBB5-4FEF-8DB8-AA09D18810E4}"/>
    <cellStyle name="Comma 2 5 3 8" xfId="5203" xr:uid="{D9306C99-E02E-42EC-8A07-5F45323D99B4}"/>
    <cellStyle name="Comma 2 5 4" xfId="1622" xr:uid="{1B23C863-B5C8-487F-A61E-85ABB0B916C6}"/>
    <cellStyle name="Comma 2 5 4 2" xfId="2276" xr:uid="{DD3743FB-7B9F-47DE-8814-125F588CAB9E}"/>
    <cellStyle name="Comma 2 5 4 2 2" xfId="4747" xr:uid="{4E0C912F-B82A-4732-BD57-7283C41775F7}"/>
    <cellStyle name="Comma 2 5 4 2 2 2" xfId="5881" xr:uid="{9D591D8F-4288-410B-AA77-C4CEEB713C96}"/>
    <cellStyle name="Comma 2 5 4 2 3" xfId="5453" xr:uid="{DA88C960-2A33-4290-B33F-C0B197C4DEE7}"/>
    <cellStyle name="Comma 2 5 4 2 4" xfId="5066" xr:uid="{11C9C0EF-9900-4680-91FA-9E04170D6836}"/>
    <cellStyle name="Comma 2 5 4 3" xfId="4574" xr:uid="{1299462B-B6AA-47D6-9193-E5DFC36A655B}"/>
    <cellStyle name="Comma 2 5 4 3 2" xfId="5708" xr:uid="{F6EE2584-6BD7-4EB6-8F8A-307F296A5766}"/>
    <cellStyle name="Comma 2 5 4 4" xfId="5280" xr:uid="{C775C076-6EAD-44F4-84EA-0BDF23C8BABC}"/>
    <cellStyle name="Comma 2 5 4 5" xfId="4893" xr:uid="{260A4384-C07C-45B1-8201-7BFDBE7E92FC}"/>
    <cellStyle name="Comma 2 5 5" xfId="1744" xr:uid="{AD7D5BD5-697D-4026-82B8-ED6742EA4358}"/>
    <cellStyle name="Comma 2 5 5 2" xfId="2317" xr:uid="{8A8FEE95-9E28-43E1-BB7E-70FEAD32CD58}"/>
    <cellStyle name="Comma 2 5 5 2 2" xfId="4788" xr:uid="{A33B2967-C136-4941-A9AB-5374E20D5C51}"/>
    <cellStyle name="Comma 2 5 5 2 2 2" xfId="5922" xr:uid="{9325CFE0-0BFC-4983-BABA-941871AA5293}"/>
    <cellStyle name="Comma 2 5 5 2 3" xfId="5494" xr:uid="{9313FF9F-1AC6-41C9-B4B5-9571E2590C8E}"/>
    <cellStyle name="Comma 2 5 5 2 4" xfId="5107" xr:uid="{95983EB8-A5AF-4671-B0A2-0BBB3A712436}"/>
    <cellStyle name="Comma 2 5 5 3" xfId="4615" xr:uid="{B843E3AB-F644-46FF-9BB3-D43014DA817B}"/>
    <cellStyle name="Comma 2 5 5 3 2" xfId="5749" xr:uid="{8BFF2BD7-505C-4381-803F-6EA843B52EBF}"/>
    <cellStyle name="Comma 2 5 5 4" xfId="5321" xr:uid="{1ACBD679-8896-42D5-A412-884C37ECEB85}"/>
    <cellStyle name="Comma 2 5 5 5" xfId="4934" xr:uid="{9F0B0E73-9EEC-42EB-ADE4-3FADE2AD7255}"/>
    <cellStyle name="Comma 2 5 6" xfId="1144" xr:uid="{552AB2F2-4BFB-4F89-A491-4B9A7324444D}"/>
    <cellStyle name="Comma 2 5 7" xfId="2208" xr:uid="{C41C399D-BA34-4042-AAD5-EE6D4D24D753}"/>
    <cellStyle name="Comma 2 5 7 2" xfId="4679" xr:uid="{B1675421-6288-4E02-BAF4-2B30525E571B}"/>
    <cellStyle name="Comma 2 5 7 2 2" xfId="5813" xr:uid="{C6187463-2FB1-46AA-8F08-3B62B8840196}"/>
    <cellStyle name="Comma 2 5 7 3" xfId="5385" xr:uid="{58153E9C-8FEE-491B-8222-37C086FCB17E}"/>
    <cellStyle name="Comma 2 5 7 4" xfId="4998" xr:uid="{F8AE331F-7E6F-4F44-B360-EA5B3C24559E}"/>
    <cellStyle name="Comma 2 5 8" xfId="980" xr:uid="{C7A6C68E-3ED6-4C6A-8D4F-5F651FD2B6CA}"/>
    <cellStyle name="Comma 2 5 8 2" xfId="3742" xr:uid="{C3E7C09B-1B29-46DD-9520-7FED60CA6E29}"/>
    <cellStyle name="Comma 2 5 9" xfId="3743" xr:uid="{4D60B10F-D381-4EF5-9539-837301D4DA47}"/>
    <cellStyle name="Comma 2 6" xfId="122" xr:uid="{EDDEC340-AC17-4592-AFEF-0A3503AB657B}"/>
    <cellStyle name="Comma 2 6 10" xfId="5204" xr:uid="{2FFE8719-0B0E-48D3-9B2E-9AA8E0F9B4BC}"/>
    <cellStyle name="Comma 2 6 2" xfId="123" xr:uid="{330F56A7-C362-47F1-BF7B-3E5DAAAF1275}"/>
    <cellStyle name="Comma 2 6 2 2" xfId="124" xr:uid="{6B7BE821-6FC0-481D-90C5-CBAECF526B81}"/>
    <cellStyle name="Comma 2 6 2 2 2" xfId="1231" xr:uid="{5097A8CF-F90F-4B90-86AE-B219DB2214AD}"/>
    <cellStyle name="Comma 2 6 2 2 2 2" xfId="2020" xr:uid="{D5A07C8F-2E40-49EA-B88D-DE4F5BD57323}"/>
    <cellStyle name="Comma 2 6 2 2 2 2 2" xfId="2945" xr:uid="{30AE3F6E-C76B-4D70-BE30-201C1D52ADF9}"/>
    <cellStyle name="Comma 2 6 2 2 2 2 2 2" xfId="3744" xr:uid="{E50221A5-1363-4F9B-8C30-2F3A9077973D}"/>
    <cellStyle name="Comma 2 6 2 2 2 2 3" xfId="2723" xr:uid="{65395517-DB88-406C-9D44-EBD64D60EE9A}"/>
    <cellStyle name="Comma 2 6 2 2 2 2 3 2" xfId="3745" xr:uid="{104C64D0-11FE-48D4-9F4A-A631AB3F61E7}"/>
    <cellStyle name="Comma 2 6 2 2 2 2 4" xfId="3746" xr:uid="{819322D3-F55A-491A-8359-81E8408A976E}"/>
    <cellStyle name="Comma 2 6 2 2 2 3" xfId="2498" xr:uid="{FEEFBFD5-9313-4B14-8E27-B5616ABAB17B}"/>
    <cellStyle name="Comma 2 6 2 2 2 3 2" xfId="3747" xr:uid="{3FC9C308-A2DE-45B7-B2F4-5C7213D53333}"/>
    <cellStyle name="Comma 2 6 2 2 2 4" xfId="3748" xr:uid="{4E7361E0-7160-4E85-B848-F3D4FF64D010}"/>
    <cellStyle name="Comma 2 6 2 2 3" xfId="1950" xr:uid="{43794D52-1337-4406-970F-3D7DA719CFFB}"/>
    <cellStyle name="Comma 2 6 2 2 3 2" xfId="2875" xr:uid="{7700675C-456D-4324-AE3F-B960E23A7C73}"/>
    <cellStyle name="Comma 2 6 2 2 3 2 2" xfId="3749" xr:uid="{6F2D589E-025C-45EA-BF8F-7DC7DDA1622C}"/>
    <cellStyle name="Comma 2 6 2 2 3 3" xfId="2653" xr:uid="{C5B9715A-7634-4957-AA1E-A52F70843F03}"/>
    <cellStyle name="Comma 2 6 2 2 3 3 2" xfId="3750" xr:uid="{D2FFA11D-88DE-45A0-BEDD-E01CBFD28EAF}"/>
    <cellStyle name="Comma 2 6 2 2 3 4" xfId="3751" xr:uid="{2F9C4465-0495-4168-A8EC-106A619701F4}"/>
    <cellStyle name="Comma 2 6 2 2 4" xfId="2428" xr:uid="{32D9DA58-007D-4EBC-8C71-9ECA61BDBF48}"/>
    <cellStyle name="Comma 2 6 2 2 4 2" xfId="3752" xr:uid="{B3AC90D3-64CD-4EF3-B02B-978A7EC0E15A}"/>
    <cellStyle name="Comma 2 6 2 2 5" xfId="1058" xr:uid="{8F41A4C3-E16A-420F-8A21-0E5165FF1152}"/>
    <cellStyle name="Comma 2 6 2 2 5 2" xfId="3753" xr:uid="{8CC79B82-3233-4D7D-8232-A8CADC103B49}"/>
    <cellStyle name="Comma 2 6 2 2 6" xfId="3754" xr:uid="{982F5AD2-EDA0-4466-80B7-67665A5B8F94}"/>
    <cellStyle name="Comma 2 6 2 2 7" xfId="4482" xr:uid="{CB6E75D8-62C3-408C-85BC-2835F2F08C9E}"/>
    <cellStyle name="Comma 2 6 2 2 7 2" xfId="5616" xr:uid="{BE8E24A0-4A5B-4816-8781-1A9554184B7D}"/>
    <cellStyle name="Comma 2 6 2 2 8" xfId="5206" xr:uid="{68A2E051-7236-42A2-B3D5-8F3AD42451D3}"/>
    <cellStyle name="Comma 2 6 2 3" xfId="1181" xr:uid="{227B8376-E110-462D-ABB5-9A97DC86B313}"/>
    <cellStyle name="Comma 2 6 2 3 2" xfId="1970" xr:uid="{C2804A6B-AF75-4C73-B0A5-C438187CF9C8}"/>
    <cellStyle name="Comma 2 6 2 3 2 2" xfId="2895" xr:uid="{90E9078C-3F23-405C-BF34-84567D53D4B5}"/>
    <cellStyle name="Comma 2 6 2 3 2 2 2" xfId="3755" xr:uid="{0FF217AD-3F8E-467C-B99A-C4FA126DFFDE}"/>
    <cellStyle name="Comma 2 6 2 3 2 3" xfId="2673" xr:uid="{DE270461-229A-46F0-BA10-CF6F633B64B4}"/>
    <cellStyle name="Comma 2 6 2 3 2 3 2" xfId="3756" xr:uid="{F95FF40D-781A-4605-8B0D-3EDADAFEC12A}"/>
    <cellStyle name="Comma 2 6 2 3 2 4" xfId="3757" xr:uid="{E9D31170-6EF8-43E7-A4A4-7B43A3DE984B}"/>
    <cellStyle name="Comma 2 6 2 3 3" xfId="2448" xr:uid="{E456B936-669F-4B41-B694-AE22C839EAD6}"/>
    <cellStyle name="Comma 2 6 2 3 3 2" xfId="3758" xr:uid="{210145E7-B0CA-45D1-858E-985B81EE3A5F}"/>
    <cellStyle name="Comma 2 6 2 3 4" xfId="3759" xr:uid="{DC544257-C6C1-4CDD-AD75-3A88D36B62C6}"/>
    <cellStyle name="Comma 2 6 2 4" xfId="1900" xr:uid="{E0B23C62-025B-4F7E-946E-F6FD3DBCAFC8}"/>
    <cellStyle name="Comma 2 6 2 4 2" xfId="2825" xr:uid="{8C0B5C81-8206-4FFE-9306-87E283BD57DE}"/>
    <cellStyle name="Comma 2 6 2 4 2 2" xfId="3760" xr:uid="{C3E2DD2B-89B2-4535-8E31-26B11E0DFB3D}"/>
    <cellStyle name="Comma 2 6 2 4 3" xfId="2603" xr:uid="{7B4185B2-DDB5-4076-BEE7-142A8B225D93}"/>
    <cellStyle name="Comma 2 6 2 4 3 2" xfId="3761" xr:uid="{CD0A1C20-8BDD-47B0-A8EE-8F35E879B8A5}"/>
    <cellStyle name="Comma 2 6 2 4 4" xfId="3762" xr:uid="{C202B516-44FA-49AE-AC20-5D35AD05BAE6}"/>
    <cellStyle name="Comma 2 6 2 5" xfId="2378" xr:uid="{348FA0D9-F4AE-48AF-8126-1F8BFAE40CB3}"/>
    <cellStyle name="Comma 2 6 2 5 2" xfId="3763" xr:uid="{AAF51B2F-CBF1-4F55-BF5B-F97B73A3FF0B}"/>
    <cellStyle name="Comma 2 6 2 6" xfId="1008" xr:uid="{FBB4B53A-C2F1-4D2F-826D-F64D2E85CD3C}"/>
    <cellStyle name="Comma 2 6 2 6 2" xfId="3764" xr:uid="{47DC99CB-9FC0-4C21-AC8A-C180E2D18C77}"/>
    <cellStyle name="Comma 2 6 2 7" xfId="3765" xr:uid="{F0AA3AA8-C67E-4D1C-8C53-AD05E451CB04}"/>
    <cellStyle name="Comma 2 6 2 8" xfId="4481" xr:uid="{43057E3C-C301-48A0-BA5C-D1FE63617554}"/>
    <cellStyle name="Comma 2 6 2 8 2" xfId="5615" xr:uid="{D622DEA9-B998-45C4-A75A-3DCDCF687A7F}"/>
    <cellStyle name="Comma 2 6 2 9" xfId="5205" xr:uid="{B251E21B-316F-4237-A75E-925EA9622852}"/>
    <cellStyle name="Comma 2 6 3" xfId="125" xr:uid="{E220CE58-21F6-4BF8-A4F6-908498CF4453}"/>
    <cellStyle name="Comma 2 6 3 2" xfId="1222" xr:uid="{7EF96D18-3C46-4559-B05B-DC9D071B69E5}"/>
    <cellStyle name="Comma 2 6 3 2 2" xfId="2011" xr:uid="{83910E6E-181A-456E-846E-2ED0317EB314}"/>
    <cellStyle name="Comma 2 6 3 2 2 2" xfId="2936" xr:uid="{056EDAE3-CCCE-437C-9733-1835B335E8EE}"/>
    <cellStyle name="Comma 2 6 3 2 2 2 2" xfId="3766" xr:uid="{71325599-BB40-44B6-895E-6981E5DBB7DB}"/>
    <cellStyle name="Comma 2 6 3 2 2 3" xfId="2714" xr:uid="{DB3208C3-241B-4526-BBBF-E0BD9A916055}"/>
    <cellStyle name="Comma 2 6 3 2 2 3 2" xfId="3767" xr:uid="{E78371E1-03B7-4F1D-BF9B-B8E86F24720A}"/>
    <cellStyle name="Comma 2 6 3 2 2 4" xfId="3768" xr:uid="{ED210932-220F-4496-909B-4773A7C4B5A5}"/>
    <cellStyle name="Comma 2 6 3 2 3" xfId="2489" xr:uid="{1E77A7B1-294B-4DB1-8F26-FECACAFF3B7B}"/>
    <cellStyle name="Comma 2 6 3 2 3 2" xfId="3769" xr:uid="{0CB439E6-84F3-4254-B39D-76420DF0A3B5}"/>
    <cellStyle name="Comma 2 6 3 2 4" xfId="3770" xr:uid="{E88A50AA-432E-44AB-9665-4F19562FF7DB}"/>
    <cellStyle name="Comma 2 6 3 3" xfId="1941" xr:uid="{A6B6B66F-9029-4C8D-9533-0434FF044567}"/>
    <cellStyle name="Comma 2 6 3 3 2" xfId="2866" xr:uid="{A545A024-E522-46D6-AE8C-33B9837DDFBD}"/>
    <cellStyle name="Comma 2 6 3 3 2 2" xfId="3771" xr:uid="{A957D86E-1051-4805-9DDE-BEC7DC93B426}"/>
    <cellStyle name="Comma 2 6 3 3 3" xfId="2644" xr:uid="{AA8AA4A8-9ECB-4B0E-A1A8-FBDC98FEFCA3}"/>
    <cellStyle name="Comma 2 6 3 3 3 2" xfId="3772" xr:uid="{3A8F7225-0A9C-43C9-82AB-8D7FCE22E637}"/>
    <cellStyle name="Comma 2 6 3 3 4" xfId="3773" xr:uid="{A930D42D-CC90-436B-BDA0-1324D12C82C9}"/>
    <cellStyle name="Comma 2 6 3 4" xfId="2419" xr:uid="{8FC363E1-CE3F-4187-A40A-83BE057F9F89}"/>
    <cellStyle name="Comma 2 6 3 4 2" xfId="3774" xr:uid="{B0380B73-27B6-44FD-9128-F48451461031}"/>
    <cellStyle name="Comma 2 6 3 5" xfId="1049" xr:uid="{47004C33-4349-432B-8F9C-DE259A339EBC}"/>
    <cellStyle name="Comma 2 6 3 5 2" xfId="3775" xr:uid="{EA9760BA-DEC1-4200-BF72-71CD00567351}"/>
    <cellStyle name="Comma 2 6 3 6" xfId="3776" xr:uid="{10F72D68-CF9D-4407-B274-496416F0D990}"/>
    <cellStyle name="Comma 2 6 3 7" xfId="4483" xr:uid="{78EE6E1A-A23B-4426-ACC8-1FF864CF9897}"/>
    <cellStyle name="Comma 2 6 3 7 2" xfId="5617" xr:uid="{E0CFD172-1E62-4FC4-B885-F68C32584CE3}"/>
    <cellStyle name="Comma 2 6 3 8" xfId="5207" xr:uid="{7081DD86-A013-4886-8BBF-0561067AC46A}"/>
    <cellStyle name="Comma 2 6 4" xfId="1172" xr:uid="{AA2BECAE-2C70-40C5-BD54-46F55E73F533}"/>
    <cellStyle name="Comma 2 6 4 2" xfId="1961" xr:uid="{1D913EFD-1C4C-4871-BF83-A7E28DBDF96E}"/>
    <cellStyle name="Comma 2 6 4 2 2" xfId="2886" xr:uid="{97C91857-0AEA-4289-A636-94B82EA97C63}"/>
    <cellStyle name="Comma 2 6 4 2 2 2" xfId="3777" xr:uid="{F6525651-8B26-4B61-AA97-A001C2CE8BF8}"/>
    <cellStyle name="Comma 2 6 4 2 3" xfId="2664" xr:uid="{B2417D42-B024-4B93-BF24-57EED73DB01E}"/>
    <cellStyle name="Comma 2 6 4 2 3 2" xfId="3778" xr:uid="{0EA33543-0989-4001-B756-B0F55A51443F}"/>
    <cellStyle name="Comma 2 6 4 2 4" xfId="3779" xr:uid="{971B85AE-811F-4289-BCCC-612BFBE959FB}"/>
    <cellStyle name="Comma 2 6 4 3" xfId="2439" xr:uid="{484CA8D4-970B-4915-9073-A341E68B2803}"/>
    <cellStyle name="Comma 2 6 4 3 2" xfId="3780" xr:uid="{28471B2B-49F3-448F-99DD-CCDBF5834B6C}"/>
    <cellStyle name="Comma 2 6 4 4" xfId="3781" xr:uid="{E57C419D-634F-407C-9309-8E2DFCD4119F}"/>
    <cellStyle name="Comma 2 6 5" xfId="1891" xr:uid="{27232337-7160-4E45-A60D-44C06C3E9D61}"/>
    <cellStyle name="Comma 2 6 5 2" xfId="2816" xr:uid="{F1923553-D9F6-4EC0-86F8-F06705056718}"/>
    <cellStyle name="Comma 2 6 5 2 2" xfId="3782" xr:uid="{AEF97C67-73EE-4245-80D6-5CEF735B5AD3}"/>
    <cellStyle name="Comma 2 6 5 3" xfId="2594" xr:uid="{FD5E10D6-A7E6-4970-BB4F-0F60EE10DB0F}"/>
    <cellStyle name="Comma 2 6 5 3 2" xfId="3783" xr:uid="{A45031F2-AA61-42E8-BB3F-B595B3038D1E}"/>
    <cellStyle name="Comma 2 6 5 4" xfId="3784" xr:uid="{63B43EE3-E915-46A1-8C38-58CBE79568D1}"/>
    <cellStyle name="Comma 2 6 6" xfId="2369" xr:uid="{D6832AC1-F077-460F-9C82-F89C3303A202}"/>
    <cellStyle name="Comma 2 6 6 2" xfId="3785" xr:uid="{D3435E77-E22E-47C8-87F7-1CBE2D996DF6}"/>
    <cellStyle name="Comma 2 6 7" xfId="999" xr:uid="{CDC1A9DE-A01F-416D-91ED-F20C6002E845}"/>
    <cellStyle name="Comma 2 6 7 2" xfId="3786" xr:uid="{ABDBD9C0-53D0-4D62-A9E9-5FBAEF518D74}"/>
    <cellStyle name="Comma 2 6 8" xfId="3787" xr:uid="{4A71D077-E894-4F43-8819-2283FE53C6D2}"/>
    <cellStyle name="Comma 2 6 9" xfId="4480" xr:uid="{6B2E871C-AB54-4AE1-8617-72BF751919A1}"/>
    <cellStyle name="Comma 2 6 9 2" xfId="5614" xr:uid="{BEE9036B-DCCB-43A9-924E-010450E43AA9}"/>
    <cellStyle name="Comma 2 7" xfId="126" xr:uid="{8DE350B5-E1A2-4DD7-80D6-C8A1D31E0103}"/>
    <cellStyle name="Comma 2 7 2" xfId="1760" xr:uid="{F5F84906-72AA-42F8-8112-94007B1EEA24}"/>
    <cellStyle name="Comma 2 7 2 2" xfId="2333" xr:uid="{2E4323F1-ABDB-4757-B91D-91DEB4DE8A57}"/>
    <cellStyle name="Comma 2 7 2 2 2" xfId="4804" xr:uid="{1571D0E1-B1A7-4510-9F4E-27C2CC365A2B}"/>
    <cellStyle name="Comma 2 7 2 2 2 2" xfId="5938" xr:uid="{43F255AC-04D0-44C6-A817-89FFA8319C1F}"/>
    <cellStyle name="Comma 2 7 2 2 3" xfId="5510" xr:uid="{41D41C9B-C2ED-46FD-8F8E-93796672CD22}"/>
    <cellStyle name="Comma 2 7 2 2 4" xfId="5123" xr:uid="{C690C82C-85D9-4222-BCE3-09C0058CF871}"/>
    <cellStyle name="Comma 2 7 2 3" xfId="4631" xr:uid="{FC7CE971-8625-4EEB-A844-5658BC5D2E45}"/>
    <cellStyle name="Comma 2 7 2 3 2" xfId="5765" xr:uid="{ECC96137-4BA3-4DAB-8585-FDAC02FFFECD}"/>
    <cellStyle name="Comma 2 7 2 4" xfId="5337" xr:uid="{EC9B0C65-17EE-48C9-A0D8-BFD3BEFCE94A}"/>
    <cellStyle name="Comma 2 7 2 5" xfId="4950" xr:uid="{0542DC2C-9B38-4A21-97C2-C0455D8E560F}"/>
    <cellStyle name="Comma 2 7 3" xfId="2224" xr:uid="{345EAFB7-E1E2-4A2D-B081-1065AB3CF36C}"/>
    <cellStyle name="Comma 2 7 3 2" xfId="4695" xr:uid="{A6C34693-F5FD-4F88-A114-85D354155017}"/>
    <cellStyle name="Comma 2 7 3 2 2" xfId="5829" xr:uid="{D939F93E-8752-49F4-964B-F4B71BC6FB92}"/>
    <cellStyle name="Comma 2 7 3 3" xfId="5401" xr:uid="{20DEEC02-57B8-48E4-A90C-09CAC2BFBC84}"/>
    <cellStyle name="Comma 2 7 3 4" xfId="5014" xr:uid="{ABE7A7DD-4670-479F-9ED4-399280228818}"/>
    <cellStyle name="Comma 2 7 4" xfId="4484" xr:uid="{7E00F246-552F-4038-99D9-E2B7564A62DF}"/>
    <cellStyle name="Comma 2 7 4 2" xfId="5618" xr:uid="{41887FD2-6E60-4AF3-B80B-DFB28623DC45}"/>
    <cellStyle name="Comma 2 7 5" xfId="5208" xr:uid="{38B26506-0A25-4F61-A26A-8E4ABBFDB998}"/>
    <cellStyle name="Comma 2 7 6" xfId="4854" xr:uid="{787A8CFC-3E4D-4776-8F81-1F17A45FA4B9}"/>
    <cellStyle name="Comma 2 8" xfId="127" xr:uid="{F08B0316-E19C-442D-A513-FB965E8E06E4}"/>
    <cellStyle name="Comma 2 8 2" xfId="1188" xr:uid="{2C2B14C8-C581-4224-B6FB-A79F370FD5A3}"/>
    <cellStyle name="Comma 2 8 2 2" xfId="1977" xr:uid="{E8472566-BB64-49F7-8CB8-54ACFE5400E5}"/>
    <cellStyle name="Comma 2 8 2 2 2" xfId="2902" xr:uid="{DC969E2B-7043-44AB-A3F8-F44A09663D96}"/>
    <cellStyle name="Comma 2 8 2 2 2 2" xfId="3788" xr:uid="{DA82A74D-56E0-44FC-92FC-C542FDAA93F9}"/>
    <cellStyle name="Comma 2 8 2 2 3" xfId="2680" xr:uid="{0BCDB511-BD23-4C3A-8EDE-E4413AAC4F6D}"/>
    <cellStyle name="Comma 2 8 2 2 3 2" xfId="3789" xr:uid="{A9D1E051-FD6E-4C75-B7EE-98AD8983B155}"/>
    <cellStyle name="Comma 2 8 2 2 4" xfId="3790" xr:uid="{AEE70C7F-6509-4339-8A76-6E588F32D615}"/>
    <cellStyle name="Comma 2 8 2 3" xfId="2455" xr:uid="{48A41F3B-B1DA-4451-8036-37C7E3D7D4E7}"/>
    <cellStyle name="Comma 2 8 2 3 2" xfId="3791" xr:uid="{B72839B2-3227-4C40-9FB1-29F6AADE0DCB}"/>
    <cellStyle name="Comma 2 8 2 4" xfId="3792" xr:uid="{59173915-06E7-4D91-BC7E-8F573ABA8522}"/>
    <cellStyle name="Comma 2 8 3" xfId="1907" xr:uid="{FEB77D4F-1EA5-4051-8F37-67FF49D5BA48}"/>
    <cellStyle name="Comma 2 8 3 2" xfId="2832" xr:uid="{03C506F8-4F24-4D41-97F8-AC41882138AF}"/>
    <cellStyle name="Comma 2 8 3 2 2" xfId="3793" xr:uid="{2A893F9C-D3B3-4CF9-BFD6-5052495C1B27}"/>
    <cellStyle name="Comma 2 8 3 3" xfId="2610" xr:uid="{20C105F5-DB20-4377-A5C8-5946E063CFA0}"/>
    <cellStyle name="Comma 2 8 3 3 2" xfId="3794" xr:uid="{0B0038D3-1953-4CFB-B894-1D1038930080}"/>
    <cellStyle name="Comma 2 8 3 4" xfId="3795" xr:uid="{22465492-C815-4F98-9984-2C2611A01F4E}"/>
    <cellStyle name="Comma 2 8 4" xfId="2385" xr:uid="{D83BA8AF-B6E0-4392-9263-707A921E8119}"/>
    <cellStyle name="Comma 2 8 4 2" xfId="3796" xr:uid="{38106EF4-155A-4F10-8DFD-E500BE3E035B}"/>
    <cellStyle name="Comma 2 8 5" xfId="1015" xr:uid="{5609EC42-8214-43E0-865A-A1C8893C625A}"/>
    <cellStyle name="Comma 2 8 5 2" xfId="3797" xr:uid="{019AC12D-1FAE-425C-8CF0-4A7D34311D1E}"/>
    <cellStyle name="Comma 2 8 6" xfId="3798" xr:uid="{52B5491F-D7FC-4499-93A0-FA3339C70FB6}"/>
    <cellStyle name="Comma 2 8 7" xfId="4485" xr:uid="{A5EF34C6-E780-416E-94D1-0F410F8E8748}"/>
    <cellStyle name="Comma 2 8 7 2" xfId="5619" xr:uid="{50C4603D-9568-4823-B2CC-6115FB3F8805}"/>
    <cellStyle name="Comma 2 8 8" xfId="5209" xr:uid="{DEB82AA4-E69D-4BC4-BCDC-32808905E5AE}"/>
    <cellStyle name="Comma 2 9" xfId="128" xr:uid="{7B61CCD7-23B4-4EBD-A784-9CFBD22F602B}"/>
    <cellStyle name="Comma 2 9 2" xfId="2260" xr:uid="{5F38CEC1-8CDF-4188-9BC0-61602972A22B}"/>
    <cellStyle name="Comma 2 9 2 2" xfId="4731" xr:uid="{E5D5DB11-1600-4B28-8F36-575FA4E2BF9A}"/>
    <cellStyle name="Comma 2 9 2 2 2" xfId="5865" xr:uid="{A931DB80-805D-4707-AA77-9D1FC45C9499}"/>
    <cellStyle name="Comma 2 9 2 3" xfId="5437" xr:uid="{3212E3F7-23C8-4002-A5C7-7E1231D4C3AF}"/>
    <cellStyle name="Comma 2 9 2 4" xfId="5050" xr:uid="{FC6E9298-C0A0-42BF-B565-C731A63BAEB6}"/>
    <cellStyle name="Comma 2 9 3" xfId="1540" xr:uid="{6D6A2372-9A1D-44BD-9648-638456838015}"/>
    <cellStyle name="Comma 2 9 3 2" xfId="4558" xr:uid="{A7C3648C-D30B-4C0D-8DE3-E673F4AA2718}"/>
    <cellStyle name="Comma 2 9 3 2 2" xfId="5692" xr:uid="{B4A964B0-AEE7-4C81-BFEF-1AEE085734D7}"/>
    <cellStyle name="Comma 2 9 3 3" xfId="5264" xr:uid="{525C9CAC-C7EB-4B57-BA28-C25D00C39405}"/>
    <cellStyle name="Comma 2 9 3 4" xfId="4877" xr:uid="{86AE91C2-233B-4381-812E-9BFBB21BD141}"/>
    <cellStyle name="Comma 2 9 4" xfId="3799" xr:uid="{DD02D2F7-FD2B-4D58-B37F-9EC4A652990B}"/>
    <cellStyle name="Comma 2 9 5" xfId="4486" xr:uid="{662CF06C-87A2-4C5B-8F19-89FFCCA7A7D0}"/>
    <cellStyle name="Comma 2 9 5 2" xfId="5620" xr:uid="{B6B376BA-E4BE-435A-B276-146AB03DACEF}"/>
    <cellStyle name="Comma 3" xfId="45" xr:uid="{79E5555D-93B0-4655-9369-F4D3DC167C00}"/>
    <cellStyle name="Comma 3 10" xfId="1274" xr:uid="{30DA4587-E046-4248-9F95-AFEAA0E884BD}"/>
    <cellStyle name="Comma 3 11" xfId="1148" xr:uid="{8EB9B834-A4ED-4ABA-88D4-A451CE11A1D0}"/>
    <cellStyle name="Comma 3 11 2" xfId="4554" xr:uid="{04C8B0F9-7CF8-46A5-9C0B-4EA65B31C26F}"/>
    <cellStyle name="Comma 3 11 2 2" xfId="5688" xr:uid="{A54D0D36-CD85-4A80-AC5A-DF32DD9E4AEC}"/>
    <cellStyle name="Comma 3 11 3" xfId="5260" xr:uid="{87ADE370-3B3C-4C6F-8E82-175F60CB509C}"/>
    <cellStyle name="Comma 3 11 4" xfId="4873" xr:uid="{5EE636FA-4A10-4C60-BFF2-3B7E86E03B2F}"/>
    <cellStyle name="Comma 3 12" xfId="1830" xr:uid="{0E6BDC01-447E-4D3C-B57A-589783325A64}"/>
    <cellStyle name="Comma 3 12 2" xfId="2194" xr:uid="{D77D575B-CF53-4CB8-B121-C270B1F54387}"/>
    <cellStyle name="Comma 3 12 2 2" xfId="4665" xr:uid="{DA260FEB-8DB0-4297-856D-B69C0BDF32B2}"/>
    <cellStyle name="Comma 3 12 2 2 2" xfId="5799" xr:uid="{630C995D-67C8-4C7F-91DC-0EF841B3A168}"/>
    <cellStyle name="Comma 3 12 2 3" xfId="5371" xr:uid="{CD70F3A3-CD16-4CFA-916C-14D38E087C1A}"/>
    <cellStyle name="Comma 3 12 2 4" xfId="4984" xr:uid="{87D0EC50-3ACF-4F7D-8F4E-93A90DE7E149}"/>
    <cellStyle name="Comma 3 12 3" xfId="2585" xr:uid="{8A727345-82E9-40BC-B242-A3FC6CC941FE}"/>
    <cellStyle name="Comma 3 12 3 2" xfId="3077" xr:uid="{4FC61827-92BA-4CEB-B737-70871A780C76}"/>
    <cellStyle name="Comma 3 12 3 2 2" xfId="3800" xr:uid="{AAB8A485-422A-4EDE-AFBF-F42F3668D46E}"/>
    <cellStyle name="Comma 3 12 3 3" xfId="3801" xr:uid="{7843CA2F-8B8B-487E-996E-4678AF0F489A}"/>
    <cellStyle name="Comma 3 12 4" xfId="2808" xr:uid="{4776FFAE-4D1D-4358-9527-CA2AA8478497}"/>
    <cellStyle name="Comma 3 12 4 2" xfId="3802" xr:uid="{89FE5141-05AD-41F1-9ACF-8305969AE503}"/>
    <cellStyle name="Comma 3 12 5" xfId="3803" xr:uid="{0A50014A-A7C2-4471-BBE9-6743C175C687}"/>
    <cellStyle name="Comma 3 13" xfId="961" xr:uid="{F0123ACC-C1F9-4105-8501-B1D060052F92}"/>
    <cellStyle name="Comma 3 13 2" xfId="3804" xr:uid="{1446F2DD-3550-4F1A-B7E6-5D7A5AF4D480}"/>
    <cellStyle name="Comma 3 14" xfId="3805" xr:uid="{3D14FD72-9AE2-4C6D-8CA0-D39335F2E712}"/>
    <cellStyle name="Comma 3 14 2" xfId="4409" xr:uid="{0192ABB8-E68E-47ED-92BA-A8B37398F093}"/>
    <cellStyle name="Comma 3 15" xfId="4413" xr:uid="{CEFE259A-62C5-4545-875A-0AFEAA4EC0DF}"/>
    <cellStyle name="Comma 3 15 2" xfId="5547" xr:uid="{60F6DF5E-4BCF-463B-8A4A-DC9F26A26A29}"/>
    <cellStyle name="Comma 3 2" xfId="51" xr:uid="{04A1E89D-98A2-4B24-A448-F95691A5C6C6}"/>
    <cellStyle name="Comma 3 2 10" xfId="1833" xr:uid="{4D3CF7D9-646B-4905-948B-B1019E02AF9B}"/>
    <cellStyle name="Comma 3 2 10 2" xfId="2197" xr:uid="{A1F4A895-9A6F-43D7-A22A-F2DB5A5F285C}"/>
    <cellStyle name="Comma 3 2 10 2 2" xfId="4668" xr:uid="{3F2EDEAA-441E-4565-9B03-86C192902BEF}"/>
    <cellStyle name="Comma 3 2 10 2 2 2" xfId="5802" xr:uid="{A68DF699-EA75-4089-AD54-091533B9544C}"/>
    <cellStyle name="Comma 3 2 10 2 3" xfId="5374" xr:uid="{0A93B437-DD3A-4FF7-92E5-F63D57914224}"/>
    <cellStyle name="Comma 3 2 10 2 4" xfId="4987" xr:uid="{50473705-10B8-4808-9A5B-E3A5F9B952D5}"/>
    <cellStyle name="Comma 3 2 10 3" xfId="2588" xr:uid="{2EAF671B-2E9B-4F5A-B7E7-42BCF9D602E2}"/>
    <cellStyle name="Comma 3 2 10 3 2" xfId="3080" xr:uid="{A0C646C0-A852-41EF-9791-9970BBF23D12}"/>
    <cellStyle name="Comma 3 2 10 3 2 2" xfId="3806" xr:uid="{8EF068E3-263C-4366-B54E-19B70FBA1CCA}"/>
    <cellStyle name="Comma 3 2 10 3 3" xfId="3807" xr:uid="{8FCBFE8B-4C77-43B5-B73F-9A1702C595A3}"/>
    <cellStyle name="Comma 3 2 10 4" xfId="2811" xr:uid="{7BB842A9-9514-49F6-B88E-0F6661802EB6}"/>
    <cellStyle name="Comma 3 2 10 4 2" xfId="3808" xr:uid="{DE27DE1F-396C-430A-A7E7-BE0480DDC011}"/>
    <cellStyle name="Comma 3 2 10 5" xfId="3809" xr:uid="{6C551149-1FEE-4C6B-97B5-1AEF02D804A9}"/>
    <cellStyle name="Comma 3 2 11" xfId="965" xr:uid="{7408601C-31F6-4E06-83B9-4100561488E9}"/>
    <cellStyle name="Comma 3 2 11 2" xfId="3810" xr:uid="{D1148E10-7889-4B6C-9C7B-B8BEECB948AF}"/>
    <cellStyle name="Comma 3 2 12" xfId="3811" xr:uid="{957BCC52-3ABB-4C5C-ADC3-57B9DCF7F663}"/>
    <cellStyle name="Comma 3 2 13" xfId="4416" xr:uid="{40857A86-885D-4284-8CE6-BB43AAD1F061}"/>
    <cellStyle name="Comma 3 2 13 2" xfId="5550" xr:uid="{9C2A3928-170E-43C2-94EC-A65FDAA6D8CC}"/>
    <cellStyle name="Comma 3 2 2" xfId="129" xr:uid="{8221A012-7B9D-4B8E-810D-328BD9D70D3F}"/>
    <cellStyle name="Comma 3 2 2 10" xfId="972" xr:uid="{0A313551-7C41-47D6-A5DF-A54345514C67}"/>
    <cellStyle name="Comma 3 2 2 10 2" xfId="3812" xr:uid="{5CA7D4E3-2FED-4626-97BA-3DA00DCAAF16}"/>
    <cellStyle name="Comma 3 2 2 11" xfId="3813" xr:uid="{55E1DAAD-0E09-4A23-8BBC-2549FCC03331}"/>
    <cellStyle name="Comma 3 2 2 12" xfId="4487" xr:uid="{C40074F4-B75F-4A03-B94B-DFFC321343BA}"/>
    <cellStyle name="Comma 3 2 2 12 2" xfId="5621" xr:uid="{79770BD0-FCF5-4D64-8A23-A8B396D98E0D}"/>
    <cellStyle name="Comma 3 2 2 2" xfId="130" xr:uid="{01279A52-EA9B-42AD-A9D2-A1B30EF80604}"/>
    <cellStyle name="Comma 3 2 2 2 10" xfId="4488" xr:uid="{93EDD662-DD98-4C39-B4C3-44BA5CF53094}"/>
    <cellStyle name="Comma 3 2 2 2 10 2" xfId="5622" xr:uid="{6972FB4F-5D95-4310-BCA0-CEB1E16D55CD}"/>
    <cellStyle name="Comma 3 2 2 2 2" xfId="131" xr:uid="{71BC1C2D-72C3-4288-A1D9-09664F7AA89B}"/>
    <cellStyle name="Comma 3 2 2 2 2 2" xfId="1788" xr:uid="{060B6C15-FAB6-4F32-8C3D-AE13B85F7D64}"/>
    <cellStyle name="Comma 3 2 2 2 2 2 2" xfId="2361" xr:uid="{2F88D7E0-2879-4C64-9006-A8FAFAE92D07}"/>
    <cellStyle name="Comma 3 2 2 2 2 2 2 2" xfId="4832" xr:uid="{306319CE-C0A3-403C-B0F9-8F449E854282}"/>
    <cellStyle name="Comma 3 2 2 2 2 2 2 2 2" xfId="5966" xr:uid="{118CEB05-23AA-4C66-A5F1-43908FFF22CA}"/>
    <cellStyle name="Comma 3 2 2 2 2 2 2 3" xfId="5538" xr:uid="{B9C1F548-6D83-44EB-8A1C-29D94C8327BD}"/>
    <cellStyle name="Comma 3 2 2 2 2 2 2 4" xfId="5151" xr:uid="{FAC118EC-B5CC-4676-8400-A974CDC349F5}"/>
    <cellStyle name="Comma 3 2 2 2 2 2 3" xfId="4659" xr:uid="{2DE3AC01-E72D-45E6-BA28-A887E2BB4BD3}"/>
    <cellStyle name="Comma 3 2 2 2 2 2 3 2" xfId="5793" xr:uid="{C5F72968-2989-4952-A20F-5C6D6AEAD4D4}"/>
    <cellStyle name="Comma 3 2 2 2 2 2 4" xfId="5365" xr:uid="{B7F0BCBE-1100-4007-9874-84D53F7FA2D4}"/>
    <cellStyle name="Comma 3 2 2 2 2 2 5" xfId="4978" xr:uid="{DE633622-C1D5-447F-A629-7E3001DE7972}"/>
    <cellStyle name="Comma 3 2 2 2 2 3" xfId="2252" xr:uid="{9F9AFD81-D11E-4CA1-9F32-F9CD2FFBF7B8}"/>
    <cellStyle name="Comma 3 2 2 2 2 3 2" xfId="4723" xr:uid="{90A7F6E8-5E91-4B46-A6C2-26457E57BA39}"/>
    <cellStyle name="Comma 3 2 2 2 2 3 2 2" xfId="5857" xr:uid="{8901D6F7-D63B-417F-A3C6-866D1FC56E37}"/>
    <cellStyle name="Comma 3 2 2 2 2 3 3" xfId="5429" xr:uid="{3B1E4DF6-2207-4DA4-86DB-5F042E48B781}"/>
    <cellStyle name="Comma 3 2 2 2 2 3 4" xfId="5042" xr:uid="{620CBFC7-5E1F-4F64-B112-4947326B7858}"/>
    <cellStyle name="Comma 3 2 2 2 2 4" xfId="4489" xr:uid="{94B644FF-78C7-49E2-B089-E84C473A69C4}"/>
    <cellStyle name="Comma 3 2 2 2 2 4 2" xfId="5623" xr:uid="{65C630FD-0225-437A-9CDA-4A5B39DCF50B}"/>
    <cellStyle name="Comma 3 2 2 2 2 5" xfId="5210" xr:uid="{711751D5-DDC7-41D2-820F-3647341B1C97}"/>
    <cellStyle name="Comma 3 2 2 2 2 6" xfId="4855" xr:uid="{F1CBD4A2-9F4B-439B-ACE4-D2A129FF67A2}"/>
    <cellStyle name="Comma 3 2 2 2 3" xfId="132" xr:uid="{92A90B1E-ADC3-426F-A6F8-9F271DC70486}"/>
    <cellStyle name="Comma 3 2 2 2 3 2" xfId="1216" xr:uid="{B808DD06-F545-45BE-A981-ED48E95D0E9E}"/>
    <cellStyle name="Comma 3 2 2 2 3 2 2" xfId="2005" xr:uid="{EF1DD4A7-E195-40F4-AEF4-8C5A7A60A7A3}"/>
    <cellStyle name="Comma 3 2 2 2 3 2 2 2" xfId="2930" xr:uid="{1893622D-6A22-4838-8EA8-38D5262EC808}"/>
    <cellStyle name="Comma 3 2 2 2 3 2 2 2 2" xfId="3814" xr:uid="{32754183-8870-48E3-ABB6-0E9704132E43}"/>
    <cellStyle name="Comma 3 2 2 2 3 2 2 3" xfId="2708" xr:uid="{D1DB6CAE-FBD2-4911-BB73-38ABC8B0279A}"/>
    <cellStyle name="Comma 3 2 2 2 3 2 2 3 2" xfId="3815" xr:uid="{2C2307B0-4789-4F6D-8C91-3D6E7785887C}"/>
    <cellStyle name="Comma 3 2 2 2 3 2 2 4" xfId="3816" xr:uid="{336A277D-DF93-41A2-B8AD-49275DBBD1C7}"/>
    <cellStyle name="Comma 3 2 2 2 3 2 3" xfId="2483" xr:uid="{DEE86010-94BA-4BA3-8155-435C76391EF7}"/>
    <cellStyle name="Comma 3 2 2 2 3 2 3 2" xfId="3817" xr:uid="{35D94481-F833-4F65-AEEB-841162F86648}"/>
    <cellStyle name="Comma 3 2 2 2 3 2 4" xfId="3818" xr:uid="{9EAC4089-E38B-4CBB-AEEE-E9AA1BED77E8}"/>
    <cellStyle name="Comma 3 2 2 2 3 3" xfId="1935" xr:uid="{055F7DD8-384D-4AF2-8380-E1F457B81045}"/>
    <cellStyle name="Comma 3 2 2 2 3 3 2" xfId="2860" xr:uid="{8934BBB6-E290-44D9-B7B0-A059A6C09554}"/>
    <cellStyle name="Comma 3 2 2 2 3 3 2 2" xfId="3819" xr:uid="{84A574FD-A1F1-4D85-83A4-83E63ADD8E8F}"/>
    <cellStyle name="Comma 3 2 2 2 3 3 3" xfId="2638" xr:uid="{D049840C-80AC-40D5-99A0-7E528BB8EC40}"/>
    <cellStyle name="Comma 3 2 2 2 3 3 3 2" xfId="3820" xr:uid="{2FBA5C38-D109-4738-BB82-5862EB4C7A93}"/>
    <cellStyle name="Comma 3 2 2 2 3 3 4" xfId="3821" xr:uid="{B482FB73-6E46-419E-AC69-143B21F598DF}"/>
    <cellStyle name="Comma 3 2 2 2 3 4" xfId="2413" xr:uid="{BCC126D0-3801-4DB0-BC02-4CAE5D0740AF}"/>
    <cellStyle name="Comma 3 2 2 2 3 4 2" xfId="3822" xr:uid="{79016C3D-DA53-42D0-ADB0-E95A7F3BFF37}"/>
    <cellStyle name="Comma 3 2 2 2 3 5" xfId="1043" xr:uid="{0E5F8760-91E0-45D5-BE24-93A836551BA4}"/>
    <cellStyle name="Comma 3 2 2 2 3 5 2" xfId="3823" xr:uid="{669A6F19-A742-47B2-B800-7030B423CFEC}"/>
    <cellStyle name="Comma 3 2 2 2 3 6" xfId="3824" xr:uid="{B4BF1A3F-AEBA-43DB-878D-1D6830F5D0E5}"/>
    <cellStyle name="Comma 3 2 2 2 3 7" xfId="4490" xr:uid="{06431425-49B2-4065-9491-F909B51E0B00}"/>
    <cellStyle name="Comma 3 2 2 2 3 7 2" xfId="5624" xr:uid="{633140A6-750B-4DAA-802C-6E59739D71D1}"/>
    <cellStyle name="Comma 3 2 2 2 3 8" xfId="5211" xr:uid="{8A7A9A18-E4D4-4EB1-B047-F13422A2C660}"/>
    <cellStyle name="Comma 3 2 2 2 4" xfId="1633" xr:uid="{A13EB969-CDCF-421A-8736-82ADCD2F9E17}"/>
    <cellStyle name="Comma 3 2 2 2 4 2" xfId="2287" xr:uid="{2CAD8F51-4AC7-4093-B0F6-6699B1381A1B}"/>
    <cellStyle name="Comma 3 2 2 2 4 2 2" xfId="4758" xr:uid="{128775E4-FA59-4B8D-9408-5D71D9BF765E}"/>
    <cellStyle name="Comma 3 2 2 2 4 2 2 2" xfId="5892" xr:uid="{EF055489-08BC-4C71-B973-BF476EFA5232}"/>
    <cellStyle name="Comma 3 2 2 2 4 2 3" xfId="5464" xr:uid="{09F40A12-B7A1-40A2-9A58-E15B44159A28}"/>
    <cellStyle name="Comma 3 2 2 2 4 2 4" xfId="5077" xr:uid="{E0F1608D-BF98-4A31-AEE0-516B6D4CF7E5}"/>
    <cellStyle name="Comma 3 2 2 2 4 3" xfId="4585" xr:uid="{D09520A1-2DB3-4243-9596-805687F8FCD6}"/>
    <cellStyle name="Comma 3 2 2 2 4 3 2" xfId="5719" xr:uid="{BA797AF1-C9AF-4992-80C5-DCDD664DA523}"/>
    <cellStyle name="Comma 3 2 2 2 4 4" xfId="5291" xr:uid="{3FBB459C-E131-44F6-894E-9C27B08E1699}"/>
    <cellStyle name="Comma 3 2 2 2 4 5" xfId="4904" xr:uid="{053D10C1-9E98-4AE8-80EF-8821FBCC25EC}"/>
    <cellStyle name="Comma 3 2 2 2 5" xfId="1756" xr:uid="{A124E40C-FFB0-4CA0-B60B-25D37432B387}"/>
    <cellStyle name="Comma 3 2 2 2 5 2" xfId="2329" xr:uid="{05DF2263-F4CB-4F1B-9750-3265F6CAEA1E}"/>
    <cellStyle name="Comma 3 2 2 2 5 2 2" xfId="4800" xr:uid="{6C59E9E7-EC6A-44EF-8C4A-D6150260C151}"/>
    <cellStyle name="Comma 3 2 2 2 5 2 2 2" xfId="5934" xr:uid="{D54816FE-D7FB-4DAD-8449-676CB8616EDD}"/>
    <cellStyle name="Comma 3 2 2 2 5 2 3" xfId="5506" xr:uid="{C0A74A42-D0B1-4612-AA5F-EDA464869AE6}"/>
    <cellStyle name="Comma 3 2 2 2 5 2 4" xfId="5119" xr:uid="{129AF9ED-9E77-4B87-95B0-CE2514D9E89D}"/>
    <cellStyle name="Comma 3 2 2 2 5 3" xfId="4627" xr:uid="{8BE2F5DD-F1AC-4057-98A7-46B0DD42B823}"/>
    <cellStyle name="Comma 3 2 2 2 5 3 2" xfId="5761" xr:uid="{E2AD9FA3-B4D6-437F-9383-C16A09CD197A}"/>
    <cellStyle name="Comma 3 2 2 2 5 4" xfId="5333" xr:uid="{C212073E-6AAB-4D5F-B7E1-B3F3DAFAE1B9}"/>
    <cellStyle name="Comma 3 2 2 2 5 5" xfId="4946" xr:uid="{D3011DB0-95A3-4E0E-A136-FB978FFA79B7}"/>
    <cellStyle name="Comma 3 2 2 2 6" xfId="2102" xr:uid="{5F7C75B2-B1ED-4B03-AF92-46EA32D71FF9}"/>
    <cellStyle name="Comma 3 2 2 2 6 2" xfId="2782" xr:uid="{E3409493-F28D-4F88-AB63-304E837A6E87}"/>
    <cellStyle name="Comma 3 2 2 2 6 2 2" xfId="3108" xr:uid="{69A44594-FFA7-4CAA-8728-D5ABEDC5BBBA}"/>
    <cellStyle name="Comma 3 2 2 2 6 2 2 2" xfId="3825" xr:uid="{B0B5C4A1-DE17-40D5-B7F3-21A37B493ED3}"/>
    <cellStyle name="Comma 3 2 2 2 6 2 3" xfId="3826" xr:uid="{50804886-0F7D-455F-82A3-9506D4383A8E}"/>
    <cellStyle name="Comma 3 2 2 2 6 3" xfId="3004" xr:uid="{DADEC208-7A71-4310-905A-374DABF86A57}"/>
    <cellStyle name="Comma 3 2 2 2 6 3 2" xfId="3827" xr:uid="{A01856A9-0EBB-4F79-AE7E-23431515D000}"/>
    <cellStyle name="Comma 3 2 2 2 6 4" xfId="2557" xr:uid="{6DCCAD47-A40A-418A-B600-7B49A639D661}"/>
    <cellStyle name="Comma 3 2 2 2 6 4 2" xfId="3828" xr:uid="{08A5301A-8C36-4BDC-A0F5-72249CA10F6D}"/>
    <cellStyle name="Comma 3 2 2 2 6 5" xfId="3829" xr:uid="{C52BC2A4-CC87-4C5E-B5B8-D5F45205A019}"/>
    <cellStyle name="Comma 3 2 2 2 7" xfId="2220" xr:uid="{4B2C146C-9003-4B61-B546-194E569B45A9}"/>
    <cellStyle name="Comma 3 2 2 2 7 2" xfId="4691" xr:uid="{0D505293-0AE9-4F56-8926-59C5AE3013FE}"/>
    <cellStyle name="Comma 3 2 2 2 7 2 2" xfId="5825" xr:uid="{33A9906B-3DB1-410F-BEE3-9DBFEFCD83FE}"/>
    <cellStyle name="Comma 3 2 2 2 7 3" xfId="5397" xr:uid="{AEB1F192-6555-4423-9778-9548740FD273}"/>
    <cellStyle name="Comma 3 2 2 2 7 4" xfId="5010" xr:uid="{BA6070D6-1B63-4EBF-9996-F5654C6A23CC}"/>
    <cellStyle name="Comma 3 2 2 2 8" xfId="993" xr:uid="{68CFDC06-52C8-4E11-8675-4300F75E2534}"/>
    <cellStyle name="Comma 3 2 2 2 8 2" xfId="3830" xr:uid="{E330F6A0-D095-4134-AE43-16AD001B3FAD}"/>
    <cellStyle name="Comma 3 2 2 2 9" xfId="3831" xr:uid="{6766E3FA-E6CB-482E-985B-C6FFAF7C5B35}"/>
    <cellStyle name="Comma 3 2 2 3" xfId="133" xr:uid="{C5660C4B-5B02-4439-93E9-DA3A91E8B853}"/>
    <cellStyle name="Comma 3 2 2 3 2" xfId="1657" xr:uid="{4BF68225-F3A6-49B1-B59E-9F6841E12641}"/>
    <cellStyle name="Comma 3 2 2 3 2 2" xfId="2299" xr:uid="{8112E8CE-352A-4EDD-B4F7-8374753B92D0}"/>
    <cellStyle name="Comma 3 2 2 3 2 2 2" xfId="4770" xr:uid="{99AB94CD-0C72-49A1-BC33-DDA1B24F77DB}"/>
    <cellStyle name="Comma 3 2 2 3 2 2 2 2" xfId="5904" xr:uid="{98E05D5F-94B8-48BD-A313-2F37986573E7}"/>
    <cellStyle name="Comma 3 2 2 3 2 2 3" xfId="5476" xr:uid="{C1097CDA-2827-4829-8803-10AD7AAE0D03}"/>
    <cellStyle name="Comma 3 2 2 3 2 2 4" xfId="5089" xr:uid="{999245C4-9ACA-477C-B487-6809C0566E5D}"/>
    <cellStyle name="Comma 3 2 2 3 2 3" xfId="4597" xr:uid="{D76E6BF0-DE9B-45E7-8DFD-101E02B093FA}"/>
    <cellStyle name="Comma 3 2 2 3 2 3 2" xfId="5731" xr:uid="{42EFAFD9-A260-4CF3-8526-F89F817880E9}"/>
    <cellStyle name="Comma 3 2 2 3 2 4" xfId="5303" xr:uid="{B7808299-E3D0-4831-9AAA-846702096E9C}"/>
    <cellStyle name="Comma 3 2 2 3 2 5" xfId="4916" xr:uid="{F463056C-D113-4261-A011-03A8FC9DBA12}"/>
    <cellStyle name="Comma 3 2 2 3 3" xfId="1772" xr:uid="{AF5A2783-3A68-4134-9758-D15CA156A555}"/>
    <cellStyle name="Comma 3 2 2 3 3 2" xfId="2345" xr:uid="{87FA57D0-D70A-4518-8B42-47C3D4394A8A}"/>
    <cellStyle name="Comma 3 2 2 3 3 2 2" xfId="4816" xr:uid="{ACBE0C97-BE6A-4A43-A299-581FC0A081A0}"/>
    <cellStyle name="Comma 3 2 2 3 3 2 2 2" xfId="5950" xr:uid="{2DAF14BC-F7D0-467E-97C7-B9A7FF359F59}"/>
    <cellStyle name="Comma 3 2 2 3 3 2 3" xfId="5522" xr:uid="{B075CE2A-A5AD-4434-A77D-7966642FA1EB}"/>
    <cellStyle name="Comma 3 2 2 3 3 2 4" xfId="5135" xr:uid="{86A6D4C6-88BA-4DB4-9C46-50DE76EEF52F}"/>
    <cellStyle name="Comma 3 2 2 3 3 3" xfId="4643" xr:uid="{FFC9EAED-B0E5-4A0A-A061-692F3F169A7E}"/>
    <cellStyle name="Comma 3 2 2 3 3 3 2" xfId="5777" xr:uid="{8EA8E542-A9D7-4AF7-9BAE-C9D750AFC417}"/>
    <cellStyle name="Comma 3 2 2 3 3 4" xfId="5349" xr:uid="{FFECEC3E-0790-458D-AEB1-003EB715E6F8}"/>
    <cellStyle name="Comma 3 2 2 3 3 5" xfId="4962" xr:uid="{2BB7507B-9D8B-4ED5-944F-CDD0CEFC5D9D}"/>
    <cellStyle name="Comma 3 2 2 3 4" xfId="1467" xr:uid="{F9D949A8-3385-4AE2-8A30-D0350C34A2C8}"/>
    <cellStyle name="Comma 3 2 2 3 4 2" xfId="2038" xr:uid="{0849D6A6-D4D3-430F-B4D3-E4427FC5E8AC}"/>
    <cellStyle name="Comma 3 2 2 3 4 2 2" xfId="2963" xr:uid="{35FA3B69-5EC9-43D3-92B7-970CA5B37C0E}"/>
    <cellStyle name="Comma 3 2 2 3 4 2 2 2" xfId="3832" xr:uid="{2F49B021-1553-4FCB-BD45-0138661A92E3}"/>
    <cellStyle name="Comma 3 2 2 3 4 2 3" xfId="2741" xr:uid="{351BDF41-3968-4D98-AE31-5D4F6E1A7DBB}"/>
    <cellStyle name="Comma 3 2 2 3 4 2 3 2" xfId="3833" xr:uid="{52898664-834F-4A9B-BBF5-D140F280E8BF}"/>
    <cellStyle name="Comma 3 2 2 3 4 2 4" xfId="3834" xr:uid="{EAF20F2B-2EDC-4D41-A6E7-7DAD1C48F6A0}"/>
    <cellStyle name="Comma 3 2 2 3 4 3" xfId="2516" xr:uid="{71B3019B-02C6-4D06-AE85-EE37230B7AEA}"/>
    <cellStyle name="Comma 3 2 2 3 4 3 2" xfId="3835" xr:uid="{B9D65704-7A40-4D71-94C2-D79D70FF6BDA}"/>
    <cellStyle name="Comma 3 2 2 3 4 4" xfId="3836" xr:uid="{7C2B235E-9D54-4605-9B51-C74CC40A1B56}"/>
    <cellStyle name="Comma 3 2 2 3 5" xfId="2103" xr:uid="{522A3AB8-E0BC-4D55-A517-B73AD9CA360D}"/>
    <cellStyle name="Comma 3 2 2 3 5 2" xfId="2783" xr:uid="{48B394AB-F31C-48B0-AF65-8B8BE9866C27}"/>
    <cellStyle name="Comma 3 2 2 3 5 2 2" xfId="3109" xr:uid="{AF72F811-6F59-4FDE-8DB3-1C2DB575129B}"/>
    <cellStyle name="Comma 3 2 2 3 5 2 2 2" xfId="3837" xr:uid="{A76D8935-65A5-4344-8F8E-34F44AB28379}"/>
    <cellStyle name="Comma 3 2 2 3 5 2 3" xfId="3838" xr:uid="{F6B17472-547D-44D5-B2C6-CB6759DBB8FB}"/>
    <cellStyle name="Comma 3 2 2 3 5 3" xfId="3005" xr:uid="{777E3DA9-A0E3-4D80-8932-BE7977EBB3C8}"/>
    <cellStyle name="Comma 3 2 2 3 5 3 2" xfId="3839" xr:uid="{91CF957C-9774-43CA-8461-736A43F33963}"/>
    <cellStyle name="Comma 3 2 2 3 5 4" xfId="2558" xr:uid="{42AB7A4B-BE01-4481-B8C9-D37DCD687CD5}"/>
    <cellStyle name="Comma 3 2 2 3 5 4 2" xfId="3840" xr:uid="{5AD59C83-A883-4819-A29E-1DD2F1633C11}"/>
    <cellStyle name="Comma 3 2 2 3 5 5" xfId="3841" xr:uid="{6BF2F13B-1547-4740-AB3C-C3D6CC6623A3}"/>
    <cellStyle name="Comma 3 2 2 3 6" xfId="2236" xr:uid="{FA5D67DA-ABFD-4A23-97A9-3620AE1BC84D}"/>
    <cellStyle name="Comma 3 2 2 3 6 2" xfId="4707" xr:uid="{F8F7E797-9F89-4F2D-9F5F-534617B7BA96}"/>
    <cellStyle name="Comma 3 2 2 3 6 2 2" xfId="5841" xr:uid="{BF97127F-8241-4BFD-BC71-D4FD22EE4C5C}"/>
    <cellStyle name="Comma 3 2 2 3 6 3" xfId="5413" xr:uid="{08C4725A-26C0-4D10-A56F-EA8514941595}"/>
    <cellStyle name="Comma 3 2 2 3 6 4" xfId="5026" xr:uid="{4D5FC733-18C0-488B-90DE-5C1B0DBB13E7}"/>
    <cellStyle name="Comma 3 2 2 3 7" xfId="4491" xr:uid="{AD31AC5A-5517-449A-863E-CEFD5CD6DA30}"/>
    <cellStyle name="Comma 3 2 2 3 7 2" xfId="5625" xr:uid="{55DDEA33-51AA-46F5-B7FA-B34F9279DD53}"/>
    <cellStyle name="Comma 3 2 2 3 8" xfId="5212" xr:uid="{A81082C5-5AE2-4F29-8AB8-CCE3B43706A5}"/>
    <cellStyle name="Comma 3 2 2 3 9" xfId="4856" xr:uid="{2FB5B090-9113-4465-99EC-4752EE43D910}"/>
    <cellStyle name="Comma 3 2 2 4" xfId="134" xr:uid="{F5437FD6-EFAC-40DB-9E01-272FE1DDD2A2}"/>
    <cellStyle name="Comma 3 2 2 4 2" xfId="1200" xr:uid="{BF14AB91-49DE-406E-87C6-CE1CAE67A340}"/>
    <cellStyle name="Comma 3 2 2 4 2 2" xfId="1989" xr:uid="{DEB3A10E-C352-4C75-A4CA-D7B2D8F33AC5}"/>
    <cellStyle name="Comma 3 2 2 4 2 2 2" xfId="2914" xr:uid="{66E5B4CB-6206-4CDC-9B7E-0CFE446E8763}"/>
    <cellStyle name="Comma 3 2 2 4 2 2 2 2" xfId="3842" xr:uid="{D1EB3586-CDCC-42FE-BD00-223C83D917C5}"/>
    <cellStyle name="Comma 3 2 2 4 2 2 3" xfId="2692" xr:uid="{B7E84ADA-1F80-4043-B707-F9BC8CFF2441}"/>
    <cellStyle name="Comma 3 2 2 4 2 2 3 2" xfId="3843" xr:uid="{96FE94F5-33DE-4020-87D2-1D67313ADD76}"/>
    <cellStyle name="Comma 3 2 2 4 2 2 4" xfId="3844" xr:uid="{F2A5FFD2-1B27-4461-B322-B10795E9E475}"/>
    <cellStyle name="Comma 3 2 2 4 2 3" xfId="2467" xr:uid="{8C39E203-5E93-4A09-9F2F-93BB209EE690}"/>
    <cellStyle name="Comma 3 2 2 4 2 3 2" xfId="3845" xr:uid="{E8458948-83C4-4431-BDEF-E0310286E378}"/>
    <cellStyle name="Comma 3 2 2 4 2 4" xfId="3846" xr:uid="{1FE9EA06-B41C-424B-8E6E-42A879292EA0}"/>
    <cellStyle name="Comma 3 2 2 4 3" xfId="1919" xr:uid="{D4330977-A567-43AB-ABF7-8BCB7F158715}"/>
    <cellStyle name="Comma 3 2 2 4 3 2" xfId="2844" xr:uid="{D139A7CA-ABC8-42C9-ACE4-6C69D3F32811}"/>
    <cellStyle name="Comma 3 2 2 4 3 2 2" xfId="3847" xr:uid="{FAB7A09E-4571-4650-AD5C-45EEE0CAD8A9}"/>
    <cellStyle name="Comma 3 2 2 4 3 3" xfId="2622" xr:uid="{1763FD9A-43A3-4141-A1EC-BB39F068AAE1}"/>
    <cellStyle name="Comma 3 2 2 4 3 3 2" xfId="3848" xr:uid="{AF57BAC0-0A8C-4B23-B0C6-7435EE6E32B1}"/>
    <cellStyle name="Comma 3 2 2 4 3 4" xfId="3849" xr:uid="{D18ED2ED-9C0A-4AC4-B0DA-450CDCA8A659}"/>
    <cellStyle name="Comma 3 2 2 4 4" xfId="2397" xr:uid="{C95F0B80-365B-4A8C-B60C-BC446CC2FB22}"/>
    <cellStyle name="Comma 3 2 2 4 4 2" xfId="3850" xr:uid="{EA8F0AC2-EADD-4B94-A2DE-30CE45DBABA1}"/>
    <cellStyle name="Comma 3 2 2 4 5" xfId="1027" xr:uid="{8B81C41A-5F70-40BA-B5F7-BA688BEDD86F}"/>
    <cellStyle name="Comma 3 2 2 4 5 2" xfId="3851" xr:uid="{ABD389FF-3626-43A2-ADB7-0186A6FD67C5}"/>
    <cellStyle name="Comma 3 2 2 4 6" xfId="3852" xr:uid="{E92A1C64-E000-40CB-8B26-554FEFA925DE}"/>
    <cellStyle name="Comma 3 2 2 4 7" xfId="4492" xr:uid="{E55910FA-A968-46F2-B294-2D6E6158939B}"/>
    <cellStyle name="Comma 3 2 2 4 7 2" xfId="5626" xr:uid="{8C7A4F14-0DF0-4EF0-9502-6B9463C18B37}"/>
    <cellStyle name="Comma 3 2 2 4 8" xfId="5213" xr:uid="{4C6C734F-4C43-43DC-AD4C-E3C30D0C038C}"/>
    <cellStyle name="Comma 3 2 2 5" xfId="1512" xr:uid="{362237D8-A85F-41A6-8790-C24F46010DCD}"/>
    <cellStyle name="Comma 3 2 2 5 2" xfId="2104" xr:uid="{FAB8F147-163F-4C38-9009-67DB4D90DEDC}"/>
    <cellStyle name="Comma 3 2 2 5 2 2" xfId="2784" xr:uid="{47119829-2FD1-41EB-924C-9D5C23B67978}"/>
    <cellStyle name="Comma 3 2 2 5 2 2 2" xfId="3110" xr:uid="{12D843A9-B391-4F2A-8513-C380FA6B1784}"/>
    <cellStyle name="Comma 3 2 2 5 2 2 2 2" xfId="3853" xr:uid="{A3DB2665-1D8E-44A5-A887-510BBD58FF56}"/>
    <cellStyle name="Comma 3 2 2 5 2 2 3" xfId="3854" xr:uid="{3805D4B1-8D21-462B-85DD-56E2AA99DDA0}"/>
    <cellStyle name="Comma 3 2 2 5 2 3" xfId="3006" xr:uid="{3FDEED37-C4CB-45C5-B324-A5699E74420D}"/>
    <cellStyle name="Comma 3 2 2 5 2 3 2" xfId="3855" xr:uid="{3C4CCF36-5D78-49F7-9F2D-2D9B89CFB1FA}"/>
    <cellStyle name="Comma 3 2 2 5 2 4" xfId="2559" xr:uid="{FD52D1A0-5E5C-43CF-979B-BCBA2BA25EB3}"/>
    <cellStyle name="Comma 3 2 2 5 2 4 2" xfId="3856" xr:uid="{72F9F546-8E76-4145-8C6A-0C7A39E2A426}"/>
    <cellStyle name="Comma 3 2 2 5 2 5" xfId="3857" xr:uid="{5C51BFEA-1EC8-4278-82AD-E9D61206C6B5}"/>
    <cellStyle name="Comma 3 2 2 5 3" xfId="2050" xr:uid="{504CCAC0-10D0-4BC3-BCD9-9A69E825623A}"/>
    <cellStyle name="Comma 3 2 2 5 3 2" xfId="2975" xr:uid="{A2C03031-A750-49C1-80D5-06BB381994A2}"/>
    <cellStyle name="Comma 3 2 2 5 3 2 2" xfId="3858" xr:uid="{4F12D4CF-CF53-48FF-AA8E-CEED05198E4B}"/>
    <cellStyle name="Comma 3 2 2 5 3 3" xfId="2753" xr:uid="{950B8DB4-D51B-481B-8FA6-A7B58D09DDAD}"/>
    <cellStyle name="Comma 3 2 2 5 3 3 2" xfId="3859" xr:uid="{EA363CB1-C049-47DB-9E9E-B7F49EB46FD6}"/>
    <cellStyle name="Comma 3 2 2 5 3 4" xfId="3860" xr:uid="{9E387188-2F70-440A-8771-2851F59F2539}"/>
    <cellStyle name="Comma 3 2 2 5 4" xfId="2528" xr:uid="{4A2549B9-091F-4F23-AC8E-EB1C4849124F}"/>
    <cellStyle name="Comma 3 2 2 5 4 2" xfId="3861" xr:uid="{7D2EF52B-1294-4E1D-ABDB-2AE47334F9C5}"/>
    <cellStyle name="Comma 3 2 2 5 5" xfId="3862" xr:uid="{86072DCB-A0E1-46AE-9048-FB87CF3EC060}"/>
    <cellStyle name="Comma 3 2 2 6" xfId="1552" xr:uid="{0A8B183B-E5CC-453C-8DDB-441275441EE3}"/>
    <cellStyle name="Comma 3 2 2 6 2" xfId="2272" xr:uid="{A4C93BBE-A9E1-4DA3-98C9-0A75F4A9FD07}"/>
    <cellStyle name="Comma 3 2 2 6 2 2" xfId="4743" xr:uid="{42AC16C6-1FD5-45FA-8F95-256D3A5ADA0A}"/>
    <cellStyle name="Comma 3 2 2 6 2 2 2" xfId="5877" xr:uid="{13489B89-8444-4450-A12F-70B4DC68238A}"/>
    <cellStyle name="Comma 3 2 2 6 2 3" xfId="5449" xr:uid="{7F129F76-55D7-480A-8FE7-68A30D721083}"/>
    <cellStyle name="Comma 3 2 2 6 2 4" xfId="5062" xr:uid="{819DCDAF-AC59-460F-B262-897D8B4035EB}"/>
    <cellStyle name="Comma 3 2 2 6 3" xfId="4570" xr:uid="{0053EB2B-1DC1-4B38-8483-6A671DA7BAC6}"/>
    <cellStyle name="Comma 3 2 2 6 3 2" xfId="5704" xr:uid="{C8A816AD-D996-485F-BD0B-7E9BF052F66D}"/>
    <cellStyle name="Comma 3 2 2 6 4" xfId="5276" xr:uid="{7D77EF3B-FDCF-4F62-837D-157B67FC3C0C}"/>
    <cellStyle name="Comma 3 2 2 6 5" xfId="4889" xr:uid="{12886C99-D978-4AB9-A80B-8EE93F6D9EF9}"/>
    <cellStyle name="Comma 3 2 2 7" xfId="1740" xr:uid="{6C3824CF-63A8-4DD3-83B5-7C05DE2F605C}"/>
    <cellStyle name="Comma 3 2 2 7 2" xfId="2313" xr:uid="{0CDDC2E7-EF6D-429B-AA30-A28612F01450}"/>
    <cellStyle name="Comma 3 2 2 7 2 2" xfId="4784" xr:uid="{CC852D2F-B401-4E47-BDB6-7B0F78755DF5}"/>
    <cellStyle name="Comma 3 2 2 7 2 2 2" xfId="5918" xr:uid="{FE3020A4-3391-4924-91EB-7558999B1369}"/>
    <cellStyle name="Comma 3 2 2 7 2 3" xfId="5490" xr:uid="{B1DFD1D0-7DFB-4569-9BD2-2F471EA52607}"/>
    <cellStyle name="Comma 3 2 2 7 2 4" xfId="5103" xr:uid="{CBACB437-C86B-4C52-8B42-6FF490F55AAC}"/>
    <cellStyle name="Comma 3 2 2 7 3" xfId="4611" xr:uid="{5C02EC79-A118-4206-839C-7144224C6ABB}"/>
    <cellStyle name="Comma 3 2 2 7 3 2" xfId="5745" xr:uid="{EEA09E37-E0EC-4A5E-AEC6-76F8EF03CC98}"/>
    <cellStyle name="Comma 3 2 2 7 4" xfId="5317" xr:uid="{F83D0F5F-CF4D-47A0-BEAB-7D2EEE75B8AB}"/>
    <cellStyle name="Comma 3 2 2 7 5" xfId="4930" xr:uid="{C5A902B6-F835-4A63-8CE4-6A31111692E1}"/>
    <cellStyle name="Comma 3 2 2 8" xfId="2105" xr:uid="{1874A29C-8A1B-486C-BA93-85381C733786}"/>
    <cellStyle name="Comma 3 2 2 8 2" xfId="2785" xr:uid="{4B5D9072-43AC-43E7-A566-9AB59A677355}"/>
    <cellStyle name="Comma 3 2 2 8 2 2" xfId="3111" xr:uid="{52D6379F-9B92-4921-ADAE-6446B9842F12}"/>
    <cellStyle name="Comma 3 2 2 8 2 2 2" xfId="3863" xr:uid="{8E0A8792-5259-4591-9C12-14E64DAED5BB}"/>
    <cellStyle name="Comma 3 2 2 8 2 3" xfId="3864" xr:uid="{324347DB-26DD-4DFE-BA4E-7E832C76CDD4}"/>
    <cellStyle name="Comma 3 2 2 8 3" xfId="3007" xr:uid="{71615460-D5D4-4EF6-B10D-42B192ECDA03}"/>
    <cellStyle name="Comma 3 2 2 8 3 2" xfId="3865" xr:uid="{008C9C7B-DE95-4952-9143-8C3170252CBF}"/>
    <cellStyle name="Comma 3 2 2 8 4" xfId="2560" xr:uid="{3FA88E61-8607-4D17-B06F-07D64C0BBB7A}"/>
    <cellStyle name="Comma 3 2 2 8 4 2" xfId="3866" xr:uid="{38879BD3-5F04-44A9-AD1D-448AF19096DA}"/>
    <cellStyle name="Comma 3 2 2 8 5" xfId="3867" xr:uid="{42E59596-31E6-4FDF-8F5A-F77AAE5987E9}"/>
    <cellStyle name="Comma 3 2 2 9" xfId="2204" xr:uid="{E5C8FFF5-7301-4916-AB7C-DE95950EC390}"/>
    <cellStyle name="Comma 3 2 2 9 2" xfId="4675" xr:uid="{C98F0479-AC07-4CDC-86F0-9408F2A57AAA}"/>
    <cellStyle name="Comma 3 2 2 9 2 2" xfId="5809" xr:uid="{061928D6-881B-4F44-B7C1-9C040E266882}"/>
    <cellStyle name="Comma 3 2 2 9 3" xfId="5381" xr:uid="{42B48BF2-6284-42B7-BA3C-990B93AD7784}"/>
    <cellStyle name="Comma 3 2 2 9 4" xfId="4994" xr:uid="{50B6A667-B869-4303-AF19-188C08B1F590}"/>
    <cellStyle name="Comma 3 2 3" xfId="135" xr:uid="{DD5A3875-1385-466B-9B09-F31C6927D49D}"/>
    <cellStyle name="Comma 3 2 3 10" xfId="4493" xr:uid="{5E99A100-FAEC-4E49-B3D2-3C0DCAC13AA6}"/>
    <cellStyle name="Comma 3 2 3 10 2" xfId="5627" xr:uid="{020F19F4-76DC-451B-B70D-38C092D570AC}"/>
    <cellStyle name="Comma 3 2 3 2" xfId="136" xr:uid="{E2616CFE-FBB5-4C80-9034-0435975CB34C}"/>
    <cellStyle name="Comma 3 2 3 2 2" xfId="1781" xr:uid="{9957A6E5-C302-4826-9B43-469142B58B46}"/>
    <cellStyle name="Comma 3 2 3 2 2 2" xfId="2354" xr:uid="{2A1650A7-7209-4995-BFA2-D9B711873F6D}"/>
    <cellStyle name="Comma 3 2 3 2 2 2 2" xfId="4825" xr:uid="{C0AA3DAA-7FF1-4DE8-8F5A-5613AC320037}"/>
    <cellStyle name="Comma 3 2 3 2 2 2 2 2" xfId="5959" xr:uid="{889877D7-33BD-4208-95AB-5BBDBC79204C}"/>
    <cellStyle name="Comma 3 2 3 2 2 2 3" xfId="5531" xr:uid="{20E913CA-7CDB-4512-A7FD-C473617C8B6A}"/>
    <cellStyle name="Comma 3 2 3 2 2 2 4" xfId="5144" xr:uid="{417353D3-9DB4-417C-99E4-E6422C8B940D}"/>
    <cellStyle name="Comma 3 2 3 2 2 3" xfId="4652" xr:uid="{C2CAEFD4-4C1D-4CF1-82AC-92E1E6775400}"/>
    <cellStyle name="Comma 3 2 3 2 2 3 2" xfId="5786" xr:uid="{D524D02C-0497-49F3-95FA-5AC12ED0180A}"/>
    <cellStyle name="Comma 3 2 3 2 2 4" xfId="5358" xr:uid="{C95FDC7A-AD73-458E-82ED-FEA67B369DE4}"/>
    <cellStyle name="Comma 3 2 3 2 2 5" xfId="4971" xr:uid="{D861FED0-9619-4BA1-A8A0-DA2C6E7849DF}"/>
    <cellStyle name="Comma 3 2 3 2 3" xfId="2245" xr:uid="{EF286FA3-0F42-4B4C-844F-3144F9E4F450}"/>
    <cellStyle name="Comma 3 2 3 2 3 2" xfId="4716" xr:uid="{9AF74F8F-7A88-408F-B354-356D73C35E62}"/>
    <cellStyle name="Comma 3 2 3 2 3 2 2" xfId="5850" xr:uid="{A572B0DA-1838-4408-8116-AD33C76CD8C7}"/>
    <cellStyle name="Comma 3 2 3 2 3 3" xfId="5422" xr:uid="{8E51D836-6D36-4891-A235-78E732D24B23}"/>
    <cellStyle name="Comma 3 2 3 2 3 4" xfId="5035" xr:uid="{642BCA1D-4699-482D-8A44-2BE3C9618CC3}"/>
    <cellStyle name="Comma 3 2 3 2 4" xfId="4494" xr:uid="{B3209B98-6114-4771-9BA3-80BA4C61E515}"/>
    <cellStyle name="Comma 3 2 3 2 4 2" xfId="5628" xr:uid="{F34806DB-FF87-4CA7-AC75-BCD70576B5D5}"/>
    <cellStyle name="Comma 3 2 3 2 5" xfId="5214" xr:uid="{3437E123-D0FE-4F05-A378-A50B45A87DD4}"/>
    <cellStyle name="Comma 3 2 3 2 6" xfId="4857" xr:uid="{8C5225C0-532F-47AB-B972-A4D1FEF0D2B4}"/>
    <cellStyle name="Comma 3 2 3 3" xfId="137" xr:uid="{A88631B7-B327-45A6-8912-957BA381FB73}"/>
    <cellStyle name="Comma 3 2 3 3 2" xfId="1209" xr:uid="{9D921D6C-3020-4F97-BDC2-D12FD115CBD0}"/>
    <cellStyle name="Comma 3 2 3 3 2 2" xfId="1998" xr:uid="{B9E7E5A9-AEB3-4A59-9950-17ECC2594CAC}"/>
    <cellStyle name="Comma 3 2 3 3 2 2 2" xfId="2923" xr:uid="{C1BDED54-BD20-493B-B12A-4442B6F9B3F6}"/>
    <cellStyle name="Comma 3 2 3 3 2 2 2 2" xfId="3868" xr:uid="{114D4DC2-24A3-426B-B726-FA8A08BFC955}"/>
    <cellStyle name="Comma 3 2 3 3 2 2 3" xfId="2701" xr:uid="{AC6BA47B-C484-404B-9260-9D20AC745E53}"/>
    <cellStyle name="Comma 3 2 3 3 2 2 3 2" xfId="3869" xr:uid="{BAD243AE-0881-42A8-A709-A030B8B1A4D2}"/>
    <cellStyle name="Comma 3 2 3 3 2 2 4" xfId="3870" xr:uid="{31292D08-F59F-4C4D-B30E-D5F61B993C64}"/>
    <cellStyle name="Comma 3 2 3 3 2 3" xfId="2476" xr:uid="{4750C770-2CDE-4D87-ACAB-3CBA1520977D}"/>
    <cellStyle name="Comma 3 2 3 3 2 3 2" xfId="3871" xr:uid="{8348C3BC-351D-4518-A543-5D7CF09D6294}"/>
    <cellStyle name="Comma 3 2 3 3 2 4" xfId="3872" xr:uid="{5189AF2C-DF66-4ADD-999B-694F24976ED0}"/>
    <cellStyle name="Comma 3 2 3 3 3" xfId="1928" xr:uid="{1F327E86-B883-472E-87F5-A37F69D1F24F}"/>
    <cellStyle name="Comma 3 2 3 3 3 2" xfId="2853" xr:uid="{AE8E2800-72A2-4229-802F-825704222AF2}"/>
    <cellStyle name="Comma 3 2 3 3 3 2 2" xfId="3873" xr:uid="{8DEFC30E-44AD-489C-909D-64868386708D}"/>
    <cellStyle name="Comma 3 2 3 3 3 3" xfId="2631" xr:uid="{8608F22C-D10E-42B9-AB1A-5F70151D97E8}"/>
    <cellStyle name="Comma 3 2 3 3 3 3 2" xfId="3874" xr:uid="{5E54E6C0-BADE-4A8B-A986-FAFC88F101D9}"/>
    <cellStyle name="Comma 3 2 3 3 3 4" xfId="3875" xr:uid="{3792ACD4-DC63-4F45-ADB1-DA31851D1CC0}"/>
    <cellStyle name="Comma 3 2 3 3 4" xfId="2406" xr:uid="{6A36F59B-9FDA-4FE6-91D9-A825FD76EBFD}"/>
    <cellStyle name="Comma 3 2 3 3 4 2" xfId="3876" xr:uid="{21653C40-7E0F-4556-9E0E-907EB1112806}"/>
    <cellStyle name="Comma 3 2 3 3 5" xfId="1036" xr:uid="{24C3AFD9-7824-40A8-B404-5EAF319C5C5F}"/>
    <cellStyle name="Comma 3 2 3 3 5 2" xfId="3877" xr:uid="{481E5AEF-527C-479A-A89C-F1C7B60FB136}"/>
    <cellStyle name="Comma 3 2 3 3 6" xfId="3878" xr:uid="{FA07A7BF-98D4-4459-84AA-2B2EBDDC07FD}"/>
    <cellStyle name="Comma 3 2 3 3 7" xfId="4495" xr:uid="{E490A831-84BE-426E-8548-9B394774CDFD}"/>
    <cellStyle name="Comma 3 2 3 3 7 2" xfId="5629" xr:uid="{B4797DF0-1877-45E4-B542-D18BEF2EABA0}"/>
    <cellStyle name="Comma 3 2 3 3 8" xfId="5215" xr:uid="{09707DE7-8C2C-4B90-A9FD-BE8B6A0DE8F9}"/>
    <cellStyle name="Comma 3 2 3 4" xfId="1627" xr:uid="{C4732869-213D-4612-BEA2-2E2623D8B582}"/>
    <cellStyle name="Comma 3 2 3 4 2" xfId="2281" xr:uid="{5C9959B0-9588-41E8-B391-A946263ADF11}"/>
    <cellStyle name="Comma 3 2 3 4 2 2" xfId="4752" xr:uid="{84BD6CA7-AB5C-45E4-B1EA-5835E90FC7D0}"/>
    <cellStyle name="Comma 3 2 3 4 2 2 2" xfId="5886" xr:uid="{6640E11D-EB2E-467A-9653-219E4514320A}"/>
    <cellStyle name="Comma 3 2 3 4 2 3" xfId="5458" xr:uid="{9CD77964-DFC3-4AF5-A45D-4A5DDD6C1AE4}"/>
    <cellStyle name="Comma 3 2 3 4 2 4" xfId="5071" xr:uid="{03517FC7-7683-49F7-A645-71E30CEA13E0}"/>
    <cellStyle name="Comma 3 2 3 4 3" xfId="4579" xr:uid="{8009F570-33A9-416D-933A-DA3D328739DB}"/>
    <cellStyle name="Comma 3 2 3 4 3 2" xfId="5713" xr:uid="{8D030BB7-A48C-47A2-BA23-C79139EB6003}"/>
    <cellStyle name="Comma 3 2 3 4 4" xfId="5285" xr:uid="{BF5C2AFB-B726-4455-938A-8C6860A12125}"/>
    <cellStyle name="Comma 3 2 3 4 5" xfId="4898" xr:uid="{DBCE5611-479C-4088-9F4A-8BAA7FFC2875}"/>
    <cellStyle name="Comma 3 2 3 5" xfId="1749" xr:uid="{97A516D6-4B21-47C5-BA8E-E3E7B2799D39}"/>
    <cellStyle name="Comma 3 2 3 5 2" xfId="2322" xr:uid="{D8D2390F-BD69-4085-8D2A-A6962F51644E}"/>
    <cellStyle name="Comma 3 2 3 5 2 2" xfId="4793" xr:uid="{2EF199FA-C529-48EF-9DEF-58E27CE826D8}"/>
    <cellStyle name="Comma 3 2 3 5 2 2 2" xfId="5927" xr:uid="{097E61EF-626F-4665-B153-EF3D1885AA79}"/>
    <cellStyle name="Comma 3 2 3 5 2 3" xfId="5499" xr:uid="{59393D2D-B93B-46F7-81BD-7060C9626C79}"/>
    <cellStyle name="Comma 3 2 3 5 2 4" xfId="5112" xr:uid="{C03299FA-948F-4B1F-8887-74F426A887F6}"/>
    <cellStyle name="Comma 3 2 3 5 3" xfId="4620" xr:uid="{4EC0EAC7-ADFF-44E0-9188-AEA590C1B082}"/>
    <cellStyle name="Comma 3 2 3 5 3 2" xfId="5754" xr:uid="{7C2F6FF6-B5FA-4948-B128-E0E09A3AB223}"/>
    <cellStyle name="Comma 3 2 3 5 4" xfId="5326" xr:uid="{A3E69E05-35F1-43E8-9A07-C181EA0FCC9F}"/>
    <cellStyle name="Comma 3 2 3 5 5" xfId="4939" xr:uid="{D1B557A4-FF3C-42FE-9987-2333980FF799}"/>
    <cellStyle name="Comma 3 2 3 6" xfId="2106" xr:uid="{94C55C1A-3139-4D9A-9B13-21FA9154B8AE}"/>
    <cellStyle name="Comma 3 2 3 6 2" xfId="2786" xr:uid="{E072709B-AE35-4AA9-82AA-A9F1346C3E63}"/>
    <cellStyle name="Comma 3 2 3 6 2 2" xfId="3112" xr:uid="{78B252CC-5B4A-4797-B29B-D793CE66914E}"/>
    <cellStyle name="Comma 3 2 3 6 2 2 2" xfId="3879" xr:uid="{D24408E1-67F7-4DBA-AC07-1CD7D0E06A31}"/>
    <cellStyle name="Comma 3 2 3 6 2 3" xfId="3880" xr:uid="{7BD38891-244D-4BC3-8399-D857772D1B02}"/>
    <cellStyle name="Comma 3 2 3 6 3" xfId="3008" xr:uid="{D6862C91-F038-42D4-AE51-DCC56485C542}"/>
    <cellStyle name="Comma 3 2 3 6 3 2" xfId="3881" xr:uid="{86D514EB-7850-4D5C-83D9-90336C73CC62}"/>
    <cellStyle name="Comma 3 2 3 6 4" xfId="2561" xr:uid="{C52E64C7-3FB3-480B-B995-FE240901B6AC}"/>
    <cellStyle name="Comma 3 2 3 6 4 2" xfId="3882" xr:uid="{198B4B4D-F66D-4421-A1CB-B5B62EF1C2A3}"/>
    <cellStyle name="Comma 3 2 3 6 5" xfId="3883" xr:uid="{BAED0388-9E27-4F3A-B513-FD60B28F508C}"/>
    <cellStyle name="Comma 3 2 3 7" xfId="2213" xr:uid="{E175CA20-A23C-4689-8029-67E80F759BBB}"/>
    <cellStyle name="Comma 3 2 3 7 2" xfId="4684" xr:uid="{2A243941-84C4-4A89-913C-A1A9CE57BDD8}"/>
    <cellStyle name="Comma 3 2 3 7 2 2" xfId="5818" xr:uid="{7A4D7969-9723-47DD-B938-605399C13A79}"/>
    <cellStyle name="Comma 3 2 3 7 3" xfId="5390" xr:uid="{47D101CD-E842-433A-BFAF-906896B85517}"/>
    <cellStyle name="Comma 3 2 3 7 4" xfId="5003" xr:uid="{37053CDB-B4C4-4C21-B48E-99453F34849D}"/>
    <cellStyle name="Comma 3 2 3 8" xfId="986" xr:uid="{C38FE433-CE79-4A3A-9C09-7C0C452530F7}"/>
    <cellStyle name="Comma 3 2 3 8 2" xfId="3884" xr:uid="{B05A0548-552B-4526-BCCC-1638710CBF8F}"/>
    <cellStyle name="Comma 3 2 3 9" xfId="3885" xr:uid="{EFB254B4-2700-48BD-8677-35269E6EE19A}"/>
    <cellStyle name="Comma 3 2 4" xfId="138" xr:uid="{CEDBB3C6-8966-4E0A-B00D-261CD6130E81}"/>
    <cellStyle name="Comma 3 2 4 10" xfId="5216" xr:uid="{8759A737-C6CD-4BFB-B971-39D27590C1C6}"/>
    <cellStyle name="Comma 3 2 4 2" xfId="139" xr:uid="{1DBB86CF-886A-45C0-BB69-9EC0732D1159}"/>
    <cellStyle name="Comma 3 2 4 2 2" xfId="140" xr:uid="{0B0F6775-FBC5-42FE-8C34-E86CBA43B30A}"/>
    <cellStyle name="Comma 3 2 4 2 2 2" xfId="1235" xr:uid="{E2DA896C-F711-4897-9B9B-014133E1A932}"/>
    <cellStyle name="Comma 3 2 4 2 2 2 2" xfId="2024" xr:uid="{F21C33D8-763E-4615-B9C5-E83A20B8E091}"/>
    <cellStyle name="Comma 3 2 4 2 2 2 2 2" xfId="2949" xr:uid="{42579B69-6679-48E8-A932-50BF4290E5E9}"/>
    <cellStyle name="Comma 3 2 4 2 2 2 2 2 2" xfId="3886" xr:uid="{0BD54647-993D-4022-9E77-FD1A61934048}"/>
    <cellStyle name="Comma 3 2 4 2 2 2 2 3" xfId="2727" xr:uid="{EF16B9A3-555E-42A9-9EA7-0AF09435E14F}"/>
    <cellStyle name="Comma 3 2 4 2 2 2 2 3 2" xfId="3887" xr:uid="{3A3325B1-D4DD-411C-A222-BFDDC1903E63}"/>
    <cellStyle name="Comma 3 2 4 2 2 2 2 4" xfId="3888" xr:uid="{E413A1E8-7F00-4653-9B65-AAF7C2AAB399}"/>
    <cellStyle name="Comma 3 2 4 2 2 2 3" xfId="2502" xr:uid="{3E56D463-3019-4F1C-9E56-A88FC0EEAF6A}"/>
    <cellStyle name="Comma 3 2 4 2 2 2 3 2" xfId="3889" xr:uid="{E92440DA-B62B-4CB9-A30E-04541F40C573}"/>
    <cellStyle name="Comma 3 2 4 2 2 2 4" xfId="3890" xr:uid="{B12B5048-F385-4B46-A91D-8A1785445171}"/>
    <cellStyle name="Comma 3 2 4 2 2 3" xfId="1954" xr:uid="{E765DFBF-50C1-48E4-9FCC-EE6168B441F2}"/>
    <cellStyle name="Comma 3 2 4 2 2 3 2" xfId="2879" xr:uid="{CA4B32B1-B348-4D09-9CF2-8FD139F3F5A4}"/>
    <cellStyle name="Comma 3 2 4 2 2 3 2 2" xfId="3891" xr:uid="{193AB40A-E1FD-452C-98B3-74A9AEBAB8BA}"/>
    <cellStyle name="Comma 3 2 4 2 2 3 3" xfId="2657" xr:uid="{65C1788F-7283-4ADE-ABEA-D336026A899D}"/>
    <cellStyle name="Comma 3 2 4 2 2 3 3 2" xfId="3892" xr:uid="{88421B27-C828-4686-9CDE-588A9543E525}"/>
    <cellStyle name="Comma 3 2 4 2 2 3 4" xfId="3893" xr:uid="{C18E1CC4-64CE-439B-97D4-14CB26992023}"/>
    <cellStyle name="Comma 3 2 4 2 2 4" xfId="2432" xr:uid="{77B65ECF-4EF0-4FE9-A05A-4D91F1ACEB47}"/>
    <cellStyle name="Comma 3 2 4 2 2 4 2" xfId="3894" xr:uid="{67F8E8F5-8146-46C9-BC8D-35BEE106561C}"/>
    <cellStyle name="Comma 3 2 4 2 2 5" xfId="1062" xr:uid="{A052CAEA-BE9F-46B3-BF71-222FFA9E0F72}"/>
    <cellStyle name="Comma 3 2 4 2 2 5 2" xfId="3895" xr:uid="{DB423E1B-A2AF-477E-9225-A9EAFCBB680C}"/>
    <cellStyle name="Comma 3 2 4 2 2 6" xfId="3896" xr:uid="{EB04BB20-510C-4E88-BC9D-6BFCB6514B89}"/>
    <cellStyle name="Comma 3 2 4 2 2 7" xfId="4498" xr:uid="{0EA6F11F-ACE5-4D24-AB09-44C9D82C6B8D}"/>
    <cellStyle name="Comma 3 2 4 2 2 7 2" xfId="5632" xr:uid="{81C54CED-14EB-4803-B577-F298DE2E2F0B}"/>
    <cellStyle name="Comma 3 2 4 2 2 8" xfId="5218" xr:uid="{39F05C4E-FCB9-4671-8B93-C396BB849CAD}"/>
    <cellStyle name="Comma 3 2 4 2 3" xfId="1185" xr:uid="{71865847-2102-413B-BB73-D77B213B2445}"/>
    <cellStyle name="Comma 3 2 4 2 3 2" xfId="1974" xr:uid="{C8C9C056-D92C-4F79-8DB4-CEBBD781CD5E}"/>
    <cellStyle name="Comma 3 2 4 2 3 2 2" xfId="2899" xr:uid="{E8955273-B229-43E1-8AA0-7A7F44435A97}"/>
    <cellStyle name="Comma 3 2 4 2 3 2 2 2" xfId="3897" xr:uid="{C9C8208A-61FB-48C2-91EF-B85303C97327}"/>
    <cellStyle name="Comma 3 2 4 2 3 2 3" xfId="2677" xr:uid="{A3503373-9464-4755-928A-10D269FCB759}"/>
    <cellStyle name="Comma 3 2 4 2 3 2 3 2" xfId="3898" xr:uid="{724AFAD4-860C-42E4-A84A-2DFE90FDD759}"/>
    <cellStyle name="Comma 3 2 4 2 3 2 4" xfId="3899" xr:uid="{9EFA2682-6E93-46F8-B942-1363FF9E1DCA}"/>
    <cellStyle name="Comma 3 2 4 2 3 3" xfId="2452" xr:uid="{DA97E1CC-9C15-4AAB-9C50-C4A2C2B585C2}"/>
    <cellStyle name="Comma 3 2 4 2 3 3 2" xfId="3900" xr:uid="{0D2CFEC1-574B-46F8-88BC-F06AD3ED77D2}"/>
    <cellStyle name="Comma 3 2 4 2 3 4" xfId="3901" xr:uid="{3EDE931D-66B4-46DC-8E7F-D5E18B3DEEEA}"/>
    <cellStyle name="Comma 3 2 4 2 4" xfId="1904" xr:uid="{EED44008-DB15-471B-96D8-D3F0CA9CC561}"/>
    <cellStyle name="Comma 3 2 4 2 4 2" xfId="2829" xr:uid="{BB59FA26-59A4-4146-9FEE-7F1921672A1D}"/>
    <cellStyle name="Comma 3 2 4 2 4 2 2" xfId="3902" xr:uid="{10FD4E55-D1A3-43F2-A439-E9DEB34B1693}"/>
    <cellStyle name="Comma 3 2 4 2 4 3" xfId="2607" xr:uid="{8E7A1667-2254-4447-98BA-3281ECE788DD}"/>
    <cellStyle name="Comma 3 2 4 2 4 3 2" xfId="3903" xr:uid="{FE42140F-2C1A-4DA5-8C2F-331217B8D1D7}"/>
    <cellStyle name="Comma 3 2 4 2 4 4" xfId="3904" xr:uid="{E76D4E4F-901E-41B0-BB68-435D015197BF}"/>
    <cellStyle name="Comma 3 2 4 2 5" xfId="2382" xr:uid="{032E26E7-D3EB-42F5-9643-1E2A77E62E9C}"/>
    <cellStyle name="Comma 3 2 4 2 5 2" xfId="3905" xr:uid="{38CD6879-EC3A-42F4-8E4F-1E9BAEC6EA7D}"/>
    <cellStyle name="Comma 3 2 4 2 6" xfId="1012" xr:uid="{C3D81051-DB76-42D5-A078-28F36FB13979}"/>
    <cellStyle name="Comma 3 2 4 2 6 2" xfId="3906" xr:uid="{B8F340C4-AF71-4E4C-A294-E36D3FD5A524}"/>
    <cellStyle name="Comma 3 2 4 2 7" xfId="3907" xr:uid="{0955A5BD-AD22-46CF-8369-748A79B1D2C8}"/>
    <cellStyle name="Comma 3 2 4 2 8" xfId="4497" xr:uid="{F419A919-0A88-4A0F-9C08-F641DE960EA6}"/>
    <cellStyle name="Comma 3 2 4 2 8 2" xfId="5631" xr:uid="{A1472107-CCBC-4389-B039-010F2DE4DA0D}"/>
    <cellStyle name="Comma 3 2 4 2 9" xfId="5217" xr:uid="{A3066678-E6A5-42CE-85C2-8649D2E25E5D}"/>
    <cellStyle name="Comma 3 2 4 3" xfId="141" xr:uid="{ECF8EE8D-E385-4BAC-8C72-802F4D05A441}"/>
    <cellStyle name="Comma 3 2 4 3 2" xfId="1226" xr:uid="{EE6D688F-F77C-49A5-B9FB-39933FF77F7E}"/>
    <cellStyle name="Comma 3 2 4 3 2 2" xfId="2015" xr:uid="{9E9713E9-11B8-4DA6-BA74-7559D5D7E477}"/>
    <cellStyle name="Comma 3 2 4 3 2 2 2" xfId="2940" xr:uid="{50EF501B-C2A5-4696-A07E-2A03071BC6A5}"/>
    <cellStyle name="Comma 3 2 4 3 2 2 2 2" xfId="3908" xr:uid="{E5C22677-7534-49E4-9739-083D6997D472}"/>
    <cellStyle name="Comma 3 2 4 3 2 2 3" xfId="2718" xr:uid="{AA78EF7E-D7A7-4E47-B9C0-CA23F1E47CFC}"/>
    <cellStyle name="Comma 3 2 4 3 2 2 3 2" xfId="3909" xr:uid="{EF4044F9-4A6D-4FD3-89F8-F1852D1DD11C}"/>
    <cellStyle name="Comma 3 2 4 3 2 2 4" xfId="3910" xr:uid="{0FF0F77A-D82E-4F47-8702-90C61AE529FC}"/>
    <cellStyle name="Comma 3 2 4 3 2 3" xfId="2493" xr:uid="{68139059-121D-40F2-9030-DA075A4FCAC4}"/>
    <cellStyle name="Comma 3 2 4 3 2 3 2" xfId="3911" xr:uid="{BD20F19A-2CD1-4E9D-920F-6EDD2139692B}"/>
    <cellStyle name="Comma 3 2 4 3 2 4" xfId="3912" xr:uid="{53EF659B-C84B-41AD-A086-A9AB740118DD}"/>
    <cellStyle name="Comma 3 2 4 3 3" xfId="1945" xr:uid="{FEE4DA3F-FFE3-4F30-84CA-3D5580452D19}"/>
    <cellStyle name="Comma 3 2 4 3 3 2" xfId="2870" xr:uid="{48DA29C7-D03C-45AB-B680-E96819C61DB1}"/>
    <cellStyle name="Comma 3 2 4 3 3 2 2" xfId="3913" xr:uid="{604DF581-C5E6-49C1-AAE8-BFDA0F4E712B}"/>
    <cellStyle name="Comma 3 2 4 3 3 3" xfId="2648" xr:uid="{4DE587B7-B3DF-4B88-880E-95E199F7A726}"/>
    <cellStyle name="Comma 3 2 4 3 3 3 2" xfId="3914" xr:uid="{529FE4ED-BE96-4205-8295-DDA3FE4B6DE8}"/>
    <cellStyle name="Comma 3 2 4 3 3 4" xfId="3915" xr:uid="{04157E88-C8CA-4A24-BBF0-DB28B0FB0599}"/>
    <cellStyle name="Comma 3 2 4 3 4" xfId="2423" xr:uid="{1794C127-B203-4EDF-9590-192FA7DCB238}"/>
    <cellStyle name="Comma 3 2 4 3 4 2" xfId="3916" xr:uid="{6ADA808A-6DB9-4AAE-A389-9E4192773C41}"/>
    <cellStyle name="Comma 3 2 4 3 5" xfId="1053" xr:uid="{15E8A962-CBBA-44E1-BCA2-5CC6D0A0A898}"/>
    <cellStyle name="Comma 3 2 4 3 5 2" xfId="3917" xr:uid="{4071B5FD-E7E9-4E1D-817E-80F6C8EC7210}"/>
    <cellStyle name="Comma 3 2 4 3 6" xfId="3918" xr:uid="{1FEDD55D-F256-4F40-A142-DEEA45606787}"/>
    <cellStyle name="Comma 3 2 4 3 7" xfId="4499" xr:uid="{20AF0B1E-C167-4819-A5B3-1050DE73D7A8}"/>
    <cellStyle name="Comma 3 2 4 3 7 2" xfId="5633" xr:uid="{E466DD0E-F001-4B41-91F9-7C438E431812}"/>
    <cellStyle name="Comma 3 2 4 3 8" xfId="5219" xr:uid="{65F54FC8-C790-4A6C-B717-1684122D6274}"/>
    <cellStyle name="Comma 3 2 4 4" xfId="1176" xr:uid="{10DAE417-F128-41E7-BA9C-4C5772B54621}"/>
    <cellStyle name="Comma 3 2 4 4 2" xfId="1965" xr:uid="{D9EF359A-9A61-4429-A977-434BCE0CB7C3}"/>
    <cellStyle name="Comma 3 2 4 4 2 2" xfId="2890" xr:uid="{B4D38AA8-8EEF-4FF2-8629-B78471631C92}"/>
    <cellStyle name="Comma 3 2 4 4 2 2 2" xfId="3919" xr:uid="{A774939F-901D-435B-B6C9-CDC6298A9F33}"/>
    <cellStyle name="Comma 3 2 4 4 2 3" xfId="2668" xr:uid="{37C980B5-023E-4BAE-B528-DD644408ABE4}"/>
    <cellStyle name="Comma 3 2 4 4 2 3 2" xfId="3920" xr:uid="{A04CF2AF-6178-44B2-9115-DF6A3D9C5ACD}"/>
    <cellStyle name="Comma 3 2 4 4 2 4" xfId="3921" xr:uid="{E4D3197E-2BEE-4B0D-BB3D-4D6871515761}"/>
    <cellStyle name="Comma 3 2 4 4 3" xfId="2443" xr:uid="{567B3CF6-267B-45B3-8286-95A649B684FD}"/>
    <cellStyle name="Comma 3 2 4 4 3 2" xfId="3922" xr:uid="{C5D56392-C536-48BB-9AEF-398002698ECD}"/>
    <cellStyle name="Comma 3 2 4 4 4" xfId="3923" xr:uid="{E73E0B6C-89BC-4C9E-86DC-1C356A2829F1}"/>
    <cellStyle name="Comma 3 2 4 5" xfId="1895" xr:uid="{CE249507-73D6-418C-8642-2DC8F8FE9932}"/>
    <cellStyle name="Comma 3 2 4 5 2" xfId="2820" xr:uid="{8042B145-060F-46A1-9312-DBC9A66537A5}"/>
    <cellStyle name="Comma 3 2 4 5 2 2" xfId="3924" xr:uid="{56E3DDAD-C583-464E-B216-0016B5A78B24}"/>
    <cellStyle name="Comma 3 2 4 5 3" xfId="2598" xr:uid="{DDC65843-E715-4F93-970C-BBC824451BB7}"/>
    <cellStyle name="Comma 3 2 4 5 3 2" xfId="3925" xr:uid="{B0F14801-7EA4-4F45-8A3A-B499FD527057}"/>
    <cellStyle name="Comma 3 2 4 5 4" xfId="3926" xr:uid="{FE17DC4F-FDB3-4F67-9E6B-BE2135E4236D}"/>
    <cellStyle name="Comma 3 2 4 6" xfId="2373" xr:uid="{1A774E68-2FCD-43CF-BB76-F34FAB367752}"/>
    <cellStyle name="Comma 3 2 4 6 2" xfId="3927" xr:uid="{7836C099-3223-472A-BB30-ED6AF6CF6847}"/>
    <cellStyle name="Comma 3 2 4 7" xfId="1003" xr:uid="{35A83563-93FF-4628-8A01-7EA0BC71FBC4}"/>
    <cellStyle name="Comma 3 2 4 7 2" xfId="3928" xr:uid="{E5910DCE-59C7-4A73-950C-7ECDCCEB21A6}"/>
    <cellStyle name="Comma 3 2 4 8" xfId="3929" xr:uid="{71FD6B8E-55F9-490F-AB60-4302B9143FD5}"/>
    <cellStyle name="Comma 3 2 4 9" xfId="4496" xr:uid="{20B09C00-6606-4505-A734-CD01DA8CE9FB}"/>
    <cellStyle name="Comma 3 2 4 9 2" xfId="5630" xr:uid="{EE9BC639-26C2-4A80-ABBC-2DA8E993F7B1}"/>
    <cellStyle name="Comma 3 2 5" xfId="142" xr:uid="{8C1EB202-6E52-4F9D-9C8F-90D8D9799A76}"/>
    <cellStyle name="Comma 3 2 5 2" xfId="1765" xr:uid="{D60E7417-8034-454E-BDF9-702B75D342E1}"/>
    <cellStyle name="Comma 3 2 5 2 2" xfId="2338" xr:uid="{6001C13C-284F-4601-BBC7-B089CEA6CB31}"/>
    <cellStyle name="Comma 3 2 5 2 2 2" xfId="4809" xr:uid="{78C41F69-53A0-4973-A318-CB4324D0821E}"/>
    <cellStyle name="Comma 3 2 5 2 2 2 2" xfId="5943" xr:uid="{974C769E-11AE-407A-B706-7D877629E060}"/>
    <cellStyle name="Comma 3 2 5 2 2 3" xfId="5515" xr:uid="{153E56F3-284B-41E0-9881-F6EFDA7D0D1A}"/>
    <cellStyle name="Comma 3 2 5 2 2 4" xfId="5128" xr:uid="{30B09E95-395E-4E06-8A5E-7C7D3C394E2A}"/>
    <cellStyle name="Comma 3 2 5 2 3" xfId="4636" xr:uid="{54398BE0-5025-44D8-842C-3EEB52C2F541}"/>
    <cellStyle name="Comma 3 2 5 2 3 2" xfId="5770" xr:uid="{8EA1FEC6-D3CE-4EC6-8171-30D381E2E6CD}"/>
    <cellStyle name="Comma 3 2 5 2 4" xfId="5342" xr:uid="{61602EE1-69EA-4AB4-BA46-01748F2D6EDC}"/>
    <cellStyle name="Comma 3 2 5 2 5" xfId="4955" xr:uid="{731BFB9B-5A51-424D-BADD-49965EFDCD86}"/>
    <cellStyle name="Comma 3 2 5 3" xfId="2229" xr:uid="{D30F9AD3-2C0B-47C0-87A9-9A84D7F06ADD}"/>
    <cellStyle name="Comma 3 2 5 3 2" xfId="4700" xr:uid="{C740D13E-9343-4F20-9AF1-5DE86181EF8F}"/>
    <cellStyle name="Comma 3 2 5 3 2 2" xfId="5834" xr:uid="{28892B7F-FBBC-44C1-91EE-824C92DAF73C}"/>
    <cellStyle name="Comma 3 2 5 3 3" xfId="5406" xr:uid="{94B42EB7-D5F9-4F9E-983B-14A531C323F1}"/>
    <cellStyle name="Comma 3 2 5 3 4" xfId="5019" xr:uid="{8DCA3CCD-FCF5-4CAB-8FBD-11407510F02D}"/>
    <cellStyle name="Comma 3 2 5 4" xfId="4500" xr:uid="{2925133D-804B-4C8E-A579-281C5A3FA57E}"/>
    <cellStyle name="Comma 3 2 5 4 2" xfId="5634" xr:uid="{19461BF1-0414-42AF-85BE-9880562D38EC}"/>
    <cellStyle name="Comma 3 2 5 5" xfId="5220" xr:uid="{FB97A79C-3B7E-4572-86E1-057B16BD5010}"/>
    <cellStyle name="Comma 3 2 5 6" xfId="4858" xr:uid="{3C2C8277-1A29-448C-963F-625B78D4385B}"/>
    <cellStyle name="Comma 3 2 6" xfId="143" xr:uid="{82E2C4D1-DCA8-4EA9-8570-598C9344DA06}"/>
    <cellStyle name="Comma 3 2 6 2" xfId="1193" xr:uid="{993F84DA-48EE-411A-96E4-08F418E7DD9A}"/>
    <cellStyle name="Comma 3 2 6 2 2" xfId="1982" xr:uid="{39D18FF9-81F6-4B87-B3E6-FE533A7E4148}"/>
    <cellStyle name="Comma 3 2 6 2 2 2" xfId="2907" xr:uid="{B2A970AB-52A8-4E98-A823-B4A1B2F67920}"/>
    <cellStyle name="Comma 3 2 6 2 2 2 2" xfId="3930" xr:uid="{37CD17D9-A12E-405B-9017-4B80241BCB58}"/>
    <cellStyle name="Comma 3 2 6 2 2 3" xfId="2685" xr:uid="{A811A78F-4761-40D9-BDA3-D8AA5D9B2CE3}"/>
    <cellStyle name="Comma 3 2 6 2 2 3 2" xfId="3931" xr:uid="{51724D8C-1425-41BF-A68B-2691EDC4A2BB}"/>
    <cellStyle name="Comma 3 2 6 2 2 4" xfId="3932" xr:uid="{99D7C647-615E-4E60-9040-D28EED9D530D}"/>
    <cellStyle name="Comma 3 2 6 2 3" xfId="2460" xr:uid="{321D7E16-1058-46D2-8B62-916B87D60E1B}"/>
    <cellStyle name="Comma 3 2 6 2 3 2" xfId="3933" xr:uid="{814315B4-A15A-4127-997D-CA75CE0FEB72}"/>
    <cellStyle name="Comma 3 2 6 2 4" xfId="3934" xr:uid="{F85116FA-743A-460F-BCAB-63825CCF07DB}"/>
    <cellStyle name="Comma 3 2 6 3" xfId="1912" xr:uid="{E7D8D844-4A99-4B11-8342-993A9014689E}"/>
    <cellStyle name="Comma 3 2 6 3 2" xfId="2837" xr:uid="{6E43BC76-A593-424E-843A-ED96B69A6ED3}"/>
    <cellStyle name="Comma 3 2 6 3 2 2" xfId="3935" xr:uid="{9FFDF3BC-9748-415B-BED9-F9C21221F91E}"/>
    <cellStyle name="Comma 3 2 6 3 3" xfId="2615" xr:uid="{0E70717D-1F87-4B76-B7FB-496BD28E124F}"/>
    <cellStyle name="Comma 3 2 6 3 3 2" xfId="3936" xr:uid="{ECEF0946-BAD3-472B-B0CD-9DBE253B96F3}"/>
    <cellStyle name="Comma 3 2 6 3 4" xfId="3937" xr:uid="{259C2FF9-95E9-4915-9F1F-EEAF5D7EBBF2}"/>
    <cellStyle name="Comma 3 2 6 4" xfId="2390" xr:uid="{DC2BFA82-CB77-4DFC-BDCD-9C592157EBBA}"/>
    <cellStyle name="Comma 3 2 6 4 2" xfId="3938" xr:uid="{D8895828-E3BA-4ACB-95AA-6CB960E0CC8F}"/>
    <cellStyle name="Comma 3 2 6 5" xfId="1020" xr:uid="{0F66B44C-FF04-474D-ACFA-CF37E2B92277}"/>
    <cellStyle name="Comma 3 2 6 5 2" xfId="3939" xr:uid="{7C76ABD2-EFC6-42B4-B15D-12E7708D153E}"/>
    <cellStyle name="Comma 3 2 6 6" xfId="3940" xr:uid="{5A35CEEB-2C34-47E8-8464-D514E3F95241}"/>
    <cellStyle name="Comma 3 2 6 7" xfId="4501" xr:uid="{838E36BD-1803-4431-86AB-E90ABD82F488}"/>
    <cellStyle name="Comma 3 2 6 7 2" xfId="5635" xr:uid="{30D09E7A-2BB6-4084-8725-0CFB0A661D33}"/>
    <cellStyle name="Comma 3 2 6 8" xfId="5221" xr:uid="{EE45588A-5524-4D2B-9EE3-5217F5BA325E}"/>
    <cellStyle name="Comma 3 2 7" xfId="144" xr:uid="{B417C3F2-12ED-43E7-96C6-4846C5AEE877}"/>
    <cellStyle name="Comma 3 2 7 2" xfId="2265" xr:uid="{141AC809-D0CE-4DAD-9B5B-67A9CB459E6D}"/>
    <cellStyle name="Comma 3 2 7 2 2" xfId="4736" xr:uid="{C72106DF-F87F-430A-A181-485791B0D26D}"/>
    <cellStyle name="Comma 3 2 7 2 2 2" xfId="5870" xr:uid="{CA693D92-9025-472A-A541-747BF3A82FFF}"/>
    <cellStyle name="Comma 3 2 7 2 3" xfId="5442" xr:uid="{24359109-541D-4595-9C8B-C16CA886AA2E}"/>
    <cellStyle name="Comma 3 2 7 2 4" xfId="5055" xr:uid="{92A9D912-732B-43A5-AE5D-15473E4A4E58}"/>
    <cellStyle name="Comma 3 2 7 3" xfId="1545" xr:uid="{DE0064C7-3C28-44A4-BD12-352D6219BD56}"/>
    <cellStyle name="Comma 3 2 7 3 2" xfId="4563" xr:uid="{F8E0209E-88E4-4805-91F4-98FF91048FC8}"/>
    <cellStyle name="Comma 3 2 7 3 2 2" xfId="5697" xr:uid="{4DA5F4CF-35F7-424C-AD9A-6105917BD48F}"/>
    <cellStyle name="Comma 3 2 7 3 3" xfId="5269" xr:uid="{701B4EEB-04D1-4AAC-8A76-0146DAC9D280}"/>
    <cellStyle name="Comma 3 2 7 3 4" xfId="4882" xr:uid="{E1C3B36B-F4AD-4590-B8E3-22BF7044F963}"/>
    <cellStyle name="Comma 3 2 7 4" xfId="3941" xr:uid="{9AE61677-FA1C-4C29-8619-7BF0FAA8CA29}"/>
    <cellStyle name="Comma 3 2 7 5" xfId="4502" xr:uid="{62A878DC-C0A3-41BC-85C5-CB4CFD742AD2}"/>
    <cellStyle name="Comma 3 2 7 5 2" xfId="5636" xr:uid="{FD176D47-E9E8-4644-AB7A-98CA88CF4710}"/>
    <cellStyle name="Comma 3 2 8" xfId="1733" xr:uid="{0E3BA55A-3B5E-46B2-9F18-E1F21874A1F3}"/>
    <cellStyle name="Comma 3 2 8 2" xfId="2306" xr:uid="{AAEC166E-A15F-4410-A923-E4256C757B6C}"/>
    <cellStyle name="Comma 3 2 8 2 2" xfId="4777" xr:uid="{51C366A8-5CB0-48C2-BA30-ADAA6A2A238F}"/>
    <cellStyle name="Comma 3 2 8 2 2 2" xfId="5911" xr:uid="{A0852AB5-82D6-4A3A-8CF4-BDCE91D0E693}"/>
    <cellStyle name="Comma 3 2 8 2 3" xfId="5483" xr:uid="{A31B9F62-926F-4059-96EC-F1F5DBE89F99}"/>
    <cellStyle name="Comma 3 2 8 2 4" xfId="5096" xr:uid="{2896DD0D-7DAA-4D10-9EAB-DBFC4D5D3408}"/>
    <cellStyle name="Comma 3 2 8 3" xfId="4604" xr:uid="{D722447C-EC4C-4E5D-8DF6-C408FB7DEB38}"/>
    <cellStyle name="Comma 3 2 8 3 2" xfId="5738" xr:uid="{E58DB0FA-A55E-44D3-826F-63ECC6EFF327}"/>
    <cellStyle name="Comma 3 2 8 4" xfId="5310" xr:uid="{69900D7A-CAC9-479C-B779-25EC10BBC0A5}"/>
    <cellStyle name="Comma 3 2 8 5" xfId="4923" xr:uid="{373CF505-7F4F-4E9B-845C-A897C52EAC4C}"/>
    <cellStyle name="Comma 3 2 9" xfId="1168" xr:uid="{E897A83E-5C59-4F2C-BFF6-022B328F73EC}"/>
    <cellStyle name="Comma 3 2 9 2" xfId="2259" xr:uid="{27B285F8-DB81-4EC7-B53F-62913567C56E}"/>
    <cellStyle name="Comma 3 2 9 2 2" xfId="4730" xr:uid="{2C9E5A06-A0AD-4437-90BD-1158419F82E8}"/>
    <cellStyle name="Comma 3 2 9 2 2 2" xfId="5864" xr:uid="{CCE7325C-75AA-4A9B-96D6-32F0BC007E93}"/>
    <cellStyle name="Comma 3 2 9 2 3" xfId="5436" xr:uid="{01CEBA1D-55E9-46E1-98A4-FAA537507965}"/>
    <cellStyle name="Comma 3 2 9 2 4" xfId="5049" xr:uid="{E8158279-DED8-4174-9A6B-66A83ECFF3D1}"/>
    <cellStyle name="Comma 3 2 9 3" xfId="2107" xr:uid="{9BF24241-E767-414D-AA04-4605B770A4EF}"/>
    <cellStyle name="Comma 3 2 9 3 2" xfId="2787" xr:uid="{B28B4FB2-F66E-478E-9191-CF7BD64E80AD}"/>
    <cellStyle name="Comma 3 2 9 3 2 2" xfId="3113" xr:uid="{100AD26D-7B12-4717-B2C9-70B82C3E5B6D}"/>
    <cellStyle name="Comma 3 2 9 3 2 2 2" xfId="3942" xr:uid="{F2D8FBEB-EF88-4B33-A245-84F1AA70FAD5}"/>
    <cellStyle name="Comma 3 2 9 3 2 3" xfId="3943" xr:uid="{6C38E34D-8CE5-4623-B009-4AC2DD5266F7}"/>
    <cellStyle name="Comma 3 2 9 3 3" xfId="3009" xr:uid="{95561F87-DDC7-4A31-BCCA-A0FC93D62B47}"/>
    <cellStyle name="Comma 3 2 9 3 3 2" xfId="3944" xr:uid="{499D3457-FD28-4913-B0E7-747144D49C6F}"/>
    <cellStyle name="Comma 3 2 9 3 4" xfId="2562" xr:uid="{BDE0CA10-2245-48DF-8C78-136418C32761}"/>
    <cellStyle name="Comma 3 2 9 3 4 2" xfId="3945" xr:uid="{DD8972BC-973E-4642-9757-9595A20F444B}"/>
    <cellStyle name="Comma 3 2 9 3 5" xfId="3946" xr:uid="{D5B1BB33-56B8-4B89-A24C-9639C699D8C7}"/>
    <cellStyle name="Comma 3 2 9 4" xfId="4557" xr:uid="{60476412-DB84-422A-91D2-6491AE79C0B4}"/>
    <cellStyle name="Comma 3 2 9 4 2" xfId="5691" xr:uid="{F0E4E108-BE9A-4B3C-A641-863E6ECEBE61}"/>
    <cellStyle name="Comma 3 2 9 5" xfId="5263" xr:uid="{460BC662-F1D2-4AD1-AB8E-636525F86925}"/>
    <cellStyle name="Comma 3 2 9 6" xfId="4876" xr:uid="{1709AB09-2F59-4B04-A607-5CDEEDEACE3D}"/>
    <cellStyle name="Comma 3 3" xfId="145" xr:uid="{040558E1-E4AB-4880-9B48-84693A7A541A}"/>
    <cellStyle name="Comma 3 3 10" xfId="969" xr:uid="{FD3A31DB-49BA-45FE-A061-6C2EE8772CFB}"/>
    <cellStyle name="Comma 3 3 10 2" xfId="3947" xr:uid="{DA67D5B6-BB76-4E88-8977-91B1B0608CE5}"/>
    <cellStyle name="Comma 3 3 11" xfId="3948" xr:uid="{F0DC98AA-A1BE-454C-A83C-F3CAE6E9BA77}"/>
    <cellStyle name="Comma 3 3 12" xfId="4503" xr:uid="{DDC7F9D3-4370-41C1-B1DD-9B7364B47040}"/>
    <cellStyle name="Comma 3 3 12 2" xfId="5637" xr:uid="{1F5F0EE5-4FA5-420F-86DC-08627CEE5422}"/>
    <cellStyle name="Comma 3 3 2" xfId="146" xr:uid="{F71AEC2A-DE1D-4FBB-A4B0-31F3E4414519}"/>
    <cellStyle name="Comma 3 3 2 10" xfId="4504" xr:uid="{1AC1E16B-B9F9-4671-8F57-C1EE1BC212FD}"/>
    <cellStyle name="Comma 3 3 2 10 2" xfId="5638" xr:uid="{B11CAA9D-586A-4FA8-B51C-B911ED6BE2B6}"/>
    <cellStyle name="Comma 3 3 2 2" xfId="147" xr:uid="{1C6DA73A-5908-422C-B5F8-EC1BFB6D6B43}"/>
    <cellStyle name="Comma 3 3 2 2 2" xfId="1785" xr:uid="{8A71179A-9A99-49DE-A1FF-34209A4F0801}"/>
    <cellStyle name="Comma 3 3 2 2 2 2" xfId="2358" xr:uid="{35C01951-FF05-4B98-A440-E54DA2239B27}"/>
    <cellStyle name="Comma 3 3 2 2 2 2 2" xfId="4829" xr:uid="{FB448DA3-80AA-4F82-89CC-DA7697BB3F52}"/>
    <cellStyle name="Comma 3 3 2 2 2 2 2 2" xfId="5963" xr:uid="{B6763D6D-CC5A-4955-87C1-D487086EB1D0}"/>
    <cellStyle name="Comma 3 3 2 2 2 2 3" xfId="5535" xr:uid="{7DBC6FBA-F4DD-499F-9C88-693B824B3CB9}"/>
    <cellStyle name="Comma 3 3 2 2 2 2 4" xfId="5148" xr:uid="{B288E8B9-3F45-4E00-83D4-077046E24D0D}"/>
    <cellStyle name="Comma 3 3 2 2 2 3" xfId="4656" xr:uid="{F4F1F5A7-884F-4841-A459-34BE018C2272}"/>
    <cellStyle name="Comma 3 3 2 2 2 3 2" xfId="5790" xr:uid="{577B5508-5B58-4EC2-BC48-6A05A95CFA0D}"/>
    <cellStyle name="Comma 3 3 2 2 2 4" xfId="5362" xr:uid="{31E1ECF2-9BE8-4579-B9EF-79F5335F4D6D}"/>
    <cellStyle name="Comma 3 3 2 2 2 5" xfId="4975" xr:uid="{0AD17927-B977-457E-AAFE-93A302450037}"/>
    <cellStyle name="Comma 3 3 2 2 3" xfId="2249" xr:uid="{4479A265-7276-4B03-8756-2636A354BF0A}"/>
    <cellStyle name="Comma 3 3 2 2 3 2" xfId="4720" xr:uid="{378F5E9A-F014-47E3-9132-4B1A11A2E9EF}"/>
    <cellStyle name="Comma 3 3 2 2 3 2 2" xfId="5854" xr:uid="{4A6DEA9A-22AB-4662-BF63-D38B499A4FC5}"/>
    <cellStyle name="Comma 3 3 2 2 3 3" xfId="5426" xr:uid="{00E8FFD7-ABC7-4AC8-AC78-87D650C33187}"/>
    <cellStyle name="Comma 3 3 2 2 3 4" xfId="5039" xr:uid="{8D3982D2-65A8-4E43-BEA6-5EBB5B529B71}"/>
    <cellStyle name="Comma 3 3 2 2 4" xfId="4505" xr:uid="{07E7D01A-2AE3-43B4-B752-BA298EF8AB6E}"/>
    <cellStyle name="Comma 3 3 2 2 4 2" xfId="5639" xr:uid="{29F8455C-A1C9-4E14-8ABC-FFF6083FF19B}"/>
    <cellStyle name="Comma 3 3 2 2 5" xfId="5222" xr:uid="{B6FC55C1-2574-4290-AAEB-FA90B507293E}"/>
    <cellStyle name="Comma 3 3 2 2 6" xfId="4859" xr:uid="{C5FC4CF2-62FD-4FB4-BB13-4C4ECCE9EDA6}"/>
    <cellStyle name="Comma 3 3 2 3" xfId="148" xr:uid="{8F0BB1CA-2ACD-4357-A2D9-44C263C49BBC}"/>
    <cellStyle name="Comma 3 3 2 3 2" xfId="1213" xr:uid="{0474FEDB-B519-424E-8D74-E6E0BDB0D221}"/>
    <cellStyle name="Comma 3 3 2 3 2 2" xfId="2002" xr:uid="{792E0C6C-C760-45CE-A30F-58F3F6A23ED1}"/>
    <cellStyle name="Comma 3 3 2 3 2 2 2" xfId="2927" xr:uid="{4231F15E-06CE-4195-973A-47C11BCC205E}"/>
    <cellStyle name="Comma 3 3 2 3 2 2 2 2" xfId="3949" xr:uid="{D221A95F-8FC3-468D-955D-75B6AAAFABAF}"/>
    <cellStyle name="Comma 3 3 2 3 2 2 3" xfId="2705" xr:uid="{BD24B090-C4CF-4289-9EA1-2DBC7552227C}"/>
    <cellStyle name="Comma 3 3 2 3 2 2 3 2" xfId="3950" xr:uid="{EB195165-39AB-4EDC-81B1-773CDF2D5310}"/>
    <cellStyle name="Comma 3 3 2 3 2 2 4" xfId="3951" xr:uid="{D0689070-4EE0-437E-BD89-E4ED85F48266}"/>
    <cellStyle name="Comma 3 3 2 3 2 3" xfId="2480" xr:uid="{67535175-0576-4836-B061-911B4DE9FE17}"/>
    <cellStyle name="Comma 3 3 2 3 2 3 2" xfId="3952" xr:uid="{22D24398-44D2-4BDC-9BB5-A3A3CDA97B01}"/>
    <cellStyle name="Comma 3 3 2 3 2 4" xfId="3953" xr:uid="{BF6AB323-FC73-4B50-8C90-359F90A4FD6E}"/>
    <cellStyle name="Comma 3 3 2 3 3" xfId="1932" xr:uid="{034F6F76-051C-42AE-AC6B-EA4294EDAB6E}"/>
    <cellStyle name="Comma 3 3 2 3 3 2" xfId="2857" xr:uid="{C2320FDC-DA1B-4D45-952C-ADAFFC2FC9C3}"/>
    <cellStyle name="Comma 3 3 2 3 3 2 2" xfId="3954" xr:uid="{763B64E0-7E43-4A62-BC40-EA569F2B212A}"/>
    <cellStyle name="Comma 3 3 2 3 3 3" xfId="2635" xr:uid="{05AE99BF-084E-43AE-B567-C39E0F73B3C9}"/>
    <cellStyle name="Comma 3 3 2 3 3 3 2" xfId="3955" xr:uid="{3458907A-63A2-4BB0-A71D-A0FD407A41DD}"/>
    <cellStyle name="Comma 3 3 2 3 3 4" xfId="3956" xr:uid="{B861F8BA-A298-40CE-9060-ACC7B62A47F8}"/>
    <cellStyle name="Comma 3 3 2 3 4" xfId="2410" xr:uid="{2830D65F-C33A-4E65-9296-75A95AADC0AE}"/>
    <cellStyle name="Comma 3 3 2 3 4 2" xfId="3957" xr:uid="{88A70CEB-3845-4F0C-B930-A7C6DA7C1FD8}"/>
    <cellStyle name="Comma 3 3 2 3 5" xfId="1040" xr:uid="{BBE4D49A-1885-42BF-B761-A0B6265C9285}"/>
    <cellStyle name="Comma 3 3 2 3 5 2" xfId="3958" xr:uid="{7A7F0F81-C1A1-4372-A4B0-CA54A8041F84}"/>
    <cellStyle name="Comma 3 3 2 3 6" xfId="3959" xr:uid="{CDA60159-C0EB-4A6F-B52E-49348254F976}"/>
    <cellStyle name="Comma 3 3 2 3 7" xfId="4506" xr:uid="{55A4AB3C-C493-467D-80DD-22635319308C}"/>
    <cellStyle name="Comma 3 3 2 3 7 2" xfId="5640" xr:uid="{E687AAD9-E879-44F7-B49D-B1EA5148A81D}"/>
    <cellStyle name="Comma 3 3 2 3 8" xfId="5223" xr:uid="{80FC427F-8084-4BEE-9CFD-A389D4C9F6BF}"/>
    <cellStyle name="Comma 3 3 2 4" xfId="1630" xr:uid="{8D7A2CBD-5CF7-4FA8-B0D7-65D9793EC98F}"/>
    <cellStyle name="Comma 3 3 2 4 2" xfId="2284" xr:uid="{6B1DD208-6AE6-4AE7-9F4A-7F22412FB3DC}"/>
    <cellStyle name="Comma 3 3 2 4 2 2" xfId="4755" xr:uid="{FD1FC971-D596-4E54-B769-88FD7D366BAF}"/>
    <cellStyle name="Comma 3 3 2 4 2 2 2" xfId="5889" xr:uid="{E2DC490C-BB96-42CC-B871-C02BE863F86B}"/>
    <cellStyle name="Comma 3 3 2 4 2 3" xfId="5461" xr:uid="{E6089DCA-510E-4808-8651-96994877E6AE}"/>
    <cellStyle name="Comma 3 3 2 4 2 4" xfId="5074" xr:uid="{7DC11E00-D8AC-4217-8BB3-C5EAECF0ABC4}"/>
    <cellStyle name="Comma 3 3 2 4 3" xfId="4582" xr:uid="{23D1CF7A-4FDE-403D-A992-71B11E308708}"/>
    <cellStyle name="Comma 3 3 2 4 3 2" xfId="5716" xr:uid="{0CA0839D-7E0B-47CE-A0B2-A5096FDC05E1}"/>
    <cellStyle name="Comma 3 3 2 4 4" xfId="5288" xr:uid="{79A0913E-58A1-4990-B3C5-45A9F23D9F46}"/>
    <cellStyle name="Comma 3 3 2 4 5" xfId="4901" xr:uid="{5592AEF1-59FF-447B-8DFE-79601ED870E4}"/>
    <cellStyle name="Comma 3 3 2 5" xfId="1753" xr:uid="{A9AB25E1-4977-4226-93EF-3DB8A3281F27}"/>
    <cellStyle name="Comma 3 3 2 5 2" xfId="2326" xr:uid="{4F0A4559-9E2A-4980-8B6C-9F626ECF1709}"/>
    <cellStyle name="Comma 3 3 2 5 2 2" xfId="4797" xr:uid="{6311AC51-21AD-47A8-ABF9-4324448300E2}"/>
    <cellStyle name="Comma 3 3 2 5 2 2 2" xfId="5931" xr:uid="{73DCF9B9-904C-4042-9CD5-8CD7BE8DD2E4}"/>
    <cellStyle name="Comma 3 3 2 5 2 3" xfId="5503" xr:uid="{07209754-1017-4C1F-B0A3-50C2E5033220}"/>
    <cellStyle name="Comma 3 3 2 5 2 4" xfId="5116" xr:uid="{EE1FCD46-F03D-4933-BD5A-C261D17F12AC}"/>
    <cellStyle name="Comma 3 3 2 5 3" xfId="4624" xr:uid="{1E56DCF7-89DA-4231-92A7-E03162B0AFF1}"/>
    <cellStyle name="Comma 3 3 2 5 3 2" xfId="5758" xr:uid="{FA64942A-2289-4E1E-8F0A-D0D2355EC974}"/>
    <cellStyle name="Comma 3 3 2 5 4" xfId="5330" xr:uid="{3639EA8B-DAC0-401E-BB86-5F90A757F797}"/>
    <cellStyle name="Comma 3 3 2 5 5" xfId="4943" xr:uid="{0A975709-0522-4344-A3BF-6E8C80689166}"/>
    <cellStyle name="Comma 3 3 2 6" xfId="2108" xr:uid="{EBA717D1-B536-40B4-B1D7-1C039B88171A}"/>
    <cellStyle name="Comma 3 3 2 6 2" xfId="2788" xr:uid="{187E918B-185D-4219-8C7D-298B655A6316}"/>
    <cellStyle name="Comma 3 3 2 6 2 2" xfId="3114" xr:uid="{47822EE9-0577-44B1-8E6F-B93100B39ED6}"/>
    <cellStyle name="Comma 3 3 2 6 2 2 2" xfId="3960" xr:uid="{62FDD86D-6B56-4108-B061-B73E39B88FF5}"/>
    <cellStyle name="Comma 3 3 2 6 2 3" xfId="3961" xr:uid="{8845A7AC-1BC2-44E4-A007-DF00ABED3FEA}"/>
    <cellStyle name="Comma 3 3 2 6 3" xfId="3010" xr:uid="{E0A3B8EB-2D13-4DDC-AB15-3C3A28447774}"/>
    <cellStyle name="Comma 3 3 2 6 3 2" xfId="3962" xr:uid="{ED85E104-DFEE-4C38-A0DE-F7FFF31BC355}"/>
    <cellStyle name="Comma 3 3 2 6 4" xfId="2563" xr:uid="{529F1E6E-F722-42B5-A428-C4CE85C7C84D}"/>
    <cellStyle name="Comma 3 3 2 6 4 2" xfId="3963" xr:uid="{29D64AC0-3AD2-466C-8C99-996B309093EE}"/>
    <cellStyle name="Comma 3 3 2 6 5" xfId="3964" xr:uid="{CD815063-1627-4C9E-8A8C-EBDA21D4427F}"/>
    <cellStyle name="Comma 3 3 2 7" xfId="2217" xr:uid="{23A9EAC8-F8E4-48C8-89C1-7F116FF20300}"/>
    <cellStyle name="Comma 3 3 2 7 2" xfId="4688" xr:uid="{BFB1BA61-6BA8-49DB-9F28-9F6E9BE3CE7A}"/>
    <cellStyle name="Comma 3 3 2 7 2 2" xfId="5822" xr:uid="{ABB2014F-8A59-4C55-B431-8B3CFE8E0C78}"/>
    <cellStyle name="Comma 3 3 2 7 3" xfId="5394" xr:uid="{A3FEBBBF-2BDA-431C-9315-EF16B79A6011}"/>
    <cellStyle name="Comma 3 3 2 7 4" xfId="5007" xr:uid="{E91DBE9D-14DE-46E6-A5FE-56A58444B7EC}"/>
    <cellStyle name="Comma 3 3 2 8" xfId="990" xr:uid="{C614DC5C-3C9B-48EF-942B-7915186D3A0B}"/>
    <cellStyle name="Comma 3 3 2 8 2" xfId="3965" xr:uid="{8BC2FD98-B11C-4DD1-B35F-1F53D58DED49}"/>
    <cellStyle name="Comma 3 3 2 9" xfId="3966" xr:uid="{EAD74703-BB5F-4307-A66E-C75EFCE4834E}"/>
    <cellStyle name="Comma 3 3 3" xfId="149" xr:uid="{C6F895CC-951A-4BE2-89CA-91CF38A337B1}"/>
    <cellStyle name="Comma 3 3 3 2" xfId="1654" xr:uid="{C9DAE24C-91D8-4E1E-B679-F0DBD2F6CAA3}"/>
    <cellStyle name="Comma 3 3 3 2 2" xfId="2296" xr:uid="{7FB41F98-2C52-4FDF-A52A-8F9EC8366D14}"/>
    <cellStyle name="Comma 3 3 3 2 2 2" xfId="4767" xr:uid="{D53ACE2B-CA94-441A-884B-F64720BBC0C5}"/>
    <cellStyle name="Comma 3 3 3 2 2 2 2" xfId="5901" xr:uid="{88E35810-6898-446B-B8A0-C62B321D576C}"/>
    <cellStyle name="Comma 3 3 3 2 2 3" xfId="5473" xr:uid="{4EBDCAAF-3F96-4ED2-B0F1-E91A4C9DEBD8}"/>
    <cellStyle name="Comma 3 3 3 2 2 4" xfId="5086" xr:uid="{8623B206-3C56-4181-B6A8-5D7840F6FA45}"/>
    <cellStyle name="Comma 3 3 3 2 3" xfId="4594" xr:uid="{9E4ADEFA-874D-44B6-AC17-C86E7A95B8DD}"/>
    <cellStyle name="Comma 3 3 3 2 3 2" xfId="5728" xr:uid="{582D418B-350D-45F1-A15C-D6A2DE537ADB}"/>
    <cellStyle name="Comma 3 3 3 2 4" xfId="5300" xr:uid="{B9B6513D-00F1-493A-93A2-32753541F429}"/>
    <cellStyle name="Comma 3 3 3 2 5" xfId="4913" xr:uid="{DE200A83-DEB4-4CCB-967C-D06DCD9810CB}"/>
    <cellStyle name="Comma 3 3 3 3" xfId="1769" xr:uid="{3633F1A9-CB58-49D6-9C76-8867339DE8F5}"/>
    <cellStyle name="Comma 3 3 3 3 2" xfId="2342" xr:uid="{1CA64513-A1A7-40BB-A6DF-4F1BF7410198}"/>
    <cellStyle name="Comma 3 3 3 3 2 2" xfId="4813" xr:uid="{30A00C3F-2084-4BCA-8728-021E21F41E1B}"/>
    <cellStyle name="Comma 3 3 3 3 2 2 2" xfId="5947" xr:uid="{9DAFF20D-7FDE-44C4-B55F-1F0AC21095B7}"/>
    <cellStyle name="Comma 3 3 3 3 2 3" xfId="5519" xr:uid="{D28AC7BE-92DC-4724-BFD7-0E5E9C1F0BCB}"/>
    <cellStyle name="Comma 3 3 3 3 2 4" xfId="5132" xr:uid="{B11123B8-ADA6-401E-928A-961B8F88364E}"/>
    <cellStyle name="Comma 3 3 3 3 3" xfId="4640" xr:uid="{A2546EFC-E583-4633-92A3-E5899AF081A6}"/>
    <cellStyle name="Comma 3 3 3 3 3 2" xfId="5774" xr:uid="{B056E661-55C1-4BC1-87DB-241496FA8A4D}"/>
    <cellStyle name="Comma 3 3 3 3 4" xfId="5346" xr:uid="{8BBC6CC5-C72F-418C-9DF2-3E25D2E7C66B}"/>
    <cellStyle name="Comma 3 3 3 3 5" xfId="4959" xr:uid="{53EFB9D0-2701-4D54-A4CC-0AF2C3BB96DE}"/>
    <cellStyle name="Comma 3 3 3 4" xfId="1468" xr:uid="{8A588276-C52A-424F-8342-F0D22A9BB775}"/>
    <cellStyle name="Comma 3 3 3 4 2" xfId="2039" xr:uid="{3E033B8B-7F3C-452D-90E8-51E7DDEDC887}"/>
    <cellStyle name="Comma 3 3 3 4 2 2" xfId="2964" xr:uid="{7102A4B3-EC70-46D9-B9A2-6185A762D805}"/>
    <cellStyle name="Comma 3 3 3 4 2 2 2" xfId="3967" xr:uid="{77FED09E-8186-431D-B52A-F7CAED68DA06}"/>
    <cellStyle name="Comma 3 3 3 4 2 3" xfId="2742" xr:uid="{7E6F57E8-3C04-4F3E-902F-D58EBA31DEA9}"/>
    <cellStyle name="Comma 3 3 3 4 2 3 2" xfId="3968" xr:uid="{5222DAF3-2244-4EF0-BDC9-FBE8847119E0}"/>
    <cellStyle name="Comma 3 3 3 4 2 4" xfId="3969" xr:uid="{72A99BD0-E7FD-4581-9F35-F0166E96A81F}"/>
    <cellStyle name="Comma 3 3 3 4 3" xfId="2517" xr:uid="{F3C772B1-0A60-4B66-AA39-A47ABCF93446}"/>
    <cellStyle name="Comma 3 3 3 4 3 2" xfId="3970" xr:uid="{77BAFF9A-5B0E-4C9D-9882-7B7F41753729}"/>
    <cellStyle name="Comma 3 3 3 4 4" xfId="3971" xr:uid="{AE9AD741-3B7C-461D-BB52-B1B861F8C3AD}"/>
    <cellStyle name="Comma 3 3 3 5" xfId="2109" xr:uid="{870153F0-0E2E-41FF-A822-631FD7E80A9F}"/>
    <cellStyle name="Comma 3 3 3 5 2" xfId="2789" xr:uid="{317C67AB-BD30-4E6F-AF71-F019C8BE3088}"/>
    <cellStyle name="Comma 3 3 3 5 2 2" xfId="3115" xr:uid="{55805257-71C5-4AE3-A29B-48A1C65935D2}"/>
    <cellStyle name="Comma 3 3 3 5 2 2 2" xfId="3972" xr:uid="{A9774B12-07A1-4477-BFFA-E560388C6587}"/>
    <cellStyle name="Comma 3 3 3 5 2 3" xfId="3973" xr:uid="{3B75FBAB-58F3-4E1F-9399-9F95CD616BD7}"/>
    <cellStyle name="Comma 3 3 3 5 3" xfId="3011" xr:uid="{BCEB891E-C4A5-4333-AF89-774553DBDB27}"/>
    <cellStyle name="Comma 3 3 3 5 3 2" xfId="3974" xr:uid="{3F786256-6D82-4E1D-9A72-A952C41329B3}"/>
    <cellStyle name="Comma 3 3 3 5 4" xfId="2564" xr:uid="{54054398-260F-4758-B265-D69ECD8A62E0}"/>
    <cellStyle name="Comma 3 3 3 5 4 2" xfId="3975" xr:uid="{8317E2D4-BB8B-47F8-8C44-FE9EF7C6D3DC}"/>
    <cellStyle name="Comma 3 3 3 5 5" xfId="3976" xr:uid="{ABB69F80-F565-4BB2-9FA0-749025FF3420}"/>
    <cellStyle name="Comma 3 3 3 6" xfId="2233" xr:uid="{9BEC3FB4-8798-4C06-8644-573A1A62937D}"/>
    <cellStyle name="Comma 3 3 3 6 2" xfId="4704" xr:uid="{CEA69D75-AFA0-406E-A486-B9750728916C}"/>
    <cellStyle name="Comma 3 3 3 6 2 2" xfId="5838" xr:uid="{53024DFF-DF4C-4A9B-9AFE-41CFA0097906}"/>
    <cellStyle name="Comma 3 3 3 6 3" xfId="5410" xr:uid="{7B26F5C1-1FD5-4362-AE6A-90CECB7B0889}"/>
    <cellStyle name="Comma 3 3 3 6 4" xfId="5023" xr:uid="{ED0AF3DE-CD65-4C4F-8D9D-1021D40135DD}"/>
    <cellStyle name="Comma 3 3 3 7" xfId="4507" xr:uid="{7A0FD518-3E18-4D7C-A24C-AB0A6C080E2F}"/>
    <cellStyle name="Comma 3 3 3 7 2" xfId="5641" xr:uid="{55FF89F3-C931-472D-9EEA-3FE2346BEA11}"/>
    <cellStyle name="Comma 3 3 3 8" xfId="5224" xr:uid="{13CD3C94-72C3-4596-9A07-211917D4DA62}"/>
    <cellStyle name="Comma 3 3 3 9" xfId="4860" xr:uid="{179D4B1C-3769-425F-A951-DC59C2CEF3BF}"/>
    <cellStyle name="Comma 3 3 4" xfId="150" xr:uid="{7F7C7EF3-39BB-47F6-B073-F18DBE28BD1C}"/>
    <cellStyle name="Comma 3 3 4 2" xfId="1197" xr:uid="{77B96F3C-3DAC-42C6-BE21-28CACC86C4BF}"/>
    <cellStyle name="Comma 3 3 4 2 2" xfId="1986" xr:uid="{FA22BE94-54C9-4DD7-9966-C14B583DEDFC}"/>
    <cellStyle name="Comma 3 3 4 2 2 2" xfId="2911" xr:uid="{0BFCC6E7-0A04-4FAB-86B6-B91A6D670796}"/>
    <cellStyle name="Comma 3 3 4 2 2 2 2" xfId="3977" xr:uid="{84118DE7-ED7A-455C-80C7-21F4DE92CC7F}"/>
    <cellStyle name="Comma 3 3 4 2 2 3" xfId="2689" xr:uid="{8B3ED676-531B-4D57-80B5-DB5F531DF451}"/>
    <cellStyle name="Comma 3 3 4 2 2 3 2" xfId="3978" xr:uid="{71163500-29DD-43B2-9DAB-D960ADEAD69E}"/>
    <cellStyle name="Comma 3 3 4 2 2 4" xfId="3979" xr:uid="{73BF14E5-D81A-4FC0-9A3D-3478DEF1FCBF}"/>
    <cellStyle name="Comma 3 3 4 2 3" xfId="2464" xr:uid="{421B96AA-D971-4668-A2C2-7559508667CF}"/>
    <cellStyle name="Comma 3 3 4 2 3 2" xfId="3980" xr:uid="{9FE9ED70-16B2-4B2C-8300-321BE77C7487}"/>
    <cellStyle name="Comma 3 3 4 2 4" xfId="3981" xr:uid="{E35ADA11-9278-4A54-A207-5049F295CC69}"/>
    <cellStyle name="Comma 3 3 4 3" xfId="1916" xr:uid="{117C91F3-3626-448B-9E7B-EC350CFDA544}"/>
    <cellStyle name="Comma 3 3 4 3 2" xfId="2841" xr:uid="{843DB483-C6A8-4B93-B41F-3CB84F6AF90B}"/>
    <cellStyle name="Comma 3 3 4 3 2 2" xfId="3982" xr:uid="{EDB37B66-042D-45B1-BA8E-BE7DE7998491}"/>
    <cellStyle name="Comma 3 3 4 3 3" xfId="2619" xr:uid="{5E335559-00C6-4E95-87E9-A1C3C1FC8735}"/>
    <cellStyle name="Comma 3 3 4 3 3 2" xfId="3983" xr:uid="{A508C353-5EAD-4FE7-9EA0-F94366DE30D7}"/>
    <cellStyle name="Comma 3 3 4 3 4" xfId="3984" xr:uid="{50F401DE-D3C2-401F-8FA8-FF80EE3C9425}"/>
    <cellStyle name="Comma 3 3 4 4" xfId="2394" xr:uid="{C278212D-F2C0-4162-962E-A44E77393F55}"/>
    <cellStyle name="Comma 3 3 4 4 2" xfId="3985" xr:uid="{328F9558-9221-426F-BA6A-A0D64BABE85E}"/>
    <cellStyle name="Comma 3 3 4 5" xfId="1024" xr:uid="{14C87BBD-B470-400B-A5E8-78D1E630EF9F}"/>
    <cellStyle name="Comma 3 3 4 5 2" xfId="3986" xr:uid="{875D9E13-C7D2-4690-8432-F95F41AB27E2}"/>
    <cellStyle name="Comma 3 3 4 6" xfId="3987" xr:uid="{6AB26C4A-7253-4751-B533-A9B3811DB53D}"/>
    <cellStyle name="Comma 3 3 4 7" xfId="4508" xr:uid="{7601CE4E-D3E5-41D7-8459-C25BFBE11B02}"/>
    <cellStyle name="Comma 3 3 4 7 2" xfId="5642" xr:uid="{2659A2E6-FDF7-48F4-B4B0-45EB005D19E1}"/>
    <cellStyle name="Comma 3 3 4 8" xfId="5225" xr:uid="{D6C613A6-9163-4253-88B6-E385787BC4B5}"/>
    <cellStyle name="Comma 3 3 5" xfId="1509" xr:uid="{51E92FB2-AED5-4F9D-B75B-14A0C8F63A3B}"/>
    <cellStyle name="Comma 3 3 5 2" xfId="2110" xr:uid="{78A9593D-0011-4AE4-82BF-0FEC50BD5EB6}"/>
    <cellStyle name="Comma 3 3 5 2 2" xfId="2790" xr:uid="{11745CE6-6EDE-4F09-9912-6060C130AFD5}"/>
    <cellStyle name="Comma 3 3 5 2 2 2" xfId="3116" xr:uid="{B4A34CBD-A0A3-4781-BE54-75CE24EB4A7A}"/>
    <cellStyle name="Comma 3 3 5 2 2 2 2" xfId="3988" xr:uid="{48492244-E5FD-4AA6-B082-A0AE0A07859B}"/>
    <cellStyle name="Comma 3 3 5 2 2 3" xfId="3989" xr:uid="{0CB8E699-FDA0-462D-AD21-F5DD5CA4E1E8}"/>
    <cellStyle name="Comma 3 3 5 2 3" xfId="3012" xr:uid="{03248B05-5685-4BF1-B898-E50DBBC11B22}"/>
    <cellStyle name="Comma 3 3 5 2 3 2" xfId="3990" xr:uid="{B44169AA-D652-4054-B0DB-B475E53B818F}"/>
    <cellStyle name="Comma 3 3 5 2 4" xfId="2565" xr:uid="{C7979B44-0195-4D77-B408-7B7DCCCA4287}"/>
    <cellStyle name="Comma 3 3 5 2 4 2" xfId="3991" xr:uid="{B6D63AD5-EC5A-474C-921D-77F9B253BC27}"/>
    <cellStyle name="Comma 3 3 5 2 5" xfId="3992" xr:uid="{7694BEF5-EDEE-4AB4-A615-987554D5D3EB}"/>
    <cellStyle name="Comma 3 3 5 3" xfId="2047" xr:uid="{DDDFCB21-005E-4CA1-B605-0FD0398F3E3C}"/>
    <cellStyle name="Comma 3 3 5 3 2" xfId="2972" xr:uid="{296D1479-C1C2-4237-A81C-A014B82F7B67}"/>
    <cellStyle name="Comma 3 3 5 3 2 2" xfId="3993" xr:uid="{FEE990FC-FB81-4583-91B6-A0C78F07D147}"/>
    <cellStyle name="Comma 3 3 5 3 3" xfId="2750" xr:uid="{5050F50F-2AA3-46B7-934A-EF350C783862}"/>
    <cellStyle name="Comma 3 3 5 3 3 2" xfId="3994" xr:uid="{06042148-C72A-4938-ACFF-DC783ED64ED8}"/>
    <cellStyle name="Comma 3 3 5 3 4" xfId="3995" xr:uid="{2D71E34E-F114-4FBF-955C-5F30B6B6C280}"/>
    <cellStyle name="Comma 3 3 5 4" xfId="2525" xr:uid="{5B579BC1-8EA3-4574-A34D-43A194C22B9D}"/>
    <cellStyle name="Comma 3 3 5 4 2" xfId="3996" xr:uid="{BCFCB2DC-EDE6-4550-AB6A-6DD02568921D}"/>
    <cellStyle name="Comma 3 3 5 5" xfId="3997" xr:uid="{664354AA-CBDA-425C-A853-8FC3617C3D23}"/>
    <cellStyle name="Comma 3 3 6" xfId="1549" xr:uid="{1E15C412-4C72-4E05-8141-FA664CEE627F}"/>
    <cellStyle name="Comma 3 3 6 2" xfId="2269" xr:uid="{140ABEBD-29E0-4054-82D1-45FFEAF32D2E}"/>
    <cellStyle name="Comma 3 3 6 2 2" xfId="4740" xr:uid="{82F325B3-7F00-4E15-8A50-2AE5D444E233}"/>
    <cellStyle name="Comma 3 3 6 2 2 2" xfId="5874" xr:uid="{24AECB41-562D-4EFF-B5E6-E1E391AEB41A}"/>
    <cellStyle name="Comma 3 3 6 2 3" xfId="5446" xr:uid="{1DC3C927-FCD3-411A-AA56-8F24A080DBA8}"/>
    <cellStyle name="Comma 3 3 6 2 4" xfId="5059" xr:uid="{54F790D9-5527-483F-8D28-B71E11216A68}"/>
    <cellStyle name="Comma 3 3 6 3" xfId="4567" xr:uid="{8BFAB5A9-7EBE-41BB-90D3-5672343C885C}"/>
    <cellStyle name="Comma 3 3 6 3 2" xfId="5701" xr:uid="{0D7C3280-D062-4E44-AE6E-A7D4DB951E5E}"/>
    <cellStyle name="Comma 3 3 6 4" xfId="5273" xr:uid="{9962E0DD-8A57-4391-A579-652B73E0C6A6}"/>
    <cellStyle name="Comma 3 3 6 5" xfId="4886" xr:uid="{9516F16C-FC50-41CB-A9E2-B927730E69D5}"/>
    <cellStyle name="Comma 3 3 7" xfId="1737" xr:uid="{790E5554-8CD3-47A3-9D95-4058EDC63128}"/>
    <cellStyle name="Comma 3 3 7 2" xfId="2310" xr:uid="{C3942BFE-F3B9-4EC0-A045-F2D77806E0C0}"/>
    <cellStyle name="Comma 3 3 7 2 2" xfId="4781" xr:uid="{B9F42541-E114-4326-A3F1-7C4F8390B9F5}"/>
    <cellStyle name="Comma 3 3 7 2 2 2" xfId="5915" xr:uid="{8C57B1E9-F45A-4A7F-894F-39D6BADE9457}"/>
    <cellStyle name="Comma 3 3 7 2 3" xfId="5487" xr:uid="{0E9CA342-F378-4FFF-B12E-E025A42B8D00}"/>
    <cellStyle name="Comma 3 3 7 2 4" xfId="5100" xr:uid="{C3619DAD-31FD-4808-ACBE-3788C58F05E5}"/>
    <cellStyle name="Comma 3 3 7 3" xfId="4608" xr:uid="{33A70FC7-ED8D-4512-B886-3F752991681A}"/>
    <cellStyle name="Comma 3 3 7 3 2" xfId="5742" xr:uid="{9F51B53B-777E-4129-BD3A-25E4E360A294}"/>
    <cellStyle name="Comma 3 3 7 4" xfId="5314" xr:uid="{0F95B3B5-CEAB-4158-8B8E-601F0D48A83B}"/>
    <cellStyle name="Comma 3 3 7 5" xfId="4927" xr:uid="{36721286-5082-4DFB-8862-CB6E7CB18C03}"/>
    <cellStyle name="Comma 3 3 8" xfId="2111" xr:uid="{6C01C9AE-8C4E-4075-AB76-E6CD94F532E9}"/>
    <cellStyle name="Comma 3 3 8 2" xfId="2791" xr:uid="{3C5EF858-6D92-4E5E-9685-8B33E54D7957}"/>
    <cellStyle name="Comma 3 3 8 2 2" xfId="3117" xr:uid="{EAC17D16-9F36-41BC-A066-1F1B9E16B060}"/>
    <cellStyle name="Comma 3 3 8 2 2 2" xfId="3998" xr:uid="{A70B234D-D420-42F1-A3B8-11F0D09B40B0}"/>
    <cellStyle name="Comma 3 3 8 2 3" xfId="3999" xr:uid="{105C2ED0-D361-480C-84FC-8876A83033E3}"/>
    <cellStyle name="Comma 3 3 8 3" xfId="3013" xr:uid="{2944E27A-6E7D-44DF-8280-D349BFC29F3E}"/>
    <cellStyle name="Comma 3 3 8 3 2" xfId="4000" xr:uid="{B4601D02-602E-41AB-B9D2-907F30F1524D}"/>
    <cellStyle name="Comma 3 3 8 4" xfId="2566" xr:uid="{7B097F06-39AE-4F44-91B1-9EFDE9755240}"/>
    <cellStyle name="Comma 3 3 8 4 2" xfId="4001" xr:uid="{A79CF451-6077-465D-8F9A-6ED960897470}"/>
    <cellStyle name="Comma 3 3 8 5" xfId="4002" xr:uid="{78E376F2-2E7F-47B5-813D-CE4487C82952}"/>
    <cellStyle name="Comma 3 3 9" xfId="2201" xr:uid="{CB513ECE-D91C-4B19-B1CC-C599602F874F}"/>
    <cellStyle name="Comma 3 3 9 2" xfId="4672" xr:uid="{94BB566F-9B6E-4142-A179-A13FAC6D6418}"/>
    <cellStyle name="Comma 3 3 9 2 2" xfId="5806" xr:uid="{E2A379CF-25EC-4AA0-90F1-7A84A5BB4C17}"/>
    <cellStyle name="Comma 3 3 9 3" xfId="5378" xr:uid="{367AA258-B309-4B76-8993-E7B3CB0817F5}"/>
    <cellStyle name="Comma 3 3 9 4" xfId="4991" xr:uid="{334E141F-2075-4264-8C5A-BF77F45A0A31}"/>
    <cellStyle name="Comma 3 4" xfId="151" xr:uid="{6DB16EF9-3F93-4BFD-A3DD-8012034E3083}"/>
    <cellStyle name="Comma 3 4 10" xfId="4509" xr:uid="{BB49C0EB-D43E-41C2-B871-74C3FA6CEE7E}"/>
    <cellStyle name="Comma 3 4 10 2" xfId="5643" xr:uid="{1E64FDA4-F3F2-4E1A-AD7B-FA85B1A244D9}"/>
    <cellStyle name="Comma 3 4 2" xfId="152" xr:uid="{9034750D-8CE1-4EE2-BDE0-3A55A0A42DCC}"/>
    <cellStyle name="Comma 3 4 2 2" xfId="1778" xr:uid="{705DE078-AA58-4CB3-882D-BF8394F28CA2}"/>
    <cellStyle name="Comma 3 4 2 2 2" xfId="2351" xr:uid="{74465BAF-1F68-484D-B0A2-B54C17C86398}"/>
    <cellStyle name="Comma 3 4 2 2 2 2" xfId="4822" xr:uid="{EDE8BAC2-8610-453D-B350-5CCF688AA667}"/>
    <cellStyle name="Comma 3 4 2 2 2 2 2" xfId="5956" xr:uid="{13500665-32B5-493A-A178-86F200724A23}"/>
    <cellStyle name="Comma 3 4 2 2 2 3" xfId="5528" xr:uid="{2CF9376B-B648-4875-8F57-2C9BE60E2A5F}"/>
    <cellStyle name="Comma 3 4 2 2 2 4" xfId="5141" xr:uid="{3E186E93-FA1C-4E2E-B7BD-952D63E7A4D2}"/>
    <cellStyle name="Comma 3 4 2 2 3" xfId="4649" xr:uid="{370BD2FF-255D-495C-9E1F-4305B2DEEC80}"/>
    <cellStyle name="Comma 3 4 2 2 3 2" xfId="5783" xr:uid="{EFB56FDA-201D-4B44-BEBC-E9E7F2CEBB48}"/>
    <cellStyle name="Comma 3 4 2 2 4" xfId="5355" xr:uid="{FB43B0E1-D3B7-41CA-BD47-5D15ED8ACFB5}"/>
    <cellStyle name="Comma 3 4 2 2 5" xfId="4968" xr:uid="{3A2606CF-43A0-4875-AC0A-DF69B3033C79}"/>
    <cellStyle name="Comma 3 4 2 3" xfId="2242" xr:uid="{1D140FC8-CF51-4957-82AE-3FB412CD046C}"/>
    <cellStyle name="Comma 3 4 2 3 2" xfId="4713" xr:uid="{71E25B4F-267C-4B0A-A500-7F273927ECA4}"/>
    <cellStyle name="Comma 3 4 2 3 2 2" xfId="5847" xr:uid="{81CED4F0-BFF8-48F3-A688-8ED64679571B}"/>
    <cellStyle name="Comma 3 4 2 3 3" xfId="5419" xr:uid="{2057AB97-975B-430E-864D-10B7DEF32355}"/>
    <cellStyle name="Comma 3 4 2 3 4" xfId="5032" xr:uid="{C712A5D2-0ABC-4CA1-9A7C-D7C64E8EE17A}"/>
    <cellStyle name="Comma 3 4 2 4" xfId="4510" xr:uid="{176FE341-FD54-41CF-92D5-CCECAE116EC0}"/>
    <cellStyle name="Comma 3 4 2 4 2" xfId="5644" xr:uid="{342F9DB5-A3CE-48B4-8914-AB7B0E880B2A}"/>
    <cellStyle name="Comma 3 4 2 5" xfId="5226" xr:uid="{BC71B316-E9A5-4363-AB21-E3D3A3A1AE1A}"/>
    <cellStyle name="Comma 3 4 2 6" xfId="4861" xr:uid="{CE0CCE3C-CF70-431B-83DE-0981358246DB}"/>
    <cellStyle name="Comma 3 4 3" xfId="153" xr:uid="{B9A10541-19EC-42D1-B52F-EC3D17126527}"/>
    <cellStyle name="Comma 3 4 3 2" xfId="1206" xr:uid="{670E2F1A-1D4F-439A-8593-F317D6EF1FF6}"/>
    <cellStyle name="Comma 3 4 3 2 2" xfId="1995" xr:uid="{1837106A-091F-48CB-868A-39EC3F232206}"/>
    <cellStyle name="Comma 3 4 3 2 2 2" xfId="2920" xr:uid="{04DEA91B-6577-46D0-9D6F-B38D85439D7F}"/>
    <cellStyle name="Comma 3 4 3 2 2 2 2" xfId="4003" xr:uid="{CBD31DA4-EE88-45E6-9696-CEF4A66E9C4C}"/>
    <cellStyle name="Comma 3 4 3 2 2 3" xfId="2698" xr:uid="{A0732AAF-E240-4957-B4EE-170F8FFE782A}"/>
    <cellStyle name="Comma 3 4 3 2 2 3 2" xfId="4004" xr:uid="{FDB31108-7990-4985-BFA7-15C28572390E}"/>
    <cellStyle name="Comma 3 4 3 2 2 4" xfId="4005" xr:uid="{EC38C8C7-F875-4A64-B974-F07FC951E907}"/>
    <cellStyle name="Comma 3 4 3 2 3" xfId="2473" xr:uid="{CC5D098F-DD00-4ADE-95DA-E7BD46DD2ADD}"/>
    <cellStyle name="Comma 3 4 3 2 3 2" xfId="4006" xr:uid="{F14D1C45-B005-4A22-AF60-319673FACF53}"/>
    <cellStyle name="Comma 3 4 3 2 4" xfId="4007" xr:uid="{5E8A4D5A-F550-4080-A703-8DD9211F6BF5}"/>
    <cellStyle name="Comma 3 4 3 3" xfId="1925" xr:uid="{C940B638-9FD2-47D7-88FF-C3129A2E566A}"/>
    <cellStyle name="Comma 3 4 3 3 2" xfId="2850" xr:uid="{5C2C864F-73B8-4B09-8C6A-63CED7EBB30F}"/>
    <cellStyle name="Comma 3 4 3 3 2 2" xfId="4008" xr:uid="{5BFAD197-45CA-47DB-B377-23E7AB2CA8A6}"/>
    <cellStyle name="Comma 3 4 3 3 3" xfId="2628" xr:uid="{BD5B3FCC-CC08-4063-AC22-3456CDFA9C84}"/>
    <cellStyle name="Comma 3 4 3 3 3 2" xfId="4009" xr:uid="{D18D723C-6696-4204-815E-AAA55E33E4E8}"/>
    <cellStyle name="Comma 3 4 3 3 4" xfId="4010" xr:uid="{0288B6C7-B860-4DC9-ABA9-AC1FFCA386E4}"/>
    <cellStyle name="Comma 3 4 3 4" xfId="2403" xr:uid="{0F12F722-6601-4B3C-B460-55CB3C9B47E1}"/>
    <cellStyle name="Comma 3 4 3 4 2" xfId="4011" xr:uid="{AC65A9A6-BF23-4284-A977-F450095937E1}"/>
    <cellStyle name="Comma 3 4 3 5" xfId="1033" xr:uid="{413EAB33-DB6A-4379-B67F-0478D446CEB0}"/>
    <cellStyle name="Comma 3 4 3 5 2" xfId="4012" xr:uid="{9AB961DD-AED4-4166-BBD6-C78E07A17946}"/>
    <cellStyle name="Comma 3 4 3 6" xfId="4013" xr:uid="{F7571C74-B8F1-414B-BAC5-79C518818E64}"/>
    <cellStyle name="Comma 3 4 3 7" xfId="4511" xr:uid="{78CE6558-8D98-46BF-97C0-EB5FC662A359}"/>
    <cellStyle name="Comma 3 4 3 7 2" xfId="5645" xr:uid="{95B04AED-DF39-437A-95BC-2B00EA230FCB}"/>
    <cellStyle name="Comma 3 4 3 8" xfId="5227" xr:uid="{E036B1CE-355D-45CA-9A96-2F7490DD7F04}"/>
    <cellStyle name="Comma 3 4 4" xfId="1624" xr:uid="{9FEF97C8-7C15-462E-9615-C28088098EEC}"/>
    <cellStyle name="Comma 3 4 4 2" xfId="2278" xr:uid="{2FABF5FE-54E6-4B2C-8E3F-93F6619AE269}"/>
    <cellStyle name="Comma 3 4 4 2 2" xfId="4749" xr:uid="{4BCE4D07-F5B9-4C02-BA73-EEB8ECE2CBFE}"/>
    <cellStyle name="Comma 3 4 4 2 2 2" xfId="5883" xr:uid="{4BD4345D-3BB4-4F74-9CC6-A7EBD7572E5C}"/>
    <cellStyle name="Comma 3 4 4 2 3" xfId="5455" xr:uid="{1EC7992E-1218-41A0-9227-A03D64B4487C}"/>
    <cellStyle name="Comma 3 4 4 2 4" xfId="5068" xr:uid="{BBEF5564-3919-440C-A0FC-9E5F430CB13F}"/>
    <cellStyle name="Comma 3 4 4 3" xfId="4576" xr:uid="{0A3B2A79-1F86-4F54-95CB-4599D15203B2}"/>
    <cellStyle name="Comma 3 4 4 3 2" xfId="5710" xr:uid="{47948D73-0021-41B5-AB30-8C88A0BA84EB}"/>
    <cellStyle name="Comma 3 4 4 4" xfId="5282" xr:uid="{E4BC841D-02FD-4538-8151-8C626E34448B}"/>
    <cellStyle name="Comma 3 4 4 5" xfId="4895" xr:uid="{D50FADF1-0F96-4638-8E15-6F10D69772F6}"/>
    <cellStyle name="Comma 3 4 5" xfId="1746" xr:uid="{D2257F53-4B6B-4D6E-9B07-F34E888D65F2}"/>
    <cellStyle name="Comma 3 4 5 2" xfId="2319" xr:uid="{6A977184-1123-45D9-A865-7D412C2362C8}"/>
    <cellStyle name="Comma 3 4 5 2 2" xfId="4790" xr:uid="{277F7AA8-4E6E-4A10-8A1A-79037FB3C056}"/>
    <cellStyle name="Comma 3 4 5 2 2 2" xfId="5924" xr:uid="{FEAE0AB5-6B04-4BA3-A666-4FE94FCB24BE}"/>
    <cellStyle name="Comma 3 4 5 2 3" xfId="5496" xr:uid="{DD04421E-58B8-4C91-8453-B6B0FC0DA036}"/>
    <cellStyle name="Comma 3 4 5 2 4" xfId="5109" xr:uid="{6605DB94-3CF7-47E9-B339-3DAA3B4EFDC9}"/>
    <cellStyle name="Comma 3 4 5 3" xfId="4617" xr:uid="{D052AF63-A17B-4D0C-9476-C9FCF967AA76}"/>
    <cellStyle name="Comma 3 4 5 3 2" xfId="5751" xr:uid="{EC1EFDF2-44A2-4DB5-8D8D-7B7C86F9C161}"/>
    <cellStyle name="Comma 3 4 5 4" xfId="5323" xr:uid="{7102BB19-98CC-48BA-A648-8C281890A86A}"/>
    <cellStyle name="Comma 3 4 5 5" xfId="4936" xr:uid="{29D0BA9F-A9FC-47FD-9FDC-36DFDCDF09E7}"/>
    <cellStyle name="Comma 3 4 6" xfId="2112" xr:uid="{A6FC46EB-16CF-49D3-9EC6-3F52024113B6}"/>
    <cellStyle name="Comma 3 4 6 2" xfId="2792" xr:uid="{658C0008-BEA7-4648-AE4F-FB62B9E476E7}"/>
    <cellStyle name="Comma 3 4 6 2 2" xfId="3118" xr:uid="{BDFFE1FC-DDC8-4E3B-929E-BBDD7F7B4014}"/>
    <cellStyle name="Comma 3 4 6 2 2 2" xfId="4014" xr:uid="{E6B746F8-6BD7-480A-91B1-A067DFBAF9B5}"/>
    <cellStyle name="Comma 3 4 6 2 3" xfId="4015" xr:uid="{21400B32-F179-4EF3-B655-7F92680EACCB}"/>
    <cellStyle name="Comma 3 4 6 3" xfId="3014" xr:uid="{6F033C8B-BBD9-4645-8DFC-095B55E138DE}"/>
    <cellStyle name="Comma 3 4 6 3 2" xfId="4016" xr:uid="{33D9B97D-1EF8-4771-96F4-0AFE2C2678EC}"/>
    <cellStyle name="Comma 3 4 6 4" xfId="2567" xr:uid="{4330A780-F718-422C-9D53-D0194F784DBF}"/>
    <cellStyle name="Comma 3 4 6 4 2" xfId="4017" xr:uid="{3017CDDB-8092-4945-B053-784F443E5695}"/>
    <cellStyle name="Comma 3 4 6 5" xfId="4018" xr:uid="{FDB0B716-1B93-4614-83A8-51AE01DCFC86}"/>
    <cellStyle name="Comma 3 4 7" xfId="2210" xr:uid="{F1311057-8C2C-49B8-B79C-2478DFCCA565}"/>
    <cellStyle name="Comma 3 4 7 2" xfId="4681" xr:uid="{F2443F43-98AA-4842-8420-A64B7EB43387}"/>
    <cellStyle name="Comma 3 4 7 2 2" xfId="5815" xr:uid="{6A1A5F29-42D6-4DC5-BCEA-037350A3CDA1}"/>
    <cellStyle name="Comma 3 4 7 3" xfId="5387" xr:uid="{BE111BFC-0CEF-4B38-853A-8FE8A4224CA5}"/>
    <cellStyle name="Comma 3 4 7 4" xfId="5000" xr:uid="{0DCBB0C8-8D35-4F47-BD43-8219A278CC6D}"/>
    <cellStyle name="Comma 3 4 8" xfId="982" xr:uid="{14691E50-0EC2-4FE3-AA43-CCD7E08E23E3}"/>
    <cellStyle name="Comma 3 4 8 2" xfId="4019" xr:uid="{572607EA-6F6C-4E6D-9194-0CD06E91C6B6}"/>
    <cellStyle name="Comma 3 4 9" xfId="4020" xr:uid="{9CCA6D46-D498-44B5-9361-7CA369407BC2}"/>
    <cellStyle name="Comma 3 5" xfId="154" xr:uid="{16E4A629-7024-450D-B1F5-20DA24B9A6F8}"/>
    <cellStyle name="Comma 3 5 10" xfId="5228" xr:uid="{7E2FFAE7-9D4D-4FA4-B4C2-080CC4297FC4}"/>
    <cellStyle name="Comma 3 5 2" xfId="155" xr:uid="{89B661F7-6440-44D6-B4F1-769AB8AD3E2C}"/>
    <cellStyle name="Comma 3 5 2 2" xfId="156" xr:uid="{6D0BCED5-C7A6-43CF-800D-CA0144C03C67}"/>
    <cellStyle name="Comma 3 5 2 2 2" xfId="1229" xr:uid="{1503AA77-1ACC-4F92-9A38-9671D29E20F7}"/>
    <cellStyle name="Comma 3 5 2 2 2 2" xfId="2018" xr:uid="{CC10C612-B9DD-4BE6-AE70-39D05CC47951}"/>
    <cellStyle name="Comma 3 5 2 2 2 2 2" xfId="2943" xr:uid="{0F1FDF76-0F4F-4B7F-9B86-2254078851FC}"/>
    <cellStyle name="Comma 3 5 2 2 2 2 2 2" xfId="4021" xr:uid="{565B6B17-07AA-4588-9623-8E2C9322E8DA}"/>
    <cellStyle name="Comma 3 5 2 2 2 2 3" xfId="2721" xr:uid="{CF9A273C-BD6D-488E-B448-867AB6A7230D}"/>
    <cellStyle name="Comma 3 5 2 2 2 2 3 2" xfId="4022" xr:uid="{EA6AE189-9270-473E-AAB9-57572FC760A1}"/>
    <cellStyle name="Comma 3 5 2 2 2 2 4" xfId="4023" xr:uid="{870BCC8B-77BC-4DFE-97E3-293C3A0E669A}"/>
    <cellStyle name="Comma 3 5 2 2 2 3" xfId="2496" xr:uid="{5CAFB0E6-0BCD-43E9-8873-E9DAEA5BB32B}"/>
    <cellStyle name="Comma 3 5 2 2 2 3 2" xfId="4024" xr:uid="{9D0FC0C5-0116-40F0-83A8-339FC30C44D0}"/>
    <cellStyle name="Comma 3 5 2 2 2 4" xfId="4025" xr:uid="{24946CEF-58EC-46A8-AE37-2E07E35B3B44}"/>
    <cellStyle name="Comma 3 5 2 2 3" xfId="1948" xr:uid="{60C67E16-81BF-4F5E-925A-F7ACA5A8EEEC}"/>
    <cellStyle name="Comma 3 5 2 2 3 2" xfId="2873" xr:uid="{27B10733-36DB-40D4-932E-A18FB93DAA3B}"/>
    <cellStyle name="Comma 3 5 2 2 3 2 2" xfId="4026" xr:uid="{96A6929A-BFA2-4755-900B-F29050B72B77}"/>
    <cellStyle name="Comma 3 5 2 2 3 3" xfId="2651" xr:uid="{83005539-7AC0-4A33-8100-38D49184FD93}"/>
    <cellStyle name="Comma 3 5 2 2 3 3 2" xfId="4027" xr:uid="{CD08ECF3-BADF-4A70-894C-164ABA8DF69D}"/>
    <cellStyle name="Comma 3 5 2 2 3 4" xfId="4028" xr:uid="{542AAABE-B7AB-49A4-96B0-014B1CA01F92}"/>
    <cellStyle name="Comma 3 5 2 2 4" xfId="2426" xr:uid="{E68AA5CB-ACDC-4844-A204-7DFEAB94466B}"/>
    <cellStyle name="Comma 3 5 2 2 4 2" xfId="4029" xr:uid="{74A01490-C465-4A27-A2BD-70B2E14C0DCF}"/>
    <cellStyle name="Comma 3 5 2 2 5" xfId="1056" xr:uid="{7E2D34B9-65BB-4F5F-8795-F2CF636EBD72}"/>
    <cellStyle name="Comma 3 5 2 2 5 2" xfId="4030" xr:uid="{F63546BB-B869-424B-B082-8B0FB9D5A1BD}"/>
    <cellStyle name="Comma 3 5 2 2 6" xfId="4031" xr:uid="{9E7DB4AF-4294-48BB-8E27-48E9B4BA4153}"/>
    <cellStyle name="Comma 3 5 2 2 7" xfId="4514" xr:uid="{121FDC9D-2D58-4498-A712-5AEF14FE2879}"/>
    <cellStyle name="Comma 3 5 2 2 7 2" xfId="5648" xr:uid="{B097EE68-8462-4A99-905A-6BB5C9B838D8}"/>
    <cellStyle name="Comma 3 5 2 2 8" xfId="5230" xr:uid="{DE10A046-3DCB-4B3B-B8D6-CB5DFD7C29E8}"/>
    <cellStyle name="Comma 3 5 2 3" xfId="1179" xr:uid="{A1752DB3-D975-4838-8A1A-B4A1B7A5C06C}"/>
    <cellStyle name="Comma 3 5 2 3 2" xfId="1968" xr:uid="{79824698-FEA5-4B11-AFC2-12948DC0B022}"/>
    <cellStyle name="Comma 3 5 2 3 2 2" xfId="2893" xr:uid="{7E9632D0-E618-4628-AAC9-9280E4C2DD68}"/>
    <cellStyle name="Comma 3 5 2 3 2 2 2" xfId="4032" xr:uid="{252CDD18-53FB-48F3-A0C7-AA75C57C1ED8}"/>
    <cellStyle name="Comma 3 5 2 3 2 3" xfId="2671" xr:uid="{44C95457-1C17-43A0-8E55-CFEACA5B8479}"/>
    <cellStyle name="Comma 3 5 2 3 2 3 2" xfId="4033" xr:uid="{47151A98-41DC-4634-BBB4-FB9331E56791}"/>
    <cellStyle name="Comma 3 5 2 3 2 4" xfId="4034" xr:uid="{92F47E46-5254-4268-B8F3-65C0247A259E}"/>
    <cellStyle name="Comma 3 5 2 3 3" xfId="2446" xr:uid="{0178C37A-0336-4A30-B9DA-6FFB3CA1837E}"/>
    <cellStyle name="Comma 3 5 2 3 3 2" xfId="4035" xr:uid="{41927305-19B3-484E-B578-3919D51BE26F}"/>
    <cellStyle name="Comma 3 5 2 3 4" xfId="4036" xr:uid="{72B09482-2A74-411E-8442-4F488B2C03CE}"/>
    <cellStyle name="Comma 3 5 2 4" xfId="1898" xr:uid="{7F01432A-F456-40DC-9539-90CEDD6BF87C}"/>
    <cellStyle name="Comma 3 5 2 4 2" xfId="2823" xr:uid="{21BED013-C585-41F6-81A1-6AEE4084E73D}"/>
    <cellStyle name="Comma 3 5 2 4 2 2" xfId="4037" xr:uid="{659DDE86-0C77-4AD4-ADA4-0360C28F42CF}"/>
    <cellStyle name="Comma 3 5 2 4 3" xfId="2601" xr:uid="{885604C1-E206-45E9-A16A-81A0392EA1BC}"/>
    <cellStyle name="Comma 3 5 2 4 3 2" xfId="4038" xr:uid="{B8EBCB2D-7272-40EE-B84D-95C243F46C9B}"/>
    <cellStyle name="Comma 3 5 2 4 4" xfId="4039" xr:uid="{0DED60CE-89A7-4FEB-B7BE-CF88166BAB45}"/>
    <cellStyle name="Comma 3 5 2 5" xfId="2376" xr:uid="{AC2EFB26-F905-45E4-B3F4-EDF63E6EFA68}"/>
    <cellStyle name="Comma 3 5 2 5 2" xfId="4040" xr:uid="{CD4CED40-C552-4DF6-86DC-8130AA889ECE}"/>
    <cellStyle name="Comma 3 5 2 6" xfId="1006" xr:uid="{60111C19-1051-44BD-9F05-353792C7A6B2}"/>
    <cellStyle name="Comma 3 5 2 6 2" xfId="4041" xr:uid="{855CD2F1-230B-4E63-AB6E-C0C86D230FC3}"/>
    <cellStyle name="Comma 3 5 2 7" xfId="4042" xr:uid="{7C79205B-F817-4F77-B115-4340BD85F7A4}"/>
    <cellStyle name="Comma 3 5 2 8" xfId="4513" xr:uid="{9EF181CF-56AF-4C40-96A2-FBB146F6C8E2}"/>
    <cellStyle name="Comma 3 5 2 8 2" xfId="5647" xr:uid="{F6207E3D-075E-4558-83BE-2F921B58D0DC}"/>
    <cellStyle name="Comma 3 5 2 9" xfId="5229" xr:uid="{48E6D328-5D49-44C3-8F73-513F6B466992}"/>
    <cellStyle name="Comma 3 5 3" xfId="157" xr:uid="{2BAD8E2D-EE80-4154-B1CE-CA5F5F2B1E18}"/>
    <cellStyle name="Comma 3 5 3 2" xfId="1220" xr:uid="{A6B56D5A-3EF0-4DEC-AD01-CE9A83A0C02C}"/>
    <cellStyle name="Comma 3 5 3 2 2" xfId="2009" xr:uid="{EF8B1224-57EC-4EE4-B5E9-2DCEF3DC5346}"/>
    <cellStyle name="Comma 3 5 3 2 2 2" xfId="2934" xr:uid="{D738169F-D5A0-467F-B7B8-A9E655DE0CE9}"/>
    <cellStyle name="Comma 3 5 3 2 2 2 2" xfId="4043" xr:uid="{BCF14794-4A23-49D5-A0D4-A0581DD1ED2B}"/>
    <cellStyle name="Comma 3 5 3 2 2 3" xfId="2712" xr:uid="{465B8F71-49D8-4142-9824-6C0B39215830}"/>
    <cellStyle name="Comma 3 5 3 2 2 3 2" xfId="4044" xr:uid="{BA92B573-2DD5-4EBA-BB4E-A8EC592A6C93}"/>
    <cellStyle name="Comma 3 5 3 2 2 4" xfId="4045" xr:uid="{3CEAEDCC-A18B-4DB6-9E29-0B00058425C8}"/>
    <cellStyle name="Comma 3 5 3 2 3" xfId="2487" xr:uid="{AEA12EB3-43BC-4BE2-90C8-C931AA8A479E}"/>
    <cellStyle name="Comma 3 5 3 2 3 2" xfId="4046" xr:uid="{69E68C6A-4DCB-48E6-9705-3A791A6A4633}"/>
    <cellStyle name="Comma 3 5 3 2 4" xfId="4047" xr:uid="{789B81CA-2340-4327-B98A-422D19718042}"/>
    <cellStyle name="Comma 3 5 3 3" xfId="1939" xr:uid="{1B1C48E0-F2FA-4EF6-80BD-9276E041419B}"/>
    <cellStyle name="Comma 3 5 3 3 2" xfId="2864" xr:uid="{B1F3C5BB-FE8D-4D89-AE4B-DA3425FA1ECD}"/>
    <cellStyle name="Comma 3 5 3 3 2 2" xfId="4048" xr:uid="{B668A425-375F-4B66-889D-ABB639484992}"/>
    <cellStyle name="Comma 3 5 3 3 3" xfId="2642" xr:uid="{65EA7CE8-95EC-4741-873D-7EB966147228}"/>
    <cellStyle name="Comma 3 5 3 3 3 2" xfId="4049" xr:uid="{B6DC00AD-6630-4B42-B1B3-33F98B6A76F6}"/>
    <cellStyle name="Comma 3 5 3 3 4" xfId="4050" xr:uid="{ABF08CC8-C0D7-4D26-B619-5BF3A3AEE368}"/>
    <cellStyle name="Comma 3 5 3 4" xfId="2417" xr:uid="{35239F50-10D0-4868-8F02-D55196E2A5B1}"/>
    <cellStyle name="Comma 3 5 3 4 2" xfId="4051" xr:uid="{10A75985-EDCD-43BE-AE6D-24B853E4432D}"/>
    <cellStyle name="Comma 3 5 3 5" xfId="1047" xr:uid="{C2089DFE-963D-4A90-BFFD-B9A1831E8DE1}"/>
    <cellStyle name="Comma 3 5 3 5 2" xfId="4052" xr:uid="{72632E2F-185D-4C20-9697-6B32609BC8BD}"/>
    <cellStyle name="Comma 3 5 3 6" xfId="4053" xr:uid="{15047A69-CDBA-47F3-9FCA-713E2E1636AA}"/>
    <cellStyle name="Comma 3 5 3 7" xfId="4515" xr:uid="{A59CD6AF-DE1D-4B2A-B041-CB4689A5B8D5}"/>
    <cellStyle name="Comma 3 5 3 7 2" xfId="5649" xr:uid="{59884FA2-066F-4B9A-8AA6-728C0F655E0B}"/>
    <cellStyle name="Comma 3 5 3 8" xfId="5231" xr:uid="{368AF97B-203D-452D-9D39-02071E8212EF}"/>
    <cellStyle name="Comma 3 5 4" xfId="1170" xr:uid="{95E4462C-20E5-44D6-9AB2-FBCF8D81DA6E}"/>
    <cellStyle name="Comma 3 5 4 2" xfId="1959" xr:uid="{7EF25173-C8EB-4D39-B25C-8C586AB284B6}"/>
    <cellStyle name="Comma 3 5 4 2 2" xfId="2884" xr:uid="{183E5277-DEA0-4401-915A-F853FB1B1FE5}"/>
    <cellStyle name="Comma 3 5 4 2 2 2" xfId="4054" xr:uid="{D0D4356B-5029-4E1A-9CB9-10D92FF59B54}"/>
    <cellStyle name="Comma 3 5 4 2 3" xfId="2662" xr:uid="{CA3DEB2E-CED8-4F8F-8F6D-7823F29DD679}"/>
    <cellStyle name="Comma 3 5 4 2 3 2" xfId="4055" xr:uid="{A159D348-686B-4B08-9F81-BF5F4410DB1F}"/>
    <cellStyle name="Comma 3 5 4 2 4" xfId="4056" xr:uid="{BD67D231-C522-4B1C-A5E4-C4B0245FC104}"/>
    <cellStyle name="Comma 3 5 4 3" xfId="2437" xr:uid="{F29AE7B8-EA0A-4BAD-BAB3-409A310FDEBA}"/>
    <cellStyle name="Comma 3 5 4 3 2" xfId="4057" xr:uid="{BCAA8150-EDF8-466B-AD00-04FFE99C896D}"/>
    <cellStyle name="Comma 3 5 4 4" xfId="4058" xr:uid="{9F072C74-2729-40E0-A91C-2E513DC80CB0}"/>
    <cellStyle name="Comma 3 5 5" xfId="1889" xr:uid="{050AF244-5E22-44FE-BC4D-EFAC77F701D8}"/>
    <cellStyle name="Comma 3 5 5 2" xfId="2814" xr:uid="{11DAEB7C-3194-4BDC-ABAB-58F8D6E20E59}"/>
    <cellStyle name="Comma 3 5 5 2 2" xfId="4059" xr:uid="{BB4E5D36-4E3B-434B-9768-C1F40D2826E2}"/>
    <cellStyle name="Comma 3 5 5 3" xfId="2592" xr:uid="{E837DD63-FBB8-4D17-8B93-0D54978621E1}"/>
    <cellStyle name="Comma 3 5 5 3 2" xfId="4060" xr:uid="{BE35DAE1-E2BC-4EF0-89F5-A3130C292100}"/>
    <cellStyle name="Comma 3 5 5 4" xfId="4061" xr:uid="{53E1C4B1-981D-4168-AAC3-AC5E61AC77AC}"/>
    <cellStyle name="Comma 3 5 6" xfId="2367" xr:uid="{A0FB5956-1B7B-4B0D-8529-7067ADB5FB6E}"/>
    <cellStyle name="Comma 3 5 6 2" xfId="4062" xr:uid="{B897771C-FB91-47C0-BE26-63743C7DB202}"/>
    <cellStyle name="Comma 3 5 7" xfId="997" xr:uid="{B65944BC-DFB8-45D9-8973-7AB3E6281BDE}"/>
    <cellStyle name="Comma 3 5 7 2" xfId="4063" xr:uid="{31994C8F-1A1F-47D1-9A8E-64CDBE2DA8BD}"/>
    <cellStyle name="Comma 3 5 8" xfId="4064" xr:uid="{1C06DDE1-962F-419B-B120-FF3D069BDFBC}"/>
    <cellStyle name="Comma 3 5 9" xfId="4512" xr:uid="{3568A3F8-4511-4D7A-859E-6CF8A175B727}"/>
    <cellStyle name="Comma 3 5 9 2" xfId="5646" xr:uid="{C09BF59C-B733-4B1E-A91B-E34F5EE5442E}"/>
    <cellStyle name="Comma 3 6" xfId="158" xr:uid="{74DD8C36-E7F2-4FE2-8BB4-910E13B5FE31}"/>
    <cellStyle name="Comma 3 6 2" xfId="1650" xr:uid="{2746C95A-5F1C-4755-BA84-6FA8A24A03B5}"/>
    <cellStyle name="Comma 3 6 2 2" xfId="2292" xr:uid="{4A927052-ADC8-48A2-87FF-C157839A8EC0}"/>
    <cellStyle name="Comma 3 6 2 2 2" xfId="4763" xr:uid="{9ECAA46C-90A9-4FC9-A6DD-E89D4C1B2A95}"/>
    <cellStyle name="Comma 3 6 2 2 2 2" xfId="5897" xr:uid="{C644F11E-4F3C-46C3-9804-F1F1DCA2B915}"/>
    <cellStyle name="Comma 3 6 2 2 3" xfId="5469" xr:uid="{1674E00A-38B2-430A-AFCE-E0BB0C560232}"/>
    <cellStyle name="Comma 3 6 2 2 4" xfId="5082" xr:uid="{5F7E71C1-E2E3-48C4-B8AA-E64BB27E4F61}"/>
    <cellStyle name="Comma 3 6 2 3" xfId="4590" xr:uid="{74D8EC1F-EF08-401E-A194-72F357EDFC2F}"/>
    <cellStyle name="Comma 3 6 2 3 2" xfId="5724" xr:uid="{E8498A22-2241-4988-814A-93029E592E19}"/>
    <cellStyle name="Comma 3 6 2 4" xfId="5296" xr:uid="{5CC8312F-35C2-4F60-B505-0348553CC64E}"/>
    <cellStyle name="Comma 3 6 2 5" xfId="4909" xr:uid="{CEA73CC2-DA80-4B6C-9C69-6631026B935E}"/>
    <cellStyle name="Comma 3 6 3" xfId="1762" xr:uid="{D9D98CB9-2E41-4AA4-9D5B-C4ACEC4AA919}"/>
    <cellStyle name="Comma 3 6 3 2" xfId="2335" xr:uid="{FB4387E3-F843-4FE7-A50E-AF48DD3C9D30}"/>
    <cellStyle name="Comma 3 6 3 2 2" xfId="4806" xr:uid="{75357BD7-9EF1-4CD1-87A9-89C472553D26}"/>
    <cellStyle name="Comma 3 6 3 2 2 2" xfId="5940" xr:uid="{0610DEED-11CF-463C-9903-3889DA8DFB2F}"/>
    <cellStyle name="Comma 3 6 3 2 3" xfId="5512" xr:uid="{47E2FB21-638D-4E1F-ADC4-37723F25D6A1}"/>
    <cellStyle name="Comma 3 6 3 2 4" xfId="5125" xr:uid="{384A9D1B-CAED-431F-9FEF-F791B8F4E09D}"/>
    <cellStyle name="Comma 3 6 3 3" xfId="4633" xr:uid="{6076A5D9-7989-47FC-BEF8-86A41E79D4FD}"/>
    <cellStyle name="Comma 3 6 3 3 2" xfId="5767" xr:uid="{CC3ABBCE-950F-4BBC-83B4-097F04202D28}"/>
    <cellStyle name="Comma 3 6 3 4" xfId="5339" xr:uid="{757A33E4-69FD-4AD7-AF6A-7C3959A5134F}"/>
    <cellStyle name="Comma 3 6 3 5" xfId="4952" xr:uid="{22EF2F3C-A976-41EE-BCD8-E128652560B6}"/>
    <cellStyle name="Comma 3 6 4" xfId="1505" xr:uid="{4F67F0A7-F1AD-4F90-9A07-F1958AF6EA74}"/>
    <cellStyle name="Comma 3 6 4 2" xfId="2043" xr:uid="{F9899973-CFD6-4603-AC04-5D4CC100A744}"/>
    <cellStyle name="Comma 3 6 4 2 2" xfId="2968" xr:uid="{65452858-97A4-4F3D-B118-071AC94ABC7B}"/>
    <cellStyle name="Comma 3 6 4 2 2 2" xfId="4065" xr:uid="{1B603227-5CE3-4D53-9FE6-1A1705C352D2}"/>
    <cellStyle name="Comma 3 6 4 2 3" xfId="2746" xr:uid="{A3020578-6689-49E5-B6F9-9E22A5EB52FB}"/>
    <cellStyle name="Comma 3 6 4 2 3 2" xfId="4066" xr:uid="{4E71113F-995F-4996-B725-F88B85B85511}"/>
    <cellStyle name="Comma 3 6 4 2 4" xfId="4067" xr:uid="{AD383CD7-D188-4BDF-BF0B-3D3B3CEE8D96}"/>
    <cellStyle name="Comma 3 6 4 3" xfId="2521" xr:uid="{38B888C4-7207-4FA2-9608-227607A64109}"/>
    <cellStyle name="Comma 3 6 4 3 2" xfId="4068" xr:uid="{11E8AFD8-2886-4F1D-A0A5-F160462795FA}"/>
    <cellStyle name="Comma 3 6 4 4" xfId="4069" xr:uid="{E4757670-8B20-4F83-8C9B-4E76A6B2C241}"/>
    <cellStyle name="Comma 3 6 5" xfId="2113" xr:uid="{CEA6BB4A-91F9-4336-A7FC-58CAE1F226C4}"/>
    <cellStyle name="Comma 3 6 5 2" xfId="2793" xr:uid="{FC04444B-0A56-4967-AC37-CEBC36A8D0FC}"/>
    <cellStyle name="Comma 3 6 5 2 2" xfId="3119" xr:uid="{EA5D73ED-D64F-4D3A-BCEF-807A1C76FAFA}"/>
    <cellStyle name="Comma 3 6 5 2 2 2" xfId="4070" xr:uid="{43B4D454-F0AE-4B9C-865C-2499BF7E2F3D}"/>
    <cellStyle name="Comma 3 6 5 2 3" xfId="4071" xr:uid="{BFE86C0A-4730-4264-824A-604F59DFBAEB}"/>
    <cellStyle name="Comma 3 6 5 3" xfId="3015" xr:uid="{8B36468E-E156-472A-B3CA-E265861FA0C2}"/>
    <cellStyle name="Comma 3 6 5 3 2" xfId="4072" xr:uid="{6792CAF6-2FBD-4651-9E10-87BC40E13073}"/>
    <cellStyle name="Comma 3 6 5 4" xfId="2568" xr:uid="{147A76E9-C7A8-4E23-8B48-F0D31545CF9B}"/>
    <cellStyle name="Comma 3 6 5 4 2" xfId="4073" xr:uid="{38758165-0494-477B-A7E0-D22CAADA50C4}"/>
    <cellStyle name="Comma 3 6 5 5" xfId="4074" xr:uid="{A9C0D64C-C3FC-4DA1-8158-C3314D027948}"/>
    <cellStyle name="Comma 3 6 6" xfId="2226" xr:uid="{A6CF46B0-060B-4A86-86F0-6B896021DD8D}"/>
    <cellStyle name="Comma 3 6 6 2" xfId="4697" xr:uid="{9B4E7236-8A3B-4EBD-943E-C8A53C575C4D}"/>
    <cellStyle name="Comma 3 6 6 2 2" xfId="5831" xr:uid="{97363536-8D04-4454-836D-26D3F75B6271}"/>
    <cellStyle name="Comma 3 6 6 3" xfId="5403" xr:uid="{B3E20FD0-C6EE-4E69-9A74-61C4CBC06E86}"/>
    <cellStyle name="Comma 3 6 6 4" xfId="5016" xr:uid="{40CA7469-F045-45A3-AC51-EA1CB14F1F34}"/>
    <cellStyle name="Comma 3 6 7" xfId="4516" xr:uid="{7AAD28EE-5BD6-4B9B-89DF-EB2DD87912B8}"/>
    <cellStyle name="Comma 3 6 7 2" xfId="5650" xr:uid="{8FCEE156-26B5-4299-B841-495CDC6BF449}"/>
    <cellStyle name="Comma 3 6 8" xfId="5232" xr:uid="{E5EE58AD-FD87-4DB5-93ED-498685EE355C}"/>
    <cellStyle name="Comma 3 6 9" xfId="4862" xr:uid="{7708CC64-7022-4710-94B4-D9D907585D76}"/>
    <cellStyle name="Comma 3 7" xfId="159" xr:uid="{0A57F67B-3AAE-4910-B5FC-0DDE9A616EE4}"/>
    <cellStyle name="Comma 3 7 2" xfId="1190" xr:uid="{F508FC5E-DB6B-4A7F-BD88-13B5E70B46F7}"/>
    <cellStyle name="Comma 3 7 2 2" xfId="1979" xr:uid="{9B13E0A2-52B2-463A-9A63-594F419CEF50}"/>
    <cellStyle name="Comma 3 7 2 2 2" xfId="2904" xr:uid="{BFED9DAB-0F65-4F9A-AEA9-0C2A115CB5F1}"/>
    <cellStyle name="Comma 3 7 2 2 2 2" xfId="4075" xr:uid="{84FE70A6-EE6C-4574-BB6F-54C4D8E5C151}"/>
    <cellStyle name="Comma 3 7 2 2 3" xfId="2682" xr:uid="{695B8CBA-79F8-4AB7-BF9F-7A06A7F8CEF7}"/>
    <cellStyle name="Comma 3 7 2 2 3 2" xfId="4076" xr:uid="{E312459A-63B1-4CD9-8827-4ACE8C10D946}"/>
    <cellStyle name="Comma 3 7 2 2 4" xfId="4077" xr:uid="{A7C499B3-BF5F-49A7-968F-1DC029B115FC}"/>
    <cellStyle name="Comma 3 7 2 3" xfId="2457" xr:uid="{2F606A65-309C-405C-BE22-140A461427B0}"/>
    <cellStyle name="Comma 3 7 2 3 2" xfId="4078" xr:uid="{06263612-6C95-4870-BB4C-B16C83422023}"/>
    <cellStyle name="Comma 3 7 2 4" xfId="4079" xr:uid="{581BBAAA-C69F-403B-B239-F9C8E58FDA26}"/>
    <cellStyle name="Comma 3 7 3" xfId="1909" xr:uid="{F51F952C-834D-44B7-84FB-A37ACB1726A0}"/>
    <cellStyle name="Comma 3 7 3 2" xfId="2834" xr:uid="{6C621B34-8F49-4B2B-A735-07D86F563105}"/>
    <cellStyle name="Comma 3 7 3 2 2" xfId="4080" xr:uid="{79CA7A52-95F9-412B-BBBF-472676A3C9A3}"/>
    <cellStyle name="Comma 3 7 3 3" xfId="2612" xr:uid="{257E3418-A39C-4FF6-8491-6EDFE847BD61}"/>
    <cellStyle name="Comma 3 7 3 3 2" xfId="4081" xr:uid="{AA1DD0B0-3A11-4369-831C-E08722B73632}"/>
    <cellStyle name="Comma 3 7 3 4" xfId="4082" xr:uid="{74117F57-0EF5-4B91-B1F5-C89EDBD1BFB5}"/>
    <cellStyle name="Comma 3 7 4" xfId="2387" xr:uid="{626A8539-0014-46B4-A02E-8307FA45B390}"/>
    <cellStyle name="Comma 3 7 4 2" xfId="4083" xr:uid="{24594868-A495-4C97-BBEC-7A53F03ACBF5}"/>
    <cellStyle name="Comma 3 7 5" xfId="1017" xr:uid="{766F324C-0B71-4494-A6AC-530F63F91CA3}"/>
    <cellStyle name="Comma 3 7 5 2" xfId="4084" xr:uid="{C3FF673D-75E4-4799-8442-5C24FFB3745A}"/>
    <cellStyle name="Comma 3 7 6" xfId="4085" xr:uid="{D17995C5-4FD3-41AD-A022-111EC48AE093}"/>
    <cellStyle name="Comma 3 7 7" xfId="4517" xr:uid="{720C0481-BC1C-4D40-8ADC-3791A098BB62}"/>
    <cellStyle name="Comma 3 7 7 2" xfId="5651" xr:uid="{8DDCE410-659C-4C13-99E5-6A2CCC7659D3}"/>
    <cellStyle name="Comma 3 7 8" xfId="5233" xr:uid="{91182027-8EB5-4052-AE7D-FA7A9416CC44}"/>
    <cellStyle name="Comma 3 8" xfId="160" xr:uid="{16EA0D34-D38E-4C60-BDB7-6643A308D6C5}"/>
    <cellStyle name="Comma 3 8 2" xfId="2262" xr:uid="{B44AEC49-39F2-4925-BE61-DBE6514C0B0C}"/>
    <cellStyle name="Comma 3 8 2 2" xfId="4733" xr:uid="{DBC17BA1-0071-4B52-BA26-422DB2FDCBC6}"/>
    <cellStyle name="Comma 3 8 2 2 2" xfId="5867" xr:uid="{EA1EB63F-A260-4E8F-9F5E-63436E38B238}"/>
    <cellStyle name="Comma 3 8 2 3" xfId="5439" xr:uid="{CE0086C1-119D-412F-907E-616A3BDF361A}"/>
    <cellStyle name="Comma 3 8 2 4" xfId="5052" xr:uid="{0DDB9E5B-4D6C-466D-ADD7-D1A857643A0E}"/>
    <cellStyle name="Comma 3 8 3" xfId="1542" xr:uid="{77C843A3-9032-4FA0-8904-AF2EE5232C07}"/>
    <cellStyle name="Comma 3 8 3 2" xfId="4560" xr:uid="{08E82A83-8204-4C95-9DB7-C55A225E02C9}"/>
    <cellStyle name="Comma 3 8 3 2 2" xfId="5694" xr:uid="{6F51F8A1-96CA-48DB-8008-616EEEF6CA8A}"/>
    <cellStyle name="Comma 3 8 3 3" xfId="5266" xr:uid="{835A5DC0-8853-4DAF-9FEB-2EF03E3EE088}"/>
    <cellStyle name="Comma 3 8 3 4" xfId="4879" xr:uid="{137D590E-6D7C-4D0D-B615-693BE11854D2}"/>
    <cellStyle name="Comma 3 8 4" xfId="4086" xr:uid="{5B88FAB1-636D-4083-937D-F026A5BBA901}"/>
    <cellStyle name="Comma 3 8 5" xfId="4518" xr:uid="{4C9BDE68-82CE-4C93-9F71-35BBB9CB7CE8}"/>
    <cellStyle name="Comma 3 8 5 2" xfId="5652" xr:uid="{C6D8341F-C1B4-473D-B0B9-B2A1BA08E056}"/>
    <cellStyle name="Comma 3 9" xfId="1713" xr:uid="{3A9C23FE-89C1-4648-9408-0A755D31B462}"/>
    <cellStyle name="Comma 3 9 2" xfId="2303" xr:uid="{F988ADD8-9C6F-43C7-919F-196C26474DD9}"/>
    <cellStyle name="Comma 3 9 2 2" xfId="4774" xr:uid="{BCFF4BF3-1961-4191-8B15-6586E880F2A9}"/>
    <cellStyle name="Comma 3 9 2 2 2" xfId="5908" xr:uid="{BD01D0C8-BBC8-41F0-99D3-E5BECA474F27}"/>
    <cellStyle name="Comma 3 9 2 3" xfId="5480" xr:uid="{C5D86CA8-9C7E-4C1C-9238-84CEE9EED617}"/>
    <cellStyle name="Comma 3 9 2 4" xfId="5093" xr:uid="{8BD56D5A-34F8-429F-956E-81D01E1FEBB1}"/>
    <cellStyle name="Comma 3 9 3" xfId="4601" xr:uid="{7C3241B6-BE47-4FD1-B649-CCDC007F3C55}"/>
    <cellStyle name="Comma 3 9 3 2" xfId="5735" xr:uid="{D9C6C493-61F0-4E36-A397-9B7EC3E2B937}"/>
    <cellStyle name="Comma 3 9 4" xfId="5307" xr:uid="{0F8F0EDF-D03C-4616-B1DD-64EAC2A36E54}"/>
    <cellStyle name="Comma 3 9 5" xfId="4920" xr:uid="{236CF7C3-6714-4EE5-A305-B1D0D470BA56}"/>
    <cellStyle name="Comma 4" xfId="52" xr:uid="{7F75CFC9-A372-440F-9B9D-2F72D2705BB4}"/>
    <cellStyle name="Comma 4 10" xfId="966" xr:uid="{498DA011-EDE4-492D-99DD-9C202C68C43E}"/>
    <cellStyle name="Comma 4 10 2" xfId="4087" xr:uid="{15CAEC05-31BD-45C0-A0EB-92561ECEA937}"/>
    <cellStyle name="Comma 4 11" xfId="4088" xr:uid="{3998E516-74C4-4115-83FB-2DC6261C3790}"/>
    <cellStyle name="Comma 4 12" xfId="4417" xr:uid="{DCBC6F95-D37B-46C5-B421-E1B3EED4E02E}"/>
    <cellStyle name="Comma 4 12 2" xfId="5551" xr:uid="{A2216736-7CC8-4BAA-BC77-95934AAB9215}"/>
    <cellStyle name="Comma 4 2" xfId="161" xr:uid="{ED4CC256-5748-4A4C-998B-B8E684F8355E}"/>
    <cellStyle name="Comma 4 2 10" xfId="4519" xr:uid="{BC17EBA0-9391-4FFB-B94B-752E2DE1B8C2}"/>
    <cellStyle name="Comma 4 2 10 2" xfId="5653" xr:uid="{12C1B056-FF1D-4C6D-9082-F842B524B03E}"/>
    <cellStyle name="Comma 4 2 2" xfId="162" xr:uid="{F337EBF5-5581-4F7E-846A-73B7F5F1D4C3}"/>
    <cellStyle name="Comma 4 2 2 2" xfId="1791" xr:uid="{3C1B57FC-1A16-4F65-B3FB-AF151ED99BEB}"/>
    <cellStyle name="Comma 4 2 2 2 2" xfId="2364" xr:uid="{46B1A0D9-B4F9-4B47-90E0-DEA9270967C3}"/>
    <cellStyle name="Comma 4 2 2 2 2 2" xfId="4835" xr:uid="{8F4F3267-7CED-43DE-A5A9-6C699FBCD379}"/>
    <cellStyle name="Comma 4 2 2 2 2 2 2" xfId="5969" xr:uid="{CDBF5E01-428F-41FF-9F75-2A99CD3B129C}"/>
    <cellStyle name="Comma 4 2 2 2 2 3" xfId="5541" xr:uid="{D2ED799D-CF0A-4792-BB04-E74A30243FDD}"/>
    <cellStyle name="Comma 4 2 2 2 2 4" xfId="5154" xr:uid="{FD9F604B-D9D1-42A4-A911-312E8D9626A2}"/>
    <cellStyle name="Comma 4 2 2 2 3" xfId="4662" xr:uid="{83562C7F-AB7C-4846-8CD1-3DDCC0FF0987}"/>
    <cellStyle name="Comma 4 2 2 2 3 2" xfId="5796" xr:uid="{32080224-46C8-4878-95D7-C2604629A736}"/>
    <cellStyle name="Comma 4 2 2 2 4" xfId="5368" xr:uid="{34A6A819-83B7-44BC-9150-A047B48AA18E}"/>
    <cellStyle name="Comma 4 2 2 2 5" xfId="4981" xr:uid="{AFE2731E-B03E-4BED-8EE8-DBD43A08DD3D}"/>
    <cellStyle name="Comma 4 2 2 3" xfId="2255" xr:uid="{05B1D418-5A75-4298-9219-B08705F2BBDE}"/>
    <cellStyle name="Comma 4 2 2 3 2" xfId="4726" xr:uid="{A8FD60FA-B385-497F-99C1-AA0DBF675D74}"/>
    <cellStyle name="Comma 4 2 2 3 2 2" xfId="5860" xr:uid="{85E1BFA5-EBE8-435E-8835-33BB5181FFF7}"/>
    <cellStyle name="Comma 4 2 2 3 3" xfId="5432" xr:uid="{A63D4159-C04C-4590-85BD-B268F620862C}"/>
    <cellStyle name="Comma 4 2 2 3 4" xfId="5045" xr:uid="{FC4E848F-6369-4ABA-B9CF-7DA6E0F44E35}"/>
    <cellStyle name="Comma 4 2 2 4" xfId="4520" xr:uid="{BB3053C9-8562-4B52-AF38-DFA06D8B8099}"/>
    <cellStyle name="Comma 4 2 2 4 2" xfId="5654" xr:uid="{5488A25F-58D5-48EB-B20B-98E239367112}"/>
    <cellStyle name="Comma 4 2 2 5" xfId="5234" xr:uid="{1246D70D-6A56-42ED-8054-51674950C5A2}"/>
    <cellStyle name="Comma 4 2 2 6" xfId="4863" xr:uid="{E60B5B73-6E6B-4199-BB7F-2950B76D80AB}"/>
    <cellStyle name="Comma 4 2 3" xfId="163" xr:uid="{AA1BF77D-208D-4906-97F9-1F78AF1D11A1}"/>
    <cellStyle name="Comma 4 2 3 2" xfId="1219" xr:uid="{F161B5B1-5D98-450E-9502-DBD24494CEFF}"/>
    <cellStyle name="Comma 4 2 3 2 2" xfId="2008" xr:uid="{90F986E7-7E09-406D-A510-00EBF9BC7463}"/>
    <cellStyle name="Comma 4 2 3 2 2 2" xfId="2933" xr:uid="{402AB61C-3B1D-4849-BEBE-859C197046F0}"/>
    <cellStyle name="Comma 4 2 3 2 2 2 2" xfId="4089" xr:uid="{88C13071-56E8-4640-AC77-0FD8EDDFB5EB}"/>
    <cellStyle name="Comma 4 2 3 2 2 3" xfId="2711" xr:uid="{B5FBBED6-4248-47C5-B1B9-EA80A379FCFC}"/>
    <cellStyle name="Comma 4 2 3 2 2 3 2" xfId="4090" xr:uid="{6815B6DC-0C7D-419F-A5E8-A115207C7F18}"/>
    <cellStyle name="Comma 4 2 3 2 2 4" xfId="4091" xr:uid="{36E3CDED-095E-4166-BD79-EF548D342486}"/>
    <cellStyle name="Comma 4 2 3 2 3" xfId="2486" xr:uid="{6448EBBB-D5BA-4FA5-B33E-1E71B40B6438}"/>
    <cellStyle name="Comma 4 2 3 2 3 2" xfId="4092" xr:uid="{5FF79516-4E9F-489C-97D9-7CA540CF09B6}"/>
    <cellStyle name="Comma 4 2 3 2 4" xfId="4093" xr:uid="{3ACC2DFB-06BE-4715-AC80-43F567E9AB3F}"/>
    <cellStyle name="Comma 4 2 3 3" xfId="1938" xr:uid="{035309D7-D24F-4522-9B42-0535575BD974}"/>
    <cellStyle name="Comma 4 2 3 3 2" xfId="2863" xr:uid="{903ED4C6-DF03-47B7-A32E-5C5D6C30EF82}"/>
    <cellStyle name="Comma 4 2 3 3 2 2" xfId="4094" xr:uid="{39671D68-8EDC-432C-988F-FE3700C2D11B}"/>
    <cellStyle name="Comma 4 2 3 3 3" xfId="2641" xr:uid="{BE117E2A-77F3-4175-B3A1-8740E68E00C0}"/>
    <cellStyle name="Comma 4 2 3 3 3 2" xfId="4095" xr:uid="{8FE75D0F-BB56-4F1D-A89C-D462190BA5A2}"/>
    <cellStyle name="Comma 4 2 3 3 4" xfId="4096" xr:uid="{53414DEB-E1A9-4ABB-B882-4225733EF259}"/>
    <cellStyle name="Comma 4 2 3 4" xfId="2416" xr:uid="{60D49BC7-E5D2-489A-8BA7-5B593DD6A83D}"/>
    <cellStyle name="Comma 4 2 3 4 2" xfId="4097" xr:uid="{48CF06EC-139E-44F7-AD60-BA364BD982B6}"/>
    <cellStyle name="Comma 4 2 3 5" xfId="1046" xr:uid="{17263B61-589E-47FD-82E7-DBFB570304D8}"/>
    <cellStyle name="Comma 4 2 3 5 2" xfId="4098" xr:uid="{E60A049F-29D7-447C-8F33-C994E0D9251F}"/>
    <cellStyle name="Comma 4 2 3 6" xfId="4099" xr:uid="{2D47FEBE-A29E-4D92-B47D-2F29D5544786}"/>
    <cellStyle name="Comma 4 2 3 7" xfId="4521" xr:uid="{FD25CED6-B975-4CCB-AE80-7CDC870766E0}"/>
    <cellStyle name="Comma 4 2 3 7 2" xfId="5655" xr:uid="{D9E15BC0-568F-4E5A-B55F-8AA917FF7ECB}"/>
    <cellStyle name="Comma 4 2 3 8" xfId="5235" xr:uid="{164D2DE7-C03F-441B-8DD4-EAE86AAC8FFE}"/>
    <cellStyle name="Comma 4 2 4" xfId="1637" xr:uid="{631A8E7D-4EF9-430F-B72F-728ECE493833}"/>
    <cellStyle name="Comma 4 2 4 2" xfId="2290" xr:uid="{F5BE036D-7FFA-42B3-9133-F4B70D860AD4}"/>
    <cellStyle name="Comma 4 2 4 2 2" xfId="4761" xr:uid="{9EE40A07-7541-48D9-84EA-E2AC6155808B}"/>
    <cellStyle name="Comma 4 2 4 2 2 2" xfId="5895" xr:uid="{84DCEC40-7298-4B0C-A7B4-3290A266B9E0}"/>
    <cellStyle name="Comma 4 2 4 2 3" xfId="5467" xr:uid="{E8F5041B-FAD0-40B6-99FB-BF97CABDC092}"/>
    <cellStyle name="Comma 4 2 4 2 4" xfId="5080" xr:uid="{A6E88E9A-CC2E-4A24-A1F8-7666D600C2F7}"/>
    <cellStyle name="Comma 4 2 4 3" xfId="4588" xr:uid="{232A85EA-FD31-4FA0-812E-D38026E87707}"/>
    <cellStyle name="Comma 4 2 4 3 2" xfId="5722" xr:uid="{4CE47C50-77FF-4670-9B09-94BC8E549589}"/>
    <cellStyle name="Comma 4 2 4 4" xfId="5294" xr:uid="{3173055E-FE7A-4503-AB82-B44FD7EE0244}"/>
    <cellStyle name="Comma 4 2 4 5" xfId="4907" xr:uid="{8A2CBDEE-F871-4FDE-9B39-10B651F5561A}"/>
    <cellStyle name="Comma 4 2 5" xfId="1759" xr:uid="{2DE6016F-96C7-43E0-B183-4399575ADEF2}"/>
    <cellStyle name="Comma 4 2 5 2" xfId="2332" xr:uid="{0DFE4DD3-509A-41D9-8785-17FFEFC32022}"/>
    <cellStyle name="Comma 4 2 5 2 2" xfId="4803" xr:uid="{AAB0BE0B-F83E-4B66-B000-56C638CD8924}"/>
    <cellStyle name="Comma 4 2 5 2 2 2" xfId="5937" xr:uid="{0A81F591-B797-4292-9425-726AB88F9977}"/>
    <cellStyle name="Comma 4 2 5 2 3" xfId="5509" xr:uid="{78AEB64E-2A77-4222-B6FC-C0D214F843E5}"/>
    <cellStyle name="Comma 4 2 5 2 4" xfId="5122" xr:uid="{56EC01E3-B638-4310-B9F9-A35AFFE647F3}"/>
    <cellStyle name="Comma 4 2 5 3" xfId="4630" xr:uid="{864686B8-EE4D-4276-ABF7-66EA121FA369}"/>
    <cellStyle name="Comma 4 2 5 3 2" xfId="5764" xr:uid="{450785DB-DB0B-4036-BF32-18997C5DDA22}"/>
    <cellStyle name="Comma 4 2 5 4" xfId="5336" xr:uid="{AD23E083-DC8C-408E-AAC0-809CF83AE5DD}"/>
    <cellStyle name="Comma 4 2 5 5" xfId="4949" xr:uid="{84259847-C1CD-4F07-BF99-6D283B1BFDE5}"/>
    <cellStyle name="Comma 4 2 6" xfId="2114" xr:uid="{49AB2091-9C8C-481C-96D5-9987EEFB4310}"/>
    <cellStyle name="Comma 4 2 6 2" xfId="2794" xr:uid="{473DBA4C-4784-4BEC-BB94-230F61779FB5}"/>
    <cellStyle name="Comma 4 2 6 2 2" xfId="3120" xr:uid="{0C4CCA32-269F-4A53-A317-6A6BC31449DE}"/>
    <cellStyle name="Comma 4 2 6 2 2 2" xfId="4100" xr:uid="{2425C1A9-C3A5-4B3A-BFC3-FD9B12EC19F3}"/>
    <cellStyle name="Comma 4 2 6 2 3" xfId="4101" xr:uid="{7FF11ED4-498D-49AC-B5C7-174FA51BB287}"/>
    <cellStyle name="Comma 4 2 6 3" xfId="3016" xr:uid="{72B2560C-A71E-4B52-A926-588155D3A0A5}"/>
    <cellStyle name="Comma 4 2 6 3 2" xfId="4102" xr:uid="{13C119C5-4DC2-4964-AB83-8B8EDEF987AF}"/>
    <cellStyle name="Comma 4 2 6 4" xfId="2569" xr:uid="{8EE4A5DD-6174-49F2-8676-A665DAF3C41F}"/>
    <cellStyle name="Comma 4 2 6 4 2" xfId="4103" xr:uid="{A1D51FA1-724E-48F8-B345-A555A7BF16A1}"/>
    <cellStyle name="Comma 4 2 6 5" xfId="4104" xr:uid="{B51E5E57-BBF2-4112-B7D8-C36BFF285FBC}"/>
    <cellStyle name="Comma 4 2 7" xfId="2223" xr:uid="{0E726990-E8E8-4C4D-ABEC-A4BC35D38A4E}"/>
    <cellStyle name="Comma 4 2 7 2" xfId="4694" xr:uid="{958EE6A8-E464-419E-B924-8218E0539BB1}"/>
    <cellStyle name="Comma 4 2 7 2 2" xfId="5828" xr:uid="{69308463-B160-4E60-A15C-4BB46FD707AE}"/>
    <cellStyle name="Comma 4 2 7 3" xfId="5400" xr:uid="{30D17902-8E71-4EBC-B6A4-49F441E3A569}"/>
    <cellStyle name="Comma 4 2 7 4" xfId="5013" xr:uid="{A4E1C89D-9042-470A-88BD-67DFA64F0008}"/>
    <cellStyle name="Comma 4 2 8" xfId="996" xr:uid="{F135E5BB-F82B-4464-8B10-533D7A0DE369}"/>
    <cellStyle name="Comma 4 2 8 2" xfId="4105" xr:uid="{32E8AC8E-F294-4D68-8294-4EB647C16B7E}"/>
    <cellStyle name="Comma 4 2 9" xfId="4106" xr:uid="{D567E1AE-EFF3-40DC-985A-DBF4ECF35D3C}"/>
    <cellStyle name="Comma 4 3" xfId="164" xr:uid="{8659C10F-518D-4985-B088-0445B173673D}"/>
    <cellStyle name="Comma 4 3 2" xfId="165" xr:uid="{436EC6A3-CABC-46F4-B48B-8743F10A842B}"/>
    <cellStyle name="Comma 4 3 2 2" xfId="1782" xr:uid="{68D03686-77AA-44C2-9872-375B06F7BBDD}"/>
    <cellStyle name="Comma 4 3 2 2 2" xfId="2355" xr:uid="{09D6C0D0-9F36-48AD-8703-54448C832068}"/>
    <cellStyle name="Comma 4 3 2 2 2 2" xfId="4826" xr:uid="{72CBEB6A-A48B-4500-9F5E-98BB5530366C}"/>
    <cellStyle name="Comma 4 3 2 2 2 2 2" xfId="5960" xr:uid="{728B0D81-F4C7-482B-BCB8-2D7681892328}"/>
    <cellStyle name="Comma 4 3 2 2 2 3" xfId="5532" xr:uid="{1776B127-1E07-4FB5-833B-AD9F9E7BB7B6}"/>
    <cellStyle name="Comma 4 3 2 2 2 4" xfId="5145" xr:uid="{B2B29A51-C5B4-4624-B9A0-99F74B066FA7}"/>
    <cellStyle name="Comma 4 3 2 2 3" xfId="4653" xr:uid="{6EA96DCA-DF02-4B2D-9B67-E6ED700C8A05}"/>
    <cellStyle name="Comma 4 3 2 2 3 2" xfId="5787" xr:uid="{6698CC6F-E45A-4D58-8AF2-DDE0617BE512}"/>
    <cellStyle name="Comma 4 3 2 2 4" xfId="5359" xr:uid="{C33B6663-C3F9-46ED-9E65-7503BA0226D6}"/>
    <cellStyle name="Comma 4 3 2 2 5" xfId="4972" xr:uid="{091BF8F6-CC90-4466-A17A-2502132C8E5F}"/>
    <cellStyle name="Comma 4 3 2 3" xfId="2246" xr:uid="{E514A1F8-A304-4303-BA00-C1BD7264BECB}"/>
    <cellStyle name="Comma 4 3 2 3 2" xfId="4717" xr:uid="{4A401B96-4A2F-479B-9D90-4DB216237505}"/>
    <cellStyle name="Comma 4 3 2 3 2 2" xfId="5851" xr:uid="{131571E6-E357-48C7-B969-D8954CB23774}"/>
    <cellStyle name="Comma 4 3 2 3 3" xfId="5423" xr:uid="{995210CD-6809-4420-8EB7-B0DC53F08630}"/>
    <cellStyle name="Comma 4 3 2 3 4" xfId="5036" xr:uid="{EA41F6AD-62AF-46BA-A6A7-49B10B9DD6B1}"/>
    <cellStyle name="Comma 4 3 2 4" xfId="4523" xr:uid="{E6DCCD5F-377A-4C92-87CC-006762CDFBA2}"/>
    <cellStyle name="Comma 4 3 2 4 2" xfId="5657" xr:uid="{A687782C-EAB2-4734-8B24-A4C592D986D4}"/>
    <cellStyle name="Comma 4 3 2 5" xfId="5236" xr:uid="{D4BB865B-CE0B-4238-B935-E055137C3C45}"/>
    <cellStyle name="Comma 4 3 2 6" xfId="4864" xr:uid="{E56E0AFD-20BF-4507-BDED-17B7E6A739CB}"/>
    <cellStyle name="Comma 4 3 3" xfId="166" xr:uid="{79DF598A-537B-4BCE-83A9-F58D56D86DC9}"/>
    <cellStyle name="Comma 4 3 3 2" xfId="1210" xr:uid="{60050068-4461-42F4-80F4-EF8A76AA8AA1}"/>
    <cellStyle name="Comma 4 3 3 2 2" xfId="1999" xr:uid="{6E9626BD-D24D-4686-B102-2A47B6E6A884}"/>
    <cellStyle name="Comma 4 3 3 2 2 2" xfId="2924" xr:uid="{2F1F906C-1D59-48AA-92EB-9E4F894C5299}"/>
    <cellStyle name="Comma 4 3 3 2 2 2 2" xfId="4107" xr:uid="{9320D40D-90E0-41D7-BE47-D9AA5D822344}"/>
    <cellStyle name="Comma 4 3 3 2 2 3" xfId="2702" xr:uid="{7494FA9F-B847-4458-9A96-C96A1414D36E}"/>
    <cellStyle name="Comma 4 3 3 2 2 3 2" xfId="4108" xr:uid="{D5B0AA4F-B1B6-4908-994E-0C0135E16543}"/>
    <cellStyle name="Comma 4 3 3 2 2 4" xfId="4109" xr:uid="{1DC65CE0-DBAD-4421-A6B9-08DA0AEB6D7D}"/>
    <cellStyle name="Comma 4 3 3 2 3" xfId="2477" xr:uid="{8A56F2A9-C068-4E74-B4AE-424AADA97CF3}"/>
    <cellStyle name="Comma 4 3 3 2 3 2" xfId="4110" xr:uid="{A6348916-7F5F-4721-9896-F386A45A309C}"/>
    <cellStyle name="Comma 4 3 3 2 4" xfId="4111" xr:uid="{BAC1AB69-B385-48D8-8D43-E7770768107C}"/>
    <cellStyle name="Comma 4 3 3 3" xfId="1929" xr:uid="{7C678FB5-56C9-45A1-A225-D0C81E476C3F}"/>
    <cellStyle name="Comma 4 3 3 3 2" xfId="2854" xr:uid="{766CC339-E21D-4E38-8856-EC4F12FD7081}"/>
    <cellStyle name="Comma 4 3 3 3 2 2" xfId="4112" xr:uid="{3DB1CEE1-E327-46E5-9523-6767C7E48FA6}"/>
    <cellStyle name="Comma 4 3 3 3 3" xfId="2632" xr:uid="{48C69C15-4FA4-403E-A6CF-E328106C92D8}"/>
    <cellStyle name="Comma 4 3 3 3 3 2" xfId="4113" xr:uid="{27945EB0-D958-46BB-BB9F-54CEFA05A1C5}"/>
    <cellStyle name="Comma 4 3 3 3 4" xfId="4114" xr:uid="{57501222-93B8-48C7-AD4B-4D8DF496FC1D}"/>
    <cellStyle name="Comma 4 3 3 4" xfId="2407" xr:uid="{DD5A0176-C9EE-4129-BA61-7A088DA254B4}"/>
    <cellStyle name="Comma 4 3 3 4 2" xfId="4115" xr:uid="{8E9E7C04-817A-4980-9031-D6ECBD631127}"/>
    <cellStyle name="Comma 4 3 3 5" xfId="1037" xr:uid="{6F7F7477-438B-4EDD-91C1-19E6696D033A}"/>
    <cellStyle name="Comma 4 3 3 5 2" xfId="4116" xr:uid="{607B3EE5-7F35-411C-86E7-B519DC98EACC}"/>
    <cellStyle name="Comma 4 3 3 6" xfId="4117" xr:uid="{D56D388D-A701-47F6-AD60-88D544BAD7C6}"/>
    <cellStyle name="Comma 4 3 3 7" xfId="4524" xr:uid="{09E0EE09-0ED8-417D-9D22-E138E4856214}"/>
    <cellStyle name="Comma 4 3 3 7 2" xfId="5658" xr:uid="{DEAB08DC-B840-471C-B9EC-51CA094B2251}"/>
    <cellStyle name="Comma 4 3 3 8" xfId="5237" xr:uid="{EE023C9D-5A13-4EF9-89CA-42F8D2212FD8}"/>
    <cellStyle name="Comma 4 3 4" xfId="1750" xr:uid="{C0E50CB9-6708-4ECA-ABED-226233917C45}"/>
    <cellStyle name="Comma 4 3 4 2" xfId="2323" xr:uid="{73F01FCD-F125-4339-9F36-207B1545D43F}"/>
    <cellStyle name="Comma 4 3 4 2 2" xfId="4794" xr:uid="{9E19B285-05F0-4AD1-9CA8-6A9B58FDFC3A}"/>
    <cellStyle name="Comma 4 3 4 2 2 2" xfId="5928" xr:uid="{6766AC04-4D18-4C7B-A24B-A5D539AF864D}"/>
    <cellStyle name="Comma 4 3 4 2 3" xfId="5500" xr:uid="{2CEFB652-0EDE-441F-9CB0-877287AEEA09}"/>
    <cellStyle name="Comma 4 3 4 2 4" xfId="5113" xr:uid="{97CEC357-C484-44CF-921D-828CF01D8F2E}"/>
    <cellStyle name="Comma 4 3 4 3" xfId="4621" xr:uid="{C0443812-959E-4234-BF62-B6224CE36EEB}"/>
    <cellStyle name="Comma 4 3 4 3 2" xfId="5755" xr:uid="{AE219E46-6C63-433A-A5F5-4B04CA4B5141}"/>
    <cellStyle name="Comma 4 3 4 4" xfId="5327" xr:uid="{8F9FBB44-83CC-4848-8DDF-0573F514A011}"/>
    <cellStyle name="Comma 4 3 4 5" xfId="4940" xr:uid="{03E58B8F-9CB9-4680-8FA1-A0AF962347BB}"/>
    <cellStyle name="Comma 4 3 5" xfId="2214" xr:uid="{738EE994-6E66-439D-91D1-153171DE3C8A}"/>
    <cellStyle name="Comma 4 3 5 2" xfId="4685" xr:uid="{5FFAE6FC-31CB-45EC-85AF-E5989E8E4DBD}"/>
    <cellStyle name="Comma 4 3 5 2 2" xfId="5819" xr:uid="{597C79B6-D3F3-44A6-B33F-2EF37E3FEFA7}"/>
    <cellStyle name="Comma 4 3 5 3" xfId="5391" xr:uid="{9BFCA8F6-CB7C-4B8A-AD65-488AA20E760C}"/>
    <cellStyle name="Comma 4 3 5 4" xfId="5004" xr:uid="{20A300E0-41BA-49B1-8323-947521020BE3}"/>
    <cellStyle name="Comma 4 3 6" xfId="987" xr:uid="{AD0F19ED-ECD4-4536-AEB4-E120E23533A7}"/>
    <cellStyle name="Comma 4 3 6 2" xfId="4118" xr:uid="{97EB179A-9D34-4A6F-846D-5C740B0C61C3}"/>
    <cellStyle name="Comma 4 3 7" xfId="4119" xr:uid="{97670669-F4B1-42AF-8560-5EC9B07D7518}"/>
    <cellStyle name="Comma 4 3 8" xfId="4522" xr:uid="{66A4C2CD-61AC-469B-BA0B-D4E45A26F61F}"/>
    <cellStyle name="Comma 4 3 8 2" xfId="5656" xr:uid="{F9A4E914-F70F-4609-9D70-1B4F0FF653FB}"/>
    <cellStyle name="Comma 4 4" xfId="167" xr:uid="{0D85A1E4-C8E8-4273-A8C8-61C81306EA85}"/>
    <cellStyle name="Comma 4 4 2" xfId="1766" xr:uid="{CEA2F002-30B6-4460-8513-DEE2223B178A}"/>
    <cellStyle name="Comma 4 4 2 2" xfId="2339" xr:uid="{A58577FD-0C4C-4120-9A5E-115C317181BC}"/>
    <cellStyle name="Comma 4 4 2 2 2" xfId="4810" xr:uid="{3EFDE628-E0E0-46E1-AF94-BE31C6E5D5FF}"/>
    <cellStyle name="Comma 4 4 2 2 2 2" xfId="5944" xr:uid="{D0781388-BCA5-44A9-ABB8-D1E4238AC05B}"/>
    <cellStyle name="Comma 4 4 2 2 3" xfId="5516" xr:uid="{E11018B8-E28E-4AAA-88A4-E7E35FF60818}"/>
    <cellStyle name="Comma 4 4 2 2 4" xfId="5129" xr:uid="{AC2367DF-C3A4-43FA-BDB2-3095CCCA1172}"/>
    <cellStyle name="Comma 4 4 2 3" xfId="4637" xr:uid="{5DD534A1-C692-4F6F-AF53-95E042104550}"/>
    <cellStyle name="Comma 4 4 2 3 2" xfId="5771" xr:uid="{8423D421-52E3-4761-92B9-AE7BCF2D93B5}"/>
    <cellStyle name="Comma 4 4 2 4" xfId="5343" xr:uid="{939B0FEF-A9E6-42C0-BA7B-5EEA0481690A}"/>
    <cellStyle name="Comma 4 4 2 5" xfId="4956" xr:uid="{C9D530A9-EB6D-478C-9D3F-6B5BB0EA2725}"/>
    <cellStyle name="Comma 4 4 3" xfId="2230" xr:uid="{2A9BFAD2-DD6C-439F-9005-62E487EB49F0}"/>
    <cellStyle name="Comma 4 4 3 2" xfId="4701" xr:uid="{78F23C56-D0DA-4701-99AD-E593733CBB98}"/>
    <cellStyle name="Comma 4 4 3 2 2" xfId="5835" xr:uid="{B57F3E03-B364-43FE-8C4F-69F3FB12B3DF}"/>
    <cellStyle name="Comma 4 4 3 3" xfId="5407" xr:uid="{D67C7077-8E7C-4778-B899-FE763EC19604}"/>
    <cellStyle name="Comma 4 4 3 4" xfId="5020" xr:uid="{EBDAEC44-7315-4AEE-8693-B5B4E3FA1608}"/>
    <cellStyle name="Comma 4 4 4" xfId="4525" xr:uid="{F3475DEA-B262-4689-8172-C61D738370BB}"/>
    <cellStyle name="Comma 4 4 4 2" xfId="5659" xr:uid="{D081CAA5-506D-4F53-B4E9-E9F248F4E9A5}"/>
    <cellStyle name="Comma 4 4 5" xfId="5238" xr:uid="{9C04194C-00FF-4F14-A2C2-0539FAC99580}"/>
    <cellStyle name="Comma 4 4 6" xfId="4865" xr:uid="{5D768705-69F6-473D-A396-6EBEB83D5B17}"/>
    <cellStyle name="Comma 4 5" xfId="168" xr:uid="{3BE6FB30-A50B-4F31-A48F-FD96B7C99988}"/>
    <cellStyle name="Comma 4 5 2" xfId="1194" xr:uid="{90F1BA27-BEDF-49C5-BBAE-9C470FD0E270}"/>
    <cellStyle name="Comma 4 5 2 2" xfId="1983" xr:uid="{39BFEB09-AC9F-4F30-AB06-E07F03522C6D}"/>
    <cellStyle name="Comma 4 5 2 2 2" xfId="2908" xr:uid="{08FE7BC1-832E-4AC6-9200-477B2CB9101D}"/>
    <cellStyle name="Comma 4 5 2 2 2 2" xfId="4120" xr:uid="{F7C5FBF8-0B8C-48F2-BF63-090027CD4F35}"/>
    <cellStyle name="Comma 4 5 2 2 3" xfId="2686" xr:uid="{97EFE100-58D9-48C2-BA4C-2DEB6994C7C3}"/>
    <cellStyle name="Comma 4 5 2 2 3 2" xfId="4121" xr:uid="{77B32103-4155-4A20-B2B6-8DF57D612F8D}"/>
    <cellStyle name="Comma 4 5 2 2 4" xfId="4122" xr:uid="{64BC4F52-9FCA-4E65-AFC1-40DAB3353C26}"/>
    <cellStyle name="Comma 4 5 2 3" xfId="2461" xr:uid="{A3235CC4-EA60-428F-9FC5-20E8A7795EB7}"/>
    <cellStyle name="Comma 4 5 2 3 2" xfId="4123" xr:uid="{04C9E1FB-19F3-44C5-9DA3-218DB11D485D}"/>
    <cellStyle name="Comma 4 5 2 4" xfId="4124" xr:uid="{39B30A67-50E4-4A9F-AEC4-04CB01310213}"/>
    <cellStyle name="Comma 4 5 3" xfId="1913" xr:uid="{7F2485BC-0DDA-4381-AF54-B6BF658BB156}"/>
    <cellStyle name="Comma 4 5 3 2" xfId="2838" xr:uid="{21073C1D-FC3C-4464-8631-FB802037E793}"/>
    <cellStyle name="Comma 4 5 3 2 2" xfId="4125" xr:uid="{9D73C1FE-2FA2-44A1-8F6F-98F5861D6AF8}"/>
    <cellStyle name="Comma 4 5 3 3" xfId="2616" xr:uid="{59E4B98E-D7FF-49B0-ACE1-0B1F25A80932}"/>
    <cellStyle name="Comma 4 5 3 3 2" xfId="4126" xr:uid="{D515FF3B-8E4C-49D8-9826-9A53F1EF245C}"/>
    <cellStyle name="Comma 4 5 3 4" xfId="4127" xr:uid="{A6F4C246-473C-4F67-9520-67DE4056EF96}"/>
    <cellStyle name="Comma 4 5 4" xfId="2391" xr:uid="{75C34692-F967-4DB3-9FAB-D746D58B1CD5}"/>
    <cellStyle name="Comma 4 5 4 2" xfId="4128" xr:uid="{14822548-ADE7-4DA4-AF66-1FF28B02B7EA}"/>
    <cellStyle name="Comma 4 5 5" xfId="1021" xr:uid="{FC667D6C-3233-45EE-B43D-F4457D897DF7}"/>
    <cellStyle name="Comma 4 5 5 2" xfId="4129" xr:uid="{6C8BCE03-72CF-48DA-915C-BC4B60A6BDC4}"/>
    <cellStyle name="Comma 4 5 6" xfId="4130" xr:uid="{6BBA591D-DC08-428D-A59C-A8EF48ACE4B3}"/>
    <cellStyle name="Comma 4 5 7" xfId="4526" xr:uid="{178B0E6C-188D-4803-AD94-26A11292979A}"/>
    <cellStyle name="Comma 4 5 7 2" xfId="5660" xr:uid="{9F89D295-9FD9-413A-8DFA-D9201AA754D1}"/>
    <cellStyle name="Comma 4 5 8" xfId="5239" xr:uid="{B364B3E9-4AFF-4242-A162-3CEC40783B6A}"/>
    <cellStyle name="Comma 4 6" xfId="169" xr:uid="{270FCD50-0D53-48C6-B497-9727EB0B64D3}"/>
    <cellStyle name="Comma 4 6 2" xfId="1803" xr:uid="{4CEBA9FD-C9B3-4333-88C7-BAC05370F87E}"/>
    <cellStyle name="Comma 4 6 2 2" xfId="2115" xr:uid="{8E04869A-598F-4CF5-9371-59012231AC77}"/>
    <cellStyle name="Comma 4 6 2 2 2" xfId="2795" xr:uid="{56EEB054-A122-44A2-A9FB-1A2452E6663E}"/>
    <cellStyle name="Comma 4 6 2 2 2 2" xfId="3121" xr:uid="{BBAA3EFF-80C3-4943-AB5B-8C3380EEC1C3}"/>
    <cellStyle name="Comma 4 6 2 2 2 2 2" xfId="4131" xr:uid="{9B34DDF5-9CA5-449A-809F-A73F4FC2072C}"/>
    <cellStyle name="Comma 4 6 2 2 2 3" xfId="4132" xr:uid="{53B8B476-B988-4FBA-85BB-CC681EF7B0B7}"/>
    <cellStyle name="Comma 4 6 2 2 3" xfId="3017" xr:uid="{851E22DA-83B6-41A3-AB0C-A2E8B9A4B4CA}"/>
    <cellStyle name="Comma 4 6 2 2 3 2" xfId="4133" xr:uid="{C3C6E1FD-FEB3-41FD-97C0-4CC1D915FFC4}"/>
    <cellStyle name="Comma 4 6 2 2 4" xfId="2570" xr:uid="{B16904E4-BE4B-4017-BDE1-0DC96AAB17E3}"/>
    <cellStyle name="Comma 4 6 2 2 4 2" xfId="4134" xr:uid="{8C7E90D5-5CB8-4E9F-94FE-EF9B1BDF08BC}"/>
    <cellStyle name="Comma 4 6 2 2 5" xfId="4135" xr:uid="{7227C460-713A-4231-90DA-DF6F9784C384}"/>
    <cellStyle name="Comma 4 6 2 3" xfId="2052" xr:uid="{15F0EDC0-F7B3-41E0-9118-5F7E349C5291}"/>
    <cellStyle name="Comma 4 6 2 3 2" xfId="2977" xr:uid="{E1C7A387-DE1D-4210-9B60-FF2C6063E07B}"/>
    <cellStyle name="Comma 4 6 2 3 2 2" xfId="4136" xr:uid="{F0638879-5880-413A-98D2-686A02EEF050}"/>
    <cellStyle name="Comma 4 6 2 3 3" xfId="2755" xr:uid="{D25A6DBC-AAB7-4765-BABE-6C377BDD8452}"/>
    <cellStyle name="Comma 4 6 2 3 3 2" xfId="4137" xr:uid="{CC7A723C-8AD6-43C4-94FD-BA589E371BF3}"/>
    <cellStyle name="Comma 4 6 2 3 4" xfId="4138" xr:uid="{C35125F8-E17F-4968-AD00-FA90AC675C99}"/>
    <cellStyle name="Comma 4 6 2 4" xfId="2530" xr:uid="{5FC33F6A-DDDE-412E-8171-3C57C638415F}"/>
    <cellStyle name="Comma 4 6 2 4 2" xfId="4139" xr:uid="{B5217467-5FDA-4742-892D-848EE75B59B6}"/>
    <cellStyle name="Comma 4 6 2 5" xfId="4140" xr:uid="{70D3FAE0-1414-4316-8E3F-D53280845968}"/>
    <cellStyle name="Comma 4 6 3" xfId="1546" xr:uid="{16114647-AF76-438B-84CA-1000195E50C2}"/>
    <cellStyle name="Comma 4 6 3 2" xfId="2266" xr:uid="{74B102A8-EB32-4ED4-9C03-687BF9D9F563}"/>
    <cellStyle name="Comma 4 6 3 2 2" xfId="4737" xr:uid="{A9EDDD93-1C7C-49F3-8273-850149BE2515}"/>
    <cellStyle name="Comma 4 6 3 2 2 2" xfId="5871" xr:uid="{B91B0F28-8C17-49AE-BE3A-7A514B106772}"/>
    <cellStyle name="Comma 4 6 3 2 3" xfId="5443" xr:uid="{1548ADC9-2DF2-4064-B667-DCA6016DE690}"/>
    <cellStyle name="Comma 4 6 3 2 4" xfId="5056" xr:uid="{538B40D8-0218-41FD-8D7C-8C9B532F1D06}"/>
    <cellStyle name="Comma 4 6 3 3" xfId="4564" xr:uid="{8028AC77-856B-4C84-847C-CD73BF21B3AE}"/>
    <cellStyle name="Comma 4 6 3 3 2" xfId="5698" xr:uid="{84D90A13-1E6E-4AEC-B73D-A0938ADE6EB5}"/>
    <cellStyle name="Comma 4 6 3 4" xfId="5270" xr:uid="{BB83BD4F-328F-4CA8-8BB6-30E7258CB0B0}"/>
    <cellStyle name="Comma 4 6 3 5" xfId="4883" xr:uid="{D078613B-42C3-4F25-91F4-A8262CAD2ADF}"/>
    <cellStyle name="Comma 4 6 4" xfId="1268" xr:uid="{84D29AAD-1746-47D6-A3A5-5C430004B8C3}"/>
    <cellStyle name="Comma 4 6 4 2" xfId="2027" xr:uid="{DC134958-63DE-4740-B50A-6DB320246004}"/>
    <cellStyle name="Comma 4 6 4 2 2" xfId="2952" xr:uid="{58D93879-4103-4C34-B4B6-D676EA3AE70A}"/>
    <cellStyle name="Comma 4 6 4 2 2 2" xfId="4141" xr:uid="{A43CB8D2-C317-4BA9-8211-ED0E0022BCED}"/>
    <cellStyle name="Comma 4 6 4 2 3" xfId="2730" xr:uid="{A6B1D547-9D37-4415-BBCC-7845B3BB92E1}"/>
    <cellStyle name="Comma 4 6 4 2 3 2" xfId="4142" xr:uid="{17CD4DE5-53AC-446C-A20F-A57473D237F2}"/>
    <cellStyle name="Comma 4 6 4 2 4" xfId="4143" xr:uid="{F4E431CA-BDA1-4090-B56A-544A8B2517EF}"/>
    <cellStyle name="Comma 4 6 4 3" xfId="2505" xr:uid="{A3FB4405-D03D-49B2-B80E-9BA2549B4E04}"/>
    <cellStyle name="Comma 4 6 4 3 2" xfId="4144" xr:uid="{8F2488B5-51A9-4017-B211-37F845E3F89F}"/>
    <cellStyle name="Comma 4 6 4 4" xfId="4145" xr:uid="{D61554B0-DB60-4BD6-8097-611D267B851B}"/>
    <cellStyle name="Comma 4 6 5" xfId="1957" xr:uid="{6F0C8602-3F6D-453A-BC58-5F4AEDB34B36}"/>
    <cellStyle name="Comma 4 6 5 2" xfId="2882" xr:uid="{5E193C14-24BC-48ED-AB22-75260AFC80B4}"/>
    <cellStyle name="Comma 4 6 5 2 2" xfId="4146" xr:uid="{F9148B43-3780-4553-806A-855DD9B6CB0E}"/>
    <cellStyle name="Comma 4 6 5 3" xfId="2660" xr:uid="{DB5A211C-1CE7-4951-8D09-2EBB3D8722A8}"/>
    <cellStyle name="Comma 4 6 5 3 2" xfId="4147" xr:uid="{9DEC9F42-C88C-4D1D-A4AC-8D0939FD64B3}"/>
    <cellStyle name="Comma 4 6 5 4" xfId="4148" xr:uid="{F3A42C6A-2FB2-480E-98CA-2B06ABD386DC}"/>
    <cellStyle name="Comma 4 6 6" xfId="2435" xr:uid="{A393B653-009A-41A8-8A36-E917D4996675}"/>
    <cellStyle name="Comma 4 6 6 2" xfId="4149" xr:uid="{89726662-3479-4612-9661-21861EB7BBF5}"/>
    <cellStyle name="Comma 4 6 7" xfId="1065" xr:uid="{847319D8-E457-4E30-845C-5BA696A947C4}"/>
    <cellStyle name="Comma 4 6 7 2" xfId="4150" xr:uid="{2558C045-8B69-4643-B809-C2AC5FB6AC25}"/>
    <cellStyle name="Comma 4 6 8" xfId="4151" xr:uid="{B77EBB3D-64D3-4A59-8184-F0194EF07886}"/>
    <cellStyle name="Comma 4 6 9" xfId="4527" xr:uid="{046EA124-60D5-4CA9-86B9-E7561F12B7B2}"/>
    <cellStyle name="Comma 4 6 9 2" xfId="5661" xr:uid="{1412EE84-93A6-487F-B972-3F039B66BDF9}"/>
    <cellStyle name="Comma 4 7" xfId="170" xr:uid="{78E72A25-3391-4AEC-95D4-108B2E48FE97}"/>
    <cellStyle name="Comma 4 7 2" xfId="2307" xr:uid="{A81A657D-1E82-45F7-B5ED-0333EED03DEF}"/>
    <cellStyle name="Comma 4 7 2 2" xfId="4778" xr:uid="{A4DCE626-497A-4F63-A610-324C8BDE1621}"/>
    <cellStyle name="Comma 4 7 2 2 2" xfId="5912" xr:uid="{CFBC5B5B-CA3F-414F-A220-ABD2BB88117E}"/>
    <cellStyle name="Comma 4 7 2 3" xfId="5484" xr:uid="{1319CDF9-FC2C-4C8E-9A76-E6690AAE5468}"/>
    <cellStyle name="Comma 4 7 2 4" xfId="5097" xr:uid="{FBB66715-18B5-4139-BA06-0BA2D8367243}"/>
    <cellStyle name="Comma 4 7 3" xfId="1734" xr:uid="{4783E718-A58D-42F9-AA14-79E763812850}"/>
    <cellStyle name="Comma 4 7 3 2" xfId="4605" xr:uid="{9D717E4E-87C2-4040-92A1-71DB88C05D37}"/>
    <cellStyle name="Comma 4 7 3 2 2" xfId="5739" xr:uid="{D5C7B95E-0FF3-427E-9E0F-1F84426F4710}"/>
    <cellStyle name="Comma 4 7 3 3" xfId="5311" xr:uid="{723FFDDA-C4FE-439D-A805-98745990BDD5}"/>
    <cellStyle name="Comma 4 7 3 4" xfId="4924" xr:uid="{2B629FF8-1F23-4490-8CB3-E292108829DA}"/>
    <cellStyle name="Comma 4 7 4" xfId="4152" xr:uid="{56D66D3F-2D8F-4C57-82B6-0655F7800A00}"/>
    <cellStyle name="Comma 4 7 5" xfId="4528" xr:uid="{3501C791-0737-4B6A-9DD8-8A6D378BBAFB}"/>
    <cellStyle name="Comma 4 7 5 2" xfId="5662" xr:uid="{C76B2D10-31B0-4E09-8987-0E18FCE6C4F1}"/>
    <cellStyle name="Comma 4 8" xfId="2116" xr:uid="{40F370F4-6379-4257-992C-CA3D68CE722A}"/>
    <cellStyle name="Comma 4 8 2" xfId="2796" xr:uid="{C6B38F03-F936-418A-9EF6-D24156E77F10}"/>
    <cellStyle name="Comma 4 8 2 2" xfId="3122" xr:uid="{5898FCA5-A8B2-44FF-966D-3E8EF85C8F68}"/>
    <cellStyle name="Comma 4 8 2 2 2" xfId="4153" xr:uid="{EE183735-EDF5-4ADD-B101-4BC6DA00091C}"/>
    <cellStyle name="Comma 4 8 2 3" xfId="4154" xr:uid="{4B395187-0BE4-4259-A477-F7EC4638B207}"/>
    <cellStyle name="Comma 4 8 3" xfId="3018" xr:uid="{88DD964B-9DC8-4414-91CC-FBD2C5A7D42A}"/>
    <cellStyle name="Comma 4 8 3 2" xfId="4155" xr:uid="{5336E77E-8EF1-45CD-92D4-6DD2C793F121}"/>
    <cellStyle name="Comma 4 8 4" xfId="2571" xr:uid="{6E88D5B4-436A-4501-9399-D2A613D4002A}"/>
    <cellStyle name="Comma 4 8 4 2" xfId="4156" xr:uid="{84C30B43-3D35-4E55-B8E1-783256EE5C07}"/>
    <cellStyle name="Comma 4 8 5" xfId="4157" xr:uid="{39C5606B-2A1F-4B45-89DD-E0CB79892326}"/>
    <cellStyle name="Comma 4 9" xfId="2198" xr:uid="{E1417DA7-D474-416C-887E-E72824A85060}"/>
    <cellStyle name="Comma 4 9 2" xfId="4669" xr:uid="{AE3ED622-D9B1-4712-BB80-F2C230CA8A94}"/>
    <cellStyle name="Comma 4 9 2 2" xfId="5803" xr:uid="{98AB0551-E30F-44C1-B3D3-0C16B4A4F53A}"/>
    <cellStyle name="Comma 4 9 3" xfId="5375" xr:uid="{30A1697F-5C62-4CBD-9C7C-5A7346EE27E3}"/>
    <cellStyle name="Comma 4 9 4" xfId="4988" xr:uid="{AFA60728-30ED-4C1A-ACE4-2025CAFE955C}"/>
    <cellStyle name="Comma 5" xfId="53" xr:uid="{E7BA1BFA-5D41-41E4-8A35-3E43EA8ABA8A}"/>
    <cellStyle name="Comma 5 10" xfId="4418" xr:uid="{D0AA9949-84A5-4BE3-9447-E45D03BD0828}"/>
    <cellStyle name="Comma 5 10 2" xfId="5552" xr:uid="{EF41FD59-E66A-49BA-BFEF-D316DF3CF13C}"/>
    <cellStyle name="Comma 5 11" xfId="5157" xr:uid="{A19C8406-B347-4338-89B0-47954083F9B8}"/>
    <cellStyle name="Comma 5 12" xfId="4838" xr:uid="{4A5DDF50-1C19-43B7-BD87-C83F01DAE008}"/>
    <cellStyle name="Comma 5 2" xfId="171" xr:uid="{3C5CCF1A-EB7C-4763-9344-443BB03C4FA2}"/>
    <cellStyle name="Comma 5 2 10" xfId="4529" xr:uid="{1D22D37B-A938-4B38-B315-E5E96A7469F9}"/>
    <cellStyle name="Comma 5 2 10 2" xfId="5663" xr:uid="{53913122-DCEB-421E-904C-27860A4ED107}"/>
    <cellStyle name="Comma 5 2 2" xfId="172" xr:uid="{76933073-4448-4AE5-88A2-AD8C014E07A5}"/>
    <cellStyle name="Comma 5 2 2 2" xfId="1789" xr:uid="{2C2FCBBA-46AD-42DE-BFCC-E9210142FB2C}"/>
    <cellStyle name="Comma 5 2 2 2 2" xfId="2362" xr:uid="{B52231F4-E723-44E1-B791-1BD6EFAB653E}"/>
    <cellStyle name="Comma 5 2 2 2 2 2" xfId="4833" xr:uid="{1C471D02-9B93-4E02-8E61-71C7F22CD846}"/>
    <cellStyle name="Comma 5 2 2 2 2 2 2" xfId="5967" xr:uid="{88B51D76-2ED5-4E2B-A191-40E32EF22A70}"/>
    <cellStyle name="Comma 5 2 2 2 2 3" xfId="5539" xr:uid="{09CC6BF4-E9AE-4283-8ACA-6CB9C29F03AA}"/>
    <cellStyle name="Comma 5 2 2 2 2 4" xfId="5152" xr:uid="{563A34EE-C88E-4DB3-BB11-F7E049A0EAA8}"/>
    <cellStyle name="Comma 5 2 2 2 3" xfId="4660" xr:uid="{9DEEF97A-DCC4-46E4-B927-5EA55FFABF5D}"/>
    <cellStyle name="Comma 5 2 2 2 3 2" xfId="5794" xr:uid="{5A9C76C4-319E-4DC1-A039-EB2EAB1C52DE}"/>
    <cellStyle name="Comma 5 2 2 2 4" xfId="5366" xr:uid="{5ADBE3E9-F89F-4337-BC96-0C21FC952B7F}"/>
    <cellStyle name="Comma 5 2 2 2 5" xfId="4979" xr:uid="{84BD84BA-D25D-44E5-95BC-E351E009066D}"/>
    <cellStyle name="Comma 5 2 2 3" xfId="2253" xr:uid="{9165465E-CD6B-4814-B7D6-FD55989DECF9}"/>
    <cellStyle name="Comma 5 2 2 3 2" xfId="4724" xr:uid="{E96E5149-6AF9-4127-BC79-CD2964A7E7DC}"/>
    <cellStyle name="Comma 5 2 2 3 2 2" xfId="5858" xr:uid="{83A89538-383C-40AF-807C-677CC03B86E8}"/>
    <cellStyle name="Comma 5 2 2 3 3" xfId="5430" xr:uid="{0D95B789-C973-408A-A6A2-7964CD714E89}"/>
    <cellStyle name="Comma 5 2 2 3 4" xfId="5043" xr:uid="{8F3D0040-CC5F-46C4-88E6-49E6A8A4C6DC}"/>
    <cellStyle name="Comma 5 2 2 4" xfId="4530" xr:uid="{BFD8CB05-DC48-44FB-BCA0-87583240C576}"/>
    <cellStyle name="Comma 5 2 2 4 2" xfId="5664" xr:uid="{656507A5-43F1-43B5-94C7-AAFD3FB4B0FF}"/>
    <cellStyle name="Comma 5 2 2 5" xfId="5240" xr:uid="{8B0F835B-28B2-466F-BF64-4D777F9A6473}"/>
    <cellStyle name="Comma 5 2 2 6" xfId="4866" xr:uid="{3FE90343-A293-4FEB-8637-74CD19B76E21}"/>
    <cellStyle name="Comma 5 2 3" xfId="173" xr:uid="{B0BD95E9-5100-481D-B63C-A7465F11AC5D}"/>
    <cellStyle name="Comma 5 2 3 2" xfId="1217" xr:uid="{7B6AC7E7-EE31-4889-92CC-5A05F8C1D0B7}"/>
    <cellStyle name="Comma 5 2 3 2 2" xfId="2006" xr:uid="{6ADB0C3D-E70A-4342-81F6-100398985EC2}"/>
    <cellStyle name="Comma 5 2 3 2 2 2" xfId="2931" xr:uid="{E828C639-F5D1-4BD2-991B-A95B21E53C9D}"/>
    <cellStyle name="Comma 5 2 3 2 2 2 2" xfId="4158" xr:uid="{419A6731-4937-4634-9324-831587551D86}"/>
    <cellStyle name="Comma 5 2 3 2 2 3" xfId="2709" xr:uid="{5382A674-71A2-4506-A45E-D229D62E2712}"/>
    <cellStyle name="Comma 5 2 3 2 2 3 2" xfId="4159" xr:uid="{3A53C1A3-EA3F-4A67-82B7-A4BCA6A0B8A2}"/>
    <cellStyle name="Comma 5 2 3 2 2 4" xfId="4160" xr:uid="{539179A3-5861-4524-B8A9-EF7530106DDC}"/>
    <cellStyle name="Comma 5 2 3 2 3" xfId="2484" xr:uid="{043C46C6-1B77-4E53-B976-36C939913213}"/>
    <cellStyle name="Comma 5 2 3 2 3 2" xfId="4161" xr:uid="{E21A0AA1-6616-4AB2-9BCA-7906361B04EA}"/>
    <cellStyle name="Comma 5 2 3 2 4" xfId="4162" xr:uid="{0C52BFBF-75D9-4D47-91A3-AA2B79E2994B}"/>
    <cellStyle name="Comma 5 2 3 3" xfId="1936" xr:uid="{41C7CB01-F7EA-41D4-B09D-0689AA856A77}"/>
    <cellStyle name="Comma 5 2 3 3 2" xfId="2861" xr:uid="{5488385F-812F-47AB-9CFE-6F426E3D3CDF}"/>
    <cellStyle name="Comma 5 2 3 3 2 2" xfId="4163" xr:uid="{4A027644-5D47-4236-8782-D4FD2352F1A7}"/>
    <cellStyle name="Comma 5 2 3 3 3" xfId="2639" xr:uid="{EFFAB1A8-40E0-4198-AE00-3F051F93D496}"/>
    <cellStyle name="Comma 5 2 3 3 3 2" xfId="4164" xr:uid="{6D56204A-8DD5-4D9B-A5C0-739BEE6E9BA3}"/>
    <cellStyle name="Comma 5 2 3 3 4" xfId="4165" xr:uid="{6A0806C8-ABE0-46A4-92C8-19C0AA303909}"/>
    <cellStyle name="Comma 5 2 3 4" xfId="2414" xr:uid="{D62D6527-18C7-4556-B250-5604D9832B50}"/>
    <cellStyle name="Comma 5 2 3 4 2" xfId="4166" xr:uid="{F6130030-C9ED-4391-8C36-7C7C734F1A46}"/>
    <cellStyle name="Comma 5 2 3 5" xfId="1044" xr:uid="{1F374A6F-F0CD-4930-986A-FE00F37CCD4D}"/>
    <cellStyle name="Comma 5 2 3 5 2" xfId="4167" xr:uid="{FC719650-3B1A-49A5-9D44-6CC810716368}"/>
    <cellStyle name="Comma 5 2 3 6" xfId="4168" xr:uid="{87BE6A35-7887-4172-84A0-4A459514571C}"/>
    <cellStyle name="Comma 5 2 3 7" xfId="4531" xr:uid="{4D80E115-A298-4A56-BE5C-598D4D5268C4}"/>
    <cellStyle name="Comma 5 2 3 7 2" xfId="5665" xr:uid="{2839D415-7EF2-474B-8691-8F43795531E4}"/>
    <cellStyle name="Comma 5 2 3 8" xfId="5241" xr:uid="{FFFAA173-3535-4A48-9ADD-DAB4F41D39B8}"/>
    <cellStyle name="Comma 5 2 4" xfId="1634" xr:uid="{E15963BA-D163-4B3A-8498-7374EACB7ED5}"/>
    <cellStyle name="Comma 5 2 4 2" xfId="2288" xr:uid="{3B200266-E525-4B3C-92EA-7A2A941289E2}"/>
    <cellStyle name="Comma 5 2 4 2 2" xfId="4759" xr:uid="{4D974C14-AB38-4BBA-880D-872F9EE8F588}"/>
    <cellStyle name="Comma 5 2 4 2 2 2" xfId="5893" xr:uid="{DD742ED3-4511-4D51-9AB7-95873840AC3F}"/>
    <cellStyle name="Comma 5 2 4 2 3" xfId="5465" xr:uid="{06B3BC53-92BC-4499-8A81-3DAEFD7FD3D4}"/>
    <cellStyle name="Comma 5 2 4 2 4" xfId="5078" xr:uid="{B154D2E6-372B-410B-9C18-2AC41269BD50}"/>
    <cellStyle name="Comma 5 2 4 3" xfId="4586" xr:uid="{7B185B59-9494-45A8-BA01-9B6D0792F3E9}"/>
    <cellStyle name="Comma 5 2 4 3 2" xfId="5720" xr:uid="{8C1B2DA9-7EE9-4F99-9669-69A6D5FF76C7}"/>
    <cellStyle name="Comma 5 2 4 4" xfId="5292" xr:uid="{D1AAD469-5AB6-420B-9558-F3CAB3E66353}"/>
    <cellStyle name="Comma 5 2 4 5" xfId="4905" xr:uid="{68DE12D3-96F6-4D1A-AF01-EEC82539B6B4}"/>
    <cellStyle name="Comma 5 2 5" xfId="1757" xr:uid="{4843164A-F99E-4E21-AB29-B8B066BF6D77}"/>
    <cellStyle name="Comma 5 2 5 2" xfId="2330" xr:uid="{4548C933-C13C-493D-953D-FC99EFB75AF4}"/>
    <cellStyle name="Comma 5 2 5 2 2" xfId="4801" xr:uid="{650262A5-2568-4F50-8C82-2BF7DF6AF99C}"/>
    <cellStyle name="Comma 5 2 5 2 2 2" xfId="5935" xr:uid="{145F9880-A791-4391-B452-C7FA55702889}"/>
    <cellStyle name="Comma 5 2 5 2 3" xfId="5507" xr:uid="{B1BA10FD-6AB7-4A11-A86C-3E9E705BF525}"/>
    <cellStyle name="Comma 5 2 5 2 4" xfId="5120" xr:uid="{B18E2E54-6695-4215-AEDF-AB850214E8DD}"/>
    <cellStyle name="Comma 5 2 5 3" xfId="4628" xr:uid="{4810958E-7B6E-4144-BFB6-AD04EAF1A8D3}"/>
    <cellStyle name="Comma 5 2 5 3 2" xfId="5762" xr:uid="{9BA4C800-0C96-4224-A78F-9D409D3F4389}"/>
    <cellStyle name="Comma 5 2 5 4" xfId="5334" xr:uid="{17821FB8-02A3-435F-81FC-C1248A083913}"/>
    <cellStyle name="Comma 5 2 5 5" xfId="4947" xr:uid="{CC0747EE-168A-43D5-9B2C-2ABEA38E7A21}"/>
    <cellStyle name="Comma 5 2 6" xfId="2117" xr:uid="{35F46C3B-1FC4-4767-9117-437B82EA0DE3}"/>
    <cellStyle name="Comma 5 2 6 2" xfId="2797" xr:uid="{ADEAF6C8-AA6E-419C-B7A5-57451417A36E}"/>
    <cellStyle name="Comma 5 2 6 2 2" xfId="3123" xr:uid="{0DDEC61E-0934-4DF4-B375-1F10BD59B530}"/>
    <cellStyle name="Comma 5 2 6 2 2 2" xfId="4169" xr:uid="{F395BEBF-D087-40B9-B29F-21BD36DFF75B}"/>
    <cellStyle name="Comma 5 2 6 2 3" xfId="4170" xr:uid="{A8CD4163-7DBA-4C76-BF04-71CB7E8E087A}"/>
    <cellStyle name="Comma 5 2 6 3" xfId="3019" xr:uid="{56063314-B8DF-4FAA-821F-C0A3528BD75A}"/>
    <cellStyle name="Comma 5 2 6 3 2" xfId="4171" xr:uid="{C45FE4EB-3864-4815-812B-45C60644E855}"/>
    <cellStyle name="Comma 5 2 6 4" xfId="2572" xr:uid="{AF9D749B-DDCC-41E9-A2E3-29EACC1BA1C7}"/>
    <cellStyle name="Comma 5 2 6 4 2" xfId="4172" xr:uid="{EA5B8BB0-1127-464B-9DC6-2509029BDB6D}"/>
    <cellStyle name="Comma 5 2 6 5" xfId="4173" xr:uid="{6F848F8F-C19B-4669-87DA-D66ECFCD35F1}"/>
    <cellStyle name="Comma 5 2 7" xfId="2221" xr:uid="{C28A4D3E-0A24-4A2F-A462-FE98691F842F}"/>
    <cellStyle name="Comma 5 2 7 2" xfId="4692" xr:uid="{ACD50259-80C4-4EE7-AB8A-516DF7E89C2D}"/>
    <cellStyle name="Comma 5 2 7 2 2" xfId="5826" xr:uid="{7F3B2BEE-F4D0-40B5-8298-2043ADFEC4C9}"/>
    <cellStyle name="Comma 5 2 7 3" xfId="5398" xr:uid="{FDA77E5F-3065-44D9-A0CC-68812BD36F9C}"/>
    <cellStyle name="Comma 5 2 7 4" xfId="5011" xr:uid="{D06FC862-1317-485D-983F-AB1386C8D048}"/>
    <cellStyle name="Comma 5 2 8" xfId="994" xr:uid="{5D664116-1371-45CF-A766-6E579656DCEC}"/>
    <cellStyle name="Comma 5 2 8 2" xfId="4174" xr:uid="{AC6B8426-75F4-4153-A32A-867DDCEEFB19}"/>
    <cellStyle name="Comma 5 2 9" xfId="4175" xr:uid="{8E357ECF-26DD-486D-BF86-73237C3E216D}"/>
    <cellStyle name="Comma 5 3" xfId="174" xr:uid="{6373B806-D8EF-4E6A-9A4D-32C2DE5736D1}"/>
    <cellStyle name="Comma 5 3 2" xfId="1773" xr:uid="{A4529F94-D585-4794-BE9D-8A7440D79E0C}"/>
    <cellStyle name="Comma 5 3 2 2" xfId="2346" xr:uid="{90F0DF52-9D17-42DA-A9B8-D32A6C98297F}"/>
    <cellStyle name="Comma 5 3 2 2 2" xfId="4817" xr:uid="{D9CD08F8-B1B1-45AC-996B-495736FBE2E6}"/>
    <cellStyle name="Comma 5 3 2 2 2 2" xfId="5951" xr:uid="{43B31C69-5C9C-403E-828E-725B4661F1D4}"/>
    <cellStyle name="Comma 5 3 2 2 3" xfId="5523" xr:uid="{33F5CE84-762C-4AD4-9773-C42EE0B480B2}"/>
    <cellStyle name="Comma 5 3 2 2 4" xfId="5136" xr:uid="{DCF32454-4232-464E-A896-336A610F6F0C}"/>
    <cellStyle name="Comma 5 3 2 3" xfId="4644" xr:uid="{9385F96A-474F-4132-B94F-0772E3867FBD}"/>
    <cellStyle name="Comma 5 3 2 3 2" xfId="5778" xr:uid="{5F8B2CF1-0388-475D-BC5E-296579679B47}"/>
    <cellStyle name="Comma 5 3 2 4" xfId="5350" xr:uid="{EB885B2F-4F9E-4179-9AE1-D6C2FEB32D92}"/>
    <cellStyle name="Comma 5 3 2 5" xfId="4963" xr:uid="{D58D8FC6-A3D3-4A37-BA84-6FBD14484C42}"/>
    <cellStyle name="Comma 5 3 3" xfId="2237" xr:uid="{9D46363E-F9B7-40B7-BE10-C74AFD8D88E9}"/>
    <cellStyle name="Comma 5 3 3 2" xfId="4708" xr:uid="{ED6F4C22-0B49-4185-BCFE-962BF34654FC}"/>
    <cellStyle name="Comma 5 3 3 2 2" xfId="5842" xr:uid="{A9381CC2-3E53-493B-B982-50BA4FBD35A1}"/>
    <cellStyle name="Comma 5 3 3 3" xfId="5414" xr:uid="{6B37E17C-F813-4FB1-8B78-008624BD9A48}"/>
    <cellStyle name="Comma 5 3 3 4" xfId="5027" xr:uid="{3A63F940-6076-4073-B079-436964C6A50B}"/>
    <cellStyle name="Comma 5 3 4" xfId="4532" xr:uid="{579D8BAD-6C65-4436-8195-96CF93819DAB}"/>
    <cellStyle name="Comma 5 3 4 2" xfId="5666" xr:uid="{E7534636-C828-4F08-BD42-08AA5B3BD80E}"/>
    <cellStyle name="Comma 5 3 5" xfId="5242" xr:uid="{1ACC5080-665E-4296-963A-A70F51288239}"/>
    <cellStyle name="Comma 5 3 6" xfId="4867" xr:uid="{E986AEAF-B204-44EA-8728-AEA0A954E66D}"/>
    <cellStyle name="Comma 5 4" xfId="175" xr:uid="{55AD3710-1B15-4D65-B899-FC634AA45F19}"/>
    <cellStyle name="Comma 5 4 2" xfId="1201" xr:uid="{257697A1-8002-46BB-B721-7F16010D4937}"/>
    <cellStyle name="Comma 5 4 2 2" xfId="1990" xr:uid="{E3BF2417-503E-4C26-A7C2-7223DF9EF4D4}"/>
    <cellStyle name="Comma 5 4 2 2 2" xfId="2915" xr:uid="{5E3AD7D6-7BA7-43B6-AF21-3A7D364109DF}"/>
    <cellStyle name="Comma 5 4 2 2 2 2" xfId="4176" xr:uid="{3D7318CB-D9A9-4BD9-A76F-D987F9D0B16B}"/>
    <cellStyle name="Comma 5 4 2 2 3" xfId="2693" xr:uid="{3E406B4E-B2CC-468E-AA8C-B0B7411EA2BE}"/>
    <cellStyle name="Comma 5 4 2 2 3 2" xfId="4177" xr:uid="{84620AE3-1477-415E-A907-B0AAFAB2737C}"/>
    <cellStyle name="Comma 5 4 2 2 4" xfId="4178" xr:uid="{F06A2468-8E8E-45B1-850B-5C5DFA432293}"/>
    <cellStyle name="Comma 5 4 2 3" xfId="2468" xr:uid="{4D77643B-43C1-493A-A206-8F7646361BB4}"/>
    <cellStyle name="Comma 5 4 2 3 2" xfId="4179" xr:uid="{63FE58AB-2879-43C4-A973-07CFF273A50B}"/>
    <cellStyle name="Comma 5 4 2 4" xfId="4180" xr:uid="{FB85B5FD-F055-4374-98BA-CF855B0FF28D}"/>
    <cellStyle name="Comma 5 4 3" xfId="1920" xr:uid="{3B84BEEE-5DB9-4397-9A0C-4A785371A369}"/>
    <cellStyle name="Comma 5 4 3 2" xfId="2845" xr:uid="{66795954-0256-4C2A-BCD4-8B01E8079E9F}"/>
    <cellStyle name="Comma 5 4 3 2 2" xfId="4181" xr:uid="{13E617DF-E4FA-4683-BF55-CF1FF45A6A04}"/>
    <cellStyle name="Comma 5 4 3 3" xfId="2623" xr:uid="{98696F98-0FB2-45E3-B435-6F797AADE2E9}"/>
    <cellStyle name="Comma 5 4 3 3 2" xfId="4182" xr:uid="{24C05048-F533-4F1D-9504-84EB537CD197}"/>
    <cellStyle name="Comma 5 4 3 4" xfId="4183" xr:uid="{FD77A677-E32B-47BE-A3F6-DA4CB00CFB08}"/>
    <cellStyle name="Comma 5 4 4" xfId="2398" xr:uid="{FB29B1C9-34E2-477A-B4E5-1C41989D703E}"/>
    <cellStyle name="Comma 5 4 4 2" xfId="4184" xr:uid="{3DECED69-1378-491A-9836-C0CB93DAB90A}"/>
    <cellStyle name="Comma 5 4 5" xfId="1028" xr:uid="{859D1371-24DD-4852-BD8C-259204C26820}"/>
    <cellStyle name="Comma 5 4 5 2" xfId="4185" xr:uid="{0C042308-4562-45B5-AC8E-982647F69174}"/>
    <cellStyle name="Comma 5 4 6" xfId="4186" xr:uid="{74A513D7-8579-44E7-8BD0-BB94CFE0C097}"/>
    <cellStyle name="Comma 5 4 7" xfId="4533" xr:uid="{3BD5F8B6-5846-4635-83D2-E74096527A4F}"/>
    <cellStyle name="Comma 5 4 7 2" xfId="5667" xr:uid="{043842D9-DDD1-4BA6-B177-6A9B65DB8E85}"/>
    <cellStyle name="Comma 5 4 8" xfId="5243" xr:uid="{BFD79F7D-A8B4-4315-B142-8958447FE26E}"/>
    <cellStyle name="Comma 5 5" xfId="176" xr:uid="{55C1D956-41E2-499D-A555-23D9D6D437FA}"/>
    <cellStyle name="Comma 5 5 2" xfId="2273" xr:uid="{3BA3F81C-47E5-4B65-A1D3-6C49FE3153FA}"/>
    <cellStyle name="Comma 5 5 2 2" xfId="4744" xr:uid="{28813E3C-4108-4A7C-9B03-07B8CF20322C}"/>
    <cellStyle name="Comma 5 5 2 2 2" xfId="5878" xr:uid="{22B73DEA-0FBE-424C-84F6-6B9DFEDC93B1}"/>
    <cellStyle name="Comma 5 5 2 3" xfId="5450" xr:uid="{45AC1879-EA3E-42D7-A389-9EAA7C15E6A3}"/>
    <cellStyle name="Comma 5 5 2 4" xfId="5063" xr:uid="{6FF53492-CD80-45FC-86A8-4CF4A3782A8E}"/>
    <cellStyle name="Comma 5 5 3" xfId="1553" xr:uid="{5EA4D29B-5E22-4FE1-9A17-FA7AA22693FC}"/>
    <cellStyle name="Comma 5 5 3 2" xfId="4571" xr:uid="{2FE9F98A-3D54-41AC-A12C-83585E01B37A}"/>
    <cellStyle name="Comma 5 5 3 2 2" xfId="5705" xr:uid="{8C50B986-AE39-4A26-856F-C78C180A419B}"/>
    <cellStyle name="Comma 5 5 3 3" xfId="5277" xr:uid="{86ECB925-34F5-4679-891B-9615755B7997}"/>
    <cellStyle name="Comma 5 5 3 4" xfId="4890" xr:uid="{D006314E-4734-4A22-87C9-EB7DB0751EA9}"/>
    <cellStyle name="Comma 5 5 4" xfId="4187" xr:uid="{ED2F7923-D5EE-4491-9EAC-A64DD1DD0E78}"/>
    <cellStyle name="Comma 5 5 5" xfId="4534" xr:uid="{E511BDFD-F10F-45ED-8D81-4233DF23D720}"/>
    <cellStyle name="Comma 5 5 5 2" xfId="5668" xr:uid="{73AE147C-39FE-4513-A75F-18299E367936}"/>
    <cellStyle name="Comma 5 6" xfId="1741" xr:uid="{97F61B70-6938-4674-BE72-22672A8489C1}"/>
    <cellStyle name="Comma 5 6 2" xfId="2314" xr:uid="{85BC84DF-472B-45FA-9E6B-823C27CA6757}"/>
    <cellStyle name="Comma 5 6 2 2" xfId="4785" xr:uid="{66519FCD-33BF-46A1-9481-BB5BECB00A7C}"/>
    <cellStyle name="Comma 5 6 2 2 2" xfId="5919" xr:uid="{C9E9E93D-18B1-4DD7-9EF7-43A701F8E872}"/>
    <cellStyle name="Comma 5 6 2 3" xfId="5491" xr:uid="{C197695B-5CED-4880-9FDE-BD52A0D28BD6}"/>
    <cellStyle name="Comma 5 6 2 4" xfId="5104" xr:uid="{5773C3B2-3FCF-45BE-B969-FB1686579D07}"/>
    <cellStyle name="Comma 5 6 3" xfId="4612" xr:uid="{73579CAF-92F2-45AE-9458-400FF5621EB9}"/>
    <cellStyle name="Comma 5 6 3 2" xfId="5746" xr:uid="{2EDB4184-E2B0-4B61-ACA7-2649895C600C}"/>
    <cellStyle name="Comma 5 6 4" xfId="5318" xr:uid="{9623B234-3BA4-4C45-A065-99609AAB01F1}"/>
    <cellStyle name="Comma 5 6 5" xfId="4931" xr:uid="{CC859DD1-193C-4048-942C-95B88A50CEFF}"/>
    <cellStyle name="Comma 5 7" xfId="2118" xr:uid="{1DDBF014-022B-40EC-A026-47BAB3FF8F43}"/>
    <cellStyle name="Comma 5 7 2" xfId="2798" xr:uid="{DBCB0F61-82AD-4E29-B593-683D10D47310}"/>
    <cellStyle name="Comma 5 7 2 2" xfId="3124" xr:uid="{BDE8525A-E4A4-48C4-BBCE-4A75A2732A1C}"/>
    <cellStyle name="Comma 5 7 2 2 2" xfId="4188" xr:uid="{676C5E3A-24D5-4846-95BF-357047DD0E54}"/>
    <cellStyle name="Comma 5 7 2 3" xfId="4189" xr:uid="{1FEBEE51-57F3-4BAC-BDDE-27A1620A804F}"/>
    <cellStyle name="Comma 5 7 3" xfId="3020" xr:uid="{846F540F-EB47-4101-83B8-0F1D62F0798D}"/>
    <cellStyle name="Comma 5 7 3 2" xfId="4190" xr:uid="{AA09DEFC-126E-42C7-8FBE-F2BB583B4946}"/>
    <cellStyle name="Comma 5 7 4" xfId="2573" xr:uid="{91D9BEE9-32CF-4109-AA86-B4CCE8AABC9D}"/>
    <cellStyle name="Comma 5 7 4 2" xfId="4191" xr:uid="{13DF8B30-70D4-4708-BD4A-C3FA2A62BD6D}"/>
    <cellStyle name="Comma 5 7 5" xfId="4192" xr:uid="{4AD45836-5DD4-4038-9AF6-9F7CCBAB8856}"/>
    <cellStyle name="Comma 5 8" xfId="2205" xr:uid="{B61DC21F-D609-4520-9673-7EDD42833155}"/>
    <cellStyle name="Comma 5 8 2" xfId="4676" xr:uid="{0B1CFF6A-2E16-4B45-9F8C-38554E83C552}"/>
    <cellStyle name="Comma 5 8 2 2" xfId="5810" xr:uid="{5B967711-7916-4CF2-BF56-C09AA4D42847}"/>
    <cellStyle name="Comma 5 8 3" xfId="5382" xr:uid="{F804E271-D183-4844-8279-A02E0785F2FA}"/>
    <cellStyle name="Comma 5 8 4" xfId="4995" xr:uid="{1BD90D86-C687-413F-A252-F9F22AAF5C1E}"/>
    <cellStyle name="Comma 5 9" xfId="973" xr:uid="{E1F8B152-1A08-4122-A748-D2B503E2D17A}"/>
    <cellStyle name="Comma 5 9 2" xfId="4193" xr:uid="{A9645908-024F-4E71-B583-FB445F199411}"/>
    <cellStyle name="Comma 6" xfId="177" xr:uid="{8C908D06-4A54-4ACE-A5E0-3C0C19169AD3}"/>
    <cellStyle name="Comma 6 10" xfId="4194" xr:uid="{1E8C317D-41F9-4131-8C48-5FE3F146B14C}"/>
    <cellStyle name="Comma 6 11" xfId="4535" xr:uid="{61A449D4-C7F1-432A-A473-C401054E6B2E}"/>
    <cellStyle name="Comma 6 11 2" xfId="5669" xr:uid="{06F8BD43-8103-4F34-B85C-DEFA60EF5BBA}"/>
    <cellStyle name="Comma 6 2" xfId="178" xr:uid="{FF9359AE-3B1E-4E95-83D7-BCB9F2D8F503}"/>
    <cellStyle name="Comma 6 2 10" xfId="4536" xr:uid="{26D96D43-A0C1-4399-B27A-6BD15712DE31}"/>
    <cellStyle name="Comma 6 2 10 2" xfId="5670" xr:uid="{7187B4DA-3B20-440F-AEE6-B6F33290A750}"/>
    <cellStyle name="Comma 6 2 2" xfId="179" xr:uid="{1A9ABCD6-F268-4F49-A9CE-C3C2467E5496}"/>
    <cellStyle name="Comma 6 2 2 2" xfId="1790" xr:uid="{37985A9C-074F-470F-B911-3F3F8DA4C64B}"/>
    <cellStyle name="Comma 6 2 2 2 2" xfId="2363" xr:uid="{58C15760-A9EF-4BA9-9B69-01EC5EB6CAAF}"/>
    <cellStyle name="Comma 6 2 2 2 2 2" xfId="4834" xr:uid="{B919D305-2A03-4D8B-9C97-06AF75F5CB08}"/>
    <cellStyle name="Comma 6 2 2 2 2 2 2" xfId="5968" xr:uid="{2219E300-2203-44F0-BD98-357410DCA85A}"/>
    <cellStyle name="Comma 6 2 2 2 2 3" xfId="5540" xr:uid="{51ABA48F-7204-4C5D-9446-F71E3EA551C8}"/>
    <cellStyle name="Comma 6 2 2 2 2 4" xfId="5153" xr:uid="{702B9D29-5407-497B-A667-4FFA8BEF0D77}"/>
    <cellStyle name="Comma 6 2 2 2 3" xfId="4661" xr:uid="{3D8ADE2E-11D3-488F-BD9F-7CAA892E2404}"/>
    <cellStyle name="Comma 6 2 2 2 3 2" xfId="5795" xr:uid="{966482C0-3F6C-4B28-BCF1-D48A26096D1A}"/>
    <cellStyle name="Comma 6 2 2 2 4" xfId="5367" xr:uid="{EF3C7C70-D6D6-4866-9716-0270FDE16AB6}"/>
    <cellStyle name="Comma 6 2 2 2 5" xfId="4980" xr:uid="{AB40E927-9A1E-4B79-997E-B10F331039F6}"/>
    <cellStyle name="Comma 6 2 2 3" xfId="2254" xr:uid="{DB3CA951-F52A-46E3-95B8-645CAC1FB091}"/>
    <cellStyle name="Comma 6 2 2 3 2" xfId="4725" xr:uid="{AC637C6D-2680-4C7B-8A49-BD7E692AB3CB}"/>
    <cellStyle name="Comma 6 2 2 3 2 2" xfId="5859" xr:uid="{CC7E566E-7277-4CF5-83F9-D600200B7116}"/>
    <cellStyle name="Comma 6 2 2 3 3" xfId="5431" xr:uid="{CEEA9071-ACF5-48C6-8BAC-4E65347BB022}"/>
    <cellStyle name="Comma 6 2 2 3 4" xfId="5044" xr:uid="{B88FA62B-1F5A-4AE0-B560-67F6F520AB48}"/>
    <cellStyle name="Comma 6 2 2 4" xfId="4537" xr:uid="{71952430-FD4B-42D7-83DC-BAB2930288CF}"/>
    <cellStyle name="Comma 6 2 2 4 2" xfId="5671" xr:uid="{0C0BA5E0-C837-4D83-AD14-66FAA93BF290}"/>
    <cellStyle name="Comma 6 2 2 5" xfId="5244" xr:uid="{147E548A-7FDB-4BA7-8FE3-9CEFBCF2CB91}"/>
    <cellStyle name="Comma 6 2 2 6" xfId="4868" xr:uid="{EB62BB67-E0D5-45F6-96D2-C44E7175C47E}"/>
    <cellStyle name="Comma 6 2 3" xfId="180" xr:uid="{74F1E95F-B265-48BC-A3CC-CA4E50D9B71D}"/>
    <cellStyle name="Comma 6 2 3 2" xfId="1218" xr:uid="{50BFD0BC-4E68-46D2-B3E8-638B1FDBC442}"/>
    <cellStyle name="Comma 6 2 3 2 2" xfId="2007" xr:uid="{5C8C9F0F-EE3C-47FC-AEBC-3E500C9FFE07}"/>
    <cellStyle name="Comma 6 2 3 2 2 2" xfId="2932" xr:uid="{970BF29E-AF63-42E8-881B-9799871E9BD5}"/>
    <cellStyle name="Comma 6 2 3 2 2 2 2" xfId="4195" xr:uid="{A423F5E2-BC8B-48BC-B647-6A5BE290FA16}"/>
    <cellStyle name="Comma 6 2 3 2 2 3" xfId="2710" xr:uid="{FCD648A7-EBB7-4876-A8C0-0CDCB7B2E1A2}"/>
    <cellStyle name="Comma 6 2 3 2 2 3 2" xfId="4196" xr:uid="{963F559E-FC7C-4B7A-A67D-8C8EDC8D49FE}"/>
    <cellStyle name="Comma 6 2 3 2 2 4" xfId="4197" xr:uid="{51A362DF-5B0C-4EE3-8649-71A44F271EDB}"/>
    <cellStyle name="Comma 6 2 3 2 3" xfId="2485" xr:uid="{0FCE6094-5585-4081-821B-226E1A32B784}"/>
    <cellStyle name="Comma 6 2 3 2 3 2" xfId="4198" xr:uid="{BD164F3C-52CE-4B65-8B68-4D57266419B9}"/>
    <cellStyle name="Comma 6 2 3 2 4" xfId="4199" xr:uid="{446563F8-F789-4F42-94A0-2965581A003D}"/>
    <cellStyle name="Comma 6 2 3 3" xfId="1937" xr:uid="{94A253F4-31FD-46C3-827F-6CA9FC96CC5A}"/>
    <cellStyle name="Comma 6 2 3 3 2" xfId="2862" xr:uid="{BAFAE181-1B5A-4F05-816F-24B48514D6BE}"/>
    <cellStyle name="Comma 6 2 3 3 2 2" xfId="4200" xr:uid="{918FB909-A9FF-46F1-B5D7-2D490C4D226B}"/>
    <cellStyle name="Comma 6 2 3 3 3" xfId="2640" xr:uid="{5BF1911F-D7BF-4975-9263-DAE476D9E040}"/>
    <cellStyle name="Comma 6 2 3 3 3 2" xfId="4201" xr:uid="{9D9BD5F2-AC4B-41D3-86EF-2244A0975BF7}"/>
    <cellStyle name="Comma 6 2 3 3 4" xfId="4202" xr:uid="{1154B9D6-92B4-48BB-BA3B-1E25A0E5D7A0}"/>
    <cellStyle name="Comma 6 2 3 4" xfId="2415" xr:uid="{590D8D09-0F03-4E60-96C3-C60290068241}"/>
    <cellStyle name="Comma 6 2 3 4 2" xfId="4203" xr:uid="{FCDAEE2B-F308-41B0-B7E7-477789F08103}"/>
    <cellStyle name="Comma 6 2 3 5" xfId="1045" xr:uid="{0DF6967A-09DC-4F30-9F96-85CEEAA85DB6}"/>
    <cellStyle name="Comma 6 2 3 5 2" xfId="4204" xr:uid="{E48D54B1-B9E3-4A4B-AC54-D31025C2A2AB}"/>
    <cellStyle name="Comma 6 2 3 6" xfId="4205" xr:uid="{DCABB0C2-0C91-474F-99C4-1C25522AD8F5}"/>
    <cellStyle name="Comma 6 2 3 7" xfId="4538" xr:uid="{84FE57CF-46D1-464F-89A0-B1345D311867}"/>
    <cellStyle name="Comma 6 2 3 7 2" xfId="5672" xr:uid="{576CBFB7-C98E-44DE-A01D-1931BFE025DD}"/>
    <cellStyle name="Comma 6 2 3 8" xfId="5245" xr:uid="{0ECC8FC8-99C0-4794-9F48-608762CDAAF3}"/>
    <cellStyle name="Comma 6 2 4" xfId="1636" xr:uid="{BD73786E-0F31-48C4-A6E0-E7A44C1DCBE6}"/>
    <cellStyle name="Comma 6 2 4 2" xfId="2289" xr:uid="{DC619F69-C30A-4294-98DA-A33ACA82BBB3}"/>
    <cellStyle name="Comma 6 2 4 2 2" xfId="4760" xr:uid="{1D87A94B-F76F-41B7-B167-650E57AE7007}"/>
    <cellStyle name="Comma 6 2 4 2 2 2" xfId="5894" xr:uid="{640E0AAB-026D-425B-9B68-4A0DB95B242D}"/>
    <cellStyle name="Comma 6 2 4 2 3" xfId="5466" xr:uid="{1B50EE77-8353-4560-A8AB-18A4EBE7CD66}"/>
    <cellStyle name="Comma 6 2 4 2 4" xfId="5079" xr:uid="{211F0E82-C531-41A5-A359-1A6559B44C06}"/>
    <cellStyle name="Comma 6 2 4 3" xfId="4587" xr:uid="{B5316756-F6DD-41B7-BC75-A4505A79718C}"/>
    <cellStyle name="Comma 6 2 4 3 2" xfId="5721" xr:uid="{16A683B7-C287-45EB-97E3-2BCEE3FB23F9}"/>
    <cellStyle name="Comma 6 2 4 4" xfId="5293" xr:uid="{C8B0900B-EDB3-4B42-AF23-0EA8476F82AB}"/>
    <cellStyle name="Comma 6 2 4 5" xfId="4906" xr:uid="{B1A43B25-759A-487D-83C0-B7B703214A0A}"/>
    <cellStyle name="Comma 6 2 5" xfId="1758" xr:uid="{B57A5836-B3C2-4259-83DB-CE85947DC761}"/>
    <cellStyle name="Comma 6 2 5 2" xfId="2331" xr:uid="{4516B9D2-7201-4975-BAAE-5678A26BC6DB}"/>
    <cellStyle name="Comma 6 2 5 2 2" xfId="4802" xr:uid="{C95D19D9-1DAE-48B7-8BF1-E5BEA12413A8}"/>
    <cellStyle name="Comma 6 2 5 2 2 2" xfId="5936" xr:uid="{AB003E07-610D-4CF5-8F18-57444ED6F17A}"/>
    <cellStyle name="Comma 6 2 5 2 3" xfId="5508" xr:uid="{476FA8A5-BA55-48F5-A5AF-307412FFD4EE}"/>
    <cellStyle name="Comma 6 2 5 2 4" xfId="5121" xr:uid="{C6CF8867-7952-4D23-91B3-5BC770BAC32C}"/>
    <cellStyle name="Comma 6 2 5 3" xfId="4629" xr:uid="{30A96B48-8A30-4DDB-ABB7-EC45530F640B}"/>
    <cellStyle name="Comma 6 2 5 3 2" xfId="5763" xr:uid="{7586F583-0FCA-4E0A-80BC-4395777BA77B}"/>
    <cellStyle name="Comma 6 2 5 4" xfId="5335" xr:uid="{95AAF336-42E7-4DD8-A05B-C3708C1135EB}"/>
    <cellStyle name="Comma 6 2 5 5" xfId="4948" xr:uid="{8CD59834-6B26-408C-83C0-40003AC59402}"/>
    <cellStyle name="Comma 6 2 6" xfId="2119" xr:uid="{CDEC1A0A-F858-4F62-9448-5CCCBF52AFB0}"/>
    <cellStyle name="Comma 6 2 6 2" xfId="2799" xr:uid="{1EAB8E88-263A-4A87-AA21-135619E13D89}"/>
    <cellStyle name="Comma 6 2 6 2 2" xfId="3125" xr:uid="{05D5924A-2679-4113-83E1-6DAA30C4CBE0}"/>
    <cellStyle name="Comma 6 2 6 2 2 2" xfId="4206" xr:uid="{2C39C9A7-55C7-4A58-B45F-82AA1B33F09D}"/>
    <cellStyle name="Comma 6 2 6 2 3" xfId="4207" xr:uid="{25469DF7-826A-4538-8F5C-FBF89D141790}"/>
    <cellStyle name="Comma 6 2 6 3" xfId="3021" xr:uid="{0128D6E4-74CE-4E23-97EF-921CC9D68B49}"/>
    <cellStyle name="Comma 6 2 6 3 2" xfId="4208" xr:uid="{213DBB9B-B270-4D78-835A-54AC16E912D8}"/>
    <cellStyle name="Comma 6 2 6 4" xfId="2574" xr:uid="{0A90B407-68F3-49CC-857C-3D7D59257668}"/>
    <cellStyle name="Comma 6 2 6 4 2" xfId="4209" xr:uid="{45518399-6258-4A8C-9436-86695F2D26FC}"/>
    <cellStyle name="Comma 6 2 6 5" xfId="4210" xr:uid="{3B2942E1-9089-45A9-A416-5DA99F1F3D09}"/>
    <cellStyle name="Comma 6 2 7" xfId="2222" xr:uid="{13714975-165A-40A6-A9D6-E78EB1A40F06}"/>
    <cellStyle name="Comma 6 2 7 2" xfId="4693" xr:uid="{066F59BB-60DA-4D5B-8E1F-AD22FEF6EBAC}"/>
    <cellStyle name="Comma 6 2 7 2 2" xfId="5827" xr:uid="{19F6509F-DF3F-4CD8-8067-A25E95B5C536}"/>
    <cellStyle name="Comma 6 2 7 3" xfId="5399" xr:uid="{4991AD16-DF12-4AFB-8C42-C7B31A172FE5}"/>
    <cellStyle name="Comma 6 2 7 4" xfId="5012" xr:uid="{4EE5B3FB-7C1A-4E67-9920-FFD8B8F2B804}"/>
    <cellStyle name="Comma 6 2 8" xfId="995" xr:uid="{1E554E62-B3D8-49A9-9508-047E7FA237AD}"/>
    <cellStyle name="Comma 6 2 8 2" xfId="4211" xr:uid="{9264F525-B2D2-4745-93E1-3DF88B214F7C}"/>
    <cellStyle name="Comma 6 2 9" xfId="4212" xr:uid="{042C22CB-8B08-4C93-8DCC-D644E24C2904}"/>
    <cellStyle name="Comma 6 3" xfId="181" xr:uid="{8109ABDC-32AC-41AE-A671-BB13CF1B5470}"/>
    <cellStyle name="Comma 6 3 2" xfId="1774" xr:uid="{EBD59735-9962-4AB0-8176-560106DA8282}"/>
    <cellStyle name="Comma 6 3 2 2" xfId="2347" xr:uid="{AABF81A9-5EAC-447E-A2C3-7EFA84360CEA}"/>
    <cellStyle name="Comma 6 3 2 2 2" xfId="4818" xr:uid="{7306433B-EA37-4D42-9AD2-19389D19B976}"/>
    <cellStyle name="Comma 6 3 2 2 2 2" xfId="5952" xr:uid="{B181595E-E9A4-45A4-BD62-8FBE7C26AE37}"/>
    <cellStyle name="Comma 6 3 2 2 3" xfId="5524" xr:uid="{93AE590F-AEAB-4BCB-B75C-CF39F85072B9}"/>
    <cellStyle name="Comma 6 3 2 2 4" xfId="5137" xr:uid="{EF9D2BDE-2926-4FE6-AFDC-BCD21B6CEB3D}"/>
    <cellStyle name="Comma 6 3 2 3" xfId="4645" xr:uid="{425C02E5-ECD4-46A7-8D75-8E533E5A2F45}"/>
    <cellStyle name="Comma 6 3 2 3 2" xfId="5779" xr:uid="{CA0F9C6E-B0E3-4DDB-9990-9CD5C38A4DB2}"/>
    <cellStyle name="Comma 6 3 2 4" xfId="5351" xr:uid="{3165AB91-212F-43FD-B5CA-92BC167F82A6}"/>
    <cellStyle name="Comma 6 3 2 5" xfId="4964" xr:uid="{60101B70-EF64-4928-8D3A-A7F53A9D5F91}"/>
    <cellStyle name="Comma 6 3 3" xfId="2238" xr:uid="{BD5D922A-71CA-4B60-9473-1D6D7BBDBDAC}"/>
    <cellStyle name="Comma 6 3 3 2" xfId="4709" xr:uid="{1008D45C-5B36-4370-B104-0CB4759746D2}"/>
    <cellStyle name="Comma 6 3 3 2 2" xfId="5843" xr:uid="{01962682-D698-4CB0-AB6D-A90B2DA535CB}"/>
    <cellStyle name="Comma 6 3 3 3" xfId="5415" xr:uid="{38FA2F37-D8B7-4971-B6A9-15166CD70CE1}"/>
    <cellStyle name="Comma 6 3 3 4" xfId="5028" xr:uid="{3C0EB837-0CDC-4560-B866-932713A60754}"/>
    <cellStyle name="Comma 6 3 4" xfId="4539" xr:uid="{D98530EB-7A20-44F0-954B-BF9CE030981C}"/>
    <cellStyle name="Comma 6 3 4 2" xfId="5673" xr:uid="{BD2AE302-CF3E-42D3-B2D8-9381D99AA2B6}"/>
    <cellStyle name="Comma 6 3 5" xfId="5246" xr:uid="{06E1C05C-BA82-4861-85A9-72075AF7C73D}"/>
    <cellStyle name="Comma 6 3 6" xfId="4869" xr:uid="{AB2B8F91-7319-4793-ADC6-D78E0D2DA4B6}"/>
    <cellStyle name="Comma 6 4" xfId="182" xr:uid="{9B5A26B8-FAC7-40DD-91AC-4731717F6C3A}"/>
    <cellStyle name="Comma 6 4 2" xfId="1202" xr:uid="{7088EFAD-DED3-4BF4-8B3A-9352FB99001E}"/>
    <cellStyle name="Comma 6 4 2 2" xfId="1991" xr:uid="{D7F280A7-7904-4472-8F89-CAA5AA1F07AD}"/>
    <cellStyle name="Comma 6 4 2 2 2" xfId="2916" xr:uid="{631290E9-BC3A-47C3-A6F2-09729207A4DA}"/>
    <cellStyle name="Comma 6 4 2 2 2 2" xfId="4213" xr:uid="{58CDA825-A283-45FB-9BAE-52542E64BF65}"/>
    <cellStyle name="Comma 6 4 2 2 3" xfId="2694" xr:uid="{F81C2AF8-3EDF-4509-A914-0234B05D777B}"/>
    <cellStyle name="Comma 6 4 2 2 3 2" xfId="4214" xr:uid="{349666C3-1ACD-48FB-BD10-3D0876AB471A}"/>
    <cellStyle name="Comma 6 4 2 2 4" xfId="4215" xr:uid="{554DCD13-B79B-4BC4-AC70-99F36730CE50}"/>
    <cellStyle name="Comma 6 4 2 3" xfId="2469" xr:uid="{8AF18546-B2AF-4917-A97E-17E9C6BFA222}"/>
    <cellStyle name="Comma 6 4 2 3 2" xfId="4216" xr:uid="{9EA63629-A072-4E99-A51A-A00ED00564E5}"/>
    <cellStyle name="Comma 6 4 2 4" xfId="4217" xr:uid="{FA3069B5-8B13-42E9-8FC9-5067173E69D8}"/>
    <cellStyle name="Comma 6 4 3" xfId="1921" xr:uid="{22B5D8FD-7B9A-47BA-8C88-AF99B3C08D86}"/>
    <cellStyle name="Comma 6 4 3 2" xfId="2846" xr:uid="{A314D84E-8763-4D12-B2F0-302FF9D7320E}"/>
    <cellStyle name="Comma 6 4 3 2 2" xfId="4218" xr:uid="{1BD32ABC-76A1-491B-A2C2-9292D34D8F88}"/>
    <cellStyle name="Comma 6 4 3 3" xfId="2624" xr:uid="{DB26B3F0-AF2C-4500-ABCA-A53B0A84F969}"/>
    <cellStyle name="Comma 6 4 3 3 2" xfId="4219" xr:uid="{A826AA0E-314B-4F5A-A9CC-21389BFAB3ED}"/>
    <cellStyle name="Comma 6 4 3 4" xfId="4220" xr:uid="{7B0EB125-9FC0-471A-8CF0-CBD2BD1E562C}"/>
    <cellStyle name="Comma 6 4 4" xfId="2399" xr:uid="{7E7880D6-E75D-4E94-999A-CFD998C042FC}"/>
    <cellStyle name="Comma 6 4 4 2" xfId="4221" xr:uid="{35A3E83D-3E62-47A1-A5EA-45077FFDD2CD}"/>
    <cellStyle name="Comma 6 4 5" xfId="1029" xr:uid="{7169AAAE-D52C-42C5-A8DA-1FF20D94A667}"/>
    <cellStyle name="Comma 6 4 5 2" xfId="4222" xr:uid="{759245EE-97D3-4658-9ECB-A3E4FC710335}"/>
    <cellStyle name="Comma 6 4 6" xfId="4223" xr:uid="{CEBEA100-E6FE-448E-9BE3-C1C2E40F8000}"/>
    <cellStyle name="Comma 6 4 7" xfId="4540" xr:uid="{60E6275B-7D2D-444F-9FEB-C3D44156628C}"/>
    <cellStyle name="Comma 6 4 7 2" xfId="5674" xr:uid="{4378700A-2BC6-4B73-AC23-56861F187DC7}"/>
    <cellStyle name="Comma 6 4 8" xfId="5247" xr:uid="{6CB34550-8648-4654-BD24-3E333202C26B}"/>
    <cellStyle name="Comma 6 5" xfId="1554" xr:uid="{457F8CAC-F851-4854-8AF7-03B32D29A4DA}"/>
    <cellStyle name="Comma 6 5 2" xfId="2274" xr:uid="{93BC4C84-6C21-4645-9FEB-A52E2DB8A61E}"/>
    <cellStyle name="Comma 6 5 2 2" xfId="4745" xr:uid="{7FFCF447-5A55-4370-B24C-5A54A9A608EC}"/>
    <cellStyle name="Comma 6 5 2 2 2" xfId="5879" xr:uid="{B3ACD84D-D988-48AF-AAAF-6C5148640695}"/>
    <cellStyle name="Comma 6 5 2 3" xfId="5451" xr:uid="{B92D012D-F843-4692-A454-8B5575E4E10E}"/>
    <cellStyle name="Comma 6 5 2 4" xfId="5064" xr:uid="{00A7F004-A95C-40C8-9A8A-1DCC57D2AA48}"/>
    <cellStyle name="Comma 6 5 3" xfId="4572" xr:uid="{BFAA0184-BE69-461C-AB89-39E16F67A0B3}"/>
    <cellStyle name="Comma 6 5 3 2" xfId="5706" xr:uid="{93B721A7-ED51-4297-9AA4-E72F0AE26E20}"/>
    <cellStyle name="Comma 6 5 4" xfId="5278" xr:uid="{90408233-F14D-49AF-97E4-118FE9737036}"/>
    <cellStyle name="Comma 6 5 5" xfId="4891" xr:uid="{30E8E4A8-FB56-4E7D-9D75-6F3460E4B543}"/>
    <cellStyle name="Comma 6 6" xfId="1742" xr:uid="{501B8BFF-72BB-473B-8AE4-AB4F9ED13C8A}"/>
    <cellStyle name="Comma 6 6 2" xfId="2315" xr:uid="{2EEF488B-5FE7-422E-86CA-D340947F2AAF}"/>
    <cellStyle name="Comma 6 6 2 2" xfId="4786" xr:uid="{D5ACB756-3134-42BB-ABF3-93E970473445}"/>
    <cellStyle name="Comma 6 6 2 2 2" xfId="5920" xr:uid="{EBC8B3C7-2E5C-4557-B625-25B497F8A391}"/>
    <cellStyle name="Comma 6 6 2 3" xfId="5492" xr:uid="{A0A595B7-CE07-473F-9506-2BF58DDF98D0}"/>
    <cellStyle name="Comma 6 6 2 4" xfId="5105" xr:uid="{120370BF-5D8B-4FE3-AFBB-05B891F91FA5}"/>
    <cellStyle name="Comma 6 6 3" xfId="4613" xr:uid="{8AE793EA-7BF2-46C1-9858-577479FEEB75}"/>
    <cellStyle name="Comma 6 6 3 2" xfId="5747" xr:uid="{C8AC6FD0-2C49-47B7-A5FA-F613FFA4FF02}"/>
    <cellStyle name="Comma 6 6 4" xfId="5319" xr:uid="{502E801B-FED9-4193-BDBE-E218A66BC9F3}"/>
    <cellStyle name="Comma 6 6 5" xfId="4932" xr:uid="{E9B359A5-7E4B-4914-8A11-B89A029F6E9A}"/>
    <cellStyle name="Comma 6 7" xfId="2120" xr:uid="{45B5D0C4-902E-454D-8959-A3538793D0A8}"/>
    <cellStyle name="Comma 6 7 2" xfId="2800" xr:uid="{3E7FE84E-B99E-41C7-ACB6-7BB16B53774A}"/>
    <cellStyle name="Comma 6 7 2 2" xfId="3126" xr:uid="{16C56D25-23BC-49B0-97B6-EAD1030341F8}"/>
    <cellStyle name="Comma 6 7 2 2 2" xfId="4224" xr:uid="{A2FBEBCF-728F-4F1E-B061-7CA8B864752B}"/>
    <cellStyle name="Comma 6 7 2 3" xfId="4225" xr:uid="{AEADD043-F167-4845-9018-AC40BDD1E9C4}"/>
    <cellStyle name="Comma 6 7 3" xfId="3022" xr:uid="{1B58AC78-78CD-498B-BD6F-4AE53BF1F2B6}"/>
    <cellStyle name="Comma 6 7 3 2" xfId="4226" xr:uid="{F296BAB4-C9CA-4984-8B91-A23963737291}"/>
    <cellStyle name="Comma 6 7 4" xfId="2575" xr:uid="{026B8E91-7DE7-4D66-9DC3-07170590A489}"/>
    <cellStyle name="Comma 6 7 4 2" xfId="4227" xr:uid="{B43C758C-9ECA-4285-B4B6-11A96B7E6B8D}"/>
    <cellStyle name="Comma 6 7 5" xfId="4228" xr:uid="{B65F3C1D-19B7-4CD5-BDB8-35F5919D2C81}"/>
    <cellStyle name="Comma 6 8" xfId="2206" xr:uid="{75ADD1B7-3999-4F13-BC63-7DF35E2A810F}"/>
    <cellStyle name="Comma 6 8 2" xfId="4677" xr:uid="{2E0CD326-5490-4A82-B22B-3B9DFE746A3C}"/>
    <cellStyle name="Comma 6 8 2 2" xfId="5811" xr:uid="{2244303C-852E-45EB-ABAE-6C8D7FFD0FB3}"/>
    <cellStyle name="Comma 6 8 3" xfId="5383" xr:uid="{C7B52592-B72F-47EF-BF4A-A76A3478301F}"/>
    <cellStyle name="Comma 6 8 4" xfId="4996" xr:uid="{9219AED7-9691-4563-8F9C-327981484D4D}"/>
    <cellStyle name="Comma 6 9" xfId="974" xr:uid="{C91C64AC-6C28-45FD-A4A2-374B8D33F3CF}"/>
    <cellStyle name="Comma 6 9 2" xfId="4229" xr:uid="{01319A82-12DC-4877-A912-F2CD49203D1E}"/>
    <cellStyle name="Comma 7" xfId="183" xr:uid="{2140251B-3132-4916-B3B3-91CA24A49757}"/>
    <cellStyle name="Comma 7 10" xfId="4541" xr:uid="{67E9C93E-7FF6-4A8A-86FD-E575EEC2D7FA}"/>
    <cellStyle name="Comma 7 10 2" xfId="5675" xr:uid="{EB35D4F6-C64C-48B9-BA83-E26AD9F1D33F}"/>
    <cellStyle name="Comma 7 2" xfId="184" xr:uid="{739A4E30-D5D9-4491-BFDA-5FE39BBD8AA7}"/>
    <cellStyle name="Comma 7 2 2" xfId="1775" xr:uid="{2201797D-1E77-4FD8-B4E6-A474D4CD5E21}"/>
    <cellStyle name="Comma 7 2 2 2" xfId="2348" xr:uid="{525CF763-A363-437F-91E6-DF8D8B3C0C0C}"/>
    <cellStyle name="Comma 7 2 2 2 2" xfId="4819" xr:uid="{77E5A260-735D-4966-8696-AB56CE12B2C9}"/>
    <cellStyle name="Comma 7 2 2 2 2 2" xfId="5953" xr:uid="{2B399F59-B677-4D03-A461-90A7239A2680}"/>
    <cellStyle name="Comma 7 2 2 2 3" xfId="5525" xr:uid="{BA462AE8-F3E1-4610-821E-FCC855981EE5}"/>
    <cellStyle name="Comma 7 2 2 2 4" xfId="5138" xr:uid="{D41EC44F-CE04-4D9D-9046-1AA39C6CF583}"/>
    <cellStyle name="Comma 7 2 2 3" xfId="4646" xr:uid="{AAF74D48-4117-4992-831B-CCD715EFC949}"/>
    <cellStyle name="Comma 7 2 2 3 2" xfId="5780" xr:uid="{26AA7E9E-967D-4986-9FCB-373520EFE658}"/>
    <cellStyle name="Comma 7 2 2 4" xfId="5352" xr:uid="{D3033C98-19BA-4415-9246-85F9C057CBAA}"/>
    <cellStyle name="Comma 7 2 2 5" xfId="4965" xr:uid="{A3911D9A-FA37-4DAA-991F-2C21FE60B433}"/>
    <cellStyle name="Comma 7 2 3" xfId="2239" xr:uid="{0D68D4D2-CEE7-445F-AD88-111D9E29F68E}"/>
    <cellStyle name="Comma 7 2 3 2" xfId="4710" xr:uid="{83519EF8-F2DC-44B5-8F51-011E447E5C16}"/>
    <cellStyle name="Comma 7 2 3 2 2" xfId="5844" xr:uid="{0CB006C3-7AE5-4BF3-9504-638F01EFEB27}"/>
    <cellStyle name="Comma 7 2 3 3" xfId="5416" xr:uid="{0541FB71-7631-4DB3-8A58-E9886E055144}"/>
    <cellStyle name="Comma 7 2 3 4" xfId="5029" xr:uid="{24EE677F-B56C-4E5C-9317-2C99F1B9C426}"/>
    <cellStyle name="Comma 7 2 4" xfId="4542" xr:uid="{050878BD-B793-4E83-8934-D6447B9BCF77}"/>
    <cellStyle name="Comma 7 2 4 2" xfId="5676" xr:uid="{9351E59B-4C7D-4DCC-A795-8EEDA384E8A5}"/>
    <cellStyle name="Comma 7 2 5" xfId="5248" xr:uid="{7101F7A4-EE11-4C6E-A9C5-E49B4AD03A0C}"/>
    <cellStyle name="Comma 7 2 6" xfId="4870" xr:uid="{4E9197B3-39E6-49DA-8B9A-383037D7BE64}"/>
    <cellStyle name="Comma 7 3" xfId="185" xr:uid="{8FCACDB2-63EF-4E8F-BA75-93D028D6B924}"/>
    <cellStyle name="Comma 7 3 2" xfId="1203" xr:uid="{B09640E7-4045-477A-889D-B6F635CEF0E4}"/>
    <cellStyle name="Comma 7 3 2 2" xfId="1992" xr:uid="{C82F1C03-5EA9-404F-9E9F-826DDBE2DD72}"/>
    <cellStyle name="Comma 7 3 2 2 2" xfId="2917" xr:uid="{1C883F18-1650-45F9-A5D6-6C7E6CF9D3E6}"/>
    <cellStyle name="Comma 7 3 2 2 2 2" xfId="4230" xr:uid="{AD5FB52E-3623-463A-8A69-FBBBD06EF1E0}"/>
    <cellStyle name="Comma 7 3 2 2 3" xfId="2695" xr:uid="{F7D28D42-8CF5-40F8-868B-FFE7E541A63B}"/>
    <cellStyle name="Comma 7 3 2 2 3 2" xfId="4231" xr:uid="{9F2DA355-2D9B-49D6-9DA1-B475802C9010}"/>
    <cellStyle name="Comma 7 3 2 2 4" xfId="4232" xr:uid="{4E41FF94-3298-4DF2-B21E-F15F1247C1B2}"/>
    <cellStyle name="Comma 7 3 2 3" xfId="2470" xr:uid="{224E0482-15FE-476C-851D-8791E748C8CF}"/>
    <cellStyle name="Comma 7 3 2 3 2" xfId="4233" xr:uid="{F036626D-AF06-480B-818C-537B26887C2B}"/>
    <cellStyle name="Comma 7 3 2 4" xfId="4234" xr:uid="{A920D27D-CFD7-4628-B80D-974BFF97C0DA}"/>
    <cellStyle name="Comma 7 3 3" xfId="1922" xr:uid="{BED5146D-56B1-4A09-BEC3-0521BCC9A9A7}"/>
    <cellStyle name="Comma 7 3 3 2" xfId="2847" xr:uid="{C75E6256-3937-47EB-A914-9FB16F7A6D7F}"/>
    <cellStyle name="Comma 7 3 3 2 2" xfId="4235" xr:uid="{EA480FB7-A78A-4D66-B22D-D16CD836E369}"/>
    <cellStyle name="Comma 7 3 3 3" xfId="2625" xr:uid="{F7A73ADB-B307-4423-B895-B810354571B3}"/>
    <cellStyle name="Comma 7 3 3 3 2" xfId="4236" xr:uid="{95E42CB2-32C4-4104-AD73-6AE06E34093B}"/>
    <cellStyle name="Comma 7 3 3 4" xfId="4237" xr:uid="{33D104EE-4810-4292-A2D5-DB83A398B956}"/>
    <cellStyle name="Comma 7 3 4" xfId="2400" xr:uid="{8187E744-46B5-4C03-9EFC-A8BCE9E866C1}"/>
    <cellStyle name="Comma 7 3 4 2" xfId="4238" xr:uid="{ED043B80-72D1-4DF0-BB45-ADAC0118D988}"/>
    <cellStyle name="Comma 7 3 5" xfId="1030" xr:uid="{06213327-68BF-4695-B0D8-DCB088B5606B}"/>
    <cellStyle name="Comma 7 3 5 2" xfId="4239" xr:uid="{79D45EEF-8D72-40EA-B9BA-D28F75F5F770}"/>
    <cellStyle name="Comma 7 3 6" xfId="4240" xr:uid="{E5811549-2AB3-44C5-ABEC-9E892D8645D3}"/>
    <cellStyle name="Comma 7 3 7" xfId="4543" xr:uid="{96737762-28CA-45A3-8C29-AEA6388B321E}"/>
    <cellStyle name="Comma 7 3 7 2" xfId="5677" xr:uid="{2D3312AD-6114-46E7-B3EC-D766DA138438}"/>
    <cellStyle name="Comma 7 3 8" xfId="5249" xr:uid="{087A2F91-543F-4049-8313-B50C256AF953}"/>
    <cellStyle name="Comma 7 4" xfId="1595" xr:uid="{E5D816E9-4FB1-4DD3-81DE-ECC353FFD14F}"/>
    <cellStyle name="Comma 7 4 2" xfId="2275" xr:uid="{724BF4B6-8AC6-4E8B-9866-05AE0CB29BEF}"/>
    <cellStyle name="Comma 7 4 2 2" xfId="4746" xr:uid="{D13DFB09-5CB9-49E8-B619-462E53632FED}"/>
    <cellStyle name="Comma 7 4 2 2 2" xfId="5880" xr:uid="{8353CC6C-1248-4ECB-8BA2-18352169E25E}"/>
    <cellStyle name="Comma 7 4 2 3" xfId="5452" xr:uid="{5CE90592-6FCC-480D-8B91-AF41C1BD6F0E}"/>
    <cellStyle name="Comma 7 4 2 4" xfId="5065" xr:uid="{3FBCA3AA-A0E8-473B-A06C-7D4FAE4471E3}"/>
    <cellStyle name="Comma 7 4 3" xfId="4573" xr:uid="{17927721-FAF6-472B-BEC1-CB5862014293}"/>
    <cellStyle name="Comma 7 4 3 2" xfId="5707" xr:uid="{37E9F4A9-278A-4EBF-A9F5-5949D63CD28E}"/>
    <cellStyle name="Comma 7 4 4" xfId="5279" xr:uid="{332EEEAC-08FF-4721-B358-AD641D0F2DA5}"/>
    <cellStyle name="Comma 7 4 5" xfId="4892" xr:uid="{65D31233-B5EB-4C1A-85A1-6D9A4DDE72A7}"/>
    <cellStyle name="Comma 7 5" xfId="1743" xr:uid="{9E1B9A31-B33F-48DE-89B8-3D9CB8AA05E9}"/>
    <cellStyle name="Comma 7 5 2" xfId="2316" xr:uid="{E6BC15C3-96D7-400B-8189-7B126B288A27}"/>
    <cellStyle name="Comma 7 5 2 2" xfId="4787" xr:uid="{F0CF0612-DA7F-435E-85FC-F1D869D27342}"/>
    <cellStyle name="Comma 7 5 2 2 2" xfId="5921" xr:uid="{DF5C48F6-FEE2-4F98-8AD6-F74A8E71D1A2}"/>
    <cellStyle name="Comma 7 5 2 3" xfId="5493" xr:uid="{E421B1A0-6C4E-4B93-8DA6-B71F51635DBD}"/>
    <cellStyle name="Comma 7 5 2 4" xfId="5106" xr:uid="{C1A97D1F-5D24-4A2A-BACA-2D1F4A33B571}"/>
    <cellStyle name="Comma 7 5 3" xfId="4614" xr:uid="{F0740E7C-AA86-4F54-B8E6-0329A60A2312}"/>
    <cellStyle name="Comma 7 5 3 2" xfId="5748" xr:uid="{D6D61DA7-3016-47DA-95B5-033F31DB3D80}"/>
    <cellStyle name="Comma 7 5 4" xfId="5320" xr:uid="{D7F2C222-D31F-440D-A90F-047421DC2A88}"/>
    <cellStyle name="Comma 7 5 5" xfId="4933" xr:uid="{5A37992A-7158-4C36-BC8C-AC2A4482DFA0}"/>
    <cellStyle name="Comma 7 6" xfId="2121" xr:uid="{88355B60-45C3-4199-8CD8-CD4DB4E18051}"/>
    <cellStyle name="Comma 7 6 2" xfId="2801" xr:uid="{C280F15B-FEA7-4BA7-9596-A3BB6FBCD1EF}"/>
    <cellStyle name="Comma 7 6 2 2" xfId="3127" xr:uid="{7CB4ED11-83E8-4AC9-8BA8-25598C5D72BF}"/>
    <cellStyle name="Comma 7 6 2 2 2" xfId="4241" xr:uid="{929E79E9-E7DE-4434-851C-FD5D66F023BB}"/>
    <cellStyle name="Comma 7 6 2 3" xfId="4242" xr:uid="{8AB53F7B-7B32-4CCC-9826-EE385F645B03}"/>
    <cellStyle name="Comma 7 6 3" xfId="3023" xr:uid="{C9163D50-738B-420E-B5D1-8386367C78FF}"/>
    <cellStyle name="Comma 7 6 3 2" xfId="4243" xr:uid="{61F24A92-ACD8-4CE6-BCAB-8B07A802FCD0}"/>
    <cellStyle name="Comma 7 6 4" xfId="2576" xr:uid="{1593342C-58A9-40DD-8BA4-6854B0A3C456}"/>
    <cellStyle name="Comma 7 6 4 2" xfId="4244" xr:uid="{67CBF3F6-40A4-4670-A20A-A1059F277240}"/>
    <cellStyle name="Comma 7 6 5" xfId="4245" xr:uid="{D8638926-649F-4F7A-A708-8A9C92E23233}"/>
    <cellStyle name="Comma 7 7" xfId="2207" xr:uid="{EA646829-8512-4F0B-8A51-9EF65033FB7E}"/>
    <cellStyle name="Comma 7 7 2" xfId="4678" xr:uid="{CB42D2F8-B5EC-42BB-ABDF-46B0A5A80BFF}"/>
    <cellStyle name="Comma 7 7 2 2" xfId="5812" xr:uid="{0349E6BC-7837-4E8E-9713-B24CA9A5D379}"/>
    <cellStyle name="Comma 7 7 3" xfId="5384" xr:uid="{B58814CE-7248-4046-ABC7-A63240A3F53B}"/>
    <cellStyle name="Comma 7 7 4" xfId="4997" xr:uid="{6A824DA6-D5D9-435E-8C38-4E6DA4B60738}"/>
    <cellStyle name="Comma 7 8" xfId="977" xr:uid="{66307A3D-5B63-49B1-AF4E-BD5D723F9748}"/>
    <cellStyle name="Comma 7 8 2" xfId="4246" xr:uid="{A40B1377-999F-40C8-B7F5-AB8C2E53D01A}"/>
    <cellStyle name="Comma 7 9" xfId="4247" xr:uid="{5EC4EB23-6B02-47FC-A791-5D0DBEA8406C}"/>
    <cellStyle name="Comma 8" xfId="186" xr:uid="{9D40992C-EB53-4A40-B78A-7C3FA385DC44}"/>
    <cellStyle name="Comma 8 10" xfId="5250" xr:uid="{FA20185F-3F55-4966-A8E9-C00604B9C1E7}"/>
    <cellStyle name="Comma 8 2" xfId="187" xr:uid="{1F82F757-8CFA-43CF-8769-16C42A3E9A25}"/>
    <cellStyle name="Comma 8 2 2" xfId="188" xr:uid="{43EB6E01-86C4-48F9-8B1E-1CCC630D25BF}"/>
    <cellStyle name="Comma 8 2 2 2" xfId="1232" xr:uid="{9CDB1E82-6020-4AAF-A922-885A5C8CCBF4}"/>
    <cellStyle name="Comma 8 2 2 2 2" xfId="2021" xr:uid="{B9783BB1-440F-4006-AE56-66ABDF6076A6}"/>
    <cellStyle name="Comma 8 2 2 2 2 2" xfId="2946" xr:uid="{230A7196-E351-4741-BE68-37518B1BF264}"/>
    <cellStyle name="Comma 8 2 2 2 2 2 2" xfId="4248" xr:uid="{F3EF7FEB-2D9F-491F-B166-8E86A29BF9C6}"/>
    <cellStyle name="Comma 8 2 2 2 2 3" xfId="2724" xr:uid="{EF126F08-F6AE-4AD3-A5D4-B1B39462D455}"/>
    <cellStyle name="Comma 8 2 2 2 2 3 2" xfId="4249" xr:uid="{043F0E02-5992-40DF-83CE-ED88197361C6}"/>
    <cellStyle name="Comma 8 2 2 2 2 4" xfId="4250" xr:uid="{434C7AD6-9D39-49A3-85B1-376CF912B6A3}"/>
    <cellStyle name="Comma 8 2 2 2 3" xfId="2499" xr:uid="{DC720296-56A5-4216-85F4-67B5677B372A}"/>
    <cellStyle name="Comma 8 2 2 2 3 2" xfId="4251" xr:uid="{C39853D0-9796-4DD5-AB5D-3F622732148A}"/>
    <cellStyle name="Comma 8 2 2 2 4" xfId="4252" xr:uid="{65EE669F-24EF-4722-AEC1-68A2D56F1675}"/>
    <cellStyle name="Comma 8 2 2 3" xfId="1951" xr:uid="{4932A403-9E11-4498-8BDD-94384CD6B13C}"/>
    <cellStyle name="Comma 8 2 2 3 2" xfId="2876" xr:uid="{1C418D8B-E830-4356-B993-D0424BB4E0F8}"/>
    <cellStyle name="Comma 8 2 2 3 2 2" xfId="4253" xr:uid="{DED01343-5ED5-4B1A-B7FC-1BA7866C9364}"/>
    <cellStyle name="Comma 8 2 2 3 3" xfId="2654" xr:uid="{8BE03A58-AB3E-4A7A-9B42-63124B2F4C7B}"/>
    <cellStyle name="Comma 8 2 2 3 3 2" xfId="4254" xr:uid="{3DE47F08-EA86-46CF-8D62-66A78753FB8A}"/>
    <cellStyle name="Comma 8 2 2 3 4" xfId="4255" xr:uid="{3145120A-C8A8-4039-8143-D24E447F9DD7}"/>
    <cellStyle name="Comma 8 2 2 4" xfId="2429" xr:uid="{ADC82849-936C-4543-8CC9-7121AA3BB93A}"/>
    <cellStyle name="Comma 8 2 2 4 2" xfId="4256" xr:uid="{00D4C7F7-C133-441D-946F-65BDEC99E7AD}"/>
    <cellStyle name="Comma 8 2 2 5" xfId="1059" xr:uid="{B6C057ED-5A74-4AA4-9244-25B61DB22BFA}"/>
    <cellStyle name="Comma 8 2 2 5 2" xfId="4257" xr:uid="{1D0C649E-CC49-4B4F-A782-38A1EA995535}"/>
    <cellStyle name="Comma 8 2 2 6" xfId="4258" xr:uid="{7FFD1AB1-D4DA-4C5F-88B6-555B6D9E72FD}"/>
    <cellStyle name="Comma 8 2 2 7" xfId="4546" xr:uid="{732EE0CE-AEB1-476F-8D43-E73E3FD11BC2}"/>
    <cellStyle name="Comma 8 2 2 7 2" xfId="5680" xr:uid="{EA460DCA-CC70-4640-A0C5-44AF834C6059}"/>
    <cellStyle name="Comma 8 2 2 8" xfId="5252" xr:uid="{099C07E6-6AB9-4FA2-85E4-4F3652665358}"/>
    <cellStyle name="Comma 8 2 3" xfId="1182" xr:uid="{1EED0728-ADDC-4018-AF80-555EC78989DE}"/>
    <cellStyle name="Comma 8 2 3 2" xfId="1971" xr:uid="{ECDA0A71-FECC-48B0-92C6-9108DA5D2447}"/>
    <cellStyle name="Comma 8 2 3 2 2" xfId="2896" xr:uid="{FAEF96C4-CF71-4E7E-94ED-6ECBD55C7A6F}"/>
    <cellStyle name="Comma 8 2 3 2 2 2" xfId="4259" xr:uid="{9FAC702C-C7F2-4FEB-BC44-A96E49B6B04B}"/>
    <cellStyle name="Comma 8 2 3 2 3" xfId="2674" xr:uid="{70D603D7-E3BA-4FCB-AFAA-524280DFEEE2}"/>
    <cellStyle name="Comma 8 2 3 2 3 2" xfId="4260" xr:uid="{32F85849-C191-43E0-BCE1-A87897CD25EB}"/>
    <cellStyle name="Comma 8 2 3 2 4" xfId="4261" xr:uid="{AF1F20C1-D56F-4226-993A-D8B1FD1D7627}"/>
    <cellStyle name="Comma 8 2 3 3" xfId="2449" xr:uid="{0A8BA4A3-413D-49A5-B12D-59CA79B58732}"/>
    <cellStyle name="Comma 8 2 3 3 2" xfId="4262" xr:uid="{F805ED00-BB1E-4C88-9F1C-F808A48BC44B}"/>
    <cellStyle name="Comma 8 2 3 4" xfId="4263" xr:uid="{D045C88B-EF94-4EF5-BD3D-E0A53B95C57F}"/>
    <cellStyle name="Comma 8 2 4" xfId="1901" xr:uid="{B9CE10B3-5CC7-4AF8-8FCB-4E5FC713F99E}"/>
    <cellStyle name="Comma 8 2 4 2" xfId="2826" xr:uid="{6368D8B8-E263-4D73-9275-C16266E4A5E5}"/>
    <cellStyle name="Comma 8 2 4 2 2" xfId="4264" xr:uid="{89494DC7-CD41-45FD-9F88-232989F208EE}"/>
    <cellStyle name="Comma 8 2 4 3" xfId="2604" xr:uid="{EF2EC21C-2E0B-442C-BF62-8EA23D71A167}"/>
    <cellStyle name="Comma 8 2 4 3 2" xfId="4265" xr:uid="{CC481964-68D5-435E-9A66-468C4F5C2AA5}"/>
    <cellStyle name="Comma 8 2 4 4" xfId="4266" xr:uid="{123C0C55-C5B5-4260-AF5B-7D332296C2BE}"/>
    <cellStyle name="Comma 8 2 5" xfId="2379" xr:uid="{E2A9BB03-0510-4B46-B7F3-817F9D66E978}"/>
    <cellStyle name="Comma 8 2 5 2" xfId="4267" xr:uid="{B9E6D193-24CA-4F23-8755-263FA40065FB}"/>
    <cellStyle name="Comma 8 2 6" xfId="1009" xr:uid="{EEE43B4F-5A1A-49BC-ADF4-79D5D766D2D8}"/>
    <cellStyle name="Comma 8 2 6 2" xfId="4268" xr:uid="{DD0DB164-0D94-46E8-8416-A95159AE9BC8}"/>
    <cellStyle name="Comma 8 2 7" xfId="4269" xr:uid="{C74E31DD-3DB9-4D06-B562-DEA354C375EB}"/>
    <cellStyle name="Comma 8 2 8" xfId="4545" xr:uid="{4853BE2F-9A50-43F0-8C83-1201F45674F6}"/>
    <cellStyle name="Comma 8 2 8 2" xfId="5679" xr:uid="{3BE6BBC6-B468-4ACF-88A5-34C602BA0657}"/>
    <cellStyle name="Comma 8 2 9" xfId="5251" xr:uid="{AD5EF474-F283-4479-B116-D4E3A3D5E06A}"/>
    <cellStyle name="Comma 8 3" xfId="189" xr:uid="{C5FCA1DC-5DAF-412F-96FF-898248A1D818}"/>
    <cellStyle name="Comma 8 3 2" xfId="1223" xr:uid="{E1643EA5-9043-4656-AC01-C5022CEDE16B}"/>
    <cellStyle name="Comma 8 3 2 2" xfId="2012" xr:uid="{A336A0C2-5F18-4112-A76A-36BB7B2211BA}"/>
    <cellStyle name="Comma 8 3 2 2 2" xfId="2937" xr:uid="{7646A8FB-641E-4FB8-9651-FD1E47C428B6}"/>
    <cellStyle name="Comma 8 3 2 2 2 2" xfId="4270" xr:uid="{3D554360-6F64-414A-A0FE-AC2452AF058D}"/>
    <cellStyle name="Comma 8 3 2 2 3" xfId="2715" xr:uid="{45CC0E41-3A42-47D6-81E3-05D617FACFBA}"/>
    <cellStyle name="Comma 8 3 2 2 3 2" xfId="4271" xr:uid="{3B675C25-DC8C-424C-878A-1DA778616FCF}"/>
    <cellStyle name="Comma 8 3 2 2 4" xfId="4272" xr:uid="{001FA390-DEE3-43C4-A071-37CB71170801}"/>
    <cellStyle name="Comma 8 3 2 3" xfId="2490" xr:uid="{4FB00241-2389-49F0-BE8E-675A45D5AEFE}"/>
    <cellStyle name="Comma 8 3 2 3 2" xfId="4273" xr:uid="{A15D9A96-74F9-4195-9B71-AD90BB2C0FD3}"/>
    <cellStyle name="Comma 8 3 2 4" xfId="4274" xr:uid="{F036F406-7603-40B3-AAC3-CAC298CA4496}"/>
    <cellStyle name="Comma 8 3 3" xfId="1942" xr:uid="{C099FF32-A20A-441A-9336-F70A563B1E78}"/>
    <cellStyle name="Comma 8 3 3 2" xfId="2867" xr:uid="{AC8E0332-AC61-4BB8-B1C4-12EB3D600A3C}"/>
    <cellStyle name="Comma 8 3 3 2 2" xfId="4275" xr:uid="{A6E6158D-9EAB-49C2-8F94-4A0E8E704015}"/>
    <cellStyle name="Comma 8 3 3 3" xfId="2645" xr:uid="{B6ABA9F9-A039-4CA6-ACA1-9AEC48D3B586}"/>
    <cellStyle name="Comma 8 3 3 3 2" xfId="4276" xr:uid="{5762EE06-3894-4657-B65C-D8A9A8CC6D7D}"/>
    <cellStyle name="Comma 8 3 3 4" xfId="4277" xr:uid="{086312F2-3C69-4D22-AF4F-5C27D6DA801B}"/>
    <cellStyle name="Comma 8 3 4" xfId="2420" xr:uid="{118972D9-391A-4E48-BA3D-2CD5D346F008}"/>
    <cellStyle name="Comma 8 3 4 2" xfId="4278" xr:uid="{235423E1-D9BB-405F-8D7F-45878433503B}"/>
    <cellStyle name="Comma 8 3 5" xfId="1050" xr:uid="{04BC1D9D-A622-4FCA-9B24-890877E3F1B3}"/>
    <cellStyle name="Comma 8 3 5 2" xfId="4279" xr:uid="{AEA56F44-AA09-42DA-8D6E-6904C0BAA546}"/>
    <cellStyle name="Comma 8 3 6" xfId="4280" xr:uid="{80E0F9FC-B4A5-41CC-BD1E-B37514F7196A}"/>
    <cellStyle name="Comma 8 3 7" xfId="4547" xr:uid="{D85EAAE8-2A02-4CD5-8634-042EE52C4FDA}"/>
    <cellStyle name="Comma 8 3 7 2" xfId="5681" xr:uid="{22F447BD-E06A-4113-A7F8-14B8A546D5A5}"/>
    <cellStyle name="Comma 8 3 8" xfId="5253" xr:uid="{61B646F9-F4AD-4D14-A030-EA7EE043E5EA}"/>
    <cellStyle name="Comma 8 4" xfId="1173" xr:uid="{407FFEFC-057D-4B86-AC09-8AAF0572CED9}"/>
    <cellStyle name="Comma 8 4 2" xfId="1962" xr:uid="{C2919D56-19D1-4555-B807-87C6D7536631}"/>
    <cellStyle name="Comma 8 4 2 2" xfId="2887" xr:uid="{C49B2CF2-883E-4DF1-BE72-6975314340D5}"/>
    <cellStyle name="Comma 8 4 2 2 2" xfId="4281" xr:uid="{B08E3B8D-ABD1-4876-AF86-B969B104EBE2}"/>
    <cellStyle name="Comma 8 4 2 3" xfId="2665" xr:uid="{C105A635-8992-41D4-8E14-D9E28409AB69}"/>
    <cellStyle name="Comma 8 4 2 3 2" xfId="4282" xr:uid="{6D55644A-0E38-4B96-A167-E3803CF78DBA}"/>
    <cellStyle name="Comma 8 4 2 4" xfId="4283" xr:uid="{16AF7A38-5151-43BE-8DB5-504D1B674436}"/>
    <cellStyle name="Comma 8 4 3" xfId="2440" xr:uid="{D344EC05-7988-4192-BDE3-E535CFBE8722}"/>
    <cellStyle name="Comma 8 4 3 2" xfId="4284" xr:uid="{E97CE163-2E49-4219-AD8C-4E038BA74F57}"/>
    <cellStyle name="Comma 8 4 4" xfId="4285" xr:uid="{B720AC88-1A64-46CB-BC51-F5E2ED4F02BD}"/>
    <cellStyle name="Comma 8 5" xfId="1892" xr:uid="{1FE7ADFC-6F09-423F-ABA6-0812722A06E2}"/>
    <cellStyle name="Comma 8 5 2" xfId="2817" xr:uid="{8564F121-327F-4F47-897D-04DCD87ECD5B}"/>
    <cellStyle name="Comma 8 5 2 2" xfId="4286" xr:uid="{DADE6F48-95A8-43DC-B8E8-E9D10D882AB4}"/>
    <cellStyle name="Comma 8 5 3" xfId="2595" xr:uid="{1DEA71E6-6791-484A-A951-53C7C918CC8A}"/>
    <cellStyle name="Comma 8 5 3 2" xfId="4287" xr:uid="{A4355BF1-0F97-4194-9A21-7DA945BCB15E}"/>
    <cellStyle name="Comma 8 5 4" xfId="4288" xr:uid="{8B58BDFE-5248-4ED1-92B3-FA07FC4135BA}"/>
    <cellStyle name="Comma 8 6" xfId="2370" xr:uid="{75C67C4C-828E-4FBE-B6F3-B670F55EE28A}"/>
    <cellStyle name="Comma 8 6 2" xfId="4289" xr:uid="{28985732-ADFC-47CB-A27B-13424B80F685}"/>
    <cellStyle name="Comma 8 7" xfId="1000" xr:uid="{32DE85B9-78F2-4D21-8ABD-0A0FEC0DE637}"/>
    <cellStyle name="Comma 8 7 2" xfId="4290" xr:uid="{CE9F7A54-31CA-4F8E-BFBB-336127312003}"/>
    <cellStyle name="Comma 8 8" xfId="4291" xr:uid="{F362785C-070D-47D5-97B5-8B27675A6FD9}"/>
    <cellStyle name="Comma 8 9" xfId="4544" xr:uid="{A403E6E5-A50B-4EC4-9221-DA6D3D362074}"/>
    <cellStyle name="Comma 8 9 2" xfId="5678" xr:uid="{7650C863-35AB-4751-A60E-C651C683332A}"/>
    <cellStyle name="Comma 9" xfId="190" xr:uid="{0DF0A235-9128-4891-8B23-D01DFB3F5829}"/>
    <cellStyle name="Comma 9 10" xfId="5254" xr:uid="{21EEBB7E-D435-441A-8180-AD0C8289A49E}"/>
    <cellStyle name="Comma 9 2" xfId="191" xr:uid="{A0B1A5D1-7F1C-4E7A-B792-1D17949FE4FA}"/>
    <cellStyle name="Comma 9 2 2" xfId="192" xr:uid="{3A03076B-7E09-4E05-BAA7-94198EE5A86B}"/>
    <cellStyle name="Comma 9 2 2 2" xfId="1236" xr:uid="{BB11B482-5EFD-4C4E-8A0C-7DD1D11C7F10}"/>
    <cellStyle name="Comma 9 2 2 2 2" xfId="2025" xr:uid="{6D68A1CB-1E09-4400-B528-8B3DB134F3BF}"/>
    <cellStyle name="Comma 9 2 2 2 2 2" xfId="2950" xr:uid="{B63831E4-A41B-4F8E-B427-72EA17DA5ECB}"/>
    <cellStyle name="Comma 9 2 2 2 2 2 2" xfId="4292" xr:uid="{EA008A39-9C76-46A6-9055-C79E80F52CFC}"/>
    <cellStyle name="Comma 9 2 2 2 2 3" xfId="2728" xr:uid="{1F9BA3A7-C0B3-472C-B9D5-5D485C879822}"/>
    <cellStyle name="Comma 9 2 2 2 2 3 2" xfId="4293" xr:uid="{29C1058D-8A3A-432F-AA47-1A4A009C5E21}"/>
    <cellStyle name="Comma 9 2 2 2 2 4" xfId="4294" xr:uid="{A8ACA523-5090-4026-8CED-D67AF9209A5A}"/>
    <cellStyle name="Comma 9 2 2 2 3" xfId="2503" xr:uid="{72884882-B46D-4AB7-BB0B-19165C7A189B}"/>
    <cellStyle name="Comma 9 2 2 2 3 2" xfId="4295" xr:uid="{A8EE8595-8686-4613-BF3E-806D198EC452}"/>
    <cellStyle name="Comma 9 2 2 2 4" xfId="4296" xr:uid="{36E8BCA2-C965-4080-9C5B-9DCA4A5C2DDA}"/>
    <cellStyle name="Comma 9 2 2 3" xfId="1955" xr:uid="{9B55DDC6-B6BF-4230-AD02-EBBC656A4709}"/>
    <cellStyle name="Comma 9 2 2 3 2" xfId="2880" xr:uid="{F031C1F7-4BF7-4F54-8EC2-A3F7230552BA}"/>
    <cellStyle name="Comma 9 2 2 3 2 2" xfId="4297" xr:uid="{F6A9752F-3983-46E0-81D0-6B2FDF73936B}"/>
    <cellStyle name="Comma 9 2 2 3 3" xfId="2658" xr:uid="{E2F5802B-65B5-4CE7-BCE6-822A71512CE1}"/>
    <cellStyle name="Comma 9 2 2 3 3 2" xfId="4298" xr:uid="{AFF2CA7D-C622-4140-871B-E81AA67447FE}"/>
    <cellStyle name="Comma 9 2 2 3 4" xfId="4299" xr:uid="{9625C71F-D16B-4B8C-AA6C-3D2703BB9EA0}"/>
    <cellStyle name="Comma 9 2 2 4" xfId="2433" xr:uid="{D9F3A214-4041-4D27-B4C7-B7F6562FB6CC}"/>
    <cellStyle name="Comma 9 2 2 4 2" xfId="4300" xr:uid="{1A321E36-F8A8-4865-8EE4-70DA0AD28582}"/>
    <cellStyle name="Comma 9 2 2 5" xfId="1063" xr:uid="{7CB0DE03-802A-48AB-AB98-77A998B57257}"/>
    <cellStyle name="Comma 9 2 2 5 2" xfId="4301" xr:uid="{02D7CFC2-F1C2-4EFA-8342-626D933AE590}"/>
    <cellStyle name="Comma 9 2 2 6" xfId="4302" xr:uid="{45729D0B-4BE8-4560-BADE-5A4B4680354D}"/>
    <cellStyle name="Comma 9 2 2 7" xfId="4550" xr:uid="{5B776039-79BE-4296-8BC9-A733137D77B7}"/>
    <cellStyle name="Comma 9 2 2 7 2" xfId="5684" xr:uid="{D85FD199-4904-4643-B83C-6891D832FA09}"/>
    <cellStyle name="Comma 9 2 2 8" xfId="5256" xr:uid="{430DDE3A-991D-48A5-B856-4A8E8BD653AD}"/>
    <cellStyle name="Comma 9 2 3" xfId="1186" xr:uid="{CED420AA-5A9B-4AEE-9B5C-68B6075C1433}"/>
    <cellStyle name="Comma 9 2 3 2" xfId="1975" xr:uid="{DAA57112-C41B-47DB-A822-F66B903C3B6F}"/>
    <cellStyle name="Comma 9 2 3 2 2" xfId="2900" xr:uid="{231CCC31-86B2-4FA3-A890-6DA1D0C14736}"/>
    <cellStyle name="Comma 9 2 3 2 2 2" xfId="4303" xr:uid="{FEA5559E-4A36-4730-973B-B62E75262BC2}"/>
    <cellStyle name="Comma 9 2 3 2 3" xfId="2678" xr:uid="{C402F471-A00E-4F47-B46A-4A549DE82530}"/>
    <cellStyle name="Comma 9 2 3 2 3 2" xfId="4304" xr:uid="{A8D8FA8F-FD57-4BA0-935D-9640234F6A82}"/>
    <cellStyle name="Comma 9 2 3 2 4" xfId="4305" xr:uid="{4EE8CCF9-3A14-4D83-8240-18FA9D5E01D7}"/>
    <cellStyle name="Comma 9 2 3 3" xfId="2453" xr:uid="{06738204-DD6D-400B-8083-56918E85459C}"/>
    <cellStyle name="Comma 9 2 3 3 2" xfId="4306" xr:uid="{9D71A2D3-E031-4179-8967-7DAF20455606}"/>
    <cellStyle name="Comma 9 2 3 4" xfId="4307" xr:uid="{F1765967-536D-419E-9D13-6F74729F8FF0}"/>
    <cellStyle name="Comma 9 2 4" xfId="1905" xr:uid="{19ECB5B1-2CCB-442F-A6E4-6DC1E7DCD400}"/>
    <cellStyle name="Comma 9 2 4 2" xfId="2830" xr:uid="{04587E7D-3276-4EDA-96BD-5A1409ABCAC4}"/>
    <cellStyle name="Comma 9 2 4 2 2" xfId="4308" xr:uid="{8C4F9975-4EDF-436D-9AA9-71ACBCAFE85B}"/>
    <cellStyle name="Comma 9 2 4 3" xfId="2608" xr:uid="{5B689292-69AD-4D27-BBFC-0F7E67C31F5D}"/>
    <cellStyle name="Comma 9 2 4 3 2" xfId="4309" xr:uid="{53343C8D-A215-40B6-8853-788490BD2493}"/>
    <cellStyle name="Comma 9 2 4 4" xfId="4310" xr:uid="{ECE4B0B0-5D3B-489B-B2DA-F4E1F6B4422E}"/>
    <cellStyle name="Comma 9 2 5" xfId="2383" xr:uid="{D93AFE39-6979-423D-BE1B-15DF00E99976}"/>
    <cellStyle name="Comma 9 2 5 2" xfId="4311" xr:uid="{B7CBCDEA-0A67-48E2-9C7F-E93BE46E24D6}"/>
    <cellStyle name="Comma 9 2 6" xfId="1013" xr:uid="{15ED968F-6AC6-4C3B-9D63-B652CFC3A80A}"/>
    <cellStyle name="Comma 9 2 6 2" xfId="4312" xr:uid="{1747D135-7B56-4BCA-BFD8-EE915B7281F4}"/>
    <cellStyle name="Comma 9 2 7" xfId="4313" xr:uid="{29770361-3EE9-4758-9727-69FA85DF8D23}"/>
    <cellStyle name="Comma 9 2 8" xfId="4549" xr:uid="{68D55397-B96F-4523-8FC0-721E55C57989}"/>
    <cellStyle name="Comma 9 2 8 2" xfId="5683" xr:uid="{DA076E97-2CC4-4DE6-800C-AE0F71A596E9}"/>
    <cellStyle name="Comma 9 2 9" xfId="5255" xr:uid="{7D83984B-5FA6-4112-BB01-C2A453CE5A5E}"/>
    <cellStyle name="Comma 9 3" xfId="193" xr:uid="{AEC6F4FB-C31F-4F8E-BB51-EA8C5A72D128}"/>
    <cellStyle name="Comma 9 3 2" xfId="1227" xr:uid="{8E15A5EA-B2B9-43C9-9557-278A69353034}"/>
    <cellStyle name="Comma 9 3 2 2" xfId="2016" xr:uid="{D7814359-63D1-4FE6-8CF0-27C87D6C89CF}"/>
    <cellStyle name="Comma 9 3 2 2 2" xfId="2941" xr:uid="{FD373890-E809-492D-88D5-9E8F8500C448}"/>
    <cellStyle name="Comma 9 3 2 2 2 2" xfId="4314" xr:uid="{53EC5277-4072-4FB8-A296-6AD8402BD7D1}"/>
    <cellStyle name="Comma 9 3 2 2 3" xfId="2719" xr:uid="{D5CABCA5-EBCB-4E3A-99BD-8CA396F7F3F5}"/>
    <cellStyle name="Comma 9 3 2 2 3 2" xfId="4315" xr:uid="{A31BAF71-AE5D-410F-B5B3-16243F957A2A}"/>
    <cellStyle name="Comma 9 3 2 2 4" xfId="4316" xr:uid="{AA6FD372-6D8A-4F2C-8FD3-608753145BB1}"/>
    <cellStyle name="Comma 9 3 2 3" xfId="2494" xr:uid="{03637F6F-F489-4092-9E42-7A853F78FD61}"/>
    <cellStyle name="Comma 9 3 2 3 2" xfId="4317" xr:uid="{2CD00DF3-4E37-43A9-A876-4DF6A61F5D12}"/>
    <cellStyle name="Comma 9 3 2 4" xfId="4318" xr:uid="{6910FE1F-90ED-4B9A-BF95-F4F932E35FF7}"/>
    <cellStyle name="Comma 9 3 3" xfId="1946" xr:uid="{CFDCCB9B-F863-450B-9F15-4DADADE87FD2}"/>
    <cellStyle name="Comma 9 3 3 2" xfId="2871" xr:uid="{C917AA19-F437-4457-B0A6-886066123B29}"/>
    <cellStyle name="Comma 9 3 3 2 2" xfId="4319" xr:uid="{7AB12159-39BA-40DD-AADD-FB579A534C6F}"/>
    <cellStyle name="Comma 9 3 3 3" xfId="2649" xr:uid="{D68C23D7-C530-4F22-BE0D-B9D12A01DB12}"/>
    <cellStyle name="Comma 9 3 3 3 2" xfId="4320" xr:uid="{D2ECD4D2-7550-4078-A1C1-7ED6D4158DC7}"/>
    <cellStyle name="Comma 9 3 3 4" xfId="4321" xr:uid="{1FE96A1F-6ACB-4D0C-B20A-BED5E587222E}"/>
    <cellStyle name="Comma 9 3 4" xfId="2424" xr:uid="{EDE88A64-146A-4409-83F7-E2C6B24BEE28}"/>
    <cellStyle name="Comma 9 3 4 2" xfId="4322" xr:uid="{E09F0E81-6ACA-4A70-B5B1-671AE7EBE357}"/>
    <cellStyle name="Comma 9 3 5" xfId="1054" xr:uid="{C68CB550-644C-4AFD-A4BA-C875BD262F2A}"/>
    <cellStyle name="Comma 9 3 5 2" xfId="4323" xr:uid="{2DD87B3F-B4E4-4BCD-8854-E08B5B5BE618}"/>
    <cellStyle name="Comma 9 3 6" xfId="4324" xr:uid="{3DE9922A-1961-49B6-91E7-DF8A4F13E2AF}"/>
    <cellStyle name="Comma 9 3 7" xfId="4551" xr:uid="{DF0F9BF8-1B74-4C36-8245-BD9D6B067364}"/>
    <cellStyle name="Comma 9 3 7 2" xfId="5685" xr:uid="{E789D2D0-48BC-4B9A-A663-A07D9D72483D}"/>
    <cellStyle name="Comma 9 3 8" xfId="5257" xr:uid="{DE805990-1414-40B7-8C9D-94C234D36778}"/>
    <cellStyle name="Comma 9 4" xfId="1177" xr:uid="{6451E1E1-2A85-4E01-B3D3-E15328A32E19}"/>
    <cellStyle name="Comma 9 4 2" xfId="1966" xr:uid="{C221A223-0AD5-4801-899D-6A6A1A28172C}"/>
    <cellStyle name="Comma 9 4 2 2" xfId="2891" xr:uid="{94F6D87A-454F-4200-A4FE-A671F73698B9}"/>
    <cellStyle name="Comma 9 4 2 2 2" xfId="4325" xr:uid="{5B664913-F078-484A-B33D-6DBCA2FE995E}"/>
    <cellStyle name="Comma 9 4 2 3" xfId="2669" xr:uid="{9FBA5B14-E56C-4DBD-8F47-5893CB809154}"/>
    <cellStyle name="Comma 9 4 2 3 2" xfId="4326" xr:uid="{6166D78E-E2D6-424A-BE4D-A54AD6E00184}"/>
    <cellStyle name="Comma 9 4 2 4" xfId="4327" xr:uid="{0767AF27-EBC7-4A72-8455-4D8A3B64A1B2}"/>
    <cellStyle name="Comma 9 4 3" xfId="2444" xr:uid="{0FAE8731-ADEB-4196-84F5-74215029ADBB}"/>
    <cellStyle name="Comma 9 4 3 2" xfId="4328" xr:uid="{F30C24C6-5DA5-4C70-BE0E-00EE27EC2802}"/>
    <cellStyle name="Comma 9 4 4" xfId="4329" xr:uid="{128DA79B-D8A6-4446-9724-3B738548AA5B}"/>
    <cellStyle name="Comma 9 5" xfId="1896" xr:uid="{64B97AD1-79C9-4053-82CB-45DA88EF4CE1}"/>
    <cellStyle name="Comma 9 5 2" xfId="2821" xr:uid="{7DE3B21A-E2ED-404E-AEDA-A091B401C282}"/>
    <cellStyle name="Comma 9 5 2 2" xfId="4330" xr:uid="{AE274A63-9A6B-4897-9BE0-20C9E6316790}"/>
    <cellStyle name="Comma 9 5 3" xfId="2599" xr:uid="{913C186C-BBEC-45A8-B40D-37BF314EDB8D}"/>
    <cellStyle name="Comma 9 5 3 2" xfId="4331" xr:uid="{8B099118-DCCC-4393-81F8-F91D0D76ECB4}"/>
    <cellStyle name="Comma 9 5 4" xfId="4332" xr:uid="{450ADCEF-282C-41DB-9240-54EC8F1C5CFB}"/>
    <cellStyle name="Comma 9 6" xfId="2374" xr:uid="{03665448-B07C-45B8-A49F-6DB0D9D00B5D}"/>
    <cellStyle name="Comma 9 6 2" xfId="4333" xr:uid="{6160F541-14DF-466F-98E2-608993AA6B91}"/>
    <cellStyle name="Comma 9 7" xfId="1004" xr:uid="{FBA2CCA1-BC9E-4191-AEFA-22648F43CF5F}"/>
    <cellStyle name="Comma 9 7 2" xfId="4334" xr:uid="{0A7A2AA9-AB40-4D19-B303-D071416B2C07}"/>
    <cellStyle name="Comma 9 8" xfId="4335" xr:uid="{86060D99-6F23-445B-813E-5914EB9147AC}"/>
    <cellStyle name="Comma 9 9" xfId="4548" xr:uid="{BE4CFC62-CB28-49C8-95F1-1802A9ED7563}"/>
    <cellStyle name="Comma 9 9 2" xfId="5682" xr:uid="{AF1F7BE1-DC2F-4AFE-9DA0-FFA44B634D7B}"/>
    <cellStyle name="Currency" xfId="5970" builtinId="4"/>
    <cellStyle name="Currency 2" xfId="1275" xr:uid="{E512AB0C-D84E-468E-ABF7-763A544C38A3}"/>
    <cellStyle name="Currency 2 2" xfId="1276" xr:uid="{690D83A6-47FE-4D33-8EC2-409D929D1116}"/>
    <cellStyle name="Currency 2 2 2" xfId="2122" xr:uid="{D8CFC98B-8BA9-477A-89FB-BB4B93F711CF}"/>
    <cellStyle name="Currency 2 2 2 2" xfId="2802" xr:uid="{4689D5DF-99DF-4346-9A7C-F1C315E71BCA}"/>
    <cellStyle name="Currency 2 2 2 2 2" xfId="3128" xr:uid="{E62A4EF4-4D29-4CE6-BF41-A6A0AE9D45FC}"/>
    <cellStyle name="Currency 2 2 2 2 2 2" xfId="4336" xr:uid="{D20801B4-F10B-47D4-86FB-54787B7AA877}"/>
    <cellStyle name="Currency 2 2 2 2 3" xfId="4337" xr:uid="{32859B0B-FB0B-464B-BA77-5868395FB2F1}"/>
    <cellStyle name="Currency 2 2 2 3" xfId="3024" xr:uid="{072E5878-24D7-400B-BE11-2CFD9480E02A}"/>
    <cellStyle name="Currency 2 2 2 3 2" xfId="4338" xr:uid="{D3736C18-73A0-4DEB-BCCB-552F9049293E}"/>
    <cellStyle name="Currency 2 2 2 4" xfId="2577" xr:uid="{D14D9DD6-CA2C-4338-885C-A298799C406A}"/>
    <cellStyle name="Currency 2 2 2 4 2" xfId="4339" xr:uid="{E5C53BF1-9F69-4AB3-A78C-0A4863F4CE1C}"/>
    <cellStyle name="Currency 2 2 2 5" xfId="4340" xr:uid="{136306AE-B242-410F-A164-603A8A192F86}"/>
    <cellStyle name="Currency 2 2 3" xfId="2031" xr:uid="{B7E60F22-3A0A-42A8-B111-56AEC5C58C1C}"/>
    <cellStyle name="Currency 2 2 3 2" xfId="2956" xr:uid="{21663F26-61FF-43C8-BF1D-A84A66ADB7F2}"/>
    <cellStyle name="Currency 2 2 3 2 2" xfId="4341" xr:uid="{1D578E6E-A8D9-4253-B5B6-9C44540ED7E3}"/>
    <cellStyle name="Currency 2 2 3 3" xfId="2734" xr:uid="{55EA6475-9C96-4A5C-9EEE-6CE11A03C47E}"/>
    <cellStyle name="Currency 2 2 3 3 2" xfId="4342" xr:uid="{14CABF54-F5D4-4DE0-895B-8268FA8CB030}"/>
    <cellStyle name="Currency 2 2 3 4" xfId="4343" xr:uid="{5A8313D0-64DE-4840-AF61-679B87FA598D}"/>
    <cellStyle name="Currency 2 2 4" xfId="2509" xr:uid="{1F3FD272-36F6-473C-AEED-9AC09BA2FDDC}"/>
    <cellStyle name="Currency 2 2 4 2" xfId="4344" xr:uid="{344DDA35-CD0B-4E2D-A3C8-C8B484A50AD7}"/>
    <cellStyle name="Currency 2 2 5" xfId="4345" xr:uid="{2C3D2ACC-61AD-4785-9D1F-3FB7F4D0F539}"/>
    <cellStyle name="Currency 2 3" xfId="1277" xr:uid="{25DFD103-00A8-4787-87D9-C21E22A1ABA2}"/>
    <cellStyle name="Currency 2 3 2" xfId="1278" xr:uid="{F1526418-F345-442A-88FE-19E8275F5435}"/>
    <cellStyle name="Currency 2 4" xfId="2123" xr:uid="{9C738773-FE04-4DB7-91A1-389031AF2A2D}"/>
    <cellStyle name="Currency 2 4 2" xfId="2803" xr:uid="{B0F94507-8877-49E4-9C39-36FD83C0EA4F}"/>
    <cellStyle name="Currency 2 4 2 2" xfId="3129" xr:uid="{1A477203-9B3E-4DBE-BB33-3831A256EB52}"/>
    <cellStyle name="Currency 2 4 2 2 2" xfId="4346" xr:uid="{22CFBD5C-0904-487D-BF26-31AD9F1608B4}"/>
    <cellStyle name="Currency 2 4 2 3" xfId="4347" xr:uid="{531628DD-2064-4497-8047-3ACEE1315970}"/>
    <cellStyle name="Currency 2 4 3" xfId="3025" xr:uid="{B759D4DA-A45B-4360-9A6B-D2735C0C288F}"/>
    <cellStyle name="Currency 2 4 3 2" xfId="4348" xr:uid="{7FDF4ABA-D0EB-4B9C-A3E7-D104EF83F9FB}"/>
    <cellStyle name="Currency 2 4 4" xfId="2578" xr:uid="{39301A1A-D8EF-4E94-9E02-CFDCAF1DA522}"/>
    <cellStyle name="Currency 2 4 4 2" xfId="4349" xr:uid="{F36E0ACD-C102-4D4D-BF0E-4955C49AD9A4}"/>
    <cellStyle name="Currency 2 4 5" xfId="4350" xr:uid="{6339703E-CFCC-4285-B8C5-F13FCA89A2E6}"/>
    <cellStyle name="Currency 2 5" xfId="2030" xr:uid="{219F030F-B88E-43DD-AB77-94015451A852}"/>
    <cellStyle name="Currency 2 5 2" xfId="2955" xr:uid="{9A6C13D6-BC76-49A6-B7D9-997C98BE43D9}"/>
    <cellStyle name="Currency 2 5 2 2" xfId="4351" xr:uid="{4329841A-4F77-445E-9C94-8072ABAC8684}"/>
    <cellStyle name="Currency 2 5 3" xfId="2733" xr:uid="{4D725F6F-9D8A-4890-96C7-F905BB5E1CAC}"/>
    <cellStyle name="Currency 2 5 3 2" xfId="4352" xr:uid="{C5AAC326-5164-440A-8C88-99841030D90C}"/>
    <cellStyle name="Currency 2 5 4" xfId="4353" xr:uid="{20850C71-0BA7-46A7-96C1-78C604CFCB86}"/>
    <cellStyle name="Currency 2 6" xfId="2508" xr:uid="{9BD63B80-ED56-4D1F-A459-75CB72EDFCD9}"/>
    <cellStyle name="Currency 2 6 2" xfId="4354" xr:uid="{C6BAB697-2744-40CC-8EBB-13FC9DB64469}"/>
    <cellStyle name="Currency 2 7" xfId="4355" xr:uid="{D012D48D-9756-4A7D-822E-65AEB8EE43C6}"/>
    <cellStyle name="Currency 3" xfId="1279" xr:uid="{8DE1AFDB-9496-48BE-91EE-24B9ADECE95C}"/>
    <cellStyle name="Currency 3 2" xfId="2124" xr:uid="{3A64E94A-5875-4D20-AAD6-C16E5A4738D4}"/>
    <cellStyle name="Currency 3 2 2" xfId="2804" xr:uid="{ED6DCF2E-44D3-4CB9-9F50-50A462914F05}"/>
    <cellStyle name="Currency 3 2 2 2" xfId="3130" xr:uid="{828AF05B-3B55-4A1E-ADB4-0901AF55DFEF}"/>
    <cellStyle name="Currency 3 2 2 2 2" xfId="4356" xr:uid="{A94322D4-B4A3-42E7-A161-9DFC7668C1D5}"/>
    <cellStyle name="Currency 3 2 2 3" xfId="4357" xr:uid="{E63A93C2-266A-4D69-822C-F4D9AC71F71F}"/>
    <cellStyle name="Currency 3 2 3" xfId="3026" xr:uid="{448AC793-6DBD-46E5-A418-61B3AF449714}"/>
    <cellStyle name="Currency 3 2 3 2" xfId="4358" xr:uid="{7672B8A9-8185-410A-B859-4D65364397B5}"/>
    <cellStyle name="Currency 3 2 4" xfId="2579" xr:uid="{C186941D-46CB-4EE2-A525-AED3731E2603}"/>
    <cellStyle name="Currency 3 2 4 2" xfId="4359" xr:uid="{7FE0396D-5A36-42BC-8EB6-0777ED7C7D39}"/>
    <cellStyle name="Currency 3 2 5" xfId="4360" xr:uid="{75463486-4C15-4EAF-9827-123A318DA34C}"/>
    <cellStyle name="Currency 3 3" xfId="2032" xr:uid="{95BFFD6C-EFBE-4A71-8FA4-7ABF2C493C25}"/>
    <cellStyle name="Currency 3 3 2" xfId="2957" xr:uid="{174DCCA2-B39B-4851-9D21-469EC16CCCEF}"/>
    <cellStyle name="Currency 3 3 2 2" xfId="4361" xr:uid="{670A4C4B-192F-45DD-88B3-06CEC24BB82E}"/>
    <cellStyle name="Currency 3 3 3" xfId="2735" xr:uid="{0FC00E7F-C7C8-4C20-BBDD-03D4926416E1}"/>
    <cellStyle name="Currency 3 3 3 2" xfId="4362" xr:uid="{FDC412C2-B2EA-4C05-BBB1-B03FFE80BF26}"/>
    <cellStyle name="Currency 3 3 4" xfId="4363" xr:uid="{86310062-A562-45C8-A15F-A015F92B92C8}"/>
    <cellStyle name="Currency 3 4" xfId="2510" xr:uid="{5ED5FE71-6D2E-4E3E-B2CC-CFF533FCF37F}"/>
    <cellStyle name="Currency 3 4 2" xfId="4364" xr:uid="{FC8FE9B7-F82B-48AD-BDAE-694E68C90045}"/>
    <cellStyle name="Currency 3 5" xfId="4365" xr:uid="{DFE52D5D-CF0B-488E-90BC-4DF83776D43F}"/>
    <cellStyle name="Currency 4" xfId="1515" xr:uid="{30030971-8AE0-48A8-A861-DDEC1474FC09}"/>
    <cellStyle name="Currency 4 2" xfId="2125" xr:uid="{6264DEEA-201E-44C2-99BD-799B45A15933}"/>
    <cellStyle name="Currency 4 2 2" xfId="2805" xr:uid="{82F5783A-AF06-40BE-AA38-8BBD86824547}"/>
    <cellStyle name="Currency 4 2 2 2" xfId="3131" xr:uid="{2380E23A-BF8D-45E5-870A-F7C24946B0BD}"/>
    <cellStyle name="Currency 4 2 2 2 2" xfId="4366" xr:uid="{F2B5C658-8A72-4DB2-987C-E065FC76B9B3}"/>
    <cellStyle name="Currency 4 2 2 3" xfId="4367" xr:uid="{FDE19F40-4AFF-467E-8722-574B8C1DA34F}"/>
    <cellStyle name="Currency 4 2 3" xfId="3027" xr:uid="{5A1D5D16-261A-45FD-8F5E-BDEA9EE7174C}"/>
    <cellStyle name="Currency 4 2 3 2" xfId="4368" xr:uid="{C64CDD09-4356-4FFA-93B7-6ADAC160CE84}"/>
    <cellStyle name="Currency 4 2 4" xfId="2580" xr:uid="{B4A5D154-9CBC-4C5A-8560-871904CA4054}"/>
    <cellStyle name="Currency 4 2 4 2" xfId="4369" xr:uid="{DD9986F6-1E18-4497-85E5-CC8D46B1B083}"/>
    <cellStyle name="Currency 4 2 5" xfId="4370" xr:uid="{D747745F-E34C-44C2-86AD-97DF4FAA7826}"/>
    <cellStyle name="Currency 4 3" xfId="2051" xr:uid="{17A776DF-5C14-4347-AF1C-4785301B9467}"/>
    <cellStyle name="Currency 4 3 2" xfId="2976" xr:uid="{A430FC64-1549-4040-98CC-A44A402DF96C}"/>
    <cellStyle name="Currency 4 3 2 2" xfId="4371" xr:uid="{388D2556-AA4B-4235-9F8E-8058C777E3F7}"/>
    <cellStyle name="Currency 4 3 3" xfId="2754" xr:uid="{3457FD1C-6AEB-4E0E-9FAD-C79A1A6A5AC7}"/>
    <cellStyle name="Currency 4 3 3 2" xfId="4372" xr:uid="{DDEFBE6D-9739-4B05-8508-3E720F15105F}"/>
    <cellStyle name="Currency 4 3 4" xfId="4373" xr:uid="{E33C2F13-C578-4E86-8A49-BBD6F0176055}"/>
    <cellStyle name="Currency 4 4" xfId="2529" xr:uid="{B7A1F469-D6CD-4F66-8D3A-4D67B145B39A}"/>
    <cellStyle name="Currency 4 4 2" xfId="4374" xr:uid="{FA9A1965-4DDA-4977-B7AA-D2DFD14928CB}"/>
    <cellStyle name="Currency 4 5" xfId="4375" xr:uid="{2140DBF6-3483-4C95-A63D-CD2460DD5935}"/>
    <cellStyle name="DateTime" xfId="194" xr:uid="{759B9E61-A22D-4DA0-B209-3DF84D01792E}"/>
    <cellStyle name="DateTime 10" xfId="1888" xr:uid="{136576D4-4047-42C0-A3AA-D772BD9A8647}"/>
    <cellStyle name="DateTime 11" xfId="2191" xr:uid="{379AF5DB-AC3F-4AEF-9132-23956EE1CA1E}"/>
    <cellStyle name="DateTime 11 2" xfId="3074" xr:uid="{F0ED016B-4617-43C5-9D0C-863ECD76432E}"/>
    <cellStyle name="DateTime 12" xfId="1857" xr:uid="{27CF09AE-85D5-4656-858C-5C4B0846A2F3}"/>
    <cellStyle name="DateTime 12 2" xfId="3051" xr:uid="{E77785FC-803B-4F89-B264-395EC2C01C27}"/>
    <cellStyle name="DateTime 2" xfId="195" xr:uid="{7C70FAB3-C4C5-48D8-A2DD-85214B3AAADD}"/>
    <cellStyle name="DateTime 2 2" xfId="196" xr:uid="{E0BD0F1B-7068-460F-B702-AC27D267F04A}"/>
    <cellStyle name="DateTime 3" xfId="197" xr:uid="{1C7B8E69-126C-4853-B14F-AD88C1FADDDD}"/>
    <cellStyle name="DateTime 3 2" xfId="1635" xr:uid="{BE88B7B5-4294-4C68-BADA-8AF1608F0200}"/>
    <cellStyle name="DateTime 4" xfId="198" xr:uid="{99D84E61-2193-4293-AFC8-6ED59E7BB927}"/>
    <cellStyle name="DateTime 4 2" xfId="199" xr:uid="{9471CFFD-DFF7-4057-921A-60949BB3627F}"/>
    <cellStyle name="DateTime 4 3" xfId="1645" xr:uid="{FD8264FB-70DD-4FA9-A74F-E2E29A972C25}"/>
    <cellStyle name="DateTime 5" xfId="200" xr:uid="{18CDA286-4F88-4113-B183-45D37E81CAAA}"/>
    <cellStyle name="DateTime 5 2" xfId="1797" xr:uid="{B251279F-3163-410F-B02C-B3F23277ACA7}"/>
    <cellStyle name="DateTime 5 3" xfId="1264" xr:uid="{471E56FC-E734-4DD0-AE2B-6BD779FFDE1E}"/>
    <cellStyle name="DateTime 6" xfId="1169" xr:uid="{E972C5F3-4A7D-4709-9C23-6A9EC713250C}"/>
    <cellStyle name="DateTime 7" xfId="1685" xr:uid="{77496963-0FA7-4EC9-BF0E-500D1E00D74E}"/>
    <cellStyle name="DateTime 7 2" xfId="2126" xr:uid="{F5AF0E71-807D-4DA2-A276-01A0EC9C63A5}"/>
    <cellStyle name="DateTime 8" xfId="1706" xr:uid="{73B8DD2A-15AF-4782-AD5E-27EF5416BD92}"/>
    <cellStyle name="DateTime 8 2" xfId="2127" xr:uid="{9787EF86-1B63-43A9-8675-DE67F3E668D7}"/>
    <cellStyle name="DateTime 9" xfId="1825" xr:uid="{3997ADD7-56E5-4519-B54D-81E5EFA9F7CE}"/>
    <cellStyle name="DateTime 9 2" xfId="2074" xr:uid="{CA22FA31-B310-49E1-9871-E5C7302454B8}"/>
    <cellStyle name="Dec. digits01" xfId="201" xr:uid="{2C8A3318-9819-4456-B49F-12A7BAE8B368}"/>
    <cellStyle name="Dec. digits01 2" xfId="202" xr:uid="{1AD62603-A48A-4AD2-B113-139260A9E34C}"/>
    <cellStyle name="Dec. digits02" xfId="203" xr:uid="{79CE86ED-E9F4-4871-93F8-F61D8914A18A}"/>
    <cellStyle name="Dec. digits02 2" xfId="204" xr:uid="{3AF80894-438A-46F2-B86F-6372C7A49C7D}"/>
    <cellStyle name="Dec. digits03" xfId="205" xr:uid="{E5E22CDC-904D-49A0-B951-34A6E55D95DB}"/>
    <cellStyle name="Dec. digits03 2" xfId="206" xr:uid="{2EBA0324-28C7-4107-965C-2EC7A88E3181}"/>
    <cellStyle name="Dec. digits04" xfId="207" xr:uid="{CF323984-8CB3-4832-BDA0-4C200B331693}"/>
    <cellStyle name="Dec. digits04 2" xfId="208" xr:uid="{B9050A51-6C53-4739-9A84-7C5D0415356C}"/>
    <cellStyle name="Dec. digits05" xfId="209" xr:uid="{12BAF019-2200-42D6-A178-A3CE634113EC}"/>
    <cellStyle name="Dec. digits05 2" xfId="210" xr:uid="{1F82AF36-2239-4320-92BE-038CDAA2C30E}"/>
    <cellStyle name="Dec. digits06" xfId="211" xr:uid="{09AAE9AA-0C57-48AA-8F40-48EEBB7A5BEA}"/>
    <cellStyle name="Dec. digits06 2" xfId="212" xr:uid="{5F2FE951-33FA-4987-A57E-9A5C917F3ADD}"/>
    <cellStyle name="Dec. digits07" xfId="213" xr:uid="{AD2C5038-ABDF-4769-8244-46C7BEEE5BA6}"/>
    <cellStyle name="Dec. digits07 2" xfId="214" xr:uid="{1BA4B07D-5D06-4A6A-8013-FD8AAD945435}"/>
    <cellStyle name="Dec. digits08" xfId="215" xr:uid="{0F21C164-8B85-4536-9E16-2A1B71C39A78}"/>
    <cellStyle name="Dec. digits08 2" xfId="216" xr:uid="{15A74B7F-042A-49A6-94AF-C8EFF70A70BC}"/>
    <cellStyle name="Dec. digits09" xfId="217" xr:uid="{5C3215E5-FCF2-498D-AE6F-E271E3DE3A19}"/>
    <cellStyle name="Dec. digits09 2" xfId="218" xr:uid="{4DF78DC2-6FB5-4413-B210-CF87819E7D2D}"/>
    <cellStyle name="Dec. digits10" xfId="219" xr:uid="{009EB00B-AA8A-4334-A7ED-0C69F738F0EB}"/>
    <cellStyle name="Dec. digits10 2" xfId="220" xr:uid="{AB672D51-29B7-48E6-AEB8-6C0CDD72BDD9}"/>
    <cellStyle name="Dec. digits11" xfId="221" xr:uid="{86C54CEA-B980-4DA6-8C52-80E1689FD336}"/>
    <cellStyle name="Dec. digits11 2" xfId="222" xr:uid="{A0DE08AD-FCE1-48E8-AF86-F26FEBA21217}"/>
    <cellStyle name="Dec. digits12" xfId="223" xr:uid="{608ED7C6-16C6-4115-A482-BC35BC8CF374}"/>
    <cellStyle name="Dec. digits12 2" xfId="224" xr:uid="{914D173A-D888-4473-8F19-C37DCDC1BDDB}"/>
    <cellStyle name="Decimalen-01" xfId="225" xr:uid="{D69F620E-ACEC-440C-880D-41633337189D}"/>
    <cellStyle name="Decimalen-01 10" xfId="1521" xr:uid="{7AADA9BD-72D5-4354-87F4-FF10B69EF7A7}"/>
    <cellStyle name="Decimalen-01 10 2" xfId="2128" xr:uid="{F247832C-9985-4A15-9180-99A595262018}"/>
    <cellStyle name="Decimalen-01 11" xfId="1672" xr:uid="{16B6AECD-FA4F-4035-A140-E1B248E4457A}"/>
    <cellStyle name="Decimalen-01 11 2" xfId="2129" xr:uid="{1141F7A7-BCD0-4760-B609-2C5466616AF4}"/>
    <cellStyle name="Decimalen-01 2" xfId="226" xr:uid="{716EE44A-C4F7-4C37-89F4-B7416DB05A0B}"/>
    <cellStyle name="Decimalen-01 2 2" xfId="227" xr:uid="{66A563A2-4E2F-4C8C-996F-EFD6C5463D5C}"/>
    <cellStyle name="Decimalen-01 2 2 2" xfId="228" xr:uid="{4BDEA56F-5E36-4249-AC08-9B7F33ADA7E9}"/>
    <cellStyle name="Decimalen-01 2 3" xfId="229" xr:uid="{82CB61CC-43B7-432E-868E-718F608E052E}"/>
    <cellStyle name="Decimalen-01 2 4" xfId="1415" xr:uid="{523F5D8F-E93E-4165-BEC6-8A0FEFB4C5B0}"/>
    <cellStyle name="Decimalen-01 3" xfId="230" xr:uid="{B582A13C-DEBB-4DCA-B78D-DFB92DB16B7E}"/>
    <cellStyle name="Decimalen-01 3 2" xfId="231" xr:uid="{8CCA4979-C9E0-4148-9E23-7E0B98C20BF7}"/>
    <cellStyle name="Decimalen-01 3 2 2" xfId="232" xr:uid="{16554424-5310-457C-8065-98E5AAB134CC}"/>
    <cellStyle name="Decimalen-01 3 3" xfId="233" xr:uid="{D33AE2C8-B0DB-4450-9AF3-0A9217CA1AFE}"/>
    <cellStyle name="Decimalen-01 3 4" xfId="1438" xr:uid="{8D5220EB-FB1E-4C85-AC12-25E3891E850C}"/>
    <cellStyle name="Decimalen-01 4" xfId="234" xr:uid="{E53BB4D3-5A3F-4E5E-9B98-E3ED2F9233A9}"/>
    <cellStyle name="Decimalen-01 4 10" xfId="2178" xr:uid="{A320E392-B1C4-4C16-8FA1-D4F792DF55F8}"/>
    <cellStyle name="Decimalen-01 4 10 2" xfId="3061" xr:uid="{994E50DE-6E6F-4667-A757-EB1265B18083}"/>
    <cellStyle name="Decimalen-01 4 11" xfId="1844" xr:uid="{6F5E86B7-519F-46FE-8E6E-9C36B7CDF48E}"/>
    <cellStyle name="Decimalen-01 4 11 2" xfId="3035" xr:uid="{90E7A1AE-5983-4A01-8E06-5E7524FF4737}"/>
    <cellStyle name="Decimalen-01 4 12" xfId="4376" xr:uid="{9CEA217D-7FD4-4CE5-8188-8B91C665243C}"/>
    <cellStyle name="Decimalen-01 4 2" xfId="235" xr:uid="{DEAAB61F-315E-4232-A9B7-EFABA6A1D1E0}"/>
    <cellStyle name="Decimalen-01 4 2 2" xfId="236" xr:uid="{A08326F8-2B82-4134-8417-B3C511B30852}"/>
    <cellStyle name="Decimalen-01 4 3" xfId="237" xr:uid="{012480E1-E6D6-4AA2-89D8-179FC466DFB8}"/>
    <cellStyle name="Decimalen-01 4 4" xfId="238" xr:uid="{C5BF49FD-CECA-4806-9FFD-3860D107EB66}"/>
    <cellStyle name="Decimalen-01 4 4 2" xfId="239" xr:uid="{1A7F5F6F-20DC-496B-B412-4B64A3EF81AE}"/>
    <cellStyle name="Decimalen-01 4 4 3" xfId="1603" xr:uid="{3FFBA6D1-5E83-4BA6-AB37-11532778B8CC}"/>
    <cellStyle name="Decimalen-01 4 5" xfId="240" xr:uid="{B183336A-68C3-4F26-951D-BAE0C231E297}"/>
    <cellStyle name="Decimalen-01 4 5 2" xfId="1251" xr:uid="{F6634514-4BA3-42A9-A863-AC0ADE0BAB70}"/>
    <cellStyle name="Decimalen-01 4 6" xfId="1151" xr:uid="{D61EE84A-A799-486E-866A-3861563D6815}"/>
    <cellStyle name="Decimalen-01 4 6 2" xfId="1716" xr:uid="{9D2FEC61-BC62-484A-BFB1-E3B7CE299DD6}"/>
    <cellStyle name="Decimalen-01 4 6 3" xfId="1693" xr:uid="{AA68204A-D8C3-4CE4-B050-51592C7711EA}"/>
    <cellStyle name="Decimalen-01 4 7" xfId="1079" xr:uid="{2B5094A3-2155-49B8-9982-5F3BE811F4F6}"/>
    <cellStyle name="Decimalen-01 4 8" xfId="1812" xr:uid="{654714B4-202D-44B2-913F-39D1A03D82DE}"/>
    <cellStyle name="Decimalen-01 4 8 2" xfId="2061" xr:uid="{7FCFA611-2B8F-4738-9C8D-7CF54E7ECDB8}"/>
    <cellStyle name="Decimalen-01 4 9" xfId="1873" xr:uid="{0C16D6AA-0BF9-4D91-809B-530AB082BB42}"/>
    <cellStyle name="Decimalen-01 5" xfId="241" xr:uid="{446A9B57-2F64-4846-91BF-4C341AA3C39D}"/>
    <cellStyle name="Decimalen-01 5 2" xfId="242" xr:uid="{977F0151-9C43-4380-89BA-32FA68B678A4}"/>
    <cellStyle name="Decimalen-01 6" xfId="243" xr:uid="{29B2A270-B392-4EC5-ACEA-D8F8721DB48B}"/>
    <cellStyle name="Decimalen-01 6 2" xfId="244" xr:uid="{85EE0AF2-527B-4266-9874-1BA4584904D8}"/>
    <cellStyle name="Decimalen-01 7" xfId="245" xr:uid="{319FD463-CF8D-4FDF-A54B-6E188D9AE3FD}"/>
    <cellStyle name="Decimalen-01 7 2" xfId="246" xr:uid="{05570658-B5D9-4B46-A6C1-D1EFA08C4047}"/>
    <cellStyle name="Decimalen-01 7 3" xfId="1564" xr:uid="{FED172D1-2C41-425C-B92E-B51E587847D3}"/>
    <cellStyle name="Decimalen-01 8" xfId="247" xr:uid="{B062AAC3-92AE-4BD0-87DB-209DAFF23E99}"/>
    <cellStyle name="Decimalen-01 8 2" xfId="1583" xr:uid="{B3A7B7EE-FF5D-48E3-B3EE-6036F87207B4}"/>
    <cellStyle name="Decimalen-01 9" xfId="248" xr:uid="{D63006E3-377C-4B39-A12C-40B05103FABD}"/>
    <cellStyle name="Decimalen-01 9 2" xfId="249" xr:uid="{3BFE4DB5-7A08-4828-A8F1-827BE55E0028}"/>
    <cellStyle name="Decimalen-02" xfId="250" xr:uid="{FB77BE10-8F4C-45EF-AEE3-7859FA4324FC}"/>
    <cellStyle name="Decimalen-02 10" xfId="1519" xr:uid="{8DA6A0B3-4A6A-42F1-9DF9-63EF38E0C7E4}"/>
    <cellStyle name="Decimalen-02 10 2" xfId="2130" xr:uid="{68CC1ADF-B17B-4887-8D56-B860CB9F7243}"/>
    <cellStyle name="Decimalen-02 11" xfId="1673" xr:uid="{79147397-0FA0-48DC-8DC0-499FD7097EDA}"/>
    <cellStyle name="Decimalen-02 11 2" xfId="2131" xr:uid="{2ED86F46-6421-4DCA-856C-14B476670EFC}"/>
    <cellStyle name="Decimalen-02 2" xfId="251" xr:uid="{160A85FA-F7A0-4A45-A14F-9E0F36E89FEE}"/>
    <cellStyle name="Decimalen-02 2 2" xfId="252" xr:uid="{2DFC51B8-D978-4A01-9A0B-419AB751B3BE}"/>
    <cellStyle name="Decimalen-02 2 2 2" xfId="253" xr:uid="{A2E805DA-2FF3-4270-8ACA-487DF18EA7C3}"/>
    <cellStyle name="Decimalen-02 2 3" xfId="254" xr:uid="{377448B2-55A8-49E7-B5C1-01A2427D45C0}"/>
    <cellStyle name="Decimalen-02 3" xfId="255" xr:uid="{C9D0DC9B-1CDA-40C2-A029-A2EBB6AF038F}"/>
    <cellStyle name="Decimalen-02 3 2" xfId="256" xr:uid="{3BF1D115-5245-401E-8A14-08A06DCAE4CA}"/>
    <cellStyle name="Decimalen-02 3 2 2" xfId="257" xr:uid="{0646C911-7F0F-461D-8B7D-BF92E5608837}"/>
    <cellStyle name="Decimalen-02 3 3" xfId="258" xr:uid="{13CB3E57-35F5-4379-9BF4-C3AE71A51854}"/>
    <cellStyle name="Decimalen-02 3 4" xfId="1460" xr:uid="{82B5F60A-4AA5-4C2A-8DDF-8709C85B0AF1}"/>
    <cellStyle name="Decimalen-02 3 5" xfId="1427" xr:uid="{870E64CD-758C-403A-B696-4DAF575A384E}"/>
    <cellStyle name="Decimalen-02 4" xfId="259" xr:uid="{AE1A9ADB-74FE-4E96-8B1B-9B570A008F06}"/>
    <cellStyle name="Decimalen-02 4 10" xfId="2179" xr:uid="{7F4C43B5-58EA-4B6F-A792-FB173053BD52}"/>
    <cellStyle name="Decimalen-02 4 10 2" xfId="3062" xr:uid="{A303D73C-11A0-4DFB-BD9D-D8DF0617D22F}"/>
    <cellStyle name="Decimalen-02 4 11" xfId="1845" xr:uid="{597C44BD-C1D1-4E55-AA6C-6430A18C9272}"/>
    <cellStyle name="Decimalen-02 4 11 2" xfId="3038" xr:uid="{26592E8D-9C25-4580-83CA-1769DEEDC4CA}"/>
    <cellStyle name="Decimalen-02 4 12" xfId="4377" xr:uid="{73745DD5-02B6-40C6-ACA1-56D8F0186BFB}"/>
    <cellStyle name="Decimalen-02 4 2" xfId="260" xr:uid="{84A13DC9-8644-4F19-8DD2-F0E1052FC587}"/>
    <cellStyle name="Decimalen-02 4 2 2" xfId="261" xr:uid="{12759710-147B-47EE-9558-FC96451520F6}"/>
    <cellStyle name="Decimalen-02 4 3" xfId="262" xr:uid="{6C0D0DFB-D829-47A5-81F7-4EBD8C732AAD}"/>
    <cellStyle name="Decimalen-02 4 4" xfId="263" xr:uid="{938C2756-E180-4F59-9B29-2DEE0847BF07}"/>
    <cellStyle name="Decimalen-02 4 4 2" xfId="264" xr:uid="{CADD3D11-ADBE-4E4B-884C-0F12796FDCB2}"/>
    <cellStyle name="Decimalen-02 4 4 3" xfId="1604" xr:uid="{A8C43CE5-53E9-4E17-B1C5-3952BA5EC7F2}"/>
    <cellStyle name="Decimalen-02 4 5" xfId="265" xr:uid="{9F97B12F-AA3F-478C-B5EF-FBA471CE4C23}"/>
    <cellStyle name="Decimalen-02 4 5 2" xfId="1252" xr:uid="{885CD50D-0845-4425-BC11-7C0288B48E31}"/>
    <cellStyle name="Decimalen-02 4 6" xfId="1152" xr:uid="{45B3CE4D-5654-4D37-B239-A8E54547F045}"/>
    <cellStyle name="Decimalen-02 4 6 2" xfId="1717" xr:uid="{5FD9F16B-D866-440F-BA82-CCE82BD2DF20}"/>
    <cellStyle name="Decimalen-02 4 6 3" xfId="1694" xr:uid="{733B9FEB-D51F-44FC-B311-BBA14DAE38EA}"/>
    <cellStyle name="Decimalen-02 4 7" xfId="1080" xr:uid="{50C3B6C5-BD9E-4175-8E77-F55CFB0E2F9B}"/>
    <cellStyle name="Decimalen-02 4 8" xfId="1813" xr:uid="{13489E88-3382-44E9-ADC5-EFC7AEC96F87}"/>
    <cellStyle name="Decimalen-02 4 8 2" xfId="2062" xr:uid="{6B8292F8-6199-4BBF-AB0F-4EF1A203E70A}"/>
    <cellStyle name="Decimalen-02 4 9" xfId="1874" xr:uid="{96A93DBE-9E4F-40A9-9E2C-4CD537FDFBB2}"/>
    <cellStyle name="Decimalen-02 5" xfId="266" xr:uid="{2A4B4AD2-0C30-4BD9-B822-53383ACC28EC}"/>
    <cellStyle name="Decimalen-02 5 2" xfId="267" xr:uid="{B5DAB6A1-3B1F-446C-B2E3-F70C87115C06}"/>
    <cellStyle name="Decimalen-02 6" xfId="268" xr:uid="{FE614647-6B52-4577-B967-6871E859392D}"/>
    <cellStyle name="Decimalen-02 6 2" xfId="269" xr:uid="{DAD973E7-6A08-4596-A8C6-AE9014096A81}"/>
    <cellStyle name="Decimalen-02 7" xfId="270" xr:uid="{D88339EC-9C16-4990-A5C9-A80375EF89B5}"/>
    <cellStyle name="Decimalen-02 7 2" xfId="271" xr:uid="{3458FCCC-4521-4A37-ACB9-0FA4C9AD82D8}"/>
    <cellStyle name="Decimalen-02 7 3" xfId="1565" xr:uid="{1783289C-479B-4468-B809-BFB97537193F}"/>
    <cellStyle name="Decimalen-02 8" xfId="272" xr:uid="{C3B84EC2-B0A7-4DF4-92A2-DC21BF9E2F9F}"/>
    <cellStyle name="Decimalen-02 8 2" xfId="1584" xr:uid="{618092BD-0DFD-4978-B558-1CAC673D678D}"/>
    <cellStyle name="Decimalen-02 9" xfId="273" xr:uid="{78547CDB-77C8-4103-B63A-5D1563AC3E3D}"/>
    <cellStyle name="Decimalen-02 9 2" xfId="274" xr:uid="{A58EF231-B606-4180-A84E-6DDB8AF5AB97}"/>
    <cellStyle name="Decimalen-03" xfId="275" xr:uid="{D1B5EC56-6C11-402C-9DBA-950170326B1A}"/>
    <cellStyle name="Decimalen-03 10" xfId="1518" xr:uid="{2D423457-6292-4C50-91A0-479F0E80DE69}"/>
    <cellStyle name="Decimalen-03 10 2" xfId="2132" xr:uid="{622F4C3D-9B15-46E6-9BAC-6603558725D9}"/>
    <cellStyle name="Decimalen-03 11" xfId="1674" xr:uid="{F59A63D0-2FD4-426C-A103-35AB0965A3D2}"/>
    <cellStyle name="Decimalen-03 11 2" xfId="2133" xr:uid="{BE306B7D-C4A6-4378-A16B-44F2B0FEC7B0}"/>
    <cellStyle name="Decimalen-03 2" xfId="276" xr:uid="{CDC750A2-1488-40EA-A78F-563820D003FF}"/>
    <cellStyle name="Decimalen-03 2 2" xfId="277" xr:uid="{23941C95-7F81-44A7-914B-B4BB0143A78C}"/>
    <cellStyle name="Decimalen-03 2 2 2" xfId="278" xr:uid="{ACAC03F8-C358-4FC5-8FB4-1A7CD199BBC8}"/>
    <cellStyle name="Decimalen-03 2 3" xfId="279" xr:uid="{1892F3B8-B2A2-4B66-9B0D-6C36168B3C6A}"/>
    <cellStyle name="Decimalen-03 2 4" xfId="1416" xr:uid="{B6CCAE76-84A0-41AD-B997-8BE1574CBCEB}"/>
    <cellStyle name="Decimalen-03 3" xfId="280" xr:uid="{E761F91F-2A9F-4D71-8410-8E0ECAC05DA7}"/>
    <cellStyle name="Decimalen-03 3 2" xfId="281" xr:uid="{BC741557-22FD-445C-82A1-1BC4BD096E71}"/>
    <cellStyle name="Decimalen-03 3 2 2" xfId="282" xr:uid="{C0D0EF50-B60A-4A9D-A05D-A313C282EE10}"/>
    <cellStyle name="Decimalen-03 3 3" xfId="283" xr:uid="{E1309C47-0F9B-4169-A82A-4AB545D2BEDD}"/>
    <cellStyle name="Decimalen-03 3 4" xfId="1439" xr:uid="{95AA6CEC-2081-4B2A-8B41-2A34BB1168D4}"/>
    <cellStyle name="Decimalen-03 4" xfId="284" xr:uid="{C1C3EB52-84A1-4B9E-B21E-20912CF37EB8}"/>
    <cellStyle name="Decimalen-03 4 10" xfId="2180" xr:uid="{D4642066-72CE-48FF-9470-A5324F41D4B0}"/>
    <cellStyle name="Decimalen-03 4 10 2" xfId="3063" xr:uid="{AF6D988E-FE80-425A-92EA-664976543A86}"/>
    <cellStyle name="Decimalen-03 4 11" xfId="1846" xr:uid="{E77C48F4-4A54-4F8A-AE6F-D9164FCB7B3A}"/>
    <cellStyle name="Decimalen-03 4 11 2" xfId="3033" xr:uid="{33504185-26CD-46A9-B091-280FC2316B10}"/>
    <cellStyle name="Decimalen-03 4 12" xfId="4378" xr:uid="{0C3F78BD-7ED8-4E45-94C7-8ADE2B215A2B}"/>
    <cellStyle name="Decimalen-03 4 2" xfId="285" xr:uid="{E767DD64-0A67-4318-832E-2E362CBE1DAC}"/>
    <cellStyle name="Decimalen-03 4 2 2" xfId="286" xr:uid="{BA86A4A9-BA1D-4A4B-BE04-E595036E8EBB}"/>
    <cellStyle name="Decimalen-03 4 3" xfId="287" xr:uid="{ED9CF1CB-4ECB-4A84-8DEC-2943263B609D}"/>
    <cellStyle name="Decimalen-03 4 4" xfId="288" xr:uid="{F8BFA960-2F14-4C9F-A52E-962E5D8DBCA1}"/>
    <cellStyle name="Decimalen-03 4 4 2" xfId="289" xr:uid="{B5FB1FD3-F9CE-4D39-9690-FA305232CD91}"/>
    <cellStyle name="Decimalen-03 4 4 3" xfId="1605" xr:uid="{DA995FBE-8E51-49CB-9B12-F62966D91077}"/>
    <cellStyle name="Decimalen-03 4 5" xfId="290" xr:uid="{647CD44E-F751-4A53-BB13-2879F56B74B4}"/>
    <cellStyle name="Decimalen-03 4 5 2" xfId="1253" xr:uid="{36F2D984-2C71-4BA0-8877-2FC5BB951F71}"/>
    <cellStyle name="Decimalen-03 4 6" xfId="1153" xr:uid="{13B45F8C-CC8F-406E-A6E5-E6194985A608}"/>
    <cellStyle name="Decimalen-03 4 6 2" xfId="1718" xr:uid="{F2B67B72-E7BA-42FD-9A32-7A387D2624E7}"/>
    <cellStyle name="Decimalen-03 4 6 3" xfId="1695" xr:uid="{F97E8280-A322-4D33-B324-C5B3C459E1D8}"/>
    <cellStyle name="Decimalen-03 4 7" xfId="1081" xr:uid="{F3CFF57F-4FA6-48EE-B1CE-04CCDC22E3E0}"/>
    <cellStyle name="Decimalen-03 4 8" xfId="1814" xr:uid="{D46C0BA6-5BAA-4DB4-887C-1BC2E3DA4A79}"/>
    <cellStyle name="Decimalen-03 4 8 2" xfId="2063" xr:uid="{146EF6F7-6501-436E-BC27-2C4D62BF3B0D}"/>
    <cellStyle name="Decimalen-03 4 9" xfId="1875" xr:uid="{1147E62C-24CD-4A87-8385-C1CA336E6A05}"/>
    <cellStyle name="Decimalen-03 5" xfId="291" xr:uid="{E70864E7-9CE6-479D-A916-EB1F1400CC75}"/>
    <cellStyle name="Decimalen-03 5 2" xfId="292" xr:uid="{F6A67C5B-D056-4F6D-9B67-F821CE3079E6}"/>
    <cellStyle name="Decimalen-03 6" xfId="293" xr:uid="{DEC36CAD-E4A1-4B4F-8AB0-DAC2566F19AD}"/>
    <cellStyle name="Decimalen-03 6 2" xfId="294" xr:uid="{CC1B2140-A7C3-4821-87BB-62359FB886BE}"/>
    <cellStyle name="Decimalen-03 7" xfId="295" xr:uid="{C9A42CD7-8385-4EFD-B6A9-BF88CD162655}"/>
    <cellStyle name="Decimalen-03 7 2" xfId="296" xr:uid="{A8A519A8-F9B9-4978-AB3E-D7A3AA5BC4D4}"/>
    <cellStyle name="Decimalen-03 7 3" xfId="1566" xr:uid="{70E5CBA6-7D0C-45AB-BB34-B5EE0508C03D}"/>
    <cellStyle name="Decimalen-03 8" xfId="297" xr:uid="{25665F42-A2E6-40AC-BBEC-EAE7D496F744}"/>
    <cellStyle name="Decimalen-03 8 2" xfId="1585" xr:uid="{472CAE6B-03F3-4360-8A56-89A18243F54B}"/>
    <cellStyle name="Decimalen-03 9" xfId="298" xr:uid="{36A45320-875B-4A29-B5F8-A0CCEA8E86D8}"/>
    <cellStyle name="Decimalen-03 9 2" xfId="299" xr:uid="{582F46AF-C852-4908-A210-98DE7300A702}"/>
    <cellStyle name="Decimalen-04" xfId="300" xr:uid="{0341EC9A-9BD3-44F2-A985-9C6CC94D8487}"/>
    <cellStyle name="Decimalen-04 10" xfId="301" xr:uid="{BE1302A5-3CF2-4A82-86FE-6870EC87FF4B}"/>
    <cellStyle name="Decimalen-04 10 2" xfId="302" xr:uid="{C3510244-D12F-4098-B53D-896FA5A05AD3}"/>
    <cellStyle name="Decimalen-04 11" xfId="1517" xr:uid="{8447A4AA-1359-4D42-ABC8-C1FCFA9F9D13}"/>
    <cellStyle name="Decimalen-04 11 2" xfId="2134" xr:uid="{BA38918E-3CB1-461A-9AC7-7FBB18AD721E}"/>
    <cellStyle name="Decimalen-04 12" xfId="1675" xr:uid="{54D86255-E01D-4BD2-9FB7-B615C6E97113}"/>
    <cellStyle name="Decimalen-04 12 2" xfId="2135" xr:uid="{289C4565-0723-4167-BE46-8B29E8331C43}"/>
    <cellStyle name="Decimalen-04 2" xfId="303" xr:uid="{6D33957C-C2B1-420D-9623-AFA810DF9E42}"/>
    <cellStyle name="Decimalen-04 2 2" xfId="304" xr:uid="{0D106F46-6ABB-45C9-B828-92A7CCCA8E21}"/>
    <cellStyle name="Decimalen-04 2 2 2" xfId="305" xr:uid="{1EA5A302-B19E-4547-B155-999F4A389F3C}"/>
    <cellStyle name="Decimalen-04 2 3" xfId="306" xr:uid="{F2479675-13D8-4002-8D75-5EA67E86ED90}"/>
    <cellStyle name="Decimalen-04 2 3 2" xfId="307" xr:uid="{20CE7AB1-C581-49E1-84C4-7EF8DDE74D47}"/>
    <cellStyle name="Decimalen-04 2 4" xfId="308" xr:uid="{0D57CEA0-2459-46C2-8FD6-4726403A2CF8}"/>
    <cellStyle name="Decimalen-04 3" xfId="309" xr:uid="{D4303F37-5FE8-427E-AEFC-88FB89A916D7}"/>
    <cellStyle name="Decimalen-04 3 2" xfId="310" xr:uid="{2D2FF4D6-D53E-4845-AF63-D70F9AE6C0C8}"/>
    <cellStyle name="Decimalen-04 4" xfId="311" xr:uid="{7223D917-B40D-4D51-8702-53588A0F6FE8}"/>
    <cellStyle name="Decimalen-04 4 2" xfId="312" xr:uid="{F473FD89-B31D-4670-AFF2-7634E0C60B49}"/>
    <cellStyle name="Decimalen-04 4 2 2" xfId="313" xr:uid="{ED6C27E4-E3CD-4889-A3C8-E1E873E55F10}"/>
    <cellStyle name="Decimalen-04 4 3" xfId="314" xr:uid="{5635AB24-7CE9-4D6B-AB24-D229136FAE2B}"/>
    <cellStyle name="Decimalen-04 5" xfId="315" xr:uid="{1C664E94-AA72-4667-B852-375148B77E19}"/>
    <cellStyle name="Decimalen-04 5 2" xfId="316" xr:uid="{5102B745-994A-431D-B4FB-7A6C81CA6FBB}"/>
    <cellStyle name="Decimalen-04 5 2 2" xfId="317" xr:uid="{88E77A5F-D63A-4152-A9D0-5CF50EE201AD}"/>
    <cellStyle name="Decimalen-04 5 3" xfId="318" xr:uid="{641E7924-A941-4ED4-A224-DCD253FBAE49}"/>
    <cellStyle name="Decimalen-04 5 4" xfId="1453" xr:uid="{BBDF1E66-AB6F-44AA-9AE3-95A42B361D94}"/>
    <cellStyle name="Decimalen-04 6" xfId="319" xr:uid="{7A7D9C19-EB3D-4666-8E81-908F96FF7E32}"/>
    <cellStyle name="Decimalen-04 6 10" xfId="2181" xr:uid="{48422054-BE4F-44D3-AAC2-481CA798DCFD}"/>
    <cellStyle name="Decimalen-04 6 10 2" xfId="3064" xr:uid="{F19262A3-645C-463E-ABF6-C6A2BFDF6D92}"/>
    <cellStyle name="Decimalen-04 6 11" xfId="1847" xr:uid="{1DCB29F5-2ABC-4B8C-ACCC-E8E9CC7657E2}"/>
    <cellStyle name="Decimalen-04 6 11 2" xfId="3030" xr:uid="{5883BC7A-A219-4F28-B547-0E3B207B600E}"/>
    <cellStyle name="Decimalen-04 6 12" xfId="4379" xr:uid="{6AB4FD49-07B0-45B2-8A1C-B46F8BB8B0C8}"/>
    <cellStyle name="Decimalen-04 6 2" xfId="320" xr:uid="{6D5EF8EB-9B9F-47CF-9B50-DDC2A89DCAA2}"/>
    <cellStyle name="Decimalen-04 6 2 2" xfId="321" xr:uid="{AFB31D73-BEE7-45AB-948D-90E72B5BAD5A}"/>
    <cellStyle name="Decimalen-04 6 3" xfId="322" xr:uid="{1DE0B24F-F0AA-4AAB-8450-1EC788B610D7}"/>
    <cellStyle name="Decimalen-04 6 4" xfId="323" xr:uid="{D0FB8870-D50F-4BBD-BE76-7E19DD0BB589}"/>
    <cellStyle name="Decimalen-04 6 4 2" xfId="324" xr:uid="{7A09A78F-E58C-4630-B4B7-D8031D78CC30}"/>
    <cellStyle name="Decimalen-04 6 4 3" xfId="1606" xr:uid="{827251FB-E8EA-4DD4-BE74-460D9922C142}"/>
    <cellStyle name="Decimalen-04 6 5" xfId="325" xr:uid="{73705D24-576E-40AA-83B9-9423AC133C6F}"/>
    <cellStyle name="Decimalen-04 6 5 2" xfId="1254" xr:uid="{85722A12-CFA1-449D-B952-EF96F7E6FAD4}"/>
    <cellStyle name="Decimalen-04 6 6" xfId="1165" xr:uid="{70E1C6C7-8DA0-444F-AD90-4EE13BB53F64}"/>
    <cellStyle name="Decimalen-04 6 6 2" xfId="1730" xr:uid="{8E8DD2E4-F428-4F74-9610-B40367101E37}"/>
    <cellStyle name="Decimalen-04 6 6 3" xfId="1696" xr:uid="{97C4EC32-AEDE-4734-B1A1-F6E95780C77B}"/>
    <cellStyle name="Decimalen-04 6 7" xfId="1082" xr:uid="{DCD0155C-5A4D-46E6-9DB0-80688C4D6828}"/>
    <cellStyle name="Decimalen-04 6 8" xfId="1815" xr:uid="{EC471686-80CF-4223-9F04-1379B8E6B3AB}"/>
    <cellStyle name="Decimalen-04 6 8 2" xfId="2064" xr:uid="{D7F534E7-DE9B-4A58-A530-D01785C3406F}"/>
    <cellStyle name="Decimalen-04 6 9" xfId="1887" xr:uid="{05A288D5-98F8-459F-8C29-80E159064929}"/>
    <cellStyle name="Decimalen-04 7" xfId="326" xr:uid="{2122B6D4-3D64-481F-AE4B-704A877617F0}"/>
    <cellStyle name="Decimalen-04 7 2" xfId="327" xr:uid="{1C9F322F-AC82-47DF-A74E-1BA38EA5D67F}"/>
    <cellStyle name="Decimalen-04 8" xfId="328" xr:uid="{AEBDA73F-5D4A-4C80-88A2-76B5E451CAE9}"/>
    <cellStyle name="Decimalen-04 8 2" xfId="329" xr:uid="{33A01006-B14A-47D9-A71B-42364813C627}"/>
    <cellStyle name="Decimalen-04 8 3" xfId="1567" xr:uid="{24A298F0-E0CB-4150-BED1-BFD6516F5017}"/>
    <cellStyle name="Decimalen-04 9" xfId="330" xr:uid="{C3D75406-F2BF-4560-8332-90E68F85240B}"/>
    <cellStyle name="Decimalen-04 9 2" xfId="1579" xr:uid="{703E3B50-597F-442F-B57C-AEB8B2568DEF}"/>
    <cellStyle name="Decimalen-05" xfId="331" xr:uid="{3141E4CD-2542-4C8A-9212-89461D1A78C2}"/>
    <cellStyle name="Decimalen-05 10" xfId="1528" xr:uid="{EA80919C-14EB-460D-96AC-1D3E2F873813}"/>
    <cellStyle name="Decimalen-05 10 2" xfId="2136" xr:uid="{64438CBB-466A-4C40-9969-CFC6F03A6748}"/>
    <cellStyle name="Decimalen-05 11" xfId="1676" xr:uid="{5EF218D2-F3BF-4FDA-83D9-F26A7AC31418}"/>
    <cellStyle name="Decimalen-05 11 2" xfId="2137" xr:uid="{F4B5AB7E-9B8A-45FF-A53C-658E93BE20EB}"/>
    <cellStyle name="Decimalen-05 2" xfId="332" xr:uid="{C8E2B79E-6EED-4799-8577-064A09E2F95A}"/>
    <cellStyle name="Decimalen-05 2 2" xfId="333" xr:uid="{EFC83FD4-21ED-4238-84B2-41EC57AE749B}"/>
    <cellStyle name="Decimalen-05 2 2 2" xfId="334" xr:uid="{90B66D5E-E54B-4775-9C18-73EAC8D8E4ED}"/>
    <cellStyle name="Decimalen-05 2 3" xfId="335" xr:uid="{26C90D7A-C98F-4F75-B29C-E1BF5658E04D}"/>
    <cellStyle name="Decimalen-05 2 4" xfId="1417" xr:uid="{EF466A85-BC3E-4994-A8FD-5BCE338B71D2}"/>
    <cellStyle name="Decimalen-05 3" xfId="336" xr:uid="{43E9B766-DE33-4BAE-B18C-ED8443DA0B5C}"/>
    <cellStyle name="Decimalen-05 3 2" xfId="337" xr:uid="{2C9A856F-F188-4B3A-BABF-053FDC4E34F2}"/>
    <cellStyle name="Decimalen-05 3 2 2" xfId="338" xr:uid="{68FF859F-901B-48EC-8098-EBCDB2C103F0}"/>
    <cellStyle name="Decimalen-05 3 3" xfId="339" xr:uid="{9C5289FE-46F0-4862-8782-3B7BB3F0ECBD}"/>
    <cellStyle name="Decimalen-05 3 4" xfId="1440" xr:uid="{68E8FE0F-F690-4955-9297-5704FCF7FC39}"/>
    <cellStyle name="Decimalen-05 4" xfId="340" xr:uid="{EA5C27B5-E3D2-4E57-8CCA-CFC7B2FEB57C}"/>
    <cellStyle name="Decimalen-05 4 10" xfId="2182" xr:uid="{1672E297-C31E-49C1-A8C1-0F47D6678400}"/>
    <cellStyle name="Decimalen-05 4 10 2" xfId="3065" xr:uid="{434F2474-5711-43DB-972B-C34F72BEF3ED}"/>
    <cellStyle name="Decimalen-05 4 11" xfId="1848" xr:uid="{313C0375-1282-4936-8F24-2C2122491CE2}"/>
    <cellStyle name="Decimalen-05 4 11 2" xfId="3028" xr:uid="{0A0F6F9E-9A90-46CE-9402-68DE81AFB777}"/>
    <cellStyle name="Decimalen-05 4 12" xfId="4380" xr:uid="{568C63CA-AF99-4487-80D9-017C873A5A81}"/>
    <cellStyle name="Decimalen-05 4 2" xfId="341" xr:uid="{8AC37E33-2AB7-44B8-AD1D-AC42BE0A1D83}"/>
    <cellStyle name="Decimalen-05 4 2 2" xfId="342" xr:uid="{2BD4361D-83E9-4533-8515-D1C6D6D5FC1C}"/>
    <cellStyle name="Decimalen-05 4 3" xfId="343" xr:uid="{8403E8B7-4723-43B2-BADC-D1F16F127769}"/>
    <cellStyle name="Decimalen-05 4 4" xfId="344" xr:uid="{15C668CB-C7F2-4A5E-A703-4632448DF318}"/>
    <cellStyle name="Decimalen-05 4 4 2" xfId="345" xr:uid="{1F53E7DD-E0C2-4243-ACF6-7B638C2A2F69}"/>
    <cellStyle name="Decimalen-05 4 4 3" xfId="1607" xr:uid="{DE35BEE3-B2BA-4ABB-8C50-300CE9E74240}"/>
    <cellStyle name="Decimalen-05 4 5" xfId="346" xr:uid="{FEFE721A-DF00-493A-81F3-7A71E6230819}"/>
    <cellStyle name="Decimalen-05 4 5 2" xfId="1255" xr:uid="{F7A934A7-33B8-400E-AC9C-3FDBBB9EF7FC}"/>
    <cellStyle name="Decimalen-05 4 6" xfId="1154" xr:uid="{862BB8C6-F202-4C27-98E3-F08094D960CC}"/>
    <cellStyle name="Decimalen-05 4 6 2" xfId="1719" xr:uid="{98AD099A-4D83-4A94-A486-E99A9AEC1B9C}"/>
    <cellStyle name="Decimalen-05 4 6 3" xfId="1697" xr:uid="{269329AC-F0A7-49D2-BAE9-A2CA737F7B21}"/>
    <cellStyle name="Decimalen-05 4 7" xfId="1083" xr:uid="{A770CCE9-13EB-484A-A3AE-8BE96614333C}"/>
    <cellStyle name="Decimalen-05 4 8" xfId="1816" xr:uid="{21C7E500-A93E-47CF-9AA2-71AEA86F5B4B}"/>
    <cellStyle name="Decimalen-05 4 8 2" xfId="2065" xr:uid="{A6ACD23E-B62F-44E5-8CB0-83EC39CCE3A7}"/>
    <cellStyle name="Decimalen-05 4 9" xfId="1876" xr:uid="{6CAE89AC-48DA-4A62-9674-D32D96666698}"/>
    <cellStyle name="Decimalen-05 5" xfId="347" xr:uid="{B64D7969-94AD-45F7-A184-D3A355332933}"/>
    <cellStyle name="Decimalen-05 5 2" xfId="348" xr:uid="{06CF8764-FA63-4227-8E01-72B2A899C7E0}"/>
    <cellStyle name="Decimalen-05 6" xfId="349" xr:uid="{2DE3D969-32E6-4074-A482-34B657C4D31C}"/>
    <cellStyle name="Decimalen-05 6 2" xfId="350" xr:uid="{3D7C0358-457A-4D56-BFC6-8F1DFBCA0CA0}"/>
    <cellStyle name="Decimalen-05 7" xfId="351" xr:uid="{1CBB5470-C792-4CDA-B296-C1B3B6F7DA77}"/>
    <cellStyle name="Decimalen-05 7 2" xfId="352" xr:uid="{C7A7778C-A479-4F8A-BA7B-49367A98C527}"/>
    <cellStyle name="Decimalen-05 7 3" xfId="1568" xr:uid="{51ECD129-62AF-4736-912E-23B6FC638DE1}"/>
    <cellStyle name="Decimalen-05 8" xfId="353" xr:uid="{D63C972F-E672-4461-BA10-70DFCD38B456}"/>
    <cellStyle name="Decimalen-05 8 2" xfId="1586" xr:uid="{5AF5638D-7819-4C1F-9D66-B24869553F50}"/>
    <cellStyle name="Decimalen-05 9" xfId="354" xr:uid="{C7C43D21-84E3-42A0-9D39-D589279AAC6B}"/>
    <cellStyle name="Decimalen-05 9 2" xfId="355" xr:uid="{05C88301-D8F2-4BA3-9F7C-925C6913F4CE}"/>
    <cellStyle name="Decimalen-06" xfId="356" xr:uid="{9215EEC8-FEE0-4C75-8553-5E406165019A}"/>
    <cellStyle name="Decimalen-06 10" xfId="1529" xr:uid="{55CA6BAA-C1AB-40C8-BDDE-FA0B61C89270}"/>
    <cellStyle name="Decimalen-06 10 2" xfId="2138" xr:uid="{99A2D165-6E2F-4287-9793-C0D26498462F}"/>
    <cellStyle name="Decimalen-06 11" xfId="1677" xr:uid="{6DFB172A-1AE0-4D2C-B60F-082B18A0CA22}"/>
    <cellStyle name="Decimalen-06 11 2" xfId="2139" xr:uid="{ACCB869A-5562-48DB-A643-B8641CB2FADF}"/>
    <cellStyle name="Decimalen-06 2" xfId="357" xr:uid="{8267A99F-4270-4BC7-8B3E-1EA20916A783}"/>
    <cellStyle name="Decimalen-06 2 2" xfId="358" xr:uid="{9E2E0540-7502-45C8-AF39-D416CBCB86EA}"/>
    <cellStyle name="Decimalen-06 2 2 2" xfId="359" xr:uid="{F550BAD9-FBCF-4633-AB4C-5DFBFE5598ED}"/>
    <cellStyle name="Decimalen-06 2 3" xfId="360" xr:uid="{377E7674-E474-4BFD-8BCA-ADEF8E7B53E8}"/>
    <cellStyle name="Decimalen-06 2 4" xfId="1418" xr:uid="{57E02A46-3479-424A-B5A7-8F90A4168619}"/>
    <cellStyle name="Decimalen-06 3" xfId="361" xr:uid="{E929BB04-BE43-456F-87E9-0551771ED7A9}"/>
    <cellStyle name="Decimalen-06 3 2" xfId="362" xr:uid="{B252ABC9-3F24-4D68-A28A-4DFFCF7A7106}"/>
    <cellStyle name="Decimalen-06 3 2 2" xfId="363" xr:uid="{FF8C0A80-C1BF-4990-A851-4BDE082B0B90}"/>
    <cellStyle name="Decimalen-06 3 3" xfId="364" xr:uid="{7F756910-1D78-47B4-B766-3DFAEE519C78}"/>
    <cellStyle name="Decimalen-06 3 4" xfId="1441" xr:uid="{E6D1930D-F885-4BAA-B689-1E6C10ED3C83}"/>
    <cellStyle name="Decimalen-06 4" xfId="365" xr:uid="{7A3A5607-5262-4928-92BD-14D02C5CEDEC}"/>
    <cellStyle name="Decimalen-06 4 10" xfId="2183" xr:uid="{79B1A414-639F-45AB-9AE0-DEAA15D2A9E1}"/>
    <cellStyle name="Decimalen-06 4 10 2" xfId="3066" xr:uid="{82A123F1-1B92-41D2-8522-8314DDC1A0F4}"/>
    <cellStyle name="Decimalen-06 4 11" xfId="1849" xr:uid="{E0B4C793-4229-4A20-B26A-5C334416B196}"/>
    <cellStyle name="Decimalen-06 4 11 2" xfId="3044" xr:uid="{D78AC9E4-7225-4670-A39E-BADE94B160E5}"/>
    <cellStyle name="Decimalen-06 4 12" xfId="4381" xr:uid="{D006801D-7F7D-4037-84E6-C99CCAA07B82}"/>
    <cellStyle name="Decimalen-06 4 2" xfId="366" xr:uid="{D5DCDAB6-FE2E-42A9-AF54-1C70578A9E69}"/>
    <cellStyle name="Decimalen-06 4 2 2" xfId="367" xr:uid="{1E66B064-BA5A-44B0-B82C-12BA50DEF961}"/>
    <cellStyle name="Decimalen-06 4 3" xfId="368" xr:uid="{790F86CC-2A76-46E2-8641-918270733129}"/>
    <cellStyle name="Decimalen-06 4 4" xfId="369" xr:uid="{6F72947B-BD30-43EF-B357-08409C67A5D1}"/>
    <cellStyle name="Decimalen-06 4 4 2" xfId="370" xr:uid="{C304FA57-36FA-413C-B9EF-D7B19E7DFD75}"/>
    <cellStyle name="Decimalen-06 4 4 3" xfId="1608" xr:uid="{8A1B0E57-7296-4705-979D-D1FF29856A07}"/>
    <cellStyle name="Decimalen-06 4 5" xfId="371" xr:uid="{2C1E172E-B157-4EC3-AA79-451ADABFF619}"/>
    <cellStyle name="Decimalen-06 4 5 2" xfId="1256" xr:uid="{72E6A774-AEA6-4348-9D01-5D834F7362CE}"/>
    <cellStyle name="Decimalen-06 4 6" xfId="1155" xr:uid="{74A944EE-4639-46AA-BCF9-98763C05FC5F}"/>
    <cellStyle name="Decimalen-06 4 6 2" xfId="1720" xr:uid="{C3D46159-B809-4A14-9371-4DA2CF4D7ACE}"/>
    <cellStyle name="Decimalen-06 4 6 3" xfId="1698" xr:uid="{51F9F1A6-764C-4BF3-A0E1-F3D592912E52}"/>
    <cellStyle name="Decimalen-06 4 7" xfId="1084" xr:uid="{9C6275FB-96DE-4656-BA32-111EAA97E5CA}"/>
    <cellStyle name="Decimalen-06 4 8" xfId="1817" xr:uid="{4034D261-8A2E-4CB2-BDB1-F49082E44D67}"/>
    <cellStyle name="Decimalen-06 4 8 2" xfId="2066" xr:uid="{26AE02F6-0447-4BDE-AF58-19D393B400EC}"/>
    <cellStyle name="Decimalen-06 4 9" xfId="1877" xr:uid="{6896CAD6-497E-4B33-8A4C-72C0CAC8A7CC}"/>
    <cellStyle name="Decimalen-06 5" xfId="372" xr:uid="{ECC6563F-0B47-48DB-B476-23D03334141B}"/>
    <cellStyle name="Decimalen-06 5 2" xfId="373" xr:uid="{FDF63CE0-A61D-466C-9231-1912FE59C288}"/>
    <cellStyle name="Decimalen-06 6" xfId="374" xr:uid="{4A448C4E-F0F5-4627-B9D3-3D81EAD1BE06}"/>
    <cellStyle name="Decimalen-06 6 2" xfId="375" xr:uid="{D3ED6752-E632-4549-92C2-DDE42AACFFED}"/>
    <cellStyle name="Decimalen-06 7" xfId="376" xr:uid="{654E7D03-594B-4ED2-BCE1-1EB9251AE0D8}"/>
    <cellStyle name="Decimalen-06 7 2" xfId="377" xr:uid="{26320A35-888B-414C-BDD7-4F87A2C7F20A}"/>
    <cellStyle name="Decimalen-06 7 3" xfId="1569" xr:uid="{2A270E41-FA80-4DA1-BDAD-3A78530D946D}"/>
    <cellStyle name="Decimalen-06 8" xfId="378" xr:uid="{87BAE731-72A8-432C-A2B6-AD33A0994CE2}"/>
    <cellStyle name="Decimalen-06 8 2" xfId="1587" xr:uid="{5A6C69BC-1983-45F2-8341-D3E6DE51B314}"/>
    <cellStyle name="Decimalen-06 9" xfId="379" xr:uid="{0EF9C49C-6589-4B9E-875D-9579FECA8C49}"/>
    <cellStyle name="Decimalen-06 9 2" xfId="380" xr:uid="{D5349AE0-66D3-4B6F-8249-94EA35747A46}"/>
    <cellStyle name="Decimalen-07" xfId="381" xr:uid="{965BBDF6-71C4-4059-9F8F-D86CC4BEEDF3}"/>
    <cellStyle name="Decimalen-07 10" xfId="1539" xr:uid="{701F2304-5881-4954-9534-7AC2D60D8D28}"/>
    <cellStyle name="Decimalen-07 10 2" xfId="2140" xr:uid="{8D8F287E-D5EA-4F58-AD31-82EC2DBA8660}"/>
    <cellStyle name="Decimalen-07 11" xfId="1678" xr:uid="{193A9DF5-61BD-47EE-AD5F-3423456B985E}"/>
    <cellStyle name="Decimalen-07 11 2" xfId="2141" xr:uid="{37EE4045-66C5-4DF7-AF18-78E45BC02D5E}"/>
    <cellStyle name="Decimalen-07 2" xfId="382" xr:uid="{86E8CD17-7469-4982-84BF-EA11283CA076}"/>
    <cellStyle name="Decimalen-07 2 2" xfId="383" xr:uid="{F73FEE67-4B47-49B7-9CA9-A323A0FEAC30}"/>
    <cellStyle name="Decimalen-07 2 2 2" xfId="384" xr:uid="{AFE93B56-6EE6-4BAE-AC87-B2F5BFAE3094}"/>
    <cellStyle name="Decimalen-07 2 3" xfId="385" xr:uid="{211DDC1C-0927-4CE1-BDFC-A0A73DE5C0B5}"/>
    <cellStyle name="Decimalen-07 2 4" xfId="1419" xr:uid="{67C2F411-E0F0-440B-8ABF-D34E59EA6DBE}"/>
    <cellStyle name="Decimalen-07 3" xfId="386" xr:uid="{BD9BCC50-8B56-4C2E-B317-D516663603F8}"/>
    <cellStyle name="Decimalen-07 3 2" xfId="387" xr:uid="{5027592F-E36D-4CBA-ACD6-F1412BF90413}"/>
    <cellStyle name="Decimalen-07 3 2 2" xfId="388" xr:uid="{8711EE76-5D5C-47E1-AB78-BAB8CF6B6B6F}"/>
    <cellStyle name="Decimalen-07 3 3" xfId="389" xr:uid="{D0E74394-9819-45D8-B624-2D6FCC119021}"/>
    <cellStyle name="Decimalen-07 3 4" xfId="1442" xr:uid="{FB6ECD10-05E1-46A5-B679-2DE7D7A2BCFE}"/>
    <cellStyle name="Decimalen-07 4" xfId="390" xr:uid="{0132C1CC-C825-44CE-BF4A-7D6279B34F11}"/>
    <cellStyle name="Decimalen-07 4 10" xfId="2184" xr:uid="{FE9EDED9-7C81-401B-A6E2-635C55203162}"/>
    <cellStyle name="Decimalen-07 4 10 2" xfId="3067" xr:uid="{A1C46E79-F13E-4481-A98D-313E5DE48434}"/>
    <cellStyle name="Decimalen-07 4 11" xfId="1850" xr:uid="{F75F695A-E455-42DF-BE24-A200CE462551}"/>
    <cellStyle name="Decimalen-07 4 11 2" xfId="3050" xr:uid="{C0EA09C4-24FD-4473-88B8-A256F7B0AB0B}"/>
    <cellStyle name="Decimalen-07 4 12" xfId="4382" xr:uid="{EAE7FCB1-FB7C-4FA7-B575-53933298CE43}"/>
    <cellStyle name="Decimalen-07 4 2" xfId="391" xr:uid="{D99906C5-880D-4CC7-B408-8ADEE197EDF7}"/>
    <cellStyle name="Decimalen-07 4 2 2" xfId="392" xr:uid="{A4718365-66F2-4FFB-B292-4C6C9231C0CA}"/>
    <cellStyle name="Decimalen-07 4 3" xfId="393" xr:uid="{4E9E53D2-0594-45AE-9026-BE5276E24E80}"/>
    <cellStyle name="Decimalen-07 4 4" xfId="394" xr:uid="{E47676CB-90AA-48A2-AA99-BA66206BAACB}"/>
    <cellStyle name="Decimalen-07 4 4 2" xfId="395" xr:uid="{74E48350-A6D7-443A-AD86-DE6CCBD4A2FB}"/>
    <cellStyle name="Decimalen-07 4 4 3" xfId="1609" xr:uid="{E06D7BF3-4B20-45E1-B63C-13DB0C4CE7C5}"/>
    <cellStyle name="Decimalen-07 4 5" xfId="396" xr:uid="{3AA1B208-3F67-4C4A-95B9-59FBE5C91AA6}"/>
    <cellStyle name="Decimalen-07 4 5 2" xfId="1257" xr:uid="{04138F41-A8B5-46C9-817D-0D733982E3EA}"/>
    <cellStyle name="Decimalen-07 4 6" xfId="1156" xr:uid="{A11E098C-DA69-4D9B-B795-F3090DB9024D}"/>
    <cellStyle name="Decimalen-07 4 6 2" xfId="1721" xr:uid="{2468653F-0DC2-4082-B179-7E9DD3B0F81D}"/>
    <cellStyle name="Decimalen-07 4 6 3" xfId="1699" xr:uid="{C90871A2-12D4-4DD0-942A-014D9923D13C}"/>
    <cellStyle name="Decimalen-07 4 7" xfId="1085" xr:uid="{8D1694B3-6E48-49B3-841A-E53337D56145}"/>
    <cellStyle name="Decimalen-07 4 8" xfId="1818" xr:uid="{CCA039E8-9F0B-42B1-AEF1-E91BDC5EADED}"/>
    <cellStyle name="Decimalen-07 4 8 2" xfId="2067" xr:uid="{9FBD2C53-7FA1-4BB9-8E6F-02AAAB48BA28}"/>
    <cellStyle name="Decimalen-07 4 9" xfId="1878" xr:uid="{1032166B-C1D2-4CB3-BEFF-18AF479AD066}"/>
    <cellStyle name="Decimalen-07 5" xfId="397" xr:uid="{59EB2630-62CB-45DC-9523-B46C55F7E362}"/>
    <cellStyle name="Decimalen-07 5 2" xfId="398" xr:uid="{D090DC0D-E5B8-4DA1-BB9A-5871FDA744DF}"/>
    <cellStyle name="Decimalen-07 6" xfId="399" xr:uid="{9B91BA78-5874-4224-9C85-D32DB08E0A38}"/>
    <cellStyle name="Decimalen-07 6 2" xfId="400" xr:uid="{9423665B-897B-4755-A199-3FFF0A0E9E0A}"/>
    <cellStyle name="Decimalen-07 7" xfId="401" xr:uid="{FA135844-4D16-4621-A640-429C6FC0C151}"/>
    <cellStyle name="Decimalen-07 7 2" xfId="402" xr:uid="{F00F8BB4-DF6B-4193-B12D-A27971C1763B}"/>
    <cellStyle name="Decimalen-07 7 3" xfId="1570" xr:uid="{6593A0FC-144B-4DA6-8F45-B442F6A0AE9D}"/>
    <cellStyle name="Decimalen-07 8" xfId="403" xr:uid="{F500F997-0132-4CB9-8B3B-0A3C22339B07}"/>
    <cellStyle name="Decimalen-07 8 2" xfId="1588" xr:uid="{EEDE5479-9CD2-4F50-8064-B4EB9BFE1147}"/>
    <cellStyle name="Decimalen-07 9" xfId="404" xr:uid="{08BACD29-FFE1-4EDA-9527-FFCC076A6EB4}"/>
    <cellStyle name="Decimalen-07 9 2" xfId="405" xr:uid="{C8E84B8A-9E15-4828-9255-55F6096BA803}"/>
    <cellStyle name="Decimalen-08" xfId="406" xr:uid="{D0A77A74-4F2F-481F-ACED-E9ECE530FCE9}"/>
    <cellStyle name="Decimalen-08 10" xfId="1533" xr:uid="{3BBEA03D-A7B1-42F7-AADE-4C0E89A6CBFD}"/>
    <cellStyle name="Decimalen-08 10 2" xfId="2142" xr:uid="{42DF3852-7430-46D0-B7B8-C377FAF36BE1}"/>
    <cellStyle name="Decimalen-08 11" xfId="1679" xr:uid="{01BA6B2A-23EA-4EB8-9FF2-275706EB2485}"/>
    <cellStyle name="Decimalen-08 11 2" xfId="2143" xr:uid="{9BD94E91-4228-4A34-96BD-360E9BA32FE8}"/>
    <cellStyle name="Decimalen-08 2" xfId="407" xr:uid="{27C39618-43D7-40EC-87DF-F3070B6A7E92}"/>
    <cellStyle name="Decimalen-08 2 2" xfId="408" xr:uid="{5BE2F7FA-EBEE-47C3-BBBA-E68B9F1B742A}"/>
    <cellStyle name="Decimalen-08 2 2 2" xfId="409" xr:uid="{E71483E9-D744-4788-B20A-8174AF794A62}"/>
    <cellStyle name="Decimalen-08 2 3" xfId="410" xr:uid="{6AB2A898-9EBF-459A-AA2E-E3095D17ED2C}"/>
    <cellStyle name="Decimalen-08 2 4" xfId="1420" xr:uid="{3DA86995-15EB-465C-B9CF-936E9A6C4A05}"/>
    <cellStyle name="Decimalen-08 3" xfId="411" xr:uid="{B56502E8-2553-4DF6-9C46-14001E9964E3}"/>
    <cellStyle name="Decimalen-08 3 2" xfId="412" xr:uid="{F73BE47B-CFF3-4512-B338-2128D1E5EDF5}"/>
    <cellStyle name="Decimalen-08 3 2 2" xfId="413" xr:uid="{F2FF897A-AE7E-4B69-B733-740D0562F4E6}"/>
    <cellStyle name="Decimalen-08 3 3" xfId="414" xr:uid="{8281D520-F17D-48B0-AC1A-C0DD27F56B26}"/>
    <cellStyle name="Decimalen-08 3 4" xfId="1443" xr:uid="{46BD5C5C-656F-4E86-A099-77F55ED131E3}"/>
    <cellStyle name="Decimalen-08 4" xfId="415" xr:uid="{3301B427-4380-45E0-A06D-7582BA6F60B6}"/>
    <cellStyle name="Decimalen-08 4 10" xfId="2185" xr:uid="{2C50FBDE-7817-4183-8A52-2F3C8D0FDBAA}"/>
    <cellStyle name="Decimalen-08 4 10 2" xfId="3068" xr:uid="{D44D2BE2-BF6E-47A2-A1C4-BB6AFD519BA4}"/>
    <cellStyle name="Decimalen-08 4 11" xfId="1851" xr:uid="{7FE68588-BD33-4B03-87F4-3CBD4BBE3BAF}"/>
    <cellStyle name="Decimalen-08 4 11 2" xfId="3042" xr:uid="{766FEE63-DB83-4E4C-91F3-A36D16B1D614}"/>
    <cellStyle name="Decimalen-08 4 12" xfId="4383" xr:uid="{24E93C32-BE92-49D2-A42A-AFC0E39FACF6}"/>
    <cellStyle name="Decimalen-08 4 2" xfId="416" xr:uid="{B592AABF-D3B3-41B6-AD89-391262C72738}"/>
    <cellStyle name="Decimalen-08 4 2 2" xfId="417" xr:uid="{F8862093-C8CF-4FE5-B3C8-98E5893E78D4}"/>
    <cellStyle name="Decimalen-08 4 3" xfId="418" xr:uid="{4479D33B-615E-49C5-B3B5-4F5145332B57}"/>
    <cellStyle name="Decimalen-08 4 4" xfId="419" xr:uid="{DB9FD205-777B-4598-B4DE-D17A223054D3}"/>
    <cellStyle name="Decimalen-08 4 4 2" xfId="420" xr:uid="{C035505D-EF6B-4248-B5F9-C93066E74F83}"/>
    <cellStyle name="Decimalen-08 4 4 3" xfId="1610" xr:uid="{6EBF37EB-618B-4F55-AA6C-DD9337FDAEB4}"/>
    <cellStyle name="Decimalen-08 4 5" xfId="421" xr:uid="{F22A26F7-15A9-4D3C-810C-1775B80A6981}"/>
    <cellStyle name="Decimalen-08 4 5 2" xfId="1258" xr:uid="{F66C22F7-07A0-4EBA-9851-FF88BA0D01EB}"/>
    <cellStyle name="Decimalen-08 4 6" xfId="1157" xr:uid="{CD5809C3-337B-4C1F-A2C6-44556F233881}"/>
    <cellStyle name="Decimalen-08 4 6 2" xfId="1722" xr:uid="{3D6F3F19-A4A3-473E-9B4C-2E41320E6D03}"/>
    <cellStyle name="Decimalen-08 4 6 3" xfId="1700" xr:uid="{011E32BF-1E95-4DE8-A552-ECA92D15C871}"/>
    <cellStyle name="Decimalen-08 4 7" xfId="1086" xr:uid="{79B58FA8-AD7A-4EB3-A576-520B2CD1693C}"/>
    <cellStyle name="Decimalen-08 4 8" xfId="1819" xr:uid="{378B9E53-0785-48F3-AD6E-4BCF89713B0B}"/>
    <cellStyle name="Decimalen-08 4 8 2" xfId="2068" xr:uid="{B440E2E6-A01A-4862-897C-E04FBBE201A6}"/>
    <cellStyle name="Decimalen-08 4 9" xfId="1879" xr:uid="{90EDA9AE-3D27-4D34-B00F-CF41F6F5C894}"/>
    <cellStyle name="Decimalen-08 5" xfId="422" xr:uid="{B2205EAF-15E2-41D0-AB6B-807110D810CF}"/>
    <cellStyle name="Decimalen-08 5 2" xfId="423" xr:uid="{78507743-8C1D-448B-A75A-2A80441811F2}"/>
    <cellStyle name="Decimalen-08 6" xfId="424" xr:uid="{18326272-AEDA-4D9C-B3DF-1EB7C95560BB}"/>
    <cellStyle name="Decimalen-08 6 2" xfId="425" xr:uid="{ECACA28B-A861-4358-A48F-14871C7A2B32}"/>
    <cellStyle name="Decimalen-08 7" xfId="426" xr:uid="{181E0B26-BAAE-4D55-BC68-4AD2DA36B309}"/>
    <cellStyle name="Decimalen-08 7 2" xfId="427" xr:uid="{BB0BB891-C8CB-4077-9C84-B79B435707B4}"/>
    <cellStyle name="Decimalen-08 7 3" xfId="1571" xr:uid="{8FA7900A-4651-470F-B0FE-E9F94035CA2C}"/>
    <cellStyle name="Decimalen-08 8" xfId="428" xr:uid="{91D3C0AE-7952-4DDA-9752-DD70B9F22441}"/>
    <cellStyle name="Decimalen-08 8 2" xfId="1589" xr:uid="{09D7C3C5-8C0B-4F94-AADC-2C5B627D6F47}"/>
    <cellStyle name="Decimalen-08 9" xfId="429" xr:uid="{0CB76B82-FCA1-444B-8CA0-DE08DA427EE4}"/>
    <cellStyle name="Decimalen-08 9 2" xfId="430" xr:uid="{2ADB506E-F1FD-4A7B-ACF9-C2D36BB7B821}"/>
    <cellStyle name="Decimalen-09" xfId="431" xr:uid="{17DFFD48-473A-4FB1-B4FF-6152C3A0A086}"/>
    <cellStyle name="Decimalen-09 10" xfId="1535" xr:uid="{30D8535B-94CC-40DE-859B-F06BFABE6774}"/>
    <cellStyle name="Decimalen-09 10 2" xfId="2144" xr:uid="{301A46FC-8F5E-4844-8AD6-7AEAD6E3D6EF}"/>
    <cellStyle name="Decimalen-09 11" xfId="1680" xr:uid="{AC093FE0-A79F-4F5D-8FEB-27291CCBDAFA}"/>
    <cellStyle name="Decimalen-09 11 2" xfId="2145" xr:uid="{AEB14DF3-00B4-41E2-BF78-A0857A6A85D9}"/>
    <cellStyle name="Decimalen-09 2" xfId="432" xr:uid="{74F1CA3F-A2E0-4896-AC21-2FDAC48E261E}"/>
    <cellStyle name="Decimalen-09 2 2" xfId="433" xr:uid="{84F1F32E-2083-42AF-A352-424FF81AC7D0}"/>
    <cellStyle name="Decimalen-09 2 2 2" xfId="434" xr:uid="{B6E02D2C-B631-4D86-BEA6-455B4D8B7E68}"/>
    <cellStyle name="Decimalen-09 2 3" xfId="435" xr:uid="{07D13836-14CD-44F2-A06C-068C42292115}"/>
    <cellStyle name="Decimalen-09 2 4" xfId="1421" xr:uid="{A91E4C31-0973-4E8F-B06B-5CDA507844CA}"/>
    <cellStyle name="Decimalen-09 3" xfId="436" xr:uid="{0BE3916F-EE44-4462-A55B-D380041F6BDA}"/>
    <cellStyle name="Decimalen-09 3 2" xfId="437" xr:uid="{13ABF17A-77EB-4480-85C9-ACC49CE97F82}"/>
    <cellStyle name="Decimalen-09 3 2 2" xfId="438" xr:uid="{A1CCEDE7-485D-4AA3-9CC3-70CCA339C030}"/>
    <cellStyle name="Decimalen-09 3 3" xfId="439" xr:uid="{8B192B7F-3486-45F6-B580-48491EC8ADC2}"/>
    <cellStyle name="Decimalen-09 3 4" xfId="1444" xr:uid="{64FAF8DB-9196-4350-A46E-E6B61E3508B4}"/>
    <cellStyle name="Decimalen-09 4" xfId="440" xr:uid="{25D35B09-A8BE-4126-B4E5-BBF9CF487B71}"/>
    <cellStyle name="Decimalen-09 4 10" xfId="2186" xr:uid="{A4B5269D-0752-4D42-B16F-1FC93B0F0483}"/>
    <cellStyle name="Decimalen-09 4 10 2" xfId="3069" xr:uid="{3F75023B-C985-47BB-99F8-5990F64A05A7}"/>
    <cellStyle name="Decimalen-09 4 11" xfId="1852" xr:uid="{F4DAB446-EFF4-492C-AACF-B4D2EE1A6A14}"/>
    <cellStyle name="Decimalen-09 4 11 2" xfId="3048" xr:uid="{A4ABF9C9-C2FB-475B-BC37-E750427291B2}"/>
    <cellStyle name="Decimalen-09 4 12" xfId="4384" xr:uid="{A504AD26-F9AE-453C-82D9-789ACCFA21CA}"/>
    <cellStyle name="Decimalen-09 4 2" xfId="441" xr:uid="{F762A0DA-F06E-471E-B384-161FABC9BF21}"/>
    <cellStyle name="Decimalen-09 4 2 2" xfId="442" xr:uid="{CE92569C-01DF-46C8-86E1-F0B2DB8BF344}"/>
    <cellStyle name="Decimalen-09 4 3" xfId="443" xr:uid="{B569C066-2212-47FE-8F71-710BE1A40A48}"/>
    <cellStyle name="Decimalen-09 4 4" xfId="444" xr:uid="{3D6F3096-0053-47DC-8DEA-921A61E34767}"/>
    <cellStyle name="Decimalen-09 4 4 2" xfId="445" xr:uid="{2A5E3A2B-DAFD-4837-A1A7-775041C20215}"/>
    <cellStyle name="Decimalen-09 4 4 3" xfId="1611" xr:uid="{47E6051E-F451-4498-B065-2FEC5A8C029C}"/>
    <cellStyle name="Decimalen-09 4 5" xfId="446" xr:uid="{8D3C1349-8D3C-4D56-BE8A-37ADFB319255}"/>
    <cellStyle name="Decimalen-09 4 5 2" xfId="1259" xr:uid="{ADEE4371-37B5-4B7A-A0C9-A38D9A995DC8}"/>
    <cellStyle name="Decimalen-09 4 6" xfId="1158" xr:uid="{2B85CACF-D0AE-437D-9348-8CFC726470B9}"/>
    <cellStyle name="Decimalen-09 4 6 2" xfId="1723" xr:uid="{33BB87D3-D087-43DA-B7A2-101560B3B225}"/>
    <cellStyle name="Decimalen-09 4 6 3" xfId="1701" xr:uid="{AD6A2F47-C5C6-4260-B99F-435666CF6041}"/>
    <cellStyle name="Decimalen-09 4 7" xfId="1087" xr:uid="{C4AFB183-E3FD-4C9B-B40E-844F6E8559E1}"/>
    <cellStyle name="Decimalen-09 4 8" xfId="1820" xr:uid="{EAD428A2-37FF-4E6B-BE29-C255F7A78E8F}"/>
    <cellStyle name="Decimalen-09 4 8 2" xfId="2069" xr:uid="{4A10D9AC-980E-4926-876E-5B006E314B9C}"/>
    <cellStyle name="Decimalen-09 4 9" xfId="1880" xr:uid="{D209BBA5-7D12-4CBB-98DE-A5443EF5BA24}"/>
    <cellStyle name="Decimalen-09 5" xfId="447" xr:uid="{EB86895B-CB01-412E-8234-174C5D1CEC82}"/>
    <cellStyle name="Decimalen-09 5 2" xfId="448" xr:uid="{240927B1-DA75-42C7-BB5F-5DCC2970B4BB}"/>
    <cellStyle name="Decimalen-09 6" xfId="449" xr:uid="{9D0D8413-0134-42A0-810B-31B6589C8E5E}"/>
    <cellStyle name="Decimalen-09 6 2" xfId="450" xr:uid="{5A1BEED2-AC19-4D20-A17F-C9C2AD5A2F34}"/>
    <cellStyle name="Decimalen-09 7" xfId="451" xr:uid="{E537E85F-E1D0-45A7-BD73-F627F779FE59}"/>
    <cellStyle name="Decimalen-09 7 2" xfId="452" xr:uid="{1B7CC803-E037-4304-8D87-0F609F98645F}"/>
    <cellStyle name="Decimalen-09 7 3" xfId="1572" xr:uid="{BFA4AA46-A56B-42F7-BAA9-72625F803AB0}"/>
    <cellStyle name="Decimalen-09 8" xfId="453" xr:uid="{B2D40C35-4B6F-4EF0-949E-76703EEC13E2}"/>
    <cellStyle name="Decimalen-09 8 2" xfId="1590" xr:uid="{65A2BB50-1E6B-4E8C-9536-07071B106C60}"/>
    <cellStyle name="Decimalen-09 9" xfId="454" xr:uid="{8750CF18-29C9-4ED7-8565-52C88C84D0A1}"/>
    <cellStyle name="Decimalen-09 9 2" xfId="455" xr:uid="{6AEE2CF1-41C3-4326-B3D3-F4FA8B01EAA3}"/>
    <cellStyle name="Decimalen-10" xfId="456" xr:uid="{824D70C4-D65F-4D78-841E-A0D90B454E5F}"/>
    <cellStyle name="Decimalen-10 10" xfId="1531" xr:uid="{0E43DC29-5522-4581-A7A6-502A3C917D4D}"/>
    <cellStyle name="Decimalen-10 10 2" xfId="2146" xr:uid="{2D3F93F1-16B4-4632-8C76-82D52A72D18D}"/>
    <cellStyle name="Decimalen-10 11" xfId="1681" xr:uid="{A9B021F2-742C-47CA-935B-AB0104788101}"/>
    <cellStyle name="Decimalen-10 11 2" xfId="2147" xr:uid="{1DD85EC8-EBCA-45C3-95FB-0779EE33312E}"/>
    <cellStyle name="Decimalen-10 2" xfId="457" xr:uid="{C33B1CC0-5584-4329-9200-B26A1391BE25}"/>
    <cellStyle name="Decimalen-10 2 2" xfId="458" xr:uid="{9E8AC151-AD53-499F-A606-0AAFB470AC1C}"/>
    <cellStyle name="Decimalen-10 2 2 2" xfId="459" xr:uid="{783CEF4F-3EAC-4157-A294-85BEA2D0DE9F}"/>
    <cellStyle name="Decimalen-10 2 3" xfId="460" xr:uid="{54933A66-8F12-47A2-8B3B-ACDE6BB0CF21}"/>
    <cellStyle name="Decimalen-10 2 4" xfId="1422" xr:uid="{4093349D-E237-44F7-926A-717B4F1807D7}"/>
    <cellStyle name="Decimalen-10 3" xfId="461" xr:uid="{44FD9D56-B583-462E-A8C6-21D154F9EE36}"/>
    <cellStyle name="Decimalen-10 3 2" xfId="462" xr:uid="{7AB40026-B033-4437-9964-58CF9F7EC4B3}"/>
    <cellStyle name="Decimalen-10 3 2 2" xfId="463" xr:uid="{DCE5B3DA-26B3-4D69-AD4E-D27E44B2D267}"/>
    <cellStyle name="Decimalen-10 3 3" xfId="464" xr:uid="{80C76719-1AEA-409D-B81A-A16DE281F029}"/>
    <cellStyle name="Decimalen-10 3 4" xfId="1445" xr:uid="{B2EED881-02FE-46DB-A08D-3D8B23F43CB3}"/>
    <cellStyle name="Decimalen-10 4" xfId="465" xr:uid="{AA1113E0-3947-4CD4-9B4B-C98FC8BE7DBF}"/>
    <cellStyle name="Decimalen-10 4 10" xfId="2187" xr:uid="{4D395D21-FCED-466F-BD38-52A9B7E652D2}"/>
    <cellStyle name="Decimalen-10 4 10 2" xfId="3070" xr:uid="{F3AE5B65-9F64-4DF6-B0C1-437BA84412EA}"/>
    <cellStyle name="Decimalen-10 4 11" xfId="1853" xr:uid="{28624FC8-D063-4F46-B52A-9EC060811AC7}"/>
    <cellStyle name="Decimalen-10 4 11 2" xfId="3040" xr:uid="{B2E0846A-76E3-46AE-ABA1-BE441F760BF5}"/>
    <cellStyle name="Decimalen-10 4 12" xfId="4385" xr:uid="{F622AB94-3BCA-417F-B0D9-9312916D759C}"/>
    <cellStyle name="Decimalen-10 4 2" xfId="466" xr:uid="{4939803C-45AF-4B4F-A810-196BBED36E5E}"/>
    <cellStyle name="Decimalen-10 4 2 2" xfId="467" xr:uid="{A2AB3216-D11E-4F2A-91E8-2C4AAEA47A92}"/>
    <cellStyle name="Decimalen-10 4 3" xfId="468" xr:uid="{89BA18DC-4A0B-43E8-A9BB-C1F9E7A17757}"/>
    <cellStyle name="Decimalen-10 4 4" xfId="469" xr:uid="{250EFFCB-23F1-4232-B6D9-B21E44FA64D2}"/>
    <cellStyle name="Decimalen-10 4 4 2" xfId="470" xr:uid="{B0179492-7475-49C5-A555-2D0490848010}"/>
    <cellStyle name="Decimalen-10 4 4 3" xfId="1612" xr:uid="{5DD2551D-75DB-4CAF-924E-D03503CB677C}"/>
    <cellStyle name="Decimalen-10 4 5" xfId="471" xr:uid="{EB340030-2FA0-4186-B6C3-4FF9A9D08B82}"/>
    <cellStyle name="Decimalen-10 4 5 2" xfId="1260" xr:uid="{EC19752C-8D09-4D5A-AA43-8E0774F5F799}"/>
    <cellStyle name="Decimalen-10 4 6" xfId="1159" xr:uid="{12848AEF-91B2-4820-9B96-D377D88022C8}"/>
    <cellStyle name="Decimalen-10 4 6 2" xfId="1724" xr:uid="{C704E697-3252-4318-8367-76B11C549F5F}"/>
    <cellStyle name="Decimalen-10 4 6 3" xfId="1702" xr:uid="{B9CF611A-089B-4273-91DB-4D2E79D7085F}"/>
    <cellStyle name="Decimalen-10 4 7" xfId="1088" xr:uid="{B8EC972B-13D3-4BE0-9B74-8D2FF2D1B8C5}"/>
    <cellStyle name="Decimalen-10 4 8" xfId="1821" xr:uid="{8CA58AC7-39F6-4EDB-BE33-18EC6DF2D919}"/>
    <cellStyle name="Decimalen-10 4 8 2" xfId="2070" xr:uid="{67CCEEEC-9C75-491A-8D08-0260E7E170AC}"/>
    <cellStyle name="Decimalen-10 4 9" xfId="1881" xr:uid="{FB715A59-420D-419A-90FE-759785F0C18B}"/>
    <cellStyle name="Decimalen-10 5" xfId="472" xr:uid="{24C5950D-E2B1-4C92-BE54-CFC8C235BC50}"/>
    <cellStyle name="Decimalen-10 5 2" xfId="473" xr:uid="{BCDD67E4-BE99-4DE5-B721-4E2C9ECA90FC}"/>
    <cellStyle name="Decimalen-10 6" xfId="474" xr:uid="{CFAA5BCB-39A5-43F2-ACCF-1413216F7F6C}"/>
    <cellStyle name="Decimalen-10 6 2" xfId="475" xr:uid="{81792ABA-FF91-48BD-BDA8-A3ADDD41197D}"/>
    <cellStyle name="Decimalen-10 7" xfId="476" xr:uid="{7BB1BAF5-840D-4EC2-BA5B-556748C37543}"/>
    <cellStyle name="Decimalen-10 7 2" xfId="477" xr:uid="{6B92CE79-6E2F-4ABC-A487-1989C24A7B82}"/>
    <cellStyle name="Decimalen-10 7 3" xfId="1573" xr:uid="{B64D3E52-D95E-4C8A-9FBE-6DA151C0AB8C}"/>
    <cellStyle name="Decimalen-10 8" xfId="478" xr:uid="{7D5F4AB6-D4BA-4DBB-88E6-BB1EA410E373}"/>
    <cellStyle name="Decimalen-10 8 2" xfId="1591" xr:uid="{41927103-2A9C-4CA4-B61C-53C54A0E737A}"/>
    <cellStyle name="Decimalen-10 9" xfId="479" xr:uid="{FA51E9E7-A507-4122-844F-14F07147570A}"/>
    <cellStyle name="Decimalen-10 9 2" xfId="480" xr:uid="{E2100564-EBF4-475E-A7F6-7772DE2E95AD}"/>
    <cellStyle name="Decimalen-11" xfId="481" xr:uid="{FFEC3F52-E27F-4873-A0EB-3579CD1CBD6A}"/>
    <cellStyle name="Decimalen-11 10" xfId="1530" xr:uid="{D0A6318D-1D85-4414-A318-B9F7FEBDE1CD}"/>
    <cellStyle name="Decimalen-11 10 2" xfId="2148" xr:uid="{8F0A819E-4622-4D69-84D2-CBC472C59CF6}"/>
    <cellStyle name="Decimalen-11 11" xfId="1682" xr:uid="{03CB26A5-C0EB-4843-B50D-E36553358C49}"/>
    <cellStyle name="Decimalen-11 11 2" xfId="2149" xr:uid="{7499DDE7-7495-4CB6-AF53-ADD72BEC73B9}"/>
    <cellStyle name="Decimalen-11 2" xfId="482" xr:uid="{8BE3FE9E-6A85-4536-8197-5B418F41BBE4}"/>
    <cellStyle name="Decimalen-11 2 2" xfId="483" xr:uid="{DEE676B4-BB20-45B7-A0E4-6F021EFD26F4}"/>
    <cellStyle name="Decimalen-11 2 2 2" xfId="484" xr:uid="{AEA6552F-88A3-49CC-9793-A4A12623AD69}"/>
    <cellStyle name="Decimalen-11 2 3" xfId="485" xr:uid="{3EEE2987-8CF3-4C45-9516-696861197A8A}"/>
    <cellStyle name="Decimalen-11 2 4" xfId="1423" xr:uid="{FE89295D-D108-484D-A103-6943C308512C}"/>
    <cellStyle name="Decimalen-11 3" xfId="486" xr:uid="{A541E7F1-3586-4BFD-8F86-17472B295FCB}"/>
    <cellStyle name="Decimalen-11 3 2" xfId="487" xr:uid="{D11460FA-68E2-46C4-969B-0D1269F963E9}"/>
    <cellStyle name="Decimalen-11 3 2 2" xfId="488" xr:uid="{88F0095B-7183-4235-BA5F-D9E595AE7274}"/>
    <cellStyle name="Decimalen-11 3 3" xfId="489" xr:uid="{7C56A55F-910E-4F4A-8739-CB2797BB71B3}"/>
    <cellStyle name="Decimalen-11 3 4" xfId="1446" xr:uid="{8B529991-2435-4FFF-A41C-B558FE7877D4}"/>
    <cellStyle name="Decimalen-11 4" xfId="490" xr:uid="{25130036-9B44-4AAA-8209-191108ECAD66}"/>
    <cellStyle name="Decimalen-11 4 10" xfId="2188" xr:uid="{B70129B9-9845-451E-9927-5101DA066359}"/>
    <cellStyle name="Decimalen-11 4 10 2" xfId="3071" xr:uid="{3A68D989-0866-4108-B6DB-E7CCD83A002C}"/>
    <cellStyle name="Decimalen-11 4 11" xfId="1854" xr:uid="{CEDD21CE-6CE0-443C-B05F-4FE769CD348D}"/>
    <cellStyle name="Decimalen-11 4 11 2" xfId="3036" xr:uid="{16A5DF33-A8E8-4F7C-B527-2AAF97B7F5E0}"/>
    <cellStyle name="Decimalen-11 4 12" xfId="4386" xr:uid="{42A37E2F-48DE-44B1-BCA6-221C89C3283D}"/>
    <cellStyle name="Decimalen-11 4 2" xfId="491" xr:uid="{B26AAE0F-22A1-4A41-A358-F4231107CAAD}"/>
    <cellStyle name="Decimalen-11 4 2 2" xfId="492" xr:uid="{A32BE72F-DC14-4B68-99B7-B6D82D734A8F}"/>
    <cellStyle name="Decimalen-11 4 3" xfId="493" xr:uid="{0770C635-F937-4DE4-A2E2-FE09200B8412}"/>
    <cellStyle name="Decimalen-11 4 4" xfId="494" xr:uid="{199C4C29-E9FD-49BB-B1BF-7E02E3EDFBA1}"/>
    <cellStyle name="Decimalen-11 4 4 2" xfId="495" xr:uid="{6A7C4274-97C0-447F-8A0B-E471FB1D4FB8}"/>
    <cellStyle name="Decimalen-11 4 4 3" xfId="1613" xr:uid="{3E366113-A7CE-45E8-978E-78FE791A5172}"/>
    <cellStyle name="Decimalen-11 4 5" xfId="496" xr:uid="{F8395E95-A0F8-41EA-8BCC-ED104FAA7C1F}"/>
    <cellStyle name="Decimalen-11 4 5 2" xfId="1261" xr:uid="{37B72A63-529B-423E-9ADB-712166646DF5}"/>
    <cellStyle name="Decimalen-11 4 6" xfId="1160" xr:uid="{22A02766-08F9-4D16-9501-D868F4A342F1}"/>
    <cellStyle name="Decimalen-11 4 6 2" xfId="1725" xr:uid="{E88EFB47-0DA7-4A40-98C7-AFA1D574673D}"/>
    <cellStyle name="Decimalen-11 4 6 3" xfId="1703" xr:uid="{05823752-37EE-432D-A2A7-F13C2804DB2C}"/>
    <cellStyle name="Decimalen-11 4 7" xfId="1089" xr:uid="{071CD10E-4CE5-402E-9026-C4ECCC9B082D}"/>
    <cellStyle name="Decimalen-11 4 8" xfId="1822" xr:uid="{A4A5B5AE-DF72-47E8-80AE-A59BFD5BB31E}"/>
    <cellStyle name="Decimalen-11 4 8 2" xfId="2071" xr:uid="{F8296B75-3737-40C6-95AA-6402E77A3447}"/>
    <cellStyle name="Decimalen-11 4 9" xfId="1882" xr:uid="{68FE8C29-BF5F-4B58-A55F-2CC17C13DD9F}"/>
    <cellStyle name="Decimalen-11 5" xfId="497" xr:uid="{BC4B6A70-F276-4B9C-B818-73710C46751E}"/>
    <cellStyle name="Decimalen-11 5 2" xfId="498" xr:uid="{BE8E9923-FE09-4E3F-A208-6A5CE49CEDBA}"/>
    <cellStyle name="Decimalen-11 6" xfId="499" xr:uid="{E17A8028-DECD-46ED-990D-2A4A3D37E2B3}"/>
    <cellStyle name="Decimalen-11 6 2" xfId="500" xr:uid="{DE94D86D-8967-4328-86E3-93D962030FBB}"/>
    <cellStyle name="Decimalen-11 7" xfId="501" xr:uid="{5B6B3B34-FC5D-4812-B09B-4BE1B2FE21CD}"/>
    <cellStyle name="Decimalen-11 7 2" xfId="502" xr:uid="{BAED0651-D4C2-4BC1-BB25-1A1A7261FA55}"/>
    <cellStyle name="Decimalen-11 7 3" xfId="1574" xr:uid="{C2A07F2E-3E07-485E-96BF-E3B67B300394}"/>
    <cellStyle name="Decimalen-11 8" xfId="503" xr:uid="{BFC96802-EF7E-40A1-8D81-366D616FF989}"/>
    <cellStyle name="Decimalen-11 8 2" xfId="1592" xr:uid="{0D563D11-0068-4323-8A9E-01B68C4D8345}"/>
    <cellStyle name="Decimalen-11 9" xfId="504" xr:uid="{10DB3DC1-AA07-417B-9675-E9E9C6BB32C9}"/>
    <cellStyle name="Decimalen-11 9 2" xfId="505" xr:uid="{92330053-39DF-4D20-AF84-931E2E39CEF3}"/>
    <cellStyle name="Decimalen-12" xfId="506" xr:uid="{10120FE5-3BA1-42C2-AD59-2B7144989B77}"/>
    <cellStyle name="Decimalen-12 10" xfId="1538" xr:uid="{121EBC2E-5220-4999-AA9E-7B8E21AFCD38}"/>
    <cellStyle name="Decimalen-12 10 2" xfId="2150" xr:uid="{94417CDB-31A0-4BA9-8483-619A8892C63D}"/>
    <cellStyle name="Decimalen-12 11" xfId="1683" xr:uid="{AF4030CF-34C2-4130-98DE-200F054113B2}"/>
    <cellStyle name="Decimalen-12 11 2" xfId="2151" xr:uid="{10456A35-7154-4191-81B6-FC2009EA53DC}"/>
    <cellStyle name="Decimalen-12 2" xfId="507" xr:uid="{EA274AB0-DF49-4EE3-BFF2-6941E6C55AB3}"/>
    <cellStyle name="Decimalen-12 2 2" xfId="508" xr:uid="{A580E10E-0615-41DF-AA0B-8F45CC862D78}"/>
    <cellStyle name="Decimalen-12 2 2 2" xfId="509" xr:uid="{44D9624B-D309-44BA-B975-0DAEC53CF577}"/>
    <cellStyle name="Decimalen-12 2 3" xfId="510" xr:uid="{480438C9-B270-450D-8267-12F1765A84A6}"/>
    <cellStyle name="Decimalen-12 2 4" xfId="1424" xr:uid="{A8BD9E38-3C37-4BFB-9C5C-04229F4D9562}"/>
    <cellStyle name="Decimalen-12 3" xfId="511" xr:uid="{2EAF3841-C3CB-4DC3-9C05-7E56B464BC69}"/>
    <cellStyle name="Decimalen-12 3 2" xfId="512" xr:uid="{9572B4A5-F56C-400D-AB92-BAD4CC827BB5}"/>
    <cellStyle name="Decimalen-12 3 2 2" xfId="513" xr:uid="{9E6910A1-35A5-4B24-969E-216947100CC2}"/>
    <cellStyle name="Decimalen-12 3 3" xfId="514" xr:uid="{30D8C8A3-03C1-499C-B3C1-9BAC7759E2AC}"/>
    <cellStyle name="Decimalen-12 3 4" xfId="1447" xr:uid="{52198DA2-1446-4261-A16E-128199F901A0}"/>
    <cellStyle name="Decimalen-12 4" xfId="515" xr:uid="{FA9DCF4E-D9D4-4B90-BF4C-F0A29BC6E131}"/>
    <cellStyle name="Decimalen-12 4 10" xfId="2189" xr:uid="{BD4FEA8E-C1E3-4BE1-AB46-EC4CEA073FE0}"/>
    <cellStyle name="Decimalen-12 4 10 2" xfId="3072" xr:uid="{CEFE53A7-B9B0-48C8-9C5A-BDC64BE43E15}"/>
    <cellStyle name="Decimalen-12 4 11" xfId="1855" xr:uid="{F1F297C3-462B-4222-B939-39A730203F20}"/>
    <cellStyle name="Decimalen-12 4 11 2" xfId="3031" xr:uid="{1F0CD1B0-8BDA-43FC-9A0F-F0E95B5C8D78}"/>
    <cellStyle name="Decimalen-12 4 12" xfId="4387" xr:uid="{2DD9AB85-A315-402E-AD32-9BEE759B9F4E}"/>
    <cellStyle name="Decimalen-12 4 2" xfId="516" xr:uid="{3C763286-1064-448A-8850-25E59A572176}"/>
    <cellStyle name="Decimalen-12 4 2 2" xfId="517" xr:uid="{D10D7F94-1BC0-4255-A877-2E2416700299}"/>
    <cellStyle name="Decimalen-12 4 3" xfId="518" xr:uid="{66D458D8-792A-4ED8-97CE-C19C24CCA6AA}"/>
    <cellStyle name="Decimalen-12 4 4" xfId="519" xr:uid="{F117535F-246F-44C4-AD6B-3DA18DC6C561}"/>
    <cellStyle name="Decimalen-12 4 4 2" xfId="520" xr:uid="{58D6B9DC-D1CB-43DA-8465-DC94877C1B63}"/>
    <cellStyle name="Decimalen-12 4 4 3" xfId="1614" xr:uid="{2CD2468F-9236-4F96-AB0E-41193AF68D54}"/>
    <cellStyle name="Decimalen-12 4 5" xfId="521" xr:uid="{3FA8D04B-C104-4F12-9463-CEACA6CF348B}"/>
    <cellStyle name="Decimalen-12 4 5 2" xfId="1262" xr:uid="{B49E5114-C463-437A-9740-BBD0C9FED027}"/>
    <cellStyle name="Decimalen-12 4 6" xfId="1161" xr:uid="{DE7FB34D-9881-4F72-9F69-A1A4A1C2FB65}"/>
    <cellStyle name="Decimalen-12 4 6 2" xfId="1726" xr:uid="{4065469F-9847-4553-97DA-8FC5E503E8B5}"/>
    <cellStyle name="Decimalen-12 4 6 3" xfId="1704" xr:uid="{9587046F-FE7E-4B3A-A05B-7462A07A6025}"/>
    <cellStyle name="Decimalen-12 4 7" xfId="1090" xr:uid="{45971A36-018E-46B5-BB56-B222DA3FAADA}"/>
    <cellStyle name="Decimalen-12 4 8" xfId="1823" xr:uid="{0C246E98-7DC8-4EE7-95F3-B7C538DC91A0}"/>
    <cellStyle name="Decimalen-12 4 8 2" xfId="2072" xr:uid="{16EF1B62-DA0E-4747-88E4-7444F4BB49D6}"/>
    <cellStyle name="Decimalen-12 4 9" xfId="1883" xr:uid="{731EBA8A-551D-4DE4-AB20-B71BB010E538}"/>
    <cellStyle name="Decimalen-12 5" xfId="522" xr:uid="{6876D326-C23F-427F-97C8-85E7D7214172}"/>
    <cellStyle name="Decimalen-12 5 2" xfId="523" xr:uid="{9DA03170-1221-4AD6-AD74-859E6C16A172}"/>
    <cellStyle name="Decimalen-12 6" xfId="524" xr:uid="{AC69B4EB-FB57-431F-BFE5-756D50C1C777}"/>
    <cellStyle name="Decimalen-12 6 2" xfId="525" xr:uid="{AE7A3863-796A-4520-9E2D-EE742E7062B6}"/>
    <cellStyle name="Decimalen-12 7" xfId="526" xr:uid="{1B2CD87D-4CE6-4A31-8F41-478D09CF1DA9}"/>
    <cellStyle name="Decimalen-12 7 2" xfId="527" xr:uid="{42DBD3D3-2136-40C4-826F-D554E00C5C9B}"/>
    <cellStyle name="Decimalen-12 7 3" xfId="1575" xr:uid="{28A38996-4AE1-4D38-A5CB-5FDBD911117E}"/>
    <cellStyle name="Decimalen-12 8" xfId="528" xr:uid="{E525CB3A-8139-4056-8F2B-FBE0E8C1FE0A}"/>
    <cellStyle name="Decimalen-12 8 2" xfId="1593" xr:uid="{72BF7B27-3338-4DEB-8245-25A70175B708}"/>
    <cellStyle name="Decimalen-12 9" xfId="529" xr:uid="{5ED41586-6E4E-4791-94F4-8FE88CC165C7}"/>
    <cellStyle name="Decimalen-12 9 2" xfId="530" xr:uid="{B015FDB8-87BA-4FF8-B76C-CCFC43119140}"/>
    <cellStyle name="Department" xfId="531" xr:uid="{64EB33E6-D385-4AFD-B51C-12C5CF596150}"/>
    <cellStyle name="DeptTotalEur" xfId="532" xr:uid="{A2131F53-D694-413B-A503-08B8B17A5826}"/>
    <cellStyle name="DeptTotalZero" xfId="533" xr:uid="{635C92FE-C202-4B80-8ECB-8EECD4631D62}"/>
    <cellStyle name="Explanatory Text" xfId="930" builtinId="53" customBuiltin="1"/>
    <cellStyle name="Explanatory Text 2" xfId="1280" xr:uid="{C93BAEB9-F1D7-49D3-8160-0D5F80DE8F07}"/>
    <cellStyle name="Good" xfId="920" builtinId="26" customBuiltin="1"/>
    <cellStyle name="Good 2" xfId="1281" xr:uid="{ADC36AB1-587A-4281-83D0-D3EE935236D7}"/>
    <cellStyle name="Header" xfId="534" xr:uid="{90BDF1CD-1876-4FE7-913B-B83AF741F3F4}"/>
    <cellStyle name="Header 10" xfId="535" xr:uid="{8A952A97-9698-47EE-AAA1-6FDE0229B2AB}"/>
    <cellStyle name="Header 11" xfId="536" xr:uid="{6947EB92-3C21-4E11-B1DA-B95C0AB31592}"/>
    <cellStyle name="Header 11 2" xfId="537" xr:uid="{F3B6BD0F-05C3-4E3D-978B-3E2B285E3D21}"/>
    <cellStyle name="Header 12" xfId="538" xr:uid="{18CF0C2A-A32C-40B6-9AB1-F788DCABC325}"/>
    <cellStyle name="Header 12 2" xfId="539" xr:uid="{68DBC5F1-DBF7-4FCC-965E-A0ABAA6A6CBE}"/>
    <cellStyle name="Header 13" xfId="540" xr:uid="{C16BC7D6-447E-45E7-A841-B927821D8CB9}"/>
    <cellStyle name="Header 13 2" xfId="541" xr:uid="{92C87B49-D2C9-4E04-BCD0-C466EB4B0EA4}"/>
    <cellStyle name="Header 14" xfId="542" xr:uid="{F6F238B2-EBAB-40D8-98C5-39E67870103E}"/>
    <cellStyle name="Header 14 2" xfId="543" xr:uid="{83764A2E-3DC1-4668-BD52-BB0A0ED065A1}"/>
    <cellStyle name="Header 15" xfId="544" xr:uid="{84517F79-1DC0-4C70-997B-96AE045C6736}"/>
    <cellStyle name="Header 15 2" xfId="545" xr:uid="{E2FC4F18-4592-472D-A786-C582785FC300}"/>
    <cellStyle name="Header 16" xfId="546" xr:uid="{A24A2388-F8E4-43C4-B0DE-8EC9DD55DEA3}"/>
    <cellStyle name="Header 16 2" xfId="547" xr:uid="{B7A6CDD3-B3C8-44E4-BBD7-81FDAB9DE195}"/>
    <cellStyle name="Header 17" xfId="548" xr:uid="{006065DB-2BD3-4163-93A1-07BF2B8D7F61}"/>
    <cellStyle name="Header 17 2" xfId="549" xr:uid="{729F421C-01B9-4E0F-8364-7B89691DBCA5}"/>
    <cellStyle name="Header 17 3" xfId="1556" xr:uid="{417B50C7-FFF4-4E04-B0D3-F62738A1D48C}"/>
    <cellStyle name="Header 18" xfId="550" xr:uid="{4BD46B4C-CF7C-4252-A01E-BCF09D1D588A}"/>
    <cellStyle name="Header 18 2" xfId="551" xr:uid="{9E1A100B-53F5-4DAD-9C6B-A2D734A00EA7}"/>
    <cellStyle name="Header 18 3" xfId="1562" xr:uid="{CA731947-F3A6-444F-906D-89B671CA3946}"/>
    <cellStyle name="Header 19" xfId="552" xr:uid="{D3162FE9-07C6-411A-9D2C-A2138FA08453}"/>
    <cellStyle name="Header 19 2" xfId="1577" xr:uid="{7F55D835-C593-4554-9830-F5495B061601}"/>
    <cellStyle name="Header 2" xfId="553" xr:uid="{83E05516-7348-4DE6-9512-B46322D5F143}"/>
    <cellStyle name="Header 2 2" xfId="554" xr:uid="{E90E38DC-D582-4392-B63E-8F44EF897432}"/>
    <cellStyle name="Header 2 2 2" xfId="555" xr:uid="{2D0CA25B-06D4-4444-A264-4427EEBDF7C5}"/>
    <cellStyle name="Header 2 3" xfId="556" xr:uid="{DFF2AE8D-3ADA-490F-A9C4-E205AFA836F4}"/>
    <cellStyle name="Header 2 3 2" xfId="1469" xr:uid="{42E4134A-EBAE-41FD-884F-F275F441ACEB}"/>
    <cellStyle name="Header 2 3 3" xfId="1426" xr:uid="{2DAF7475-B3D3-4ADB-9CDC-6ABFB715DA0D}"/>
    <cellStyle name="Header 2 4" xfId="557" xr:uid="{1BDA99A0-CB71-464D-9A6D-C63768856288}"/>
    <cellStyle name="Header 2 4 2" xfId="558" xr:uid="{6CEFB92A-7038-40B4-85DF-5E0C3F3C121C}"/>
    <cellStyle name="Header 2 4 3" xfId="1404" xr:uid="{AD51BC1A-0C64-4154-B914-EFDA5FF00708}"/>
    <cellStyle name="Header 2 5" xfId="559" xr:uid="{738AFDAE-1B6D-4329-9CBD-CCFC98F18090}"/>
    <cellStyle name="Header 2 6" xfId="1068" xr:uid="{425D52B3-50F0-49B7-B672-C2B464DE14F0}"/>
    <cellStyle name="Header 20" xfId="560" xr:uid="{89BC59ED-B664-4C06-8009-717E979BEDB0}"/>
    <cellStyle name="Header 20 2" xfId="561" xr:uid="{9A3EEB2C-4CF4-4EE5-AD36-C788E3F09CBC}"/>
    <cellStyle name="Header 21" xfId="562" xr:uid="{2789D98B-9C07-4A02-A64C-583E817C4856}"/>
    <cellStyle name="Header 21 2" xfId="563" xr:uid="{48A1883C-9D35-463F-87BD-D849E880B35B}"/>
    <cellStyle name="Header 22" xfId="564" xr:uid="{EF5A7D85-AC6E-4D01-8B62-8F067B4A9C01}"/>
    <cellStyle name="Header 22 2" xfId="1238" xr:uid="{7A4E07A2-7FB7-4A9B-916C-AEEF0DA3CD18}"/>
    <cellStyle name="Header 23" xfId="565" xr:uid="{706E4655-1824-4558-A82B-EE0B75094B5F}"/>
    <cellStyle name="Header 23 2" xfId="1792" xr:uid="{5A8A413A-7F79-4C2F-90C2-31AB32741AED}"/>
    <cellStyle name="Header 23 3" xfId="1239" xr:uid="{D719D3A0-7B68-4DC9-818A-641E881FDC51}"/>
    <cellStyle name="Header 24" xfId="566" xr:uid="{4262CE23-60F8-4211-9A68-2B08531FD4D0}"/>
    <cellStyle name="Header 24 2" xfId="1795" xr:uid="{D418E16D-4F6A-4DA2-B123-06E1C2639241}"/>
    <cellStyle name="Header 24 3" xfId="1537" xr:uid="{6A34C8E7-2AFB-4EC4-A4C3-83343A0D37F3}"/>
    <cellStyle name="Header 24 4" xfId="1242" xr:uid="{8D87AF52-0064-415C-8AFA-1A11F258D2B0}"/>
    <cellStyle name="Header 25" xfId="567" xr:uid="{762C9BFF-24A4-4D55-8A37-0051A4D00212}"/>
    <cellStyle name="Header 25 2" xfId="1802" xr:uid="{EA4ECAC0-D21C-405B-9A1A-19B4A54D51C7}"/>
    <cellStyle name="Header 25 3" xfId="1670" xr:uid="{5577F7A3-AA8E-4805-B8CD-84792CC6F7A3}"/>
    <cellStyle name="Header 25 4" xfId="1267" xr:uid="{0FF025A4-FF85-431F-9F6C-0E986C911986}"/>
    <cellStyle name="Header 26" xfId="1827" xr:uid="{496F681E-8E22-409D-A05F-D4C89C438DF9}"/>
    <cellStyle name="Header 26 2" xfId="2076" xr:uid="{D8CF97A4-C8AD-4112-8EED-80D4F1D34925}"/>
    <cellStyle name="Header 26 2 2" xfId="3053" xr:uid="{2A618A0E-8355-48F2-9628-50D0032CBDE0}"/>
    <cellStyle name="Header 26 3" xfId="2582" xr:uid="{C16DD839-68BB-4975-BD56-A7E36975DE4C}"/>
    <cellStyle name="Header 27" xfId="1835" xr:uid="{E2077EEE-BE35-42BE-A0EB-13AC149082FE}"/>
    <cellStyle name="Header 27 2" xfId="1870" xr:uid="{4CB3A55B-7874-4D27-9962-398309E2C29A}"/>
    <cellStyle name="Header 27 2 2" xfId="3046" xr:uid="{5996777D-38B2-474E-8A72-9A567CEB1881}"/>
    <cellStyle name="Header 27 3" xfId="2589" xr:uid="{3AC2C737-11BD-4689-B1AD-DEE3D87CF000}"/>
    <cellStyle name="Header 27 3 2" xfId="3081" xr:uid="{C8405AFB-E462-4081-963F-AFFC3A361AB7}"/>
    <cellStyle name="Header 27 4" xfId="3039" xr:uid="{305EB9B9-7760-4481-9F22-040F55CB3D4F}"/>
    <cellStyle name="Header 3" xfId="568" xr:uid="{5A59C6FB-4787-4F40-B7A1-F60E4C207F5B}"/>
    <cellStyle name="Header 3 2" xfId="569" xr:uid="{7590AD4D-5533-40D2-966A-62496A9F7FC6}"/>
    <cellStyle name="Header 3 3" xfId="570" xr:uid="{6C8C5BF3-6BB9-47CC-887B-4BD913CCD51E}"/>
    <cellStyle name="Header 3 3 2" xfId="571" xr:uid="{9A06E5BD-309B-46CE-8478-373B3EBFA37D}"/>
    <cellStyle name="Header 4" xfId="572" xr:uid="{399FA237-1D37-4B95-AE6C-D27B2F47F40A}"/>
    <cellStyle name="Header 4 2" xfId="573" xr:uid="{4DA555E9-9AB6-47A4-8F2C-71D9CD8C5C24}"/>
    <cellStyle name="Header 4 2 2" xfId="1470" xr:uid="{DF2D359C-6146-42F3-A435-33F7D07161C0}"/>
    <cellStyle name="Header 4 2 3" xfId="1448" xr:uid="{264718AF-2AEF-46E5-BF04-6CE5D8B74A87}"/>
    <cellStyle name="Header 4 3" xfId="574" xr:uid="{27D253CE-7D82-4121-A75F-BBC569242105}"/>
    <cellStyle name="Header 4 3 2" xfId="575" xr:uid="{F3C95499-2F83-4B7E-84F4-F5AEA7D4D56E}"/>
    <cellStyle name="Header 4 4" xfId="576" xr:uid="{595BD1A7-F8E1-4F74-AC4C-68A441AF4D6C}"/>
    <cellStyle name="Header 4 5" xfId="1066" xr:uid="{ED9FD9A1-D163-458B-8724-0259492264E3}"/>
    <cellStyle name="Header 5" xfId="577" xr:uid="{E1D2B44B-0839-4F21-B2DF-F1AEF08CD5F9}"/>
    <cellStyle name="Header 5 2" xfId="578" xr:uid="{27289A37-0C81-4B3F-88D0-915704E30950}"/>
    <cellStyle name="Header 5 2 2" xfId="579" xr:uid="{7558C737-1245-4BA9-A344-050CE854B250}"/>
    <cellStyle name="Header 5 2 3" xfId="1409" xr:uid="{DAED5752-E228-4C30-B5ED-3D1B05F58653}"/>
    <cellStyle name="Header 5 2 4" xfId="4388" xr:uid="{63B10A9D-F22D-479A-82D1-62C61F292805}"/>
    <cellStyle name="Header 5 3" xfId="580" xr:uid="{A8EAEC33-BD4F-4C9E-AC97-D1032084CF35}"/>
    <cellStyle name="Header 5 4" xfId="581" xr:uid="{91F18984-D3B1-4618-A730-EFD8A4E17D14}"/>
    <cellStyle name="Header 5 5" xfId="582" xr:uid="{5B870B94-3287-4C38-BF6C-A18DD31CF944}"/>
    <cellStyle name="Header 5 6" xfId="583" xr:uid="{091563E0-4B05-4B19-B75E-D98A416699AB}"/>
    <cellStyle name="Header 5 7" xfId="1097" xr:uid="{1A3C00D3-7E65-4F56-A52A-E74089B7B92C}"/>
    <cellStyle name="Header 5 8" xfId="1861" xr:uid="{C6DC0034-9AA0-4EFA-A55E-A89B685D5483}"/>
    <cellStyle name="Header 6" xfId="584" xr:uid="{BD5A8660-3DE2-4F5F-85CD-B2532E8D4325}"/>
    <cellStyle name="Header 6 10" xfId="4389" xr:uid="{3F18C47A-526B-4467-BF4F-97D1280C2BFA}"/>
    <cellStyle name="Header 6 2" xfId="585" xr:uid="{081A8331-598C-42C1-8515-3FD85ADE57B4}"/>
    <cellStyle name="Header 6 2 2" xfId="586" xr:uid="{97E12D36-5B86-4AB6-8432-0E77EE4D0E3A}"/>
    <cellStyle name="Header 6 3" xfId="587" xr:uid="{13CD6ED0-2C91-4D30-9519-8C69B8C1EDA8}"/>
    <cellStyle name="Header 6 3 2" xfId="588" xr:uid="{D928114A-E18C-45CF-B604-08EB47F78767}"/>
    <cellStyle name="Header 6 4" xfId="589" xr:uid="{003981B1-2263-4063-B9CB-D77D249C2981}"/>
    <cellStyle name="Header 6 5" xfId="590" xr:uid="{38C47AB8-E171-4B5C-99F6-2611FC60206B}"/>
    <cellStyle name="Header 6 6" xfId="591" xr:uid="{AC3873B2-0F79-4E92-8D08-9161171F0239}"/>
    <cellStyle name="Header 6 7" xfId="592" xr:uid="{25F3E8E8-7D0A-4E1D-A907-A669F6C54D0B}"/>
    <cellStyle name="Header 6 8" xfId="1102" xr:uid="{73B4F815-F3AC-4821-8D30-639F7EDA562D}"/>
    <cellStyle name="Header 6 9" xfId="1863" xr:uid="{C0301312-E1EC-46CB-8166-E195D55FE90C}"/>
    <cellStyle name="Header 7" xfId="593" xr:uid="{3C7F1ABA-9EB6-42F1-A8E6-940C4190C689}"/>
    <cellStyle name="Header 7 10" xfId="1095" xr:uid="{3C595BB9-9659-40D0-9A5B-A57E0151E787}"/>
    <cellStyle name="Header 7 11" xfId="1071" xr:uid="{6B6396CF-1327-4441-9E21-A32C4AC15A83}"/>
    <cellStyle name="Header 7 12" xfId="1865" xr:uid="{29385B35-4D7A-45EC-AF39-502FE5376AA6}"/>
    <cellStyle name="Header 7 13" xfId="4390" xr:uid="{CDFF5C7F-6A9C-415C-B575-B63CE1DDFA59}"/>
    <cellStyle name="Header 7 2" xfId="594" xr:uid="{1D6F4B57-1412-4F67-B335-74E56C7B7B31}"/>
    <cellStyle name="Header 7 2 2" xfId="595" xr:uid="{9367F619-14C5-478C-BF66-D9ACE070DC76}"/>
    <cellStyle name="Header 7 3" xfId="596" xr:uid="{51B2B65B-C536-4731-9A35-E4C2F8B19BE9}"/>
    <cellStyle name="Header 7 3 2" xfId="597" xr:uid="{1382DF43-EA2D-4B4B-B5E6-1895095DECCC}"/>
    <cellStyle name="Header 7 4" xfId="598" xr:uid="{8D42D945-A7BA-4977-AA2A-8FAC51A4529E}"/>
    <cellStyle name="Header 7 5" xfId="599" xr:uid="{0096AF09-0399-4679-837F-EAF8A7362B2D}"/>
    <cellStyle name="Header 7 6" xfId="600" xr:uid="{EB357338-FFF0-461C-B347-51D47CFC4107}"/>
    <cellStyle name="Header 7 7" xfId="601" xr:uid="{279B89B0-BD6C-4128-BB81-A0B80518DE7B}"/>
    <cellStyle name="Header 7 8" xfId="602" xr:uid="{038D5507-50EC-4770-9B4A-3D5906A8F0DE}"/>
    <cellStyle name="Header 7 9" xfId="603" xr:uid="{44D0D768-CF08-41EB-9F29-3F570BF6B0DB}"/>
    <cellStyle name="Header 8" xfId="604" xr:uid="{272E56DB-806F-4C2A-AB34-3B547FA93A55}"/>
    <cellStyle name="Header 8 10" xfId="1842" xr:uid="{4C16DC94-9104-4DBE-B92C-999A1B8F101F}"/>
    <cellStyle name="Header 8 10 2" xfId="3037" xr:uid="{BE3768EC-86D2-4688-8296-95834BCF5EFD}"/>
    <cellStyle name="Header 8 11" xfId="4391" xr:uid="{DD6C8AB4-D538-44A1-B183-C568F22E8ABF}"/>
    <cellStyle name="Header 8 2" xfId="605" xr:uid="{DFAFB470-1F16-4398-8920-6C8CE5D4B054}"/>
    <cellStyle name="Header 8 2 2" xfId="606" xr:uid="{9A6B6C97-F492-4120-B575-98390DB6A990}"/>
    <cellStyle name="Header 8 3" xfId="607" xr:uid="{F420293C-0360-42E6-98D9-9830D6E07C8F}"/>
    <cellStyle name="Header 8 4" xfId="608" xr:uid="{57FBAE65-EC16-40CB-9CA6-CB55672A39C7}"/>
    <cellStyle name="Header 8 4 2" xfId="609" xr:uid="{7784EE6E-D0AF-43AA-8236-97B33A1D2437}"/>
    <cellStyle name="Header 8 4 3" xfId="1601" xr:uid="{67677672-5398-42FA-BCC4-72FC21EFBE01}"/>
    <cellStyle name="Header 8 5" xfId="610" xr:uid="{B422C8A6-E67F-4CE1-A887-AD1547154164}"/>
    <cellStyle name="Header 8 5 2" xfId="1249" xr:uid="{728BD724-A4F5-4FE5-8985-B14EFF10AB8F}"/>
    <cellStyle name="Header 8 6" xfId="1096" xr:uid="{DE784B76-E21B-445A-A988-06A441CB5BD0}"/>
    <cellStyle name="Header 8 6 2" xfId="1709" xr:uid="{1CB72D90-2FB3-498A-A15F-E4EC687A0A36}"/>
    <cellStyle name="Header 8 6 3" xfId="1691" xr:uid="{079731C9-9D71-48D5-AD37-1D4335C13DC7}"/>
    <cellStyle name="Header 8 6 4" xfId="2152" xr:uid="{C248FAF4-AA89-428F-90EA-4ECAC29F4345}"/>
    <cellStyle name="Header 8 7" xfId="1810" xr:uid="{0AB7C7B6-568D-455A-86AD-F0ADF6888009}"/>
    <cellStyle name="Header 8 7 2" xfId="2059" xr:uid="{9CDD5642-9CB0-4962-A592-C36F1721FED4}"/>
    <cellStyle name="Header 8 8" xfId="1866" xr:uid="{CF7571D6-96BF-4C14-A427-2233C5DF7FE4}"/>
    <cellStyle name="Header 8 9" xfId="2176" xr:uid="{8934A35A-97E8-4530-BC3B-83B25E24E6B7}"/>
    <cellStyle name="Header 8 9 2" xfId="3059" xr:uid="{88CB9AE8-D01B-44C8-9969-24EE2DD53588}"/>
    <cellStyle name="Header 9" xfId="611" xr:uid="{4246EE29-2D1B-47C0-AE60-2868D9492FF6}"/>
    <cellStyle name="Heading 1" xfId="916" builtinId="16" customBuiltin="1"/>
    <cellStyle name="Heading 1 2" xfId="1282" xr:uid="{A063CF03-4EAF-4CBC-9649-50843D8B514D}"/>
    <cellStyle name="Heading 2" xfId="917" builtinId="17" customBuiltin="1"/>
    <cellStyle name="Heading 2 2" xfId="1283" xr:uid="{B93C836F-BCA0-4FE7-A8A7-95D09EAC12AC}"/>
    <cellStyle name="Heading 3" xfId="918" builtinId="18" customBuiltin="1"/>
    <cellStyle name="Heading 3 2" xfId="1284" xr:uid="{CC26458C-9474-4514-88E1-972DB516FB35}"/>
    <cellStyle name="Heading 4" xfId="919" builtinId="19" customBuiltin="1"/>
    <cellStyle name="Heading 4 2" xfId="1285" xr:uid="{AB73E928-F9FF-4CB9-88E3-9D567A34D6D1}"/>
    <cellStyle name="Hyperlink 2" xfId="1287" xr:uid="{F89678BB-654B-4FCE-A6E4-1296EEDF5DCF}"/>
    <cellStyle name="Hyperlink 3" xfId="1286" xr:uid="{8C7A47FE-FB7A-4102-8BC2-D248E9A758DD}"/>
    <cellStyle name="Input" xfId="923" builtinId="20" customBuiltin="1"/>
    <cellStyle name="Input 2" xfId="1288" xr:uid="{E766A3A9-F280-4948-86B5-A36B2E7FF93B}"/>
    <cellStyle name="Input 2 2" xfId="1289" xr:uid="{85CE418B-64C7-4FF9-8FC6-20665D7D4C6B}"/>
    <cellStyle name="Invoer" xfId="1290" xr:uid="{6EEC263A-8EA9-4FC4-988A-7E4A2318C0BE}"/>
    <cellStyle name="Linked Cell" xfId="926" builtinId="24" customBuiltin="1"/>
    <cellStyle name="Linked Cell 2" xfId="1291" xr:uid="{5348751C-41E9-42DB-91E1-8BFE734B74A4}"/>
    <cellStyle name="LongDate" xfId="612" xr:uid="{C2F097E3-A8FA-441D-BA64-69ACA23EFEF7}"/>
    <cellStyle name="LongDate 10" xfId="613" xr:uid="{D482DD8E-F885-4343-80B6-610C560B1474}"/>
    <cellStyle name="LongDate 10 2" xfId="614" xr:uid="{5D8BD1DA-E615-47F7-A472-BD1B7091E0F3}"/>
    <cellStyle name="LongDate 11" xfId="1524" xr:uid="{DC4AA5BA-8859-4E1C-8DCE-9F2CFD3409D5}"/>
    <cellStyle name="LongDate 11 2" xfId="2153" xr:uid="{66CBBC46-3388-4D78-BE18-D07827F2E830}"/>
    <cellStyle name="LongDate 12" xfId="1669" xr:uid="{F4307B2B-AD15-4EA4-929C-DD6BEEECEBD3}"/>
    <cellStyle name="LongDate 12 2" xfId="2154" xr:uid="{799D26DE-1EF9-43F6-8802-1B8B078FAE4D}"/>
    <cellStyle name="LongDate 13" xfId="4392" xr:uid="{53AAE283-35E7-4963-9071-23B3075CE142}"/>
    <cellStyle name="LongDate 13 2" xfId="5542" xr:uid="{5766B055-2FEC-429A-93FE-7D0B9C8DCE26}"/>
    <cellStyle name="LongDate 13 3" xfId="5155" xr:uid="{4953AA18-2322-4F6A-B130-54D39237CD5F}"/>
    <cellStyle name="LongDate 14" xfId="4836" xr:uid="{7952461B-22E1-4265-A10D-E43BA1A6951E}"/>
    <cellStyle name="LongDate 2" xfId="615" xr:uid="{7215A297-A4C9-4FDC-8CE3-3C5C6F00BF1A}"/>
    <cellStyle name="LongDate 2 2" xfId="616" xr:uid="{B018A3DD-A64E-4E66-AE05-B06A4E122593}"/>
    <cellStyle name="LongDate 2 2 2" xfId="617" xr:uid="{13939382-7546-4CC7-BDAD-70E541E09486}"/>
    <cellStyle name="LongDate 2 3" xfId="618" xr:uid="{75D70DB4-CCB2-4222-B817-660AE6734180}"/>
    <cellStyle name="LongDate 2 3 2" xfId="619" xr:uid="{4B6893FB-21A0-4BF9-95F6-27F7648DDDFD}"/>
    <cellStyle name="LongDate 2 3 2 2" xfId="983" xr:uid="{E6F83B8C-DE14-4E1C-9A76-C87A80B60F09}"/>
    <cellStyle name="LongDate 2 3 3" xfId="962" xr:uid="{80C6CA4B-9E6F-4241-861A-302B06433762}"/>
    <cellStyle name="LongDate 2 4" xfId="620" xr:uid="{15B7F781-D446-4553-95D8-58D2F9B89FFD}"/>
    <cellStyle name="LongDate 2 4 2" xfId="621" xr:uid="{681B1738-C508-4923-A650-B40C9AF01718}"/>
    <cellStyle name="LongDate 2 5" xfId="622" xr:uid="{FA895220-35F1-4A38-A20A-E56468052CA3}"/>
    <cellStyle name="LongDate 2 5 2" xfId="976" xr:uid="{7E2BC17E-F162-4773-8021-1420465A9EDD}"/>
    <cellStyle name="LongDate 2 6" xfId="957" xr:uid="{EDF218E8-E96B-4E11-8981-694978B3F632}"/>
    <cellStyle name="LongDate 2 7" xfId="4393" xr:uid="{F7547E68-EDD4-4CB7-AA28-C2527001EB26}"/>
    <cellStyle name="LongDate 2 8" xfId="4394" xr:uid="{53019802-F822-4C98-A31A-25217017B4E8}"/>
    <cellStyle name="LongDate 2 8 2" xfId="5543" xr:uid="{A5D2E017-8BB8-4AAF-9D76-162864DA4841}"/>
    <cellStyle name="LongDate 2 8 3" xfId="5156" xr:uid="{62E762D4-B986-49FE-A8F9-A78D04885E83}"/>
    <cellStyle name="LongDate 2 9" xfId="4837" xr:uid="{E5DC47CA-0E68-487E-99B4-0879FB11EE55}"/>
    <cellStyle name="LongDate 3" xfId="623" xr:uid="{8BF6A4FB-3F8F-4C11-B4DA-D15ED56793AF}"/>
    <cellStyle name="LongDate 3 2" xfId="624" xr:uid="{8D316382-F646-4FA2-8855-783F95FD22DE}"/>
    <cellStyle name="LongDate 3 2 2" xfId="625" xr:uid="{DEDA6239-DDAD-4D5A-85EE-0CC933E882D2}"/>
    <cellStyle name="LongDate 3 3" xfId="626" xr:uid="{BE81FFAE-F0B9-47D5-A4A9-D7F29AE7EC67}"/>
    <cellStyle name="LongDate 3 3 2" xfId="627" xr:uid="{AAB46991-6237-4139-879B-42E36E3FDABE}"/>
    <cellStyle name="LongDate 3 3 2 2" xfId="979" xr:uid="{4D62843C-B32E-4712-85FD-D6E1DDA8D27D}"/>
    <cellStyle name="LongDate 3 3 3" xfId="958" xr:uid="{2B2AAD0B-0DB7-474D-8264-4A8ACBF8B17D}"/>
    <cellStyle name="LongDate 3 4" xfId="628" xr:uid="{D33808A9-790F-4EEF-A038-43467AFA2260}"/>
    <cellStyle name="LongDate 4" xfId="629" xr:uid="{934961B8-E82F-4FFE-A8AC-00A2E8626903}"/>
    <cellStyle name="LongDate 4 2" xfId="630" xr:uid="{ACE9A4F2-0D5B-46C6-B247-5C74BC1E7456}"/>
    <cellStyle name="LongDate 4 2 2" xfId="631" xr:uid="{409A9B79-EA07-4C95-9084-013F814E818A}"/>
    <cellStyle name="LongDate 4 3" xfId="632" xr:uid="{F0B15D90-5720-401A-A751-1B30E46DAEDC}"/>
    <cellStyle name="LongDate 5" xfId="633" xr:uid="{477C505C-2A39-43C0-A1D5-5C765AA8B991}"/>
    <cellStyle name="LongDate 5 2" xfId="634" xr:uid="{01074770-7CFC-49AC-A041-98CC21541AD1}"/>
    <cellStyle name="LongDate 5 2 2" xfId="635" xr:uid="{FEF19620-40A4-4537-B7B2-6E4186DB6815}"/>
    <cellStyle name="LongDate 5 3" xfId="636" xr:uid="{E29B9109-BED2-42FA-8C36-5448683743DB}"/>
    <cellStyle name="LongDate 5 4" xfId="1452" xr:uid="{035EC60E-EA73-4A03-85F8-4B8DAC8D0040}"/>
    <cellStyle name="LongDate 6" xfId="637" xr:uid="{9EECFCBC-FFC5-4D3A-AAEA-50BB529E5585}"/>
    <cellStyle name="LongDate 6 10" xfId="2175" xr:uid="{D92CE89C-D5F8-4415-B76A-BC03F7BFDC98}"/>
    <cellStyle name="LongDate 6 10 2" xfId="3058" xr:uid="{EEA37BA0-B991-46AA-B473-7C37337BFC36}"/>
    <cellStyle name="LongDate 6 11" xfId="1841" xr:uid="{A303E21C-AAF1-4DF9-AA7E-36E36A110532}"/>
    <cellStyle name="LongDate 6 11 2" xfId="3034" xr:uid="{A1C96C33-5779-439E-B81D-F36F07B6D0E5}"/>
    <cellStyle name="LongDate 6 12" xfId="956" xr:uid="{CC0F64A0-86B6-4972-ADBC-6F65B95249C0}"/>
    <cellStyle name="LongDate 6 13" xfId="4395" xr:uid="{B5A6546A-930B-4510-8A22-657B2D256DEB}"/>
    <cellStyle name="LongDate 6 2" xfId="638" xr:uid="{79AED5B7-9052-4E7F-8462-35F2E6C19602}"/>
    <cellStyle name="LongDate 6 2 2" xfId="639" xr:uid="{86A68180-8797-409B-A8FC-D723F67DEF62}"/>
    <cellStyle name="LongDate 6 3" xfId="640" xr:uid="{1ABC3684-D18D-4319-99DC-7AF07FD84193}"/>
    <cellStyle name="LongDate 6 3 2" xfId="978" xr:uid="{7ED3BD88-5B7A-43A1-8AE8-85A8982BF0FF}"/>
    <cellStyle name="LongDate 6 4" xfId="641" xr:uid="{F3CB741A-8145-4FA6-AD40-7453FDD984DE}"/>
    <cellStyle name="LongDate 6 4 2" xfId="642" xr:uid="{9CA5D31D-9795-4DA4-A4BA-104493B83E74}"/>
    <cellStyle name="LongDate 6 4 3" xfId="1600" xr:uid="{2E314DC3-1D27-465E-865F-3E883B669721}"/>
    <cellStyle name="LongDate 6 5" xfId="643" xr:uid="{9B8F21A2-BB95-4E64-9BF1-01BEF637DC82}"/>
    <cellStyle name="LongDate 6 5 2" xfId="1248" xr:uid="{F66A030A-CF47-4C4D-8640-CDD5D768AA86}"/>
    <cellStyle name="LongDate 6 6" xfId="1134" xr:uid="{572BA67B-640F-4858-9046-7A5CB9D78C4B}"/>
    <cellStyle name="LongDate 6 6 2" xfId="1710" xr:uid="{5F82F167-5D14-4CB4-8D9B-39CEC132DA73}"/>
    <cellStyle name="LongDate 6 6 3" xfId="1690" xr:uid="{9324B81D-A6D5-4274-89B9-CA35D51C18D6}"/>
    <cellStyle name="LongDate 6 6 4" xfId="2155" xr:uid="{B4B5369C-E442-444C-B717-9195D4347090}"/>
    <cellStyle name="LongDate 6 7" xfId="1077" xr:uid="{7F26F016-2D33-4DB8-8017-C46009701E78}"/>
    <cellStyle name="LongDate 6 8" xfId="1809" xr:uid="{4F8BE099-5966-4037-A1E1-4D6FCE60D2F5}"/>
    <cellStyle name="LongDate 6 8 2" xfId="2058" xr:uid="{859058F7-B283-422F-A96B-645995FE18E5}"/>
    <cellStyle name="LongDate 6 9" xfId="1869" xr:uid="{D7D5BC94-59CA-407D-A10B-FD2FB7EF0872}"/>
    <cellStyle name="LongDate 7" xfId="644" xr:uid="{535D60A7-1C08-4CA4-917E-8C1B4A4C5740}"/>
    <cellStyle name="LongDate 7 2" xfId="645" xr:uid="{5E35B5A0-262E-4F70-AA15-33DFD604DD3B}"/>
    <cellStyle name="LongDate 7 3" xfId="1401" xr:uid="{541A49D8-19D8-4399-B7F2-780717D69B11}"/>
    <cellStyle name="LongDate 8" xfId="646" xr:uid="{90D4F5F4-D3F8-40C7-9771-C01B25F0AC40}"/>
    <cellStyle name="LongDate 8 2" xfId="647" xr:uid="{F934EE4C-827D-492C-96CA-3598F46412C3}"/>
    <cellStyle name="LongDate 8 3" xfId="1561" xr:uid="{1EB1BC7B-6192-4F41-8432-B413AC0ED5B7}"/>
    <cellStyle name="LongDate 9" xfId="648" xr:uid="{0B53B10C-1AA6-4EAD-BEAF-92D9CD49FB5B}"/>
    <cellStyle name="LongDate 9 2" xfId="1580" xr:uid="{DB51CEE5-A743-48F0-A1B2-F223C37AA09A}"/>
    <cellStyle name="LongDate 9 3" xfId="1516" xr:uid="{EB508100-1587-482C-8503-8D8D8A8351E2}"/>
    <cellStyle name="LongDate 9 4" xfId="975" xr:uid="{D7114F1D-FEA0-4CED-9AE4-A08475166DA9}"/>
    <cellStyle name="Milliers 10" xfId="1145" xr:uid="{E609DF65-4232-4A04-BA89-7A86B1550C94}"/>
    <cellStyle name="Milliers 2" xfId="1141" xr:uid="{09BB25B6-D05E-4E92-BFFE-4436C3DA9222}"/>
    <cellStyle name="Milliers 3 3" xfId="1136" xr:uid="{6B50783C-935F-4917-BE1C-18FFDEBC0C1D}"/>
    <cellStyle name="Milliers 4" xfId="1137" xr:uid="{300F80B4-CBAE-4202-8A5D-98A4C023AFA2}"/>
    <cellStyle name="Neutral" xfId="922" builtinId="28" customBuiltin="1"/>
    <cellStyle name="Neutral 2" xfId="649" xr:uid="{C9C06E1E-EFE8-459C-99C7-6FCAE577DD4A}"/>
    <cellStyle name="Neutral 3" xfId="1106" xr:uid="{C6BF269E-55F6-4A38-9496-180EBB20E623}"/>
    <cellStyle name="Normal" xfId="0" builtinId="0"/>
    <cellStyle name="Normal 10" xfId="650" xr:uid="{030FDD8F-EDE9-40CC-A737-0A1F5FA38B77}"/>
    <cellStyle name="Normal 10 2" xfId="651" xr:uid="{A6D577C0-6107-451B-92DB-560F75786394}"/>
    <cellStyle name="Normal 10 3" xfId="652" xr:uid="{C12FF0D4-FBEE-4FBF-AF02-D370970DAC2A}"/>
    <cellStyle name="Normal 10 4" xfId="653" xr:uid="{F8540207-DA7F-40EF-94B4-8CB32CA5775C}"/>
    <cellStyle name="Normal 11" xfId="654" xr:uid="{4CEF1D9D-87E3-441F-AD0D-9C6E9CB80F5A}"/>
    <cellStyle name="Normal 11 2" xfId="655" xr:uid="{9F2C9619-F545-41DE-A16F-376CBBCBAD3C}"/>
    <cellStyle name="Normal 11 3" xfId="656" xr:uid="{1C66FE20-36D5-4A88-84E5-C8DAF3B9EB64}"/>
    <cellStyle name="Normal 11 4" xfId="657" xr:uid="{AC5EC69F-3B3F-400F-8B1F-A46A4B5D8F1D}"/>
    <cellStyle name="Normal 11 5" xfId="1292" xr:uid="{BD646A54-2F25-41DD-A52E-62E0EBB0D5D8}"/>
    <cellStyle name="Normal 12" xfId="658" xr:uid="{3B3BE0EA-B8E5-4C6F-B09F-CC4747C9C358}"/>
    <cellStyle name="Normal 12 2" xfId="659" xr:uid="{2BA25103-4F04-4ABE-B4F0-D1A3EE5FF60E}"/>
    <cellStyle name="Normal 12 3" xfId="660" xr:uid="{37FDF4A6-8AF8-4769-A7F7-4880CF08765B}"/>
    <cellStyle name="Normal 12 4" xfId="661" xr:uid="{5F2FBA1D-8406-460D-8D28-788CC1307A5A}"/>
    <cellStyle name="Normal 12 5" xfId="1293" xr:uid="{F78DE1FE-4FD0-4749-B3E1-6440143C1B14}"/>
    <cellStyle name="Normal 13" xfId="662" xr:uid="{EC6F1589-B7D6-4F58-9788-4CF0C39E3365}"/>
    <cellStyle name="Normal 13 2" xfId="663" xr:uid="{5CE5C53E-08B6-453E-9D44-170F1B20AC7D}"/>
    <cellStyle name="Normal 13 2 2" xfId="1503" xr:uid="{FCED30EF-22F7-4113-A117-64905F3B094F}"/>
    <cellStyle name="Normal 13 2 3" xfId="1295" xr:uid="{A6CE4ECE-452C-4BC5-BBC9-53DA9D961158}"/>
    <cellStyle name="Normal 13 3" xfId="664" xr:uid="{31532433-1FA7-44B2-996C-E315D55163D8}"/>
    <cellStyle name="Normal 13 3 2" xfId="1618" xr:uid="{3BC6022F-9DF5-4E99-8540-2DF8EEA80A53}"/>
    <cellStyle name="Normal 13 3 3" xfId="1471" xr:uid="{F5DB372D-0FB6-4D2D-BBA2-FC2E82DC9864}"/>
    <cellStyle name="Normal 13 4" xfId="665" xr:uid="{E2F8E0A0-08E5-41CC-A731-2F682D090F14}"/>
    <cellStyle name="Normal 13 4 2" xfId="1621" xr:uid="{04D145B5-66FB-420D-99AC-A52EF2ED84C0}"/>
    <cellStyle name="Normal 13 4 3" xfId="1493" xr:uid="{4D4A16F1-D8A9-4BE9-BB88-8A90B5E10F27}"/>
    <cellStyle name="Normal 13 5" xfId="1294" xr:uid="{02A063D6-9623-4542-A70F-28CD20778102}"/>
    <cellStyle name="Normal 14" xfId="666" xr:uid="{F84DEFEC-C3F7-4872-A131-266C5AEC6845}"/>
    <cellStyle name="Normal 14 2" xfId="667" xr:uid="{596DD22F-CECB-42EF-9947-4988C861A814}"/>
    <cellStyle name="Normal 14 3" xfId="668" xr:uid="{39F4D2BE-0E21-49D4-A258-F5A1D61E0A46}"/>
    <cellStyle name="Normal 14 4" xfId="669" xr:uid="{D823CD50-2289-4C1B-BFE0-DAEFD8D46ACE}"/>
    <cellStyle name="Normal 14 5" xfId="1296" xr:uid="{C834C653-FB86-4239-AEBB-822B8F694EDA}"/>
    <cellStyle name="Normal 15" xfId="670" xr:uid="{D9F30793-1797-4B26-A444-11AEA7A3C72E}"/>
    <cellStyle name="Normal 15 2" xfId="671" xr:uid="{E61777A3-7C20-4500-8B1A-8417AD429CAC}"/>
    <cellStyle name="Normal 15 3" xfId="672" xr:uid="{17379CDF-B643-4547-9D91-39D24145F64F}"/>
    <cellStyle name="Normal 15 4" xfId="673" xr:uid="{9FEB5F65-1383-4E36-AEF1-F2596F3F86D3}"/>
    <cellStyle name="Normal 16" xfId="674" xr:uid="{F2E32808-07FB-4F32-A04A-9AA15B341F33}"/>
    <cellStyle name="Normal 16 2" xfId="675" xr:uid="{4D12184A-5E77-43CB-8CDE-63B7FDE71850}"/>
    <cellStyle name="Normal 16 2 2" xfId="676" xr:uid="{8337220B-E9FE-4001-AA42-3C0DBBD67BE0}"/>
    <cellStyle name="Normal 16 2 3" xfId="1638" xr:uid="{83459468-5B14-4BE6-9E91-B97A03A45DE4}"/>
    <cellStyle name="Normal 16 3" xfId="677" xr:uid="{0A9E5EC4-991A-4AA3-AEEC-CCC516A88E3E}"/>
    <cellStyle name="Normal 16 3 2" xfId="678" xr:uid="{925F331E-BF81-4D06-966A-E237FFB7093E}"/>
    <cellStyle name="Normal 16 3 3" xfId="1617" xr:uid="{161A8E53-4EE7-4832-B453-9B88AF79A67E}"/>
    <cellStyle name="Normal 16 3 4" xfId="1513" xr:uid="{63DA9342-ACB4-4B6A-8600-AB90E1B66356}"/>
    <cellStyle name="Normal 16 4" xfId="679" xr:uid="{8436135C-BD5C-49FD-89BB-4925CACF292B}"/>
    <cellStyle name="Normal 16 4 2" xfId="680" xr:uid="{4CDA98F5-B893-4841-9B39-38F1EA99E485}"/>
    <cellStyle name="Normal 16 5" xfId="681" xr:uid="{B7044EEA-D640-4F6B-8B66-22EA4C5C7407}"/>
    <cellStyle name="Normal 16 6" xfId="1555" xr:uid="{1CC85FF4-B9A0-46CF-935E-CB86865D5228}"/>
    <cellStyle name="Normal 17" xfId="682" xr:uid="{FFE17373-1293-4D6C-A405-89A26D49571A}"/>
    <cellStyle name="Normal 17 2" xfId="683" xr:uid="{336A278F-E07B-450B-84EC-B0CE0592B452}"/>
    <cellStyle name="Normal 17 3" xfId="684" xr:uid="{7619609D-2077-4DF9-8983-E601744B4D16}"/>
    <cellStyle name="Normal 17 4" xfId="1557" xr:uid="{7F610479-55CB-439B-A978-2546430664A3}"/>
    <cellStyle name="Normal 18" xfId="685" xr:uid="{3E2817A4-7AC0-4001-B47E-D88F5EA55675}"/>
    <cellStyle name="Normal 19" xfId="686" xr:uid="{8025595E-56D3-4A1B-AA3B-57225D9A168F}"/>
    <cellStyle name="Normal 2" xfId="42" xr:uid="{27647248-A0E0-48F1-B72B-3F2D250CB6D5}"/>
    <cellStyle name="Normal 2 2" xfId="46" xr:uid="{D0CA89A5-4C00-4743-9811-1E3B12F35CA0}"/>
    <cellStyle name="Normal 2 2 10" xfId="1472" xr:uid="{4E18CF75-D691-47CB-B8C7-F2EE24DEEF4B}"/>
    <cellStyle name="Normal 2 2 11" xfId="1107" xr:uid="{9A0460B1-C0E9-48ED-9F2F-01776D0342B5}"/>
    <cellStyle name="Normal 2 2 12" xfId="1067" xr:uid="{07A3385C-A4B9-4A81-B028-A1434892204E}"/>
    <cellStyle name="Normal 2 2 13" xfId="1867" xr:uid="{A28FA3BD-072B-42E8-8D4E-E4CEDAA40876}"/>
    <cellStyle name="Normal 2 2 2" xfId="687" xr:uid="{B880EBBD-EFE8-4765-A475-4024138A1A6B}"/>
    <cellStyle name="Normal 2 2 2 2" xfId="688" xr:uid="{88DE74FB-C626-4F19-A18A-597BE8F799BA}"/>
    <cellStyle name="Normal 2 2 2 2 2" xfId="1300" xr:uid="{3F5AEFB7-1C26-465B-94CC-2D20CE3126B2}"/>
    <cellStyle name="Normal 2 2 2 2 3" xfId="1301" xr:uid="{16A0258B-D3A9-464E-8D8D-4EE31E617204}"/>
    <cellStyle name="Normal 2 2 2 2 4" xfId="1473" xr:uid="{BDF6657F-4DCF-4A08-8879-5D07294F5136}"/>
    <cellStyle name="Normal 2 2 2 2 5" xfId="1299" xr:uid="{4FBE1B6C-F195-4B12-9134-EB28C8735818}"/>
    <cellStyle name="Normal 2 2 2 3" xfId="689" xr:uid="{5706D007-64B4-40C5-BAB4-81EC2A28AF76}"/>
    <cellStyle name="Normal 2 2 2 3 2" xfId="1647" xr:uid="{65084DB2-39B1-43A3-99CE-FCF2B759D736}"/>
    <cellStyle name="Normal 2 2 2 3 3" xfId="1302" xr:uid="{9BDF0246-8DBC-4AA3-969D-937723FE2CD1}"/>
    <cellStyle name="Normal 2 2 2 4" xfId="1303" xr:uid="{1F630934-4CC3-4835-80DB-E8652D950067}"/>
    <cellStyle name="Normal 2 2 2 5" xfId="1434" xr:uid="{FF72EFA7-9CB2-4F20-8572-0A54B7F20177}"/>
    <cellStyle name="Normal 2 2 2 6" xfId="1474" xr:uid="{BE40629F-9A1E-4C89-B7BD-C1ED678D5C37}"/>
    <cellStyle name="Normal 2 2 2 7" xfId="1298" xr:uid="{45DC1295-A5B5-4419-9BCF-A0305DBDA265}"/>
    <cellStyle name="Normal 2 2 2 8" xfId="1135" xr:uid="{BD0763B0-1DF3-479B-A252-E733A6798EE0}"/>
    <cellStyle name="Normal 2 2 3" xfId="690" xr:uid="{EFD2DA6F-FEE3-49D1-9ED1-3D15251F1AC0}"/>
    <cellStyle name="Normal 2 2 3 2" xfId="1305" xr:uid="{3C27EA2D-1A50-45B9-BE00-8B9205A5D4F6}"/>
    <cellStyle name="Normal 2 2 3 3" xfId="1306" xr:uid="{3A59D107-2898-4433-85EF-FCBDA9365C1A}"/>
    <cellStyle name="Normal 2 2 3 4" xfId="1475" xr:uid="{F6018113-6A1E-42BB-8FE5-78B5AEFDCA25}"/>
    <cellStyle name="Normal 2 2 3 5" xfId="1304" xr:uid="{2DD3A2A7-2CAB-4256-87E6-0C1AFDC0DE7A}"/>
    <cellStyle name="Normal 2 2 4" xfId="691" xr:uid="{ECEA9CEA-23F4-4951-870C-A677264FB07E}"/>
    <cellStyle name="Normal 2 2 5" xfId="692" xr:uid="{912D95C5-74EE-445B-A090-E8CBE4F214F3}"/>
    <cellStyle name="Normal 2 2 5 2" xfId="1502" xr:uid="{5D5A949E-9D3B-4985-A557-E8A9074CE4CA}"/>
    <cellStyle name="Normal 2 2 5 3" xfId="1307" xr:uid="{8301F48C-EF06-4021-BAA9-9EAE804C685C}"/>
    <cellStyle name="Normal 2 2 6" xfId="693" xr:uid="{747D5E19-75B9-4330-9EBA-0E016709DE88}"/>
    <cellStyle name="Normal 2 2 6 2" xfId="1644" xr:uid="{C2DCA96F-DACF-4A91-991D-C792E1256277}"/>
    <cellStyle name="Normal 2 2 6 3" xfId="1308" xr:uid="{CC6163AA-8A4B-4052-9646-1162BF2A88DC}"/>
    <cellStyle name="Normal 2 2 7" xfId="694" xr:uid="{13CBB851-CBFA-4D4D-9458-2DE544D0A6DA}"/>
    <cellStyle name="Normal 2 2 7 2" xfId="1639" xr:uid="{ED552561-7E01-44DA-95AC-ABE59F3FD5C7}"/>
    <cellStyle name="Normal 2 2 7 3" xfId="1309" xr:uid="{B84C9412-7F32-4AA9-B2ED-75B772AB3BC8}"/>
    <cellStyle name="Normal 2 2 8" xfId="695" xr:uid="{47D8C77A-9162-4B4D-BD6D-77DDDD6526D6}"/>
    <cellStyle name="Normal 2 2 8 2" xfId="1661" xr:uid="{A09D0319-EE4D-49FE-BF1B-B6FEC24A2AC4}"/>
    <cellStyle name="Normal 2 2 8 3" xfId="1297" xr:uid="{69F57883-7BA1-4814-9E2E-60E35155A54F}"/>
    <cellStyle name="Normal 2 2 9" xfId="696" xr:uid="{B503D3A6-E9B7-49C8-990D-70CD391F34A1}"/>
    <cellStyle name="Normal 2 2 9 2" xfId="1523" xr:uid="{B19DB9AC-B234-43B4-B915-0A23BD6C5CA4}"/>
    <cellStyle name="Normal 2 2 9 3" xfId="1403" xr:uid="{48D401CE-51DA-4E97-A19F-F413D42164FB}"/>
    <cellStyle name="Normal 2 3" xfId="697" xr:uid="{71F3068C-0634-4A1B-B1B2-40A3C178E6BC}"/>
    <cellStyle name="Normal 2 3 2" xfId="698" xr:uid="{18AAE6AD-797A-4B48-B8B3-FAAA4FC961A1}"/>
    <cellStyle name="Normal 2 3 2 2" xfId="1312" xr:uid="{7141CB30-0E13-4D57-AD38-9B599041AFA8}"/>
    <cellStyle name="Normal 2 3 2 3" xfId="1476" xr:uid="{CB6EF7F8-73F4-4220-85C2-3E49242F1C13}"/>
    <cellStyle name="Normal 2 3 2 4" xfId="1311" xr:uid="{45946AB7-91B8-4D0F-9DE9-4DC8EA52C58B}"/>
    <cellStyle name="Normal 2 3 3" xfId="699" xr:uid="{9161D209-4448-4987-8B0B-8F44A6498BD8}"/>
    <cellStyle name="Normal 2 3 3 2" xfId="1646" xr:uid="{47CF2CFC-F3A1-4842-9992-B4ADE73E5DD9}"/>
    <cellStyle name="Normal 2 3 3 3" xfId="1313" xr:uid="{B973C6D1-4E0A-4FB7-889F-49CF198292E6}"/>
    <cellStyle name="Normal 2 3 4" xfId="1310" xr:uid="{F415C161-D51A-489D-8016-389382AEDD54}"/>
    <cellStyle name="Normal 2 3 5" xfId="1431" xr:uid="{BC6A8D28-DB9F-4B79-AB4F-D432389DFFB4}"/>
    <cellStyle name="Normal 2 3 6" xfId="1138" xr:uid="{C9BCA831-B8CF-45FD-9C57-BBF5BF571C80}"/>
    <cellStyle name="Normal 2 3 7" xfId="1133" xr:uid="{E2A19792-95DB-4570-9391-A9C9E0B1C5BD}"/>
    <cellStyle name="Normal 2 4" xfId="700" xr:uid="{5C734887-423B-4FB4-B6C8-CCA669029344}"/>
    <cellStyle name="Normal 2 4 2" xfId="1315" xr:uid="{4F3D97DC-3678-48DB-BBF8-E604D90461D8}"/>
    <cellStyle name="Normal 2 4 2 2" xfId="1316" xr:uid="{14F54FBF-8315-41DA-AA35-50BE05948D4A}"/>
    <cellStyle name="Normal 2 4 3" xfId="1317" xr:uid="{7A530B94-4AB5-432C-AF0E-3FCC5DDAF4B7}"/>
    <cellStyle name="Normal 2 4 4" xfId="1318" xr:uid="{C902E500-EE56-4A77-AC35-2C779CECF7E1}"/>
    <cellStyle name="Normal 2 4 5" xfId="1425" xr:uid="{9062FF05-2D9C-4727-90FA-A5FB02065369}"/>
    <cellStyle name="Normal 2 4 6" xfId="1314" xr:uid="{53AAEB8A-E30B-4754-9EC3-07A53A60AC5D}"/>
    <cellStyle name="Normal 2 5" xfId="701" xr:uid="{DA9DE311-9563-47B2-9F92-7F89ABCC6F08}"/>
    <cellStyle name="Normal 2 5 2" xfId="1320" xr:uid="{E482D84A-D6C9-460D-B5E8-613C784FF867}"/>
    <cellStyle name="Normal 2 5 3" xfId="1321" xr:uid="{9A847526-D02C-479D-8899-3C90A603D471}"/>
    <cellStyle name="Normal 2 5 4" xfId="1496" xr:uid="{CBF3C973-F2B9-467A-87F9-E1BADEEB5607}"/>
    <cellStyle name="Normal 2 5 5" xfId="1319" xr:uid="{0DCD940A-2BED-4B2B-B7D0-EA56766C79BB}"/>
    <cellStyle name="Normal 2 6" xfId="702" xr:uid="{83D2683E-1813-403A-A693-9D3BC9011840}"/>
    <cellStyle name="Normal 2 6 2" xfId="1322" xr:uid="{4FAB1972-56A5-4E4B-B2F9-81CCAF5B14D2}"/>
    <cellStyle name="Normal 2 7" xfId="1399" xr:uid="{88A4D7C4-CBB4-452C-B3CE-5AD73A38757A}"/>
    <cellStyle name="Normal 2 8" xfId="1140" xr:uid="{430C7607-BF24-43FA-BA69-0F31040DB7EB}"/>
    <cellStyle name="Normal 20" xfId="703" xr:uid="{807C3553-5BB8-43F7-8024-19DC4251D4AE}"/>
    <cellStyle name="Normal 21" xfId="704" xr:uid="{4B84EEEC-D045-475A-BEB7-810A59AC3EB9}"/>
    <cellStyle name="Normal 22" xfId="705" xr:uid="{74CC3B72-E06C-48FC-B3CE-51F568901C0B}"/>
    <cellStyle name="Normal 23" xfId="706" xr:uid="{73ED0E26-0127-43F7-8F84-1EB24395CCFF}"/>
    <cellStyle name="Normal 24" xfId="707" xr:uid="{84EC56F1-05DC-4FDD-BCC8-7E1C819A2532}"/>
    <cellStyle name="Normal 25" xfId="708" xr:uid="{F2AF3B11-FB14-45DA-AE7D-A20F6C297349}"/>
    <cellStyle name="Normal 26" xfId="709" xr:uid="{19AC8029-7D8F-4380-B311-E65A90114D86}"/>
    <cellStyle name="Normal 27" xfId="710" xr:uid="{13CE0390-980D-4DDF-822E-2C5C1C9DC686}"/>
    <cellStyle name="Normal 28" xfId="711" xr:uid="{DE13C3A0-AAAD-4E8E-BD2F-7E825604D15D}"/>
    <cellStyle name="Normal 29" xfId="712" xr:uid="{315E91F0-E37D-471B-8B45-7B16B7D5ABF5}"/>
    <cellStyle name="Normal 3" xfId="48" xr:uid="{5727C7B3-BDAE-4453-876B-0D8D64215D55}"/>
    <cellStyle name="Normal 3 2" xfId="713" xr:uid="{770F3391-2977-48DA-8DFB-B7C302B26FEB}"/>
    <cellStyle name="Normal 3 2 2" xfId="1325" xr:uid="{5F91B8D1-44D4-4CB2-9AA7-0E50FB6410C6}"/>
    <cellStyle name="Normal 3 2 2 2" xfId="1326" xr:uid="{460F862A-9B13-4B64-97C3-4322A6966027}"/>
    <cellStyle name="Normal 3 2 2 3" xfId="1412" xr:uid="{BAF0E7EC-3D2A-451B-A576-C88696E69BD2}"/>
    <cellStyle name="Normal 3 2 3" xfId="1327" xr:uid="{8B2AFA05-218B-47A5-9AF1-C277297E497C}"/>
    <cellStyle name="Normal 3 2 4" xfId="1328" xr:uid="{BEBE2818-863F-4197-820C-EB731B534DE8}"/>
    <cellStyle name="Normal 3 2 5" xfId="1329" xr:uid="{9E37F27A-DC65-42D1-8A6B-70C58D541B8F}"/>
    <cellStyle name="Normal 3 2 6" xfId="1324" xr:uid="{10AF14ED-B9F7-4E0A-91AD-33F2985CD4B3}"/>
    <cellStyle name="Normal 3 2 7" xfId="1405" xr:uid="{B9BF2A02-A08A-4405-88D0-77DC8654038C}"/>
    <cellStyle name="Normal 3 2 8" xfId="1108" xr:uid="{3FA835EC-8EFF-404B-A2E0-856E690FE3B3}"/>
    <cellStyle name="Normal 3 3" xfId="714" xr:uid="{932A6747-AD55-4A30-B58B-54A23F2495A3}"/>
    <cellStyle name="Normal 3 3 2" xfId="715" xr:uid="{EAA2F1D2-BED1-457C-89B8-958016FEF6B0}"/>
    <cellStyle name="Normal 3 3 3" xfId="1331" xr:uid="{E0CC7CCD-8EA5-48D6-BE42-0ECD920C9EFC}"/>
    <cellStyle name="Normal 3 3 4" xfId="1477" xr:uid="{5FDD5232-3F78-4316-A5F8-09F735D27BDE}"/>
    <cellStyle name="Normal 3 3 5" xfId="1330" xr:uid="{4F8FCCBB-E638-4CE5-A7E2-CAA04A34B396}"/>
    <cellStyle name="Normal 3 4" xfId="716" xr:uid="{F5A16665-06A6-43E7-8EAB-D833E0E55E89}"/>
    <cellStyle name="Normal 3 4 2" xfId="1495" xr:uid="{23CA5E55-8603-45A4-B7AA-522D1A662454}"/>
    <cellStyle name="Normal 3 4 3" xfId="1332" xr:uid="{FED88EAA-74AF-4C30-A641-5D44A87DF4A0}"/>
    <cellStyle name="Normal 3 5" xfId="717" xr:uid="{2A3B5B92-F991-4AE8-9A5F-ABFE32EAF9F9}"/>
    <cellStyle name="Normal 3 6" xfId="718" xr:uid="{01A886F2-2CAC-41A3-BC92-ADC2D24FF34F}"/>
    <cellStyle name="Normal 3 6 2" xfId="1323" xr:uid="{D055BE82-F7AC-468B-A386-CA0AFBA1A873}"/>
    <cellStyle name="Normal 3 7" xfId="1400" xr:uid="{FA5CDC29-F0B2-45BA-A1A5-BC9116784B6A}"/>
    <cellStyle name="Normal 3 8" xfId="1142" xr:uid="{37314EF0-5665-4E98-9C26-F93E5C986BB7}"/>
    <cellStyle name="Normal 30" xfId="719" xr:uid="{87DD464F-BA22-4276-A1F9-BB76DCCF839C}"/>
    <cellStyle name="Normal 31" xfId="720" xr:uid="{38F931D1-5EA7-4853-92F8-A425455FF9BD}"/>
    <cellStyle name="Normal 32" xfId="721" xr:uid="{680624C9-CB37-49C1-9580-FF05F00A75C7}"/>
    <cellStyle name="Normal 33" xfId="722" xr:uid="{C86F3031-ADFA-482B-AF19-BCCD1CC9CDB7}"/>
    <cellStyle name="Normal 34" xfId="723" xr:uid="{E7847EC3-EB9A-4493-B965-DF6656A06FD2}"/>
    <cellStyle name="Normal 34 2" xfId="1490" xr:uid="{A95BCEED-F4CE-415B-9CD3-7CECA4D66545}"/>
    <cellStyle name="Normal 34 2 2" xfId="2156" xr:uid="{B4C9BF92-1620-4F61-8B48-6583F9020BFB}"/>
    <cellStyle name="Normal 34 3" xfId="1619" xr:uid="{DDABDA13-D8CA-40C2-ADC4-8A578907A102}"/>
    <cellStyle name="Normal 34 4" xfId="1333" xr:uid="{4E39376F-C233-470E-B983-9E3B7A50506B}"/>
    <cellStyle name="Normal 35" xfId="724" xr:uid="{F03362C9-F777-4CCD-9DC1-A17691C199F6}"/>
    <cellStyle name="Normal 35 2" xfId="725" xr:uid="{60C7EA0A-B8E4-461C-ACE7-70250797FAFB}"/>
    <cellStyle name="Normal 35 3" xfId="726" xr:uid="{F1EA3901-9521-462F-A43A-495C8910B6EB}"/>
    <cellStyle name="Normal 35 3 2" xfId="1265" xr:uid="{07007F36-7487-4221-80C7-5EDEC61363EE}"/>
    <cellStyle name="Normal 35 4" xfId="1514" xr:uid="{632056AE-838A-4A75-AFB2-2C1F6D1428A5}"/>
    <cellStyle name="Normal 36" xfId="727" xr:uid="{165B3E40-2854-476B-9E66-4EB8BDF36697}"/>
    <cellStyle name="Normal 36 2" xfId="728" xr:uid="{206A5284-BFE6-49B6-BF94-6BE95526BF80}"/>
    <cellStyle name="Normal 36 3" xfId="1648" xr:uid="{BFA374FB-FE39-4349-AD38-AE2FCCDAED06}"/>
    <cellStyle name="Normal 37" xfId="729" xr:uid="{EB5DF1CC-AC50-4DA5-98F3-D69242A8AB5C}"/>
    <cellStyle name="Normal 37 2" xfId="1662" xr:uid="{D5B8D3C4-8D3F-4D96-B98B-366B0008AD1A}"/>
    <cellStyle name="Normal 37 3" xfId="1334" xr:uid="{4DBBA00E-0BAB-4FDC-A212-CE935807EE99}"/>
    <cellStyle name="Normal 37 4" xfId="1237" xr:uid="{2AB5D018-C714-4736-A809-D9313FDC9ED9}"/>
    <cellStyle name="Normal 38" xfId="730" xr:uid="{E211F9FF-7E9A-4C72-B203-E4AF79D9977F}"/>
    <cellStyle name="Normal 38 2" xfId="1793" xr:uid="{0DF14596-2980-49B3-89CC-F55D87AACF50}"/>
    <cellStyle name="Normal 38 3" xfId="1240" xr:uid="{7CE81E59-9713-48A0-A9DB-A47208743195}"/>
    <cellStyle name="Normal 39" xfId="731" xr:uid="{AB0630C2-DE92-41B5-AFCE-CF1FF35E3F93}"/>
    <cellStyle name="Normal 39 2" xfId="1794" xr:uid="{4926D279-5AF1-43BA-BC87-EDE3A0B01672}"/>
    <cellStyle name="Normal 39 3" xfId="1536" xr:uid="{C12A8356-02C9-40A3-85A6-F29057E0DAFA}"/>
    <cellStyle name="Normal 39 4" xfId="1241" xr:uid="{7D6EECBB-8821-4F59-9794-A7C03DDFDF84}"/>
    <cellStyle name="Normal 4" xfId="732" xr:uid="{E3770947-6876-4DBB-9CA6-616FCA65BA7C}"/>
    <cellStyle name="Normal 4 2" xfId="733" xr:uid="{8E6208AE-203C-40A7-8A7C-EE8403C1D330}"/>
    <cellStyle name="Normal 4 2 2" xfId="734" xr:uid="{916EF72F-CB5D-4F3C-B17C-F5A413E0E12A}"/>
    <cellStyle name="Normal 4 2 2 2" xfId="1411" xr:uid="{F4F3518F-E33C-464E-AB1D-4CF844A92CC6}"/>
    <cellStyle name="Normal 4 2 3" xfId="1336" xr:uid="{B04A52A5-9AEC-480D-B966-2DF1BF23F9AF}"/>
    <cellStyle name="Normal 4 2 4" xfId="1337" xr:uid="{3B09F522-6471-4608-809D-A64C71460153}"/>
    <cellStyle name="Normal 4 2 5" xfId="1410" xr:uid="{EBABC754-6D10-4712-BE5A-5096E68DFFF5}"/>
    <cellStyle name="Normal 4 2 6" xfId="1335" xr:uid="{289E46F1-7D99-458A-81AE-57E3C2FEBFB0}"/>
    <cellStyle name="Normal 4 2 7" xfId="4396" xr:uid="{064DF850-51FA-47AB-8CF3-986126717C46}"/>
    <cellStyle name="Normal 4 3" xfId="735" xr:uid="{03171540-5580-478E-933D-A3FE588BC118}"/>
    <cellStyle name="Normal 4 3 2" xfId="1339" xr:uid="{A6240BB5-1D6F-43B3-95C7-8A48770F78E1}"/>
    <cellStyle name="Normal 4 3 3" xfId="1501" xr:uid="{A895C931-52E7-4000-8888-DB7818BCB58A}"/>
    <cellStyle name="Normal 4 3 4" xfId="1338" xr:uid="{6BA65796-645D-4277-A69F-392AE4DC2C60}"/>
    <cellStyle name="Normal 4 4" xfId="736" xr:uid="{80C580FE-E15E-4B3F-91F7-A79B64F95A61}"/>
    <cellStyle name="Normal 4 4 2" xfId="1341" xr:uid="{B1D0E80A-A87E-4790-95CE-593DA14A3DD8}"/>
    <cellStyle name="Normal 4 4 3" xfId="1340" xr:uid="{E3341A3C-8866-467E-805F-25D25D786C0C}"/>
    <cellStyle name="Normal 4 5" xfId="737" xr:uid="{1309C9B2-5F99-4C0C-AA8C-FDEEEEE0DB39}"/>
    <cellStyle name="Normal 4 5 2" xfId="1343" xr:uid="{EA084EB5-D0BC-41C3-A9D2-FAB14BB3177A}"/>
    <cellStyle name="Normal 4 5 3" xfId="1641" xr:uid="{EDBB07DB-9AFC-450D-A871-C755B0257821}"/>
    <cellStyle name="Normal 4 5 4" xfId="1342" xr:uid="{9694B689-5A13-45F6-91E1-BBD37C850032}"/>
    <cellStyle name="Normal 4 6" xfId="738" xr:uid="{AEBB6424-BD22-485F-B4A7-40D0A1BD4E37}"/>
    <cellStyle name="Normal 4 6 2" xfId="1659" xr:uid="{EABB48CB-8106-48B0-A66B-4A5037395EF8}"/>
    <cellStyle name="Normal 4 6 3" xfId="1344" xr:uid="{D793F23F-62F9-40A2-988E-75302C339186}"/>
    <cellStyle name="Normal 4 7" xfId="1101" xr:uid="{F3832738-AAF7-4078-BBC7-9A165A1E266F}"/>
    <cellStyle name="Normal 4 7 2" xfId="1520" xr:uid="{2B8C5194-ACB8-43C7-96D5-92CB7DA04BB8}"/>
    <cellStyle name="Normal 4 7 3" xfId="1345" xr:uid="{DFABD87E-4FC1-4DDC-B154-E35DDAE8EFAE}"/>
    <cellStyle name="Normal 4 8" xfId="1402" xr:uid="{E8BBB6B6-2F65-40AA-AFBB-EA46A82053F2}"/>
    <cellStyle name="Normal 4 9" xfId="1859" xr:uid="{515EACF9-20C0-425E-914F-F866A87BB9A7}"/>
    <cellStyle name="Normal 40" xfId="739" xr:uid="{DBEBC481-4263-427E-9103-DE3A4FB3A4FC}"/>
    <cellStyle name="Normal 40 2" xfId="1801" xr:uid="{2886E85B-6B72-4D2B-B7E8-0D30F378081B}"/>
    <cellStyle name="Normal 40 3" xfId="1665" xr:uid="{BA0E9BA7-786A-4C3C-81B8-2C82A056B09D}"/>
    <cellStyle name="Normal 40 4" xfId="1266" xr:uid="{ADF2D6B5-7B8A-41A7-BEA8-E087ACAB2A19}"/>
    <cellStyle name="Normal 41" xfId="1826" xr:uid="{ADF3EBE8-AC80-43C2-A42C-06B84D4A7F93}"/>
    <cellStyle name="Normal 41 2" xfId="2075" xr:uid="{F95F3C8F-524D-41D6-8336-2E4C31CF61A4}"/>
    <cellStyle name="Normal 41 2 2" xfId="3052" xr:uid="{14EF61AF-0F80-4996-9438-C623D8CB9740}"/>
    <cellStyle name="Normal 41 3" xfId="2581" xr:uid="{34A01E7C-5936-4095-973B-592DFC34295C}"/>
    <cellStyle name="Normal 42" xfId="1834" xr:uid="{874E4341-1E84-4EE8-8597-AF29ECC0CCC1}"/>
    <cellStyle name="Normal 42 2" xfId="3045" xr:uid="{9CDD3FBD-EA0A-44DE-A8EE-4A8210074CE0}"/>
    <cellStyle name="Normal 5" xfId="740" xr:uid="{34322A72-A5AC-408E-9728-EEDAD289BAD1}"/>
    <cellStyle name="Normal 5 10" xfId="1093" xr:uid="{C0C4DCEC-D1E9-4301-86A2-4FB1AFF74FFE}"/>
    <cellStyle name="Normal 5 11" xfId="1346" xr:uid="{1C50BA00-5E96-4CC7-A336-49F4A42DEE98}"/>
    <cellStyle name="Normal 5 12" xfId="1069" xr:uid="{920A0F6F-CA45-410E-986D-35A7F20B203D}"/>
    <cellStyle name="Normal 5 13" xfId="1860" xr:uid="{82189FEA-BDDF-4A61-A230-F8470549A0A0}"/>
    <cellStyle name="Normal 5 2" xfId="741" xr:uid="{791C9832-A5B2-4B69-84C1-56288D693A5D}"/>
    <cellStyle name="Normal 5 2 2" xfId="742" xr:uid="{02DB9983-6334-4503-9144-67B67F001811}"/>
    <cellStyle name="Normal 5 2 2 2" xfId="1478" xr:uid="{84430206-85CC-4281-A05A-3DD22873609F}"/>
    <cellStyle name="Normal 5 2 2 3" xfId="1348" xr:uid="{0FA1CD43-A444-4CDE-AF83-78A521C12CC8}"/>
    <cellStyle name="Normal 5 2 3" xfId="743" xr:uid="{2B3FDCD6-5E56-434E-9612-7327169F8B21}"/>
    <cellStyle name="Normal 5 2 4" xfId="744" xr:uid="{E408D711-FA1C-40EA-8F07-41645B0A8A84}"/>
    <cellStyle name="Normal 5 2 5" xfId="1347" xr:uid="{531C95E5-57F5-4A5C-B230-4DB9FB6A0C9D}"/>
    <cellStyle name="Normal 5 2 6" xfId="1072" xr:uid="{B2D9052C-0731-4050-8EBB-2F4F564EBF86}"/>
    <cellStyle name="Normal 5 2 7" xfId="4397" xr:uid="{0E1D0477-3362-46DA-A31A-ACC9DA230AC4}"/>
    <cellStyle name="Normal 5 3" xfId="745" xr:uid="{0A9991BE-8F50-454B-A7E5-A2067F37E09C}"/>
    <cellStyle name="Normal 5 3 2" xfId="746" xr:uid="{9586BD0E-CD8F-4871-8016-1DEAEED50313}"/>
    <cellStyle name="Normal 5 3 2 2" xfId="1799" xr:uid="{73A31EE6-F181-4A0B-904D-505518AFC6A4}"/>
    <cellStyle name="Normal 5 3 2 3" xfId="1456" xr:uid="{FBB58D5E-F0A9-46A6-AB0F-E4E2ACCE0E75}"/>
    <cellStyle name="Normal 5 4" xfId="747" xr:uid="{04311827-B026-40B2-93D7-7054FBEC7BF3}"/>
    <cellStyle name="Normal 5 5" xfId="748" xr:uid="{2993637C-EC6C-44DC-9AE1-2E75E42ED6FB}"/>
    <cellStyle name="Normal 5 5 2" xfId="1500" xr:uid="{7B45A588-2E08-4DB6-97FD-1DAB86F01A95}"/>
    <cellStyle name="Normal 5 5 3" xfId="1406" xr:uid="{10EEAD17-3F5F-4329-B5E7-5D6414E77CDE}"/>
    <cellStyle name="Normal 5 6" xfId="749" xr:uid="{73F0C8B1-865C-4170-A828-CD097B823DF7}"/>
    <cellStyle name="Normal 5 7" xfId="750" xr:uid="{8352C1B2-611E-481E-8D3E-398D9372C043}"/>
    <cellStyle name="Normal 5 8" xfId="751" xr:uid="{B5B3E2E3-2BBC-4869-858D-0D90CF514A77}"/>
    <cellStyle name="Normal 5 9" xfId="752" xr:uid="{7CB19EA4-AE11-4C76-8E16-A7AAD0C6F9AE}"/>
    <cellStyle name="Normal 6" xfId="753" xr:uid="{F085B98E-32AC-4137-BB44-4AC9CAF52E9A}"/>
    <cellStyle name="Normal 6 10" xfId="1349" xr:uid="{72233DE7-667F-47BB-8B69-FC5D9B0A1EB7}"/>
    <cellStyle name="Normal 6 11" xfId="1408" xr:uid="{94D7F8A9-AF1B-4BE3-BE35-881D43F773DB}"/>
    <cellStyle name="Normal 6 12" xfId="1479" xr:uid="{87D7B993-C005-4B61-ABDA-60BDF438D36B}"/>
    <cellStyle name="Normal 6 13" xfId="1862" xr:uid="{760D99A8-35B4-4F66-9E0E-F834504EE550}"/>
    <cellStyle name="Normal 6 14" xfId="4398" xr:uid="{A4F4980E-8404-4BAA-9D24-3B87342B01DD}"/>
    <cellStyle name="Normal 6 2" xfId="754" xr:uid="{D1457926-11FA-4FDB-A2EF-690704B9F29E}"/>
    <cellStyle name="Normal 6 2 2" xfId="1351" xr:uid="{ACED4942-4819-4301-8E92-F5E848F9A8BA}"/>
    <cellStyle name="Normal 6 2 3" xfId="1352" xr:uid="{493D10AB-76B6-46AE-85A8-FA6DD6A2A7F4}"/>
    <cellStyle name="Normal 6 2 4" xfId="1457" xr:uid="{95F76266-0565-47A5-A8AA-512DB1D22503}"/>
    <cellStyle name="Normal 6 2 5" xfId="1350" xr:uid="{D563BEF6-81D2-4671-BD27-E15B0B5523C6}"/>
    <cellStyle name="Normal 6 3" xfId="755" xr:uid="{C2AA8936-55E3-4954-928D-88B85448F009}"/>
    <cellStyle name="Normal 6 3 2" xfId="756" xr:uid="{F5F8B890-1CB8-4097-A666-572AEAF9A0C3}"/>
    <cellStyle name="Normal 6 3 2 2" xfId="1798" xr:uid="{AFBFBFAC-495D-40E2-A2EA-B25B64145040}"/>
    <cellStyle name="Normal 6 3 2 3" xfId="1461" xr:uid="{1B5318D7-9904-497A-897F-BDCD0E7D773B}"/>
    <cellStyle name="Normal 6 4" xfId="757" xr:uid="{7ACED341-2A6B-4519-8A3C-AD4AECDF4DB7}"/>
    <cellStyle name="Normal 6 4 2" xfId="1450" xr:uid="{390338B0-736D-46B0-A332-CB2D0D699630}"/>
    <cellStyle name="Normal 6 4 3" xfId="1494" xr:uid="{BA032091-F09F-4D51-8060-88B6EDCF3C73}"/>
    <cellStyle name="Normal 6 4 4" xfId="1353" xr:uid="{C033AD5A-5284-48AA-BF13-27EEDC7DE025}"/>
    <cellStyle name="Normal 6 5" xfId="758" xr:uid="{F3255315-94CC-4107-8A8D-08B90BAA0061}"/>
    <cellStyle name="Normal 6 6" xfId="759" xr:uid="{B75D61FE-BAA9-4346-A332-BAF495A52645}"/>
    <cellStyle name="Normal 6 6 2" xfId="1642" xr:uid="{58640161-1D70-4655-8B39-46043B5D354F}"/>
    <cellStyle name="Normal 6 6 3" xfId="1354" xr:uid="{5B69CB79-B512-4DCD-945B-25D81291266C}"/>
    <cellStyle name="Normal 6 7" xfId="760" xr:uid="{3332F31B-7D96-43CE-8E20-F958B89F0539}"/>
    <cellStyle name="Normal 6 7 2" xfId="1660" xr:uid="{2392E270-C0DF-48EF-BF79-7AE96F58C818}"/>
    <cellStyle name="Normal 6 7 3" xfId="1355" xr:uid="{B5BF3B7C-F8B3-4ECD-AF7A-DC11F631F1E5}"/>
    <cellStyle name="Normal 6 8" xfId="1098" xr:uid="{ECB2A501-6E67-42A5-A197-8D3855B23A14}"/>
    <cellStyle name="Normal 6 8 2" xfId="1522" xr:uid="{6F836C88-FFB8-497F-A24D-AFC83DC9C4FD}"/>
    <cellStyle name="Normal 6 8 3" xfId="1356" xr:uid="{87E389AE-96EB-417C-BAC8-464BC4A3185B}"/>
    <cellStyle name="Normal 6 9" xfId="1357" xr:uid="{CE0AB809-85A5-4D5B-954F-57CAAF34EA7D}"/>
    <cellStyle name="Normal 7" xfId="761" xr:uid="{98266B28-48C8-4456-AB45-F3812E2F0D7F}"/>
    <cellStyle name="Normal 7 10" xfId="1486" xr:uid="{5A64B1E1-5F84-44D6-B857-88262688F4FB}"/>
    <cellStyle name="Normal 7 10 2" xfId="2157" xr:uid="{3D76FE6C-428D-412C-819C-9C6A23AACED5}"/>
    <cellStyle name="Normal 7 11" xfId="1489" xr:uid="{D77441B0-9A8C-47FE-9A16-CC911C3C026B}"/>
    <cellStyle name="Normal 7 11 2" xfId="2158" xr:uid="{8281E156-C716-4254-B669-63C2801B3E96}"/>
    <cellStyle name="Normal 7 12" xfId="1663" xr:uid="{48AB2073-3456-48CD-848C-908BD2CA24E8}"/>
    <cellStyle name="Normal 7 13" xfId="1686" xr:uid="{5815A974-B24C-476D-A3BF-F804D6BA3F2F}"/>
    <cellStyle name="Normal 7 13 2" xfId="2159" xr:uid="{63C70293-84B5-44A2-BBAD-7FD2AFADE39A}"/>
    <cellStyle name="Normal 7 14" xfId="1358" xr:uid="{0FCEA5D5-403C-4EFE-ACA6-80C460C3CCF2}"/>
    <cellStyle name="Normal 7 15" xfId="1805" xr:uid="{CA021F9B-5943-4213-8E07-20ED5920908D}"/>
    <cellStyle name="Normal 7 15 2" xfId="2054" xr:uid="{740C4F06-5536-4A7E-8F9D-FD24E6548AF7}"/>
    <cellStyle name="Normal 7 16" xfId="1864" xr:uid="{7F0B0F91-060A-46B0-9351-E2EA730B6997}"/>
    <cellStyle name="Normal 7 17" xfId="2171" xr:uid="{B44C6C56-5BAE-4364-83A4-223AAEC8C86D}"/>
    <cellStyle name="Normal 7 17 2" xfId="3054" xr:uid="{03261195-2159-41A7-9460-82E3A01C50ED}"/>
    <cellStyle name="Normal 7 18" xfId="1837" xr:uid="{205D0A33-9F2F-4382-BDEC-78F23B5E0E37}"/>
    <cellStyle name="Normal 7 18 2" xfId="3043" xr:uid="{DCF04764-A23A-4F75-9D21-5D83227D0E36}"/>
    <cellStyle name="Normal 7 19" xfId="4399" xr:uid="{6BE0BD20-3431-4F81-8001-737FFE4C9644}"/>
    <cellStyle name="Normal 7 2" xfId="762" xr:uid="{5E201B81-5B05-4454-A320-1DB5AD6181EB}"/>
    <cellStyle name="Normal 7 2 2" xfId="763" xr:uid="{82C66033-F52C-48D8-80A8-595BACC1BEAA}"/>
    <cellStyle name="Normal 7 2 2 2" xfId="1800" xr:uid="{563B57D9-ECA6-4176-A232-6C29213B137F}"/>
    <cellStyle name="Normal 7 2 2 3" xfId="1480" xr:uid="{1B38849F-21D1-4EA5-8F5F-D83E0C5BCBBC}"/>
    <cellStyle name="Normal 7 3" xfId="764" xr:uid="{BEFF063C-7DDE-4717-AC99-DBDBF03E10CC}"/>
    <cellStyle name="Normal 7 3 2" xfId="1499" xr:uid="{D78630DE-4F4C-4374-ABC1-6E94EFBA5D4F}"/>
    <cellStyle name="Normal 7 3 3" xfId="1359" xr:uid="{BBF5DC55-AAF7-4B7D-8590-FE8641829C13}"/>
    <cellStyle name="Normal 7 4" xfId="765" xr:uid="{5970C030-DA72-4CFB-8AD4-1CBC421D2F63}"/>
    <cellStyle name="Normal 7 5" xfId="766" xr:uid="{98BE7287-F3DA-4DAD-95E1-8CFE3C4248B1}"/>
    <cellStyle name="Normal 7 5 2" xfId="767" xr:uid="{B9183E0A-12DF-46DA-960D-3025C2D63C53}"/>
    <cellStyle name="Normal 7 5 3" xfId="1596" xr:uid="{535A828B-D500-44FA-85CB-E018D321C560}"/>
    <cellStyle name="Normal 7 5 4" xfId="1360" xr:uid="{B64E46C0-C032-479E-971F-28F553D4D93E}"/>
    <cellStyle name="Normal 7 6" xfId="768" xr:uid="{E7D81215-E1B2-4732-8766-361BF8EED977}"/>
    <cellStyle name="Normal 7 6 2" xfId="1796" xr:uid="{16978228-53DD-4813-8C1D-F9BD01C8744C}"/>
    <cellStyle name="Normal 7 6 3" xfId="1361" xr:uid="{8A1161ED-4792-4A00-B69A-62F7F7830515}"/>
    <cellStyle name="Normal 7 6 4" xfId="1244" xr:uid="{5BFBF939-A2C2-490A-BFCA-CD50A2484E8C}"/>
    <cellStyle name="Normal 7 7" xfId="1094" xr:uid="{B12F2D06-06CC-42FF-948B-D85950DD38E0}"/>
    <cellStyle name="Normal 7 7 2" xfId="1708" xr:uid="{13405890-90C5-44F4-9C50-E77D42BDF1A8}"/>
    <cellStyle name="Normal 7 7 3" xfId="1362" xr:uid="{C513A7C9-FAF6-47CC-83AC-277A5D43C292}"/>
    <cellStyle name="Normal 7 8" xfId="1363" xr:uid="{09F58F38-C589-4DE9-B2E7-AF5E17B7291F}"/>
    <cellStyle name="Normal 7 9" xfId="1481" xr:uid="{2F636C80-DD7A-43E7-8E2E-0DA87377EE4D}"/>
    <cellStyle name="Normal 8" xfId="769" xr:uid="{5EBF213D-895D-4246-AD5D-E9FC8E2C4EA2}"/>
    <cellStyle name="Normal 8 2" xfId="770" xr:uid="{480A8A36-54CA-4DAD-908F-BD04B2E9CE5A}"/>
    <cellStyle name="Normal 8 2 2" xfId="1482" xr:uid="{BFD055D7-2CF5-4F50-9BD8-C63D376062F0}"/>
    <cellStyle name="Normal 8 2 3" xfId="1365" xr:uid="{7A4B8E4F-BE2E-494A-BF6E-68C8BAAD8C51}"/>
    <cellStyle name="Normal 8 3" xfId="771" xr:uid="{75E46316-04FA-4FB4-9690-BADAB1D30DCA}"/>
    <cellStyle name="Normal 8 3 2" xfId="1498" xr:uid="{D5E88436-94AC-4F01-80CE-E46F9730E1E9}"/>
    <cellStyle name="Normal 8 3 3" xfId="1364" xr:uid="{CD81718A-FC74-4A86-95A5-9EEB4F461397}"/>
    <cellStyle name="Normal 8 4" xfId="772" xr:uid="{1B9AEF2B-B1B3-4C74-8FCC-67D1C6969AFC}"/>
    <cellStyle name="Normal 8 4 2" xfId="1620" xr:uid="{2089135B-B638-4473-8D3B-817676849FC1}"/>
    <cellStyle name="Normal 8 4 3" xfId="1483" xr:uid="{9BED7229-0311-4BBC-A27F-646CB41E96F9}"/>
    <cellStyle name="Normal 8 5" xfId="1491" xr:uid="{DD763889-9184-4385-960F-CD4D920655E3}"/>
    <cellStyle name="Normal 8 6" xfId="1664" xr:uid="{CBCB0A67-B3B6-44BE-B5B7-B2D2F67AF24D}"/>
    <cellStyle name="Normal 8 7" xfId="1707" xr:uid="{7BD330FB-4929-4194-9D09-5E4D61141016}"/>
    <cellStyle name="Normal 8 7 2" xfId="2160" xr:uid="{4B6D519F-F450-4120-B962-4DC7F5F2406B}"/>
    <cellStyle name="Normal 8 8" xfId="1139" xr:uid="{4EB337FA-4884-4DF2-BA2C-432F8194C5EA}"/>
    <cellStyle name="Normal 9" xfId="773" xr:uid="{707477A1-0989-4720-A1E7-815E5712F11C}"/>
    <cellStyle name="Normal 9 2" xfId="774" xr:uid="{50EF4EA9-6E58-4729-9BF0-A9B89FD9800A}"/>
    <cellStyle name="Normal 9 2 2" xfId="1497" xr:uid="{0A08AAF8-66E2-4604-B2B2-0B8C882EFE6C}"/>
    <cellStyle name="Normal 9 2 3" xfId="1367" xr:uid="{D8BCDE55-CC27-49CB-A569-ACA41D7EBD6A}"/>
    <cellStyle name="Normal 9 3" xfId="775" xr:uid="{D075645C-0CC1-4480-9DDE-E6641AC3A5E3}"/>
    <cellStyle name="Normal 9 3 2" xfId="1616" xr:uid="{A09C8265-7DA0-4022-907F-37520B42E1FF}"/>
    <cellStyle name="Normal 9 3 3" xfId="1368" xr:uid="{F0A008DA-6E49-400B-BA73-F838EB0221D4}"/>
    <cellStyle name="Normal 9 4" xfId="1484" xr:uid="{49C2182E-C5F1-4843-A6FB-1190637DBBDC}"/>
    <cellStyle name="Normal 9 5" xfId="1492" xr:uid="{B63D1B5C-46D3-42B3-BEBF-8A478A92F6DE}"/>
    <cellStyle name="Normal 9 6" xfId="1366" xr:uid="{B75816DD-75A2-4A1A-B818-B48542E133B4}"/>
    <cellStyle name="Note" xfId="929" builtinId="10" customBuiltin="1"/>
    <cellStyle name="Note 2" xfId="1369" xr:uid="{D399A749-F9A3-4B45-A21F-FDC7BED2524F}"/>
    <cellStyle name="Note 3" xfId="1370" xr:uid="{AAD5372C-0F73-4A56-AA38-13049C3F002F}"/>
    <cellStyle name="OneOrderValueEur" xfId="776" xr:uid="{C3878724-F855-47E9-977B-D54E6D88C06C}"/>
    <cellStyle name="OneQty" xfId="777" xr:uid="{3491B012-90E2-44C0-8E76-3E546D53107F}"/>
    <cellStyle name="OrderValueEur" xfId="778" xr:uid="{F5B1201E-A882-4118-B085-A664AE4A88ED}"/>
    <cellStyle name="Output" xfId="924" builtinId="21" customBuiltin="1"/>
    <cellStyle name="Output 2" xfId="1371" xr:uid="{737AA498-7E3C-42A7-A089-DF7AAA972B6B}"/>
    <cellStyle name="Percent" xfId="47" builtinId="5"/>
    <cellStyle name="Percent 2" xfId="43" xr:uid="{B830A234-C2A9-42EC-8D11-65974F13C9C0}"/>
    <cellStyle name="Percent 2 2" xfId="779" xr:uid="{B79A6F93-B373-4E0E-A2BE-D44448E0D713}"/>
    <cellStyle name="Percent 2 2 2" xfId="1375" xr:uid="{618EA53F-0640-4EEB-AB47-4F5B8E4C3EFD}"/>
    <cellStyle name="Percent 2 2 3" xfId="1376" xr:uid="{7F5CB6BE-AE45-4027-9C97-84C5D4A05A28}"/>
    <cellStyle name="Percent 2 2 4" xfId="1458" xr:uid="{8D2306E8-081E-46CB-ADCD-FB36AC8E8CF1}"/>
    <cellStyle name="Percent 2 2 5" xfId="1374" xr:uid="{7E227FB8-C22A-437D-B386-3956B38010E5}"/>
    <cellStyle name="Percent 2 3" xfId="780" xr:uid="{238755C2-E25A-440C-9C28-DE8280CE0C82}"/>
    <cellStyle name="Percent 2 3 2" xfId="1378" xr:uid="{ACB07969-58E7-4113-AE7C-E26774744B1C}"/>
    <cellStyle name="Percent 2 3 3" xfId="1379" xr:uid="{9D2CC229-EB21-4AB0-9724-AB1DCA270F82}"/>
    <cellStyle name="Percent 2 3 4" xfId="1462" xr:uid="{CC86BB73-6EB7-459C-9882-DC76018609D4}"/>
    <cellStyle name="Percent 2 3 5" xfId="1485" xr:uid="{376E5AB9-1392-481A-86FD-808298070FEC}"/>
    <cellStyle name="Percent 2 3 6" xfId="1377" xr:uid="{2360131B-36D0-4C8B-A02E-21A587A1B24F}"/>
    <cellStyle name="Percent 2 4" xfId="781" xr:uid="{6DE680CC-6095-492D-B931-855BE24B7932}"/>
    <cellStyle name="Percent 2 4 2" xfId="1432" xr:uid="{DE19D0E7-BE82-4A11-AA90-9616B96D2AC6}"/>
    <cellStyle name="Percent 2 4 3" xfId="1380" xr:uid="{0CAB20F3-C853-428E-9399-A576060A54BB}"/>
    <cellStyle name="Percent 2 5" xfId="782" xr:uid="{C92D5999-8572-4E43-9D10-F7EC329770F0}"/>
    <cellStyle name="Percent 2 5 2" xfId="1640" xr:uid="{D4F492AE-1418-438A-928A-7C471ADF3D0F}"/>
    <cellStyle name="Percent 2 5 3" xfId="1381" xr:uid="{2FA3BC64-30D7-43B3-8FB5-430603BAD79C}"/>
    <cellStyle name="Percent 2 6" xfId="783" xr:uid="{40EEE3A5-15BE-4159-A457-9904C16D76AB}"/>
    <cellStyle name="Percent 2 7" xfId="1373" xr:uid="{D1079AE7-A919-41DF-93F0-7754AC5FC41E}"/>
    <cellStyle name="Percent 2 8" xfId="1070" xr:uid="{095A6427-8C24-48C6-8419-BC266BD70580}"/>
    <cellStyle name="Percent 3" xfId="784" xr:uid="{7A6AE483-D4E7-41EB-9530-C0DE3D3C94D9}"/>
    <cellStyle name="Percent 3 2" xfId="1383" xr:uid="{DFDDC6D9-8069-4164-A2CE-0C2E95757DEF}"/>
    <cellStyle name="Percent 3 3" xfId="1384" xr:uid="{79F3DB62-88E4-44A0-8076-BD0259AD4BCC}"/>
    <cellStyle name="Percent 3 4" xfId="1407" xr:uid="{4AB791A0-63B5-4BDC-9286-FEEED9B3A47D}"/>
    <cellStyle name="Percent 3 5" xfId="1382" xr:uid="{53E017FC-AF28-4C21-B0F7-A341D7DDF349}"/>
    <cellStyle name="Percent 4" xfId="1385" xr:uid="{94BD6714-328F-41D6-BD3D-4200C0CB07A2}"/>
    <cellStyle name="Percent 4 2" xfId="1386" xr:uid="{987C5D23-3F22-487F-A9A7-338CD088C49E}"/>
    <cellStyle name="Percent 4 3" xfId="1387" xr:uid="{235D5045-FAF9-4A5B-B8E5-B2E2EF53B4D3}"/>
    <cellStyle name="Percent 5" xfId="1388" xr:uid="{5A38ECDE-096E-4E66-BF53-47701ABC1667}"/>
    <cellStyle name="Percent 6" xfId="1372" xr:uid="{2C421189-BD69-4BFB-8A1E-27113D9445CC}"/>
    <cellStyle name="Pourcentage 2" xfId="1143" xr:uid="{F04DA9C1-F579-472E-B80D-0E6576759E6E}"/>
    <cellStyle name="SAPBorder" xfId="22" xr:uid="{AD2BCE00-D014-4E42-BAD2-B2001AE821DE}"/>
    <cellStyle name="SAPDataCell" xfId="4" xr:uid="{AE52AA99-2EBF-45FE-B3B4-EFD21E4A4BFB}"/>
    <cellStyle name="SAPDataRemoved" xfId="23" xr:uid="{8A73F777-1A42-419B-843C-5F5439B775DA}"/>
    <cellStyle name="SAPDataTotalCell" xfId="5" xr:uid="{130AF5EC-8E80-487E-94F9-161B60C2BA7A}"/>
    <cellStyle name="SAPDimensionCell" xfId="3" xr:uid="{A9C32C39-C6FC-44D7-BA70-496BD358E79E}"/>
    <cellStyle name="SAPEditableDataCell" xfId="7" xr:uid="{A4FBDEFA-A066-4039-BE67-78A2C6A600ED}"/>
    <cellStyle name="SAPEditableDataCell 2" xfId="1430" xr:uid="{DA481FFA-B4B7-46A2-981D-F8EFD80E337D}"/>
    <cellStyle name="SAPEditableDataCell 3" xfId="1389" xr:uid="{84461EBB-9B21-45C5-8D7E-E7995E7B4530}"/>
    <cellStyle name="SAPEditableDataTotalCell" xfId="10" xr:uid="{E718F9AE-9A1D-4C41-AA7B-F30E10A8D98D}"/>
    <cellStyle name="SAPEditableDataTotalCell 2" xfId="1429" xr:uid="{D299B3A8-0CC9-438A-B348-A3C28BCCD18D}"/>
    <cellStyle name="SAPEditableDataTotalCell 3" xfId="1390" xr:uid="{39E8CD9E-B87D-4F63-A505-223B71270B21}"/>
    <cellStyle name="SAPEmphasized" xfId="33" xr:uid="{F955B4F0-DA12-4285-B8AC-4D32AD3763AA}"/>
    <cellStyle name="SAPEmphasizedEditableDataCell" xfId="35" xr:uid="{5DB1B98C-276E-4405-B1D3-1AB50B183BB7}"/>
    <cellStyle name="SAPEmphasizedEditableDataTotalCell" xfId="36" xr:uid="{8D6D1731-421C-425E-AC01-87ACEDE6D262}"/>
    <cellStyle name="SAPEmphasizedLockedDataCell" xfId="39" xr:uid="{49E4F061-CAAE-4014-82FE-1B2E535218BE}"/>
    <cellStyle name="SAPEmphasizedLockedDataTotalCell" xfId="40" xr:uid="{39C5DB1D-C356-483F-A253-4D725971A139}"/>
    <cellStyle name="SAPEmphasizedReadonlyDataCell" xfId="37" xr:uid="{1CD91E31-8E13-4909-AF70-2449F935C84D}"/>
    <cellStyle name="SAPEmphasizedReadonlyDataTotalCell" xfId="38" xr:uid="{C419A279-2069-40DD-9631-130C63C50BC8}"/>
    <cellStyle name="SAPEmphasizedTotal" xfId="34" xr:uid="{BCC70CA5-ECC7-4871-8EAD-9DC558A18F98}"/>
    <cellStyle name="SAPError" xfId="24" xr:uid="{6B2C6D5A-C506-416B-9A76-896312030032}"/>
    <cellStyle name="SAPExceptionLevel1" xfId="13" xr:uid="{157BECCF-4DBD-4FBC-B2E7-3A78F3D06997}"/>
    <cellStyle name="SAPExceptionLevel2" xfId="14" xr:uid="{4BF0DA3F-6DE7-45B5-AFEC-7C950E7CD9B5}"/>
    <cellStyle name="SAPExceptionLevel3" xfId="15" xr:uid="{A60E6FAB-8503-4C75-8C0A-014DC030AA2C}"/>
    <cellStyle name="SAPExceptionLevel4" xfId="16" xr:uid="{D6EFBE76-5CE7-4DEC-931C-2C77BF9E5D37}"/>
    <cellStyle name="SAPExceptionLevel5" xfId="17" xr:uid="{0F94DE08-1F99-4DB4-919E-8184E69A11ED}"/>
    <cellStyle name="SAPExceptionLevel6" xfId="18" xr:uid="{65983AE4-69C2-4336-86C7-1886D95990D3}"/>
    <cellStyle name="SAPExceptionLevel7" xfId="19" xr:uid="{9FC7F186-654C-4802-AE9A-AC2FFF738847}"/>
    <cellStyle name="SAPExceptionLevel8" xfId="20" xr:uid="{E061B9A8-A06B-4407-BB93-DB2934E02D6F}"/>
    <cellStyle name="SAPExceptionLevel9" xfId="21" xr:uid="{E042AAA8-379D-40C5-A271-5980879E16B3}"/>
    <cellStyle name="SAPFormula" xfId="41" xr:uid="{B775F827-9FB0-47CC-B222-51A57FB20A43}"/>
    <cellStyle name="SAPGroupingFillCell" xfId="6" xr:uid="{F4783B6F-0FA6-45FC-A5AB-22379B8B77AA}"/>
    <cellStyle name="SAPHierarchyCell0" xfId="28" xr:uid="{DB59D747-55D1-4868-8DE2-C6970827B357}"/>
    <cellStyle name="SAPHierarchyCell1" xfId="29" xr:uid="{A20E291F-01A6-4C26-AC1D-5161BB440370}"/>
    <cellStyle name="SAPHierarchyCell2" xfId="30" xr:uid="{F9B8167F-2D9B-4480-8322-152755089DE5}"/>
    <cellStyle name="SAPHierarchyCell3" xfId="31" xr:uid="{46C5EF75-AC5B-49A9-8B9E-82598E4B3418}"/>
    <cellStyle name="SAPHierarchyCell4" xfId="32" xr:uid="{D2820B31-3BC3-42CD-9EED-47F6B60BC32C}"/>
    <cellStyle name="SAPLockedDataCell" xfId="9" xr:uid="{EFBEC57C-74AB-4E2D-9D85-E7E0321D349A}"/>
    <cellStyle name="SAPLockedDataCell 2" xfId="1435" xr:uid="{04ADB5EB-A21B-4736-A867-2CBC167E1F80}"/>
    <cellStyle name="SAPLockedDataCell 3" xfId="1391" xr:uid="{33753CAF-108E-4997-BA29-8B73F7D97B85}"/>
    <cellStyle name="SAPLockedDataTotalCell" xfId="12" xr:uid="{6936C130-5D16-45F6-9996-9D1B7164F7C5}"/>
    <cellStyle name="SAPLockedDataTotalCell 2" xfId="1433" xr:uid="{B7013B02-FF7B-458F-8A04-505A8393632E}"/>
    <cellStyle name="SAPLockedDataTotalCell 3" xfId="1392" xr:uid="{C9409CAE-3DA5-420C-A0F9-3A6CEAAAEA62}"/>
    <cellStyle name="SAPMemberCell" xfId="26" xr:uid="{63C5B531-DB9A-4492-90D0-5F8A57F65C9D}"/>
    <cellStyle name="SAPMemberTotalCell" xfId="27" xr:uid="{2688561C-C5C9-4F9C-A1F1-0C39875ADF94}"/>
    <cellStyle name="SAPMessageText" xfId="25" xr:uid="{8E222954-49F2-4D32-9B83-B91FA2F2C06D}"/>
    <cellStyle name="SAPReadonlyDataCell" xfId="8" xr:uid="{0D386D45-AFED-4755-9597-FA505D7FC37D}"/>
    <cellStyle name="SAPReadonlyDataTotalCell" xfId="11" xr:uid="{8D2D58D8-2A86-4BB0-ACC6-81543EB436D6}"/>
    <cellStyle name="ShortDate" xfId="785" xr:uid="{C8463917-BF6D-413A-BA10-4EFCCE715DBF}"/>
    <cellStyle name="ShortDate 10" xfId="1525" xr:uid="{DF25492D-538A-4093-9EDB-4EEF04BDCEDE}"/>
    <cellStyle name="ShortDate 10 2" xfId="2161" xr:uid="{AF43E648-81DF-4D81-8A58-463FE61D3046}"/>
    <cellStyle name="ShortDate 11" xfId="1668" xr:uid="{C2F5A60F-B84B-4EF9-8479-9CD1F31465E1}"/>
    <cellStyle name="ShortDate 11 2" xfId="2162" xr:uid="{1C0720AC-0D2D-4AAF-8A1B-A1E3C7AEE488}"/>
    <cellStyle name="ShortDate 2" xfId="786" xr:uid="{259A2DCD-1A16-4CCC-94FE-0E2B23B8CFDA}"/>
    <cellStyle name="ShortDate 2 2" xfId="787" xr:uid="{518924D4-0EFA-41D2-97BA-B283CF5DBF77}"/>
    <cellStyle name="ShortDate 2 2 2" xfId="788" xr:uid="{A5E7FC78-C15F-4B90-BB44-77E153E036E0}"/>
    <cellStyle name="ShortDate 2 3" xfId="789" xr:uid="{F766E82F-FFBF-4956-81B1-4DC186B3A877}"/>
    <cellStyle name="ShortDate 2 4" xfId="1414" xr:uid="{3A2DD943-D849-45D1-BF92-A3067E37D468}"/>
    <cellStyle name="ShortDate 3" xfId="790" xr:uid="{7A473B20-0013-4964-90C5-852ACC2FE163}"/>
    <cellStyle name="ShortDate 3 2" xfId="791" xr:uid="{8F932177-380A-403D-BA77-1581BDA6773E}"/>
    <cellStyle name="ShortDate 3 2 2" xfId="792" xr:uid="{178C5612-67D6-42A3-912F-35CA4817C16E}"/>
    <cellStyle name="ShortDate 3 3" xfId="793" xr:uid="{553B39D2-0BBE-40A9-9E5E-539E81CA95F3}"/>
    <cellStyle name="ShortDate 3 4" xfId="1437" xr:uid="{D6127527-DA54-4FAA-B9AB-05FB91216C48}"/>
    <cellStyle name="ShortDate 4" xfId="794" xr:uid="{370C8E48-6922-4BE7-B275-A2095EF1CABC}"/>
    <cellStyle name="ShortDate 4 10" xfId="2174" xr:uid="{FF773900-4058-4E5B-A606-40DAB6362CCE}"/>
    <cellStyle name="ShortDate 4 10 2" xfId="3057" xr:uid="{BC9FE131-EC0C-4BE2-98C7-882517BE7F0C}"/>
    <cellStyle name="ShortDate 4 11" xfId="1840" xr:uid="{F3EB5335-9BBA-476C-8616-E7859F841F16}"/>
    <cellStyle name="ShortDate 4 11 2" xfId="3029" xr:uid="{1BE4BA84-0B1C-462C-9D22-33B7DF73F7F0}"/>
    <cellStyle name="ShortDate 4 12" xfId="4400" xr:uid="{39164FA7-A928-4A4B-99C9-AC3EF75ED570}"/>
    <cellStyle name="ShortDate 4 2" xfId="795" xr:uid="{BDEFFE4A-75C6-4E74-87D3-FB1999667D2F}"/>
    <cellStyle name="ShortDate 4 2 2" xfId="796" xr:uid="{82A49BB5-6A97-4C1F-B392-4CD5F47CACF6}"/>
    <cellStyle name="ShortDate 4 3" xfId="797" xr:uid="{39669AE8-765F-4F92-98CA-81F9BAFFB537}"/>
    <cellStyle name="ShortDate 4 4" xfId="798" xr:uid="{F4D4F412-618B-42BC-8F9C-D8E6D350A0A1}"/>
    <cellStyle name="ShortDate 4 4 2" xfId="799" xr:uid="{81F462A2-AA14-45C7-8420-88A22DFE5A6F}"/>
    <cellStyle name="ShortDate 4 4 3" xfId="1599" xr:uid="{00A3EE5C-AF3A-4D8E-A217-468C321B7614}"/>
    <cellStyle name="ShortDate 4 5" xfId="800" xr:uid="{E2D32DE0-0E5F-42D9-A2AB-043152592245}"/>
    <cellStyle name="ShortDate 4 5 2" xfId="1247" xr:uid="{07A3BFF4-AC79-4EE3-9B18-930C8F07E8DA}"/>
    <cellStyle name="ShortDate 4 6" xfId="1150" xr:uid="{BC8E281C-D432-4A37-A12C-F62CCCD28942}"/>
    <cellStyle name="ShortDate 4 6 2" xfId="1715" xr:uid="{CDF4135C-4E16-4762-8C9B-48C70F62D023}"/>
    <cellStyle name="ShortDate 4 6 3" xfId="1689" xr:uid="{D5285F82-A365-4624-ADAB-439618CA443B}"/>
    <cellStyle name="ShortDate 4 7" xfId="1076" xr:uid="{8FF42DDB-DC6B-44F6-AE7B-A60DC62D6659}"/>
    <cellStyle name="ShortDate 4 8" xfId="1808" xr:uid="{0292830E-C7D8-4B14-B232-6F1B2E018645}"/>
    <cellStyle name="ShortDate 4 8 2" xfId="2057" xr:uid="{1B6613D6-C9EC-4F2D-9E79-20F171348E8A}"/>
    <cellStyle name="ShortDate 4 9" xfId="1872" xr:uid="{50BB3051-0873-4767-B368-952143E51A65}"/>
    <cellStyle name="ShortDate 5" xfId="801" xr:uid="{73C83861-099F-4933-AE73-B74B8BF81221}"/>
    <cellStyle name="ShortDate 5 2" xfId="802" xr:uid="{05153114-EF3F-4249-926B-1A3EB5D7E93C}"/>
    <cellStyle name="ShortDate 6" xfId="803" xr:uid="{89E72FB2-889E-4A9E-8B5A-54D82082F7DA}"/>
    <cellStyle name="ShortDate 6 2" xfId="804" xr:uid="{729BEC98-9782-4A03-B8D0-AD5A7294B82B}"/>
    <cellStyle name="ShortDate 7" xfId="805" xr:uid="{AB314D84-4C87-43D3-9347-E7F610AD5F32}"/>
    <cellStyle name="ShortDate 7 2" xfId="806" xr:uid="{17916DD8-6CE5-4B68-A065-3F28E63B416A}"/>
    <cellStyle name="ShortDate 7 3" xfId="1560" xr:uid="{0DD4467B-664C-4D9A-9742-B7EA90804D63}"/>
    <cellStyle name="ShortDate 8" xfId="807" xr:uid="{DF56FAC7-8DC4-426E-A0E1-F95A1CD41722}"/>
    <cellStyle name="ShortDate 8 2" xfId="1582" xr:uid="{B6552C02-AE6E-4443-BA59-63FDC17D903F}"/>
    <cellStyle name="ShortDate 9" xfId="808" xr:uid="{F410F250-CFBC-467C-8CEE-261B4874F8CD}"/>
    <cellStyle name="ShortDate 9 2" xfId="809" xr:uid="{55075355-1743-4630-8910-D78F1C2567C4}"/>
    <cellStyle name="Standaard 2" xfId="1393" xr:uid="{79CFF255-F3D2-4FDC-B060-D568DEB1ED50}"/>
    <cellStyle name="Standard 2" xfId="1394" xr:uid="{AD49A1C9-2347-4ED8-BBB2-389F7812B853}"/>
    <cellStyle name="Standard 2 2" xfId="1395" xr:uid="{47345E01-B725-439A-8103-7C2C5D40282A}"/>
    <cellStyle name="Standard_sa2_KOMP_Comp_Codes_FnF_51_v5101" xfId="1396" xr:uid="{93FA89C5-9F8A-439F-8BD8-D7231FE55899}"/>
    <cellStyle name="Text" xfId="810" xr:uid="{67A4C63A-2F43-43F2-9A16-6835BF0A1F91}"/>
    <cellStyle name="Text 10" xfId="811" xr:uid="{C05FB8EA-F9C2-474D-A48A-F6ED19876CDB}"/>
    <cellStyle name="Text 10 2" xfId="812" xr:uid="{BE5248EA-9A4C-428E-81C5-E3CF22C0F628}"/>
    <cellStyle name="Text 11" xfId="1527" xr:uid="{12A0172A-A572-4768-B76B-F268ECC13C6F}"/>
    <cellStyle name="Text 11 2" xfId="2163" xr:uid="{70687E8C-A045-429C-BBAA-11EFD3042117}"/>
    <cellStyle name="Text 12" xfId="1666" xr:uid="{F0F6EA38-0D4D-4A7C-A7D2-F4E3181A7BA6}"/>
    <cellStyle name="Text 12 2" xfId="2164" xr:uid="{D4B7E877-5DD8-4089-A15C-DBD8B22EA64A}"/>
    <cellStyle name="Text 2" xfId="813" xr:uid="{0EF17CB3-FD4F-4D93-949C-E77AB7A208A7}"/>
    <cellStyle name="Text 2 2" xfId="814" xr:uid="{06BF7CA0-56CF-4D9F-9B7A-4D08287E35FC}"/>
    <cellStyle name="Text 2 2 2" xfId="815" xr:uid="{FFA536AA-0F43-4D0E-B984-F2BB5807119F}"/>
    <cellStyle name="Text 2 3" xfId="816" xr:uid="{6E279946-D064-4E82-9E32-0E7E13891870}"/>
    <cellStyle name="Text 2 3 2" xfId="817" xr:uid="{5DB00FB3-A52D-4C33-8DA7-8234DAB5E63B}"/>
    <cellStyle name="Text 2 4" xfId="818" xr:uid="{9A7497B0-9DE4-4DCD-84E1-5CE55E2C8564}"/>
    <cellStyle name="Text 3" xfId="819" xr:uid="{F07E4FDE-50C9-4579-B0BB-7648F5D03FD5}"/>
    <cellStyle name="Text 3 2" xfId="820" xr:uid="{1EF9A8C4-5A77-45E7-B50A-041B6CB73861}"/>
    <cellStyle name="Text 4" xfId="821" xr:uid="{D8B02219-05B6-4603-901F-D4DFA7D3020A}"/>
    <cellStyle name="Text 4 2" xfId="822" xr:uid="{540C2983-F3CB-41EA-B830-F847BEAB0CDC}"/>
    <cellStyle name="Text 4 2 2" xfId="823" xr:uid="{55317E26-C781-41D4-A95D-51511C0902FB}"/>
    <cellStyle name="Text 4 3" xfId="824" xr:uid="{15420CAC-E204-4C0C-A952-E28A952FAD75}"/>
    <cellStyle name="Text 5" xfId="825" xr:uid="{4114B60C-DC89-4A5E-A245-E8772DD5BFD3}"/>
    <cellStyle name="Text 5 2" xfId="826" xr:uid="{B4A36AF4-669C-44F5-B3C4-9E59B68F044F}"/>
    <cellStyle name="Text 5 2 2" xfId="827" xr:uid="{D9B6850B-5C10-48DB-B663-AE4DD78FB8DA}"/>
    <cellStyle name="Text 5 3" xfId="828" xr:uid="{27258672-6697-4EE3-BD5C-3777BFC0038D}"/>
    <cellStyle name="Text 5 4" xfId="1451" xr:uid="{973B71C4-DB8E-46E2-A195-20C06C8D946A}"/>
    <cellStyle name="Text 6" xfId="829" xr:uid="{FD037689-69EA-43CC-915E-DD632FAB5EF6}"/>
    <cellStyle name="Text 6 10" xfId="2172" xr:uid="{1D5D0D2F-F4F6-4C44-B3F8-089AEFF48BE6}"/>
    <cellStyle name="Text 6 10 2" xfId="3055" xr:uid="{ED371CCB-D808-49CD-82B5-F1E1F18A9351}"/>
    <cellStyle name="Text 6 11" xfId="1838" xr:uid="{CF04FA8B-27B3-40CE-911F-094F7B54566B}"/>
    <cellStyle name="Text 6 11 2" xfId="3049" xr:uid="{5AF8A586-DFFF-4D69-89B8-9715A466390D}"/>
    <cellStyle name="Text 6 12" xfId="4401" xr:uid="{A41FE8A5-7AA5-4CB9-9DCB-FB823D66E3B2}"/>
    <cellStyle name="Text 6 2" xfId="830" xr:uid="{2D0585C6-32D4-41F5-9909-F2090372D18F}"/>
    <cellStyle name="Text 6 2 2" xfId="831" xr:uid="{A42E3B3D-E8A3-4AF3-B022-98B6F2A295F5}"/>
    <cellStyle name="Text 6 3" xfId="832" xr:uid="{3F331B0B-42DC-4953-A4B9-69FC8767ADDC}"/>
    <cellStyle name="Text 6 4" xfId="833" xr:uid="{4A3B6037-FD70-4875-9024-A9FFEBEC547F}"/>
    <cellStyle name="Text 6 4 2" xfId="834" xr:uid="{6399424C-622D-40FB-9C5A-B287A4986048}"/>
    <cellStyle name="Text 6 4 3" xfId="1597" xr:uid="{419F06AC-1360-4C9C-8527-7F1241A6DFB4}"/>
    <cellStyle name="Text 6 5" xfId="835" xr:uid="{ED79BFA8-630A-4E4C-9046-C41B9F3EF282}"/>
    <cellStyle name="Text 6 5 2" xfId="1245" xr:uid="{7CD84FF3-D132-473E-A41A-C9F1D001E642}"/>
    <cellStyle name="Text 6 6" xfId="1164" xr:uid="{F7022DE2-5F44-4422-963F-CCA98F6551E0}"/>
    <cellStyle name="Text 6 6 2" xfId="1729" xr:uid="{415AC6A7-2C4B-4B4A-BCEC-FAF8003C2869}"/>
    <cellStyle name="Text 6 6 3" xfId="1687" xr:uid="{83F76602-6D42-4213-811A-6018AA4E410A}"/>
    <cellStyle name="Text 6 7" xfId="1074" xr:uid="{669B47CA-AE9F-4E09-A0E7-E63A6F8B5D36}"/>
    <cellStyle name="Text 6 8" xfId="1806" xr:uid="{94649C42-B631-4E95-87B0-C338618EE024}"/>
    <cellStyle name="Text 6 8 2" xfId="2055" xr:uid="{FE4A522C-3A37-4D1B-A17E-875A42E4C2F9}"/>
    <cellStyle name="Text 6 9" xfId="1886" xr:uid="{6C22E81F-75F5-4B31-877C-06594CC40A51}"/>
    <cellStyle name="Text 7" xfId="836" xr:uid="{601A4AE7-2524-4339-88FC-C286FA363B3A}"/>
    <cellStyle name="Text 7 2" xfId="837" xr:uid="{2CB0D9A8-6A92-4944-8EA0-2CE4C28501C3}"/>
    <cellStyle name="Text 8" xfId="838" xr:uid="{3FED2F13-3D2B-4B7E-B0E4-BD0A4B0B963E}"/>
    <cellStyle name="Text 8 2" xfId="839" xr:uid="{E70A1BBF-3774-43DD-841B-0B6F579E0A8F}"/>
    <cellStyle name="Text 8 3" xfId="1558" xr:uid="{B0440A13-CE14-4114-B045-D7AB758D6DC5}"/>
    <cellStyle name="Text 9" xfId="840" xr:uid="{4D7C23E0-9EDB-4B68-B014-368A036A344C}"/>
    <cellStyle name="Text 9 2" xfId="1578" xr:uid="{6435B502-A55C-4CDF-B99C-5B538ED8FF5D}"/>
    <cellStyle name="Time" xfId="841" xr:uid="{B789E15E-D3C1-497F-BF0D-38B7558D0814}"/>
    <cellStyle name="Time 10" xfId="1526" xr:uid="{131BC353-BD38-42CD-A9B4-FE9DBEF5E6E4}"/>
    <cellStyle name="Time 10 2" xfId="2165" xr:uid="{69744EA2-F567-456B-AEE8-40B24A3160D1}"/>
    <cellStyle name="Time 11" xfId="1667" xr:uid="{65C8175B-58CE-42C6-8E6A-D1E25F5C9F53}"/>
    <cellStyle name="Time 11 2" xfId="2166" xr:uid="{521427E7-CA47-461A-A7C3-D5558F3B1C89}"/>
    <cellStyle name="Time 2" xfId="842" xr:uid="{7FBE6ADC-4B97-4AB6-BE7C-68E980A737BA}"/>
    <cellStyle name="Time 2 2" xfId="843" xr:uid="{3298CE3B-FE6C-4637-AECF-126AE630761E}"/>
    <cellStyle name="Time 2 2 2" xfId="844" xr:uid="{298F7E29-5B08-446A-8EB6-89D2E1DB4D9F}"/>
    <cellStyle name="Time 2 3" xfId="845" xr:uid="{C21315C8-ABC3-4E09-9EE2-F80958E6A897}"/>
    <cellStyle name="Time 2 4" xfId="1413" xr:uid="{6D43E7FF-451A-4294-AFFB-6F008D72957A}"/>
    <cellStyle name="Time 3" xfId="846" xr:uid="{CD3F4B04-E9E4-48CE-A14D-FB0FBAD9912D}"/>
    <cellStyle name="Time 3 2" xfId="847" xr:uid="{E8345AB3-5D5C-44B4-9DBE-2D1943DD3F72}"/>
    <cellStyle name="Time 3 2 2" xfId="848" xr:uid="{6022F9D3-DCC2-4131-B08D-5F5E9A4B17CE}"/>
    <cellStyle name="Time 3 3" xfId="849" xr:uid="{7EFEB340-8816-4A74-92E6-04EC76398667}"/>
    <cellStyle name="Time 3 4" xfId="1436" xr:uid="{E36C06A1-9D44-4351-B9EF-2C00AC8299D1}"/>
    <cellStyle name="Time 4" xfId="850" xr:uid="{0472A7F6-196C-4013-888E-8A82E2CC95B4}"/>
    <cellStyle name="Time 4 10" xfId="2173" xr:uid="{4A42BAEF-C152-4590-861D-0C9C87F40C75}"/>
    <cellStyle name="Time 4 10 2" xfId="3056" xr:uid="{C931EA74-E23F-4394-8058-2B5434D37366}"/>
    <cellStyle name="Time 4 11" xfId="1839" xr:uid="{EAD737C7-85BD-45AF-9F13-51F91C7C6CDF}"/>
    <cellStyle name="Time 4 11 2" xfId="3041" xr:uid="{0FCA0117-E419-488A-A821-543C73B694A3}"/>
    <cellStyle name="Time 4 12" xfId="4402" xr:uid="{E22B959F-6F5E-4E2D-9782-19B468D4223D}"/>
    <cellStyle name="Time 4 2" xfId="851" xr:uid="{B9AF2DB7-824F-4E1C-BA1B-7F1B3F526479}"/>
    <cellStyle name="Time 4 2 2" xfId="852" xr:uid="{DA83B5A6-8684-466F-9360-0B5D2168E144}"/>
    <cellStyle name="Time 4 3" xfId="853" xr:uid="{BF08E798-D853-4625-A273-C14E10AB5CE9}"/>
    <cellStyle name="Time 4 4" xfId="854" xr:uid="{7DD36B00-8218-4697-8477-D189DB4F36F3}"/>
    <cellStyle name="Time 4 4 2" xfId="855" xr:uid="{F4E469FB-744E-47C7-B362-ADBD6548134E}"/>
    <cellStyle name="Time 4 4 3" xfId="1598" xr:uid="{C09D6EA5-6A37-4406-AA23-849575DC9A84}"/>
    <cellStyle name="Time 4 5" xfId="856" xr:uid="{7E953025-D973-4F56-80ED-7FC23F909881}"/>
    <cellStyle name="Time 4 5 2" xfId="1246" xr:uid="{A3F36A43-B51B-4B47-80C2-4DE386022309}"/>
    <cellStyle name="Time 4 6" xfId="1149" xr:uid="{DD7478BC-043B-4301-AE17-577320CE0D7D}"/>
    <cellStyle name="Time 4 6 2" xfId="1714" xr:uid="{2691C454-A00A-4E42-B36E-484245F3B3DB}"/>
    <cellStyle name="Time 4 6 3" xfId="1688" xr:uid="{6ABF2F1A-B7D5-42B8-A3C4-4FA2FD6EFC8E}"/>
    <cellStyle name="Time 4 7" xfId="1075" xr:uid="{E0A1E666-745E-46C1-A67C-BDB60E77588B}"/>
    <cellStyle name="Time 4 8" xfId="1807" xr:uid="{441381F8-E94D-4A9A-98CC-24824CE192AE}"/>
    <cellStyle name="Time 4 8 2" xfId="2056" xr:uid="{55C55946-E816-4E1F-891A-A234177312ED}"/>
    <cellStyle name="Time 4 9" xfId="1871" xr:uid="{D69EF6F2-08F6-4957-B358-8563A4C6D77B}"/>
    <cellStyle name="Time 5" xfId="857" xr:uid="{A1CC0B72-994F-498F-807C-65EAA87EB022}"/>
    <cellStyle name="Time 5 2" xfId="858" xr:uid="{447D587B-A7F6-4657-926A-CBDABB06AF9E}"/>
    <cellStyle name="Time 6" xfId="859" xr:uid="{D9CCEB7E-2C00-49A1-8F89-83FBA1E4DDB8}"/>
    <cellStyle name="Time 6 2" xfId="860" xr:uid="{96036049-C1E0-47C7-BCA4-D44FBB348AE2}"/>
    <cellStyle name="Time 7" xfId="861" xr:uid="{0188765F-7463-443D-8F40-DB90A050F082}"/>
    <cellStyle name="Time 7 2" xfId="862" xr:uid="{6D332E45-F75B-4EB2-A3C2-FC4A83C4E763}"/>
    <cellStyle name="Time 7 3" xfId="1559" xr:uid="{D76F050C-A529-4A31-BA03-633591A0CEE2}"/>
    <cellStyle name="Time 8" xfId="863" xr:uid="{17DD82F3-377B-4474-BB2B-74ACB676356A}"/>
    <cellStyle name="Time 8 2" xfId="1581" xr:uid="{1AC70FE5-D9AB-4E15-B095-9D24695C9C8D}"/>
    <cellStyle name="Time 9" xfId="864" xr:uid="{A99D427A-0B3B-4BED-9984-A3B9EB7DCB23}"/>
    <cellStyle name="Time 9 2" xfId="865" xr:uid="{16E2F324-29F1-4018-9F15-3F0E04A8DA66}"/>
    <cellStyle name="Title" xfId="915" builtinId="15" customBuiltin="1"/>
    <cellStyle name="Title 2" xfId="866" xr:uid="{5B91F507-19D8-49A4-8E85-B8CC7048A685}"/>
    <cellStyle name="Title 2 2" xfId="867" xr:uid="{7B2BE753-96AC-4727-BDF7-207E7B313AD5}"/>
    <cellStyle name="Title 2 3" xfId="868" xr:uid="{7658270A-D1B5-4AA6-B7F2-E22B7B0153E3}"/>
    <cellStyle name="Title 2 4" xfId="869" xr:uid="{DC1DF82B-0C06-405F-91D8-EE8CEDC02366}"/>
    <cellStyle name="Title 2 5" xfId="870" xr:uid="{7008341B-1975-406A-A7F3-3DFF3E701883}"/>
    <cellStyle name="Title 3" xfId="871" xr:uid="{DE1D6057-5634-414E-83B2-D3E398250499}"/>
    <cellStyle name="Title 3 2" xfId="872" xr:uid="{599DFEED-BE43-4626-BFC1-911877FEBE47}"/>
    <cellStyle name="Title 3 3" xfId="873" xr:uid="{A3F619CB-FB2B-490C-A3D6-C4E7299056E3}"/>
    <cellStyle name="Title 3 4" xfId="874" xr:uid="{F115D4BC-9D4D-42DD-90DC-45219C5D88E6}"/>
    <cellStyle name="Title 3 5" xfId="875" xr:uid="{6EE4157D-8CD3-4913-B5DB-4801AC12F296}"/>
    <cellStyle name="Title 3 6" xfId="876" xr:uid="{E5594A35-BD13-46C9-9BBB-C4D6653BDC00}"/>
    <cellStyle name="Title 3 7" xfId="1100" xr:uid="{E97333A0-0D98-4ED5-BDFC-D6B3FD8A178F}"/>
    <cellStyle name="Title 3 8" xfId="1868" xr:uid="{C9E7A425-74F0-42D0-B168-BE24D4723744}"/>
    <cellStyle name="Title 3 9" xfId="4403" xr:uid="{D2FAB919-F97F-4D9F-99EC-E8F079B5FB90}"/>
    <cellStyle name="Title 4" xfId="877" xr:uid="{ADA21B99-DE8D-4685-ADDC-948516E4FE50}"/>
    <cellStyle name="Title 4 2" xfId="878" xr:uid="{CF7CB682-B669-49F0-8BDF-621367D86163}"/>
    <cellStyle name="Title 4 3" xfId="1463" xr:uid="{6BEC87CC-2441-447D-A399-EC420F1E7E72}"/>
    <cellStyle name="Title 4 4" xfId="1449" xr:uid="{6C89B381-69DC-4D41-89BF-4089BEF5D1E8}"/>
    <cellStyle name="Title 5" xfId="879" xr:uid="{7212587B-F2D6-49C0-90FB-11F407AAD7D1}"/>
    <cellStyle name="Title 5 10" xfId="2177" xr:uid="{A9FFE815-9BC6-4EFE-AF60-68A9D56E17A3}"/>
    <cellStyle name="Title 5 10 2" xfId="3060" xr:uid="{7C833942-A8CC-4390-BB07-E978328CB3AA}"/>
    <cellStyle name="Title 5 11" xfId="1843" xr:uid="{B595974F-F1C1-4E47-8282-49A93E088E92}"/>
    <cellStyle name="Title 5 11 2" xfId="3032" xr:uid="{AA35FE9D-33E9-4E34-9AD9-32D28F30816B}"/>
    <cellStyle name="Title 5 12" xfId="4404" xr:uid="{5A3505EE-8C01-4558-A8CA-5252EB630316}"/>
    <cellStyle name="Title 5 2" xfId="880" xr:uid="{CA151BA5-4623-4DCF-AFD2-D3025E6A1983}"/>
    <cellStyle name="Title 5 3" xfId="881" xr:uid="{7F6229E3-AFEB-4994-B35F-9B60DDB3F719}"/>
    <cellStyle name="Title 5 4" xfId="882" xr:uid="{3F98A159-C8E9-4593-A850-16D56715D763}"/>
    <cellStyle name="Title 5 4 2" xfId="883" xr:uid="{AB050DFD-297A-4139-B344-773F4C093EE7}"/>
    <cellStyle name="Title 5 4 3" xfId="1602" xr:uid="{CD786F82-3F23-41E2-87F1-E449E4DCF2A6}"/>
    <cellStyle name="Title 5 5" xfId="884" xr:uid="{34968E19-0AC1-4B55-9D5E-6ABCE163D49C}"/>
    <cellStyle name="Title 5 5 2" xfId="1250" xr:uid="{6345F033-D4EB-468B-B79F-5796AF1FCB9A}"/>
    <cellStyle name="Title 5 6" xfId="1163" xr:uid="{877D9027-DC7B-4732-AD37-81B4C3892C91}"/>
    <cellStyle name="Title 5 6 2" xfId="1728" xr:uid="{35851D76-E0F6-48B4-8862-6E2DA73427DC}"/>
    <cellStyle name="Title 5 6 3" xfId="1692" xr:uid="{B048D2B3-95BE-4551-B7AA-F1DF6D561B90}"/>
    <cellStyle name="Title 5 7" xfId="1078" xr:uid="{B94627A1-422D-4A78-8C45-82A49116697C}"/>
    <cellStyle name="Title 5 8" xfId="1811" xr:uid="{42169F9E-165D-486E-A7C1-72404F71592A}"/>
    <cellStyle name="Title 5 8 2" xfId="2060" xr:uid="{9339BF12-EF30-4E02-A867-AB533BB1552E}"/>
    <cellStyle name="Title 5 9" xfId="1885" xr:uid="{C4F35845-1277-4366-BB03-95DB42A06638}"/>
    <cellStyle name="Title 6" xfId="885" xr:uid="{717E6527-8DD0-4359-8396-8BA798C8C53D}"/>
    <cellStyle name="Title 6 2" xfId="886" xr:uid="{5969DC1F-2CA3-4487-B7AE-4147141B12E3}"/>
    <cellStyle name="Title 6 3" xfId="1563" xr:uid="{B02BC731-483D-4FA0-857B-87FE9D2C3C6D}"/>
    <cellStyle name="Title 7" xfId="887" xr:uid="{2C98F6EE-CFAF-44F3-AF4D-AF5D6A808AEC}"/>
    <cellStyle name="Title 7 2" xfId="888" xr:uid="{34142A94-FB9A-46E2-BFD4-3F543C3D58AB}"/>
    <cellStyle name="Title 7 3" xfId="1643" xr:uid="{3D41607B-04E5-4C16-9A58-0D6CA0854098}"/>
    <cellStyle name="Title 8" xfId="1534" xr:uid="{D66C1889-0EA3-4850-BD96-6B53C340164E}"/>
    <cellStyle name="Title 8 2" xfId="2167" xr:uid="{877D810C-3E2A-434C-A8DF-20F336336090}"/>
    <cellStyle name="Title 9" xfId="1671" xr:uid="{C5CE8618-FBA7-4EFF-AD7C-3CB225C7F5DA}"/>
    <cellStyle name="Title 9 2" xfId="2168" xr:uid="{AEB88506-4427-4D6D-98FF-C14962B88351}"/>
    <cellStyle name="Total" xfId="931" builtinId="25" customBuiltin="1"/>
    <cellStyle name="Total 2" xfId="1397" xr:uid="{58C0DA2D-9B7C-423E-9C17-0D86DE965FF3}"/>
    <cellStyle name="Warning Text" xfId="928" builtinId="11" customBuiltin="1"/>
    <cellStyle name="Warning Text 2" xfId="1398" xr:uid="{A1E7B8AC-B3CC-4495-8871-AFD4F3E19114}"/>
    <cellStyle name="WrappedText" xfId="889" xr:uid="{FF4995D8-F59E-46F6-BB7E-D8039457FBE3}"/>
    <cellStyle name="WrappedText 10" xfId="1532" xr:uid="{143994D4-8EE4-4836-B246-DA5D6721165A}"/>
    <cellStyle name="WrappedText 10 2" xfId="2169" xr:uid="{A52CDF06-3B51-499B-9C8C-B7E32E49F92F}"/>
    <cellStyle name="WrappedText 11" xfId="1684" xr:uid="{DAF887A4-9864-4FC6-96DE-62D5FEA187D9}"/>
    <cellStyle name="WrappedText 11 2" xfId="2170" xr:uid="{047D92CC-8D08-4A09-9750-1BD9ED938F9C}"/>
    <cellStyle name="WrappedText 2" xfId="890" xr:uid="{A6506D25-C9C6-4979-AA05-BF856D2B7213}"/>
    <cellStyle name="WrappedText 2 2" xfId="891" xr:uid="{BF988F0F-B3FE-4368-99AE-A7D3320F155B}"/>
    <cellStyle name="WrappedText 2 2 2" xfId="892" xr:uid="{4BF91AB3-B472-4F17-80DD-3D9985AAF4A7}"/>
    <cellStyle name="WrappedText 2 3" xfId="893" xr:uid="{5E12369E-ED08-4A09-ABDC-5F321D1D559C}"/>
    <cellStyle name="WrappedText 3" xfId="894" xr:uid="{960C1830-C9B6-444A-B326-24653C81E049}"/>
    <cellStyle name="WrappedText 3 2" xfId="895" xr:uid="{A1AAD796-35B9-4D6C-8C0C-72456FC1CF02}"/>
    <cellStyle name="WrappedText 3 2 2" xfId="896" xr:uid="{5E51F067-C12A-45B8-8F63-691A86751D23}"/>
    <cellStyle name="WrappedText 3 3" xfId="897" xr:uid="{AB146C71-10FA-4096-90DB-970C657EA43B}"/>
    <cellStyle name="WrappedText 3 4" xfId="1464" xr:uid="{42211C5D-B2C8-43A4-A231-34A9EA3CFA22}"/>
    <cellStyle name="WrappedText 3 5" xfId="1428" xr:uid="{FF3589F7-FD0D-470C-A485-7C9EF889907B}"/>
    <cellStyle name="WrappedText 4" xfId="898" xr:uid="{0CFD386D-ED28-44FF-BD62-4DD304D9A1D5}"/>
    <cellStyle name="WrappedText 4 10" xfId="2190" xr:uid="{4AEDCEAB-1718-4502-BC67-5EAB5931E465}"/>
    <cellStyle name="WrappedText 4 10 2" xfId="3073" xr:uid="{9735F399-F1F4-4217-B32C-49C45A38FD88}"/>
    <cellStyle name="WrappedText 4 11" xfId="1856" xr:uid="{9DE532D4-183A-4907-AAC0-C33DAF06EF14}"/>
    <cellStyle name="WrappedText 4 11 2" xfId="3047" xr:uid="{8B02C293-4FEF-4885-9BC3-0F2C6131A362}"/>
    <cellStyle name="WrappedText 4 12" xfId="4405" xr:uid="{57CD4B58-A4DB-4B86-8ACC-44BE448B4EBB}"/>
    <cellStyle name="WrappedText 4 2" xfId="899" xr:uid="{16ADCE49-86E7-40EC-AE06-B217726861FB}"/>
    <cellStyle name="WrappedText 4 2 2" xfId="900" xr:uid="{AC51BD51-D863-4699-A303-A844DA362128}"/>
    <cellStyle name="WrappedText 4 3" xfId="901" xr:uid="{62554E87-0F23-4CC0-AD53-A4A099374EEF}"/>
    <cellStyle name="WrappedText 4 4" xfId="902" xr:uid="{3BA260CC-58B6-4739-BC9A-B3126EA096EA}"/>
    <cellStyle name="WrappedText 4 4 2" xfId="903" xr:uid="{862DC9B4-7C18-4EB8-9A9B-C7E44F325ECF}"/>
    <cellStyle name="WrappedText 4 4 3" xfId="1615" xr:uid="{1BF2E1DF-DE0D-4D5A-A0FF-08CB1F5808ED}"/>
    <cellStyle name="WrappedText 4 5" xfId="904" xr:uid="{0EABBAAB-DD8E-4C7E-8369-CCD7D7F62864}"/>
    <cellStyle name="WrappedText 4 5 2" xfId="1263" xr:uid="{A835ED21-A1C8-41FB-A75B-4F47EDFD721C}"/>
    <cellStyle name="WrappedText 4 6" xfId="1162" xr:uid="{3FBA5541-1AB6-4D52-88F4-79DBA03A65F8}"/>
    <cellStyle name="WrappedText 4 6 2" xfId="1727" xr:uid="{9651B6F9-1D66-4C97-B547-1AD11939F6D1}"/>
    <cellStyle name="WrappedText 4 6 3" xfId="1705" xr:uid="{7C4D3BDC-A90C-4864-BB2F-0E38F505F13B}"/>
    <cellStyle name="WrappedText 4 7" xfId="1091" xr:uid="{57ACA37E-BC01-4614-9CED-711A82AED730}"/>
    <cellStyle name="WrappedText 4 8" xfId="1824" xr:uid="{901A32C2-6026-460E-9F52-A4191177D4E3}"/>
    <cellStyle name="WrappedText 4 8 2" xfId="2073" xr:uid="{7FC656C5-8368-4F08-BCD4-6357DDCC860F}"/>
    <cellStyle name="WrappedText 4 9" xfId="1884" xr:uid="{3AE9361F-327B-4181-A30D-7CBE16FFCB35}"/>
    <cellStyle name="WrappedText 5" xfId="905" xr:uid="{067B4014-4509-4CD8-81A3-5D01A729EEAD}"/>
    <cellStyle name="WrappedText 5 2" xfId="906" xr:uid="{1F54B4E8-1D1F-4906-BE48-D16556E0D48E}"/>
    <cellStyle name="WrappedText 6" xfId="907" xr:uid="{AE56A51E-7AC5-40BC-8BEC-EB5151A03BDC}"/>
    <cellStyle name="WrappedText 6 2" xfId="908" xr:uid="{889C31EE-A668-4E87-9B26-C62B29584046}"/>
    <cellStyle name="WrappedText 7" xfId="909" xr:uid="{07680D45-5520-4B54-893F-0D4FDF2F0E03}"/>
    <cellStyle name="WrappedText 7 2" xfId="910" xr:uid="{82A8B2BA-1AD4-474F-9406-D2864953147C}"/>
    <cellStyle name="WrappedText 7 3" xfId="1576" xr:uid="{7CBBB381-DBC3-4255-8815-684D45215744}"/>
    <cellStyle name="WrappedText 8" xfId="911" xr:uid="{D242B3B6-6979-43EB-8FBD-6C284BD6527E}"/>
    <cellStyle name="WrappedText 8 2" xfId="1594" xr:uid="{02F10F01-99CC-40AA-8182-396C1AA46FC0}"/>
    <cellStyle name="WrappedText 9" xfId="912" xr:uid="{991B846A-C280-4179-ACB3-CC07D30B7ACE}"/>
    <cellStyle name="WrappedText 9 2" xfId="913" xr:uid="{30336CE1-BB56-499E-A3A9-6A385D2BCA30}"/>
    <cellStyle name="ZeroOrderValueEur" xfId="914" xr:uid="{669CC305-29A5-4A50-BD47-40D066C560EB}"/>
  </cellStyles>
  <dxfs count="1603"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" formatCode="#,##0"/>
    </dxf>
    <dxf>
      <numFmt numFmtId="35" formatCode="_ * #,##0.00_ ;_ * \-#,##0.00_ ;_ * &quot;-&quot;??_ ;_ @_ "/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" formatCode="0"/>
    </dxf>
    <dxf>
      <numFmt numFmtId="177" formatCode="#,##0.0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</dxf>
    <dxf>
      <fill>
        <patternFill patternType="solid">
          <fgColor indexed="64"/>
          <bgColor theme="7" tint="0.79998168889431442"/>
        </patternFill>
      </fill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</dxf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</dxf>
    <dxf>
      <numFmt numFmtId="1" formatCode="0"/>
    </dxf>
    <dxf>
      <numFmt numFmtId="1" formatCode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1" formatCode="0"/>
    </dxf>
    <dxf>
      <numFmt numFmtId="1" formatCode="0"/>
    </dxf>
    <dxf>
      <numFmt numFmtId="1" formatCode="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" formatCode="#,##0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196" formatCode="d\-mmm"/>
    </dxf>
    <dxf>
      <numFmt numFmtId="196" formatCode="d\-mmm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</dxf>
    <dxf>
      <border outline="0">
        <bottom style="thin">
          <color indexed="64"/>
        </bottom>
      </border>
    </dxf>
    <dxf>
      <alignment horizontal="general" vertical="bottom" textRotation="0" wrapText="1" indent="0" justifyLastLine="0" shrinkToFit="0" readingOrder="0"/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b/>
        <i val="0"/>
        <color auto="1"/>
      </font>
    </dxf>
    <dxf>
      <font>
        <b/>
        <i val="0"/>
        <color rgb="FFFF0000"/>
      </font>
    </dxf>
    <dxf>
      <font>
        <b/>
        <i val="0"/>
        <color auto="1"/>
      </font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ill>
        <patternFill>
          <fgColor rgb="FF00B050"/>
          <bgColor rgb="FF00B050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bottom style="thin">
          <color rgb="FF8EA9DB"/>
        </bottom>
      </border>
    </dxf>
    <dxf>
      <font>
        <b/>
        <color rgb="FF000000"/>
      </font>
    </dxf>
    <dxf>
      <font>
        <b/>
        <color rgb="FF000000"/>
      </font>
      <border>
        <top style="thin">
          <color rgb="FF4472C4"/>
        </top>
        <bottom style="thin">
          <color rgb="FF4472C4"/>
        </bottom>
      </border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  <border>
        <left style="thin">
          <color rgb="FFBFBFBF"/>
        </left>
        <right style="thin">
          <color rgb="FFBFBFBF"/>
        </right>
      </border>
    </dxf>
    <dxf>
      <fill>
        <patternFill patternType="solid">
          <fgColor rgb="FFD9D9D9"/>
          <bgColor rgb="FFD9D9D9"/>
        </patternFill>
      </fill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top style="thin">
          <color rgb="FF8EA9DB"/>
        </top>
      </border>
    </dxf>
    <dxf>
      <font>
        <b/>
        <color rgb="FF000000"/>
      </font>
      <fill>
        <patternFill patternType="solid">
          <fgColor rgb="FFD9E1F2"/>
          <bgColor rgb="FFD9E1F2"/>
        </patternFill>
      </fill>
      <border>
        <bottom style="thin">
          <color rgb="FF8EA9DB"/>
        </bottom>
      </border>
    </dxf>
  </dxfs>
  <tableStyles count="2" defaultTableStyle="TableStyleMedium2" defaultPivotStyle="PivotStyleLight16">
    <tableStyle name="Invisible" pivot="0" table="0" count="0" xr9:uid="{FA1B374E-FE68-4DFE-8265-03A029016DB2}"/>
    <tableStyle name="PivotStyleLight16 2" table="0" count="11" xr9:uid="{EE03B1F6-088C-4E31-987B-3A2B0E2EC8AB}">
      <tableStyleElement type="headerRow" dxfId="1602"/>
      <tableStyleElement type="totalRow" dxfId="1601"/>
      <tableStyleElement type="firstRowStripe" dxfId="1600"/>
      <tableStyleElement type="firstColumnStripe" dxfId="1599"/>
      <tableStyleElement type="firstSubtotalColumn" dxfId="1598"/>
      <tableStyleElement type="firstSubtotalRow" dxfId="1597"/>
      <tableStyleElement type="secondSubtotalRow" dxfId="1596"/>
      <tableStyleElement type="firstRowSubheading" dxfId="1595"/>
      <tableStyleElement type="secondRowSubheading" dxfId="1594"/>
      <tableStyleElement type="pageFieldLabels" dxfId="1593"/>
      <tableStyleElement type="pageFieldValues" dxfId="1592"/>
    </tableStyle>
  </tableStyles>
  <colors>
    <mruColors>
      <color rgb="FFFFF4D1"/>
      <color rgb="FF000000"/>
      <color rgb="FFDAE8F6"/>
      <color rgb="FFEFF5FB"/>
      <color rgb="FFFFCCCC"/>
      <color rgb="FF005E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17/06/relationships/rdRichValueTypes" Target="richData/rdRichValueTyp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nl-BE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</c:strLit>
          </c:cat>
          <c:val>
            <c:numLit>
              <c:formatCode>General</c:formatCode>
              <c:ptCount val="15"/>
              <c:pt idx="0">
                <c:v>764376.78934883536</c:v>
              </c:pt>
              <c:pt idx="1">
                <c:v>827404.01544842636</c:v>
              </c:pt>
              <c:pt idx="2">
                <c:v>818035.58632682776</c:v>
              </c:pt>
              <c:pt idx="3">
                <c:v>791894.32183630986</c:v>
              </c:pt>
              <c:pt idx="4">
                <c:v>818224.2703582067</c:v>
              </c:pt>
              <c:pt idx="5">
                <c:v>804402.71626104135</c:v>
              </c:pt>
              <c:pt idx="6">
                <c:v>816291.67638738372</c:v>
              </c:pt>
              <c:pt idx="7">
                <c:v>804187.54623234202</c:v>
              </c:pt>
              <c:pt idx="8">
                <c:v>799473.67433227052</c:v>
              </c:pt>
              <c:pt idx="9">
                <c:v>782920.5103456754</c:v>
              </c:pt>
              <c:pt idx="10">
                <c:v>765087.21355714614</c:v>
              </c:pt>
              <c:pt idx="11">
                <c:v>794834.69266861514</c:v>
              </c:pt>
              <c:pt idx="12">
                <c:v>795724.79603410745</c:v>
              </c:pt>
              <c:pt idx="13">
                <c:v>764079.63897967164</c:v>
              </c:pt>
              <c:pt idx="14">
                <c:v>784425.34119633911</c:v>
              </c:pt>
            </c:numLit>
          </c:val>
          <c:extLst>
            <c:ext xmlns:c16="http://schemas.microsoft.com/office/drawing/2014/chart" uri="{C3380CC4-5D6E-409C-BE32-E72D297353CC}">
              <c16:uniqueId val="{00000000-D8D9-4DD9-A624-5B338EF86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653607200"/>
        <c:axId val="653599712"/>
      </c:barChart>
      <c:catAx>
        <c:axId val="65360720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53599712"/>
        <c:crosses val="autoZero"/>
        <c:auto val="1"/>
        <c:lblAlgn val="ctr"/>
        <c:lblOffset val="100"/>
        <c:noMultiLvlLbl val="0"/>
      </c:catAx>
      <c:valAx>
        <c:axId val="653599712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5360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Q1 2022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B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'[1]LT Forecast'!$H$3:$H$17</c:f>
              <c:numCache>
                <c:formatCode>General</c:formatCode>
                <c:ptCount val="15"/>
                <c:pt idx="0">
                  <c:v>796</c:v>
                </c:pt>
                <c:pt idx="1">
                  <c:v>812</c:v>
                </c:pt>
                <c:pt idx="2">
                  <c:v>819</c:v>
                </c:pt>
                <c:pt idx="3">
                  <c:v>834</c:v>
                </c:pt>
                <c:pt idx="4">
                  <c:v>843</c:v>
                </c:pt>
                <c:pt idx="5">
                  <c:v>839</c:v>
                </c:pt>
                <c:pt idx="6">
                  <c:v>850</c:v>
                </c:pt>
                <c:pt idx="7">
                  <c:v>863</c:v>
                </c:pt>
                <c:pt idx="8">
                  <c:v>876</c:v>
                </c:pt>
                <c:pt idx="9">
                  <c:v>914</c:v>
                </c:pt>
                <c:pt idx="10">
                  <c:v>898</c:v>
                </c:pt>
                <c:pt idx="11">
                  <c:v>919</c:v>
                </c:pt>
                <c:pt idx="12">
                  <c:v>933</c:v>
                </c:pt>
                <c:pt idx="13">
                  <c:v>970</c:v>
                </c:pt>
                <c:pt idx="14">
                  <c:v>957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B8A-46D6-921C-BF4C243AE67B}"/>
            </c:ext>
          </c:extLst>
        </c:ser>
        <c:ser>
          <c:idx val="1"/>
          <c:order val="1"/>
          <c:spPr>
            <a:ln w="28575" cap="rnd">
              <a:solidFill>
                <a:schemeClr val="accent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BE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'[1]LT Forecast'!$F$3:$F$17</c:f>
              <c:numCache>
                <c:formatCode>General</c:formatCode>
                <c:ptCount val="15"/>
                <c:pt idx="0">
                  <c:v>759</c:v>
                </c:pt>
                <c:pt idx="1">
                  <c:v>773</c:v>
                </c:pt>
                <c:pt idx="2">
                  <c:v>780</c:v>
                </c:pt>
                <c:pt idx="3">
                  <c:v>795</c:v>
                </c:pt>
                <c:pt idx="4">
                  <c:v>803</c:v>
                </c:pt>
                <c:pt idx="5">
                  <c:v>759</c:v>
                </c:pt>
                <c:pt idx="6">
                  <c:v>769</c:v>
                </c:pt>
                <c:pt idx="7">
                  <c:v>781</c:v>
                </c:pt>
                <c:pt idx="8">
                  <c:v>792</c:v>
                </c:pt>
                <c:pt idx="9">
                  <c:v>827</c:v>
                </c:pt>
                <c:pt idx="10">
                  <c:v>813</c:v>
                </c:pt>
                <c:pt idx="11">
                  <c:v>832</c:v>
                </c:pt>
                <c:pt idx="12">
                  <c:v>844</c:v>
                </c:pt>
                <c:pt idx="13">
                  <c:v>878</c:v>
                </c:pt>
                <c:pt idx="14">
                  <c:v>866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B8A-46D6-921C-BF4C243AE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741583"/>
        <c:axId val="898756143"/>
      </c:lineChart>
      <c:catAx>
        <c:axId val="89874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8756143"/>
        <c:crosses val="autoZero"/>
        <c:auto val="1"/>
        <c:lblAlgn val="ctr"/>
        <c:lblOffset val="100"/>
        <c:noMultiLvlLbl val="0"/>
      </c:catAx>
      <c:valAx>
        <c:axId val="898756143"/>
        <c:scaling>
          <c:orientation val="minMax"/>
          <c:max val="1000"/>
          <c:min val="3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Picks [in k picks]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8741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'[1]LT Forecast'!$I$3:$I$17</c:f>
              <c:numCache>
                <c:formatCode>General</c:formatCode>
                <c:ptCount val="15"/>
                <c:pt idx="0">
                  <c:v>759</c:v>
                </c:pt>
                <c:pt idx="1">
                  <c:v>773</c:v>
                </c:pt>
                <c:pt idx="2">
                  <c:v>780</c:v>
                </c:pt>
                <c:pt idx="3">
                  <c:v>795</c:v>
                </c:pt>
                <c:pt idx="4">
                  <c:v>803</c:v>
                </c:pt>
                <c:pt idx="5">
                  <c:v>799</c:v>
                </c:pt>
                <c:pt idx="6">
                  <c:v>810</c:v>
                </c:pt>
                <c:pt idx="7">
                  <c:v>822</c:v>
                </c:pt>
                <c:pt idx="8">
                  <c:v>834</c:v>
                </c:pt>
                <c:pt idx="9">
                  <c:v>871</c:v>
                </c:pt>
                <c:pt idx="10">
                  <c:v>855</c:v>
                </c:pt>
                <c:pt idx="11">
                  <c:v>875</c:v>
                </c:pt>
                <c:pt idx="12">
                  <c:v>889</c:v>
                </c:pt>
                <c:pt idx="13">
                  <c:v>924</c:v>
                </c:pt>
                <c:pt idx="14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0-4C4B-96CB-D49979F2A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858831"/>
        <c:axId val="698862575"/>
      </c:barChart>
      <c:catAx>
        <c:axId val="698858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98862575"/>
        <c:crosses val="autoZero"/>
        <c:auto val="1"/>
        <c:lblAlgn val="ctr"/>
        <c:lblOffset val="100"/>
        <c:noMultiLvlLbl val="0"/>
      </c:catAx>
      <c:valAx>
        <c:axId val="6988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98858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Gemiddelde verdeling #picks over weekdagen</a:t>
            </a:r>
          </a:p>
        </c:rich>
      </c:tx>
      <c:layout>
        <c:manualLayout>
          <c:xMode val="edge"/>
          <c:yMode val="edge"/>
          <c:x val="2.1958290778507434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'[1]LT Forecast'!$S$86:$Y$86</c:f>
              <c:strCache>
                <c:ptCount val="7"/>
                <c:pt idx="0">
                  <c:v>Ma</c:v>
                </c:pt>
                <c:pt idx="1">
                  <c:v>Di</c:v>
                </c:pt>
                <c:pt idx="2">
                  <c:v>Woe</c:v>
                </c:pt>
                <c:pt idx="3">
                  <c:v>Don</c:v>
                </c:pt>
                <c:pt idx="4">
                  <c:v>Vrij</c:v>
                </c:pt>
                <c:pt idx="5">
                  <c:v>Zat</c:v>
                </c:pt>
                <c:pt idx="6">
                  <c:v>Zon</c:v>
                </c:pt>
              </c:strCache>
            </c:strRef>
          </c:cat>
          <c:val>
            <c:numRef>
              <c:f>'[1]LT Forecast'!$M$100:$S$100</c:f>
              <c:numCache>
                <c:formatCode>General</c:formatCode>
                <c:ptCount val="7"/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1-41A0-8789-CD7A8BE52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985807"/>
        <c:axId val="630002447"/>
      </c:barChart>
      <c:catAx>
        <c:axId val="62998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30002447"/>
        <c:crosses val="autoZero"/>
        <c:auto val="1"/>
        <c:lblAlgn val="ctr"/>
        <c:lblOffset val="100"/>
        <c:noMultiLvlLbl val="0"/>
      </c:catAx>
      <c:valAx>
        <c:axId val="6300024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998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'[1]LT Forecast'!$F$111</c:f>
              <c:strCache>
                <c:ptCount val="1"/>
                <c:pt idx="0">
                  <c:v>Orders 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'[1]LT Forecast'!$E$112:$E$123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mrt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'[1]LT Forecast'!$F$112:$F$123</c:f>
              <c:numCache>
                <c:formatCode>General</c:formatCode>
                <c:ptCount val="12"/>
                <c:pt idx="0">
                  <c:v>63697</c:v>
                </c:pt>
                <c:pt idx="1">
                  <c:v>64468.59828736831</c:v>
                </c:pt>
                <c:pt idx="2">
                  <c:v>74810.035674981686</c:v>
                </c:pt>
                <c:pt idx="3">
                  <c:v>75202.785941700175</c:v>
                </c:pt>
                <c:pt idx="4">
                  <c:v>68882.337316406047</c:v>
                </c:pt>
                <c:pt idx="5">
                  <c:v>67655.936995433978</c:v>
                </c:pt>
                <c:pt idx="6">
                  <c:v>59338.242765778436</c:v>
                </c:pt>
                <c:pt idx="7">
                  <c:v>62649.688960870546</c:v>
                </c:pt>
                <c:pt idx="8">
                  <c:v>75818.464252835707</c:v>
                </c:pt>
                <c:pt idx="9">
                  <c:v>81293.945599578918</c:v>
                </c:pt>
                <c:pt idx="10">
                  <c:v>78865.626421623921</c:v>
                </c:pt>
                <c:pt idx="11">
                  <c:v>85474.12403726163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4-4E06-82E5-CBF33DA2417B}"/>
            </c:ext>
          </c:extLst>
        </c:ser>
        <c:ser>
          <c:idx val="1"/>
          <c:order val="1"/>
          <c:tx>
            <c:strRef>
              <c:f>'[1]LT Forecast'!$G$111</c:f>
              <c:strCache>
                <c:ptCount val="1"/>
                <c:pt idx="0">
                  <c:v>picks 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'[1]LT Forecast'!$E$112:$E$123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mrt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'[1]LT Forecast'!$G$112:$G$123</c:f>
              <c:numCache>
                <c:formatCode>General</c:formatCode>
                <c:ptCount val="12"/>
                <c:pt idx="0">
                  <c:v>3280521.1014676127</c:v>
                </c:pt>
                <c:pt idx="1">
                  <c:v>3321001.654923059</c:v>
                </c:pt>
                <c:pt idx="2">
                  <c:v>3895132.394110939</c:v>
                </c:pt>
                <c:pt idx="3">
                  <c:v>3847991.8378919968</c:v>
                </c:pt>
                <c:pt idx="4">
                  <c:v>3573119.8910274939</c:v>
                </c:pt>
                <c:pt idx="5">
                  <c:v>3558918.4258516994</c:v>
                </c:pt>
                <c:pt idx="6">
                  <c:v>2998632.0505736698</c:v>
                </c:pt>
                <c:pt idx="7">
                  <c:v>3133701.3702599565</c:v>
                </c:pt>
                <c:pt idx="8">
                  <c:v>3845538.2597578568</c:v>
                </c:pt>
                <c:pt idx="9">
                  <c:v>4322418.532655159</c:v>
                </c:pt>
                <c:pt idx="10">
                  <c:v>4063364.5779240527</c:v>
                </c:pt>
                <c:pt idx="11">
                  <c:v>4446732.0238460172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4-4E06-82E5-CBF33DA2417B}"/>
            </c:ext>
          </c:extLst>
        </c:ser>
        <c:ser>
          <c:idx val="2"/>
          <c:order val="2"/>
          <c:tx>
            <c:strRef>
              <c:f>'[1]LT Forecast'!$H$111</c:f>
              <c:strCache>
                <c:ptCount val="1"/>
                <c:pt idx="0">
                  <c:v>Orders 2021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'[1]LT Forecast'!$E$112:$E$123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mrt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'[1]LT Forecast'!$H$112:$H$123</c:f>
              <c:numCache>
                <c:formatCode>General</c:formatCode>
                <c:ptCount val="12"/>
                <c:pt idx="0">
                  <c:v>59444</c:v>
                </c:pt>
                <c:pt idx="1">
                  <c:v>62067</c:v>
                </c:pt>
                <c:pt idx="2">
                  <c:v>69744</c:v>
                </c:pt>
                <c:pt idx="3">
                  <c:v>67877</c:v>
                </c:pt>
                <c:pt idx="4">
                  <c:v>61726</c:v>
                </c:pt>
                <c:pt idx="5">
                  <c:v>63500</c:v>
                </c:pt>
                <c:pt idx="6">
                  <c:v>50475</c:v>
                </c:pt>
                <c:pt idx="7">
                  <c:v>50055</c:v>
                </c:pt>
                <c:pt idx="8">
                  <c:v>55515</c:v>
                </c:pt>
                <c:pt idx="9">
                  <c:v>59390</c:v>
                </c:pt>
                <c:pt idx="10">
                  <c:v>58155</c:v>
                </c:pt>
                <c:pt idx="11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4-4E06-82E5-CBF33DA2417B}"/>
            </c:ext>
          </c:extLst>
        </c:ser>
        <c:ser>
          <c:idx val="3"/>
          <c:order val="3"/>
          <c:tx>
            <c:strRef>
              <c:f>'[1]LT Forecast'!$I$111</c:f>
              <c:strCache>
                <c:ptCount val="1"/>
                <c:pt idx="0">
                  <c:v>picks 2021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'[1]LT Forecast'!$E$112:$E$123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mrt</c:v>
                </c:pt>
                <c:pt idx="3">
                  <c:v>apr</c:v>
                </c:pt>
                <c:pt idx="4">
                  <c:v>mei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'[1]LT Forecast'!$I$112:$I$123</c:f>
              <c:numCache>
                <c:formatCode>General</c:formatCode>
                <c:ptCount val="12"/>
                <c:pt idx="0">
                  <c:v>3095914.4909238708</c:v>
                </c:pt>
                <c:pt idx="1">
                  <c:v>3249471</c:v>
                </c:pt>
                <c:pt idx="2">
                  <c:v>3661725.1</c:v>
                </c:pt>
                <c:pt idx="3">
                  <c:v>3559941</c:v>
                </c:pt>
                <c:pt idx="4">
                  <c:v>3235419.9488583049</c:v>
                </c:pt>
                <c:pt idx="5">
                  <c:v>3281807.8191676396</c:v>
                </c:pt>
                <c:pt idx="6">
                  <c:v>2498926.0787990815</c:v>
                </c:pt>
                <c:pt idx="7">
                  <c:v>2471154.1897815787</c:v>
                </c:pt>
                <c:pt idx="8">
                  <c:v>2792773.7806943967</c:v>
                </c:pt>
                <c:pt idx="9">
                  <c:v>3044822.4029561416</c:v>
                </c:pt>
                <c:pt idx="10">
                  <c:v>3073381.436600145</c:v>
                </c:pt>
                <c:pt idx="11">
                  <c:v>3490504.4730124236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4-4E06-82E5-CBF33DA2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911552"/>
        <c:axId val="941926112"/>
      </c:barChart>
      <c:catAx>
        <c:axId val="9419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1926112"/>
        <c:crosses val="autoZero"/>
        <c:auto val="1"/>
        <c:lblAlgn val="ctr"/>
        <c:lblOffset val="100"/>
        <c:noMultiLvlLbl val="0"/>
      </c:catAx>
      <c:valAx>
        <c:axId val="9419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19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Sales-FC-All Picks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7"/>
              <c:pt idx="0">
                <c:v>10</c:v>
              </c:pt>
              <c:pt idx="1">
                <c:v>11</c:v>
              </c:pt>
              <c:pt idx="2">
                <c:v>12</c:v>
              </c:pt>
              <c:pt idx="3">
                <c:v>13</c:v>
              </c:pt>
              <c:pt idx="4">
                <c:v>14</c:v>
              </c:pt>
              <c:pt idx="5">
                <c:v>15</c:v>
              </c:pt>
              <c:pt idx="6">
                <c:v>16</c:v>
              </c:pt>
              <c:pt idx="7">
                <c:v>17</c:v>
              </c:pt>
              <c:pt idx="8">
                <c:v>18</c:v>
              </c:pt>
              <c:pt idx="9">
                <c:v>19</c:v>
              </c:pt>
              <c:pt idx="10">
                <c:v>20</c:v>
              </c:pt>
              <c:pt idx="11">
                <c:v>21</c:v>
              </c:pt>
              <c:pt idx="12">
                <c:v>22</c:v>
              </c:pt>
              <c:pt idx="13">
                <c:v>23</c:v>
              </c:pt>
              <c:pt idx="14">
                <c:v>24</c:v>
              </c:pt>
              <c:pt idx="15">
                <c:v>25</c:v>
              </c:pt>
              <c:pt idx="16">
                <c:v>26</c:v>
              </c:pt>
            </c:strLit>
          </c:cat>
          <c:val>
            <c:numLit>
              <c:formatCode>General</c:formatCode>
              <c:ptCount val="17"/>
              <c:pt idx="0">
                <c:v>782920.5103456754</c:v>
              </c:pt>
              <c:pt idx="1">
                <c:v>765087.21355714614</c:v>
              </c:pt>
              <c:pt idx="2">
                <c:v>794834.69266861514</c:v>
              </c:pt>
              <c:pt idx="3">
                <c:v>795724.79603410745</c:v>
              </c:pt>
              <c:pt idx="4">
                <c:v>764079.63897967164</c:v>
              </c:pt>
              <c:pt idx="5">
                <c:v>784425.34119633911</c:v>
              </c:pt>
              <c:pt idx="6">
                <c:v>633314.46472041821</c:v>
              </c:pt>
              <c:pt idx="7">
                <c:v>808613.0485133382</c:v>
              </c:pt>
              <c:pt idx="8">
                <c:v>847337.66621649149</c:v>
              </c:pt>
              <c:pt idx="9">
                <c:v>877353.94070826285</c:v>
              </c:pt>
              <c:pt idx="10">
                <c:v>857518.24478387018</c:v>
              </c:pt>
              <c:pt idx="11">
                <c:v>662467.5495342724</c:v>
              </c:pt>
              <c:pt idx="12">
                <c:v>742579.34209390345</c:v>
              </c:pt>
              <c:pt idx="13">
                <c:v>602597.80432399746</c:v>
              </c:pt>
              <c:pt idx="14">
                <c:v>794189.2822525464</c:v>
              </c:pt>
              <c:pt idx="15">
                <c:v>786142.56904032244</c:v>
              </c:pt>
              <c:pt idx="16">
                <c:v>740632.39649694215</c:v>
              </c:pt>
            </c:numLit>
          </c:val>
          <c:extLst>
            <c:ext xmlns:c16="http://schemas.microsoft.com/office/drawing/2014/chart" uri="{C3380CC4-5D6E-409C-BE32-E72D297353CC}">
              <c16:uniqueId val="{00000000-B6DA-43CC-B64A-C50372FF9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018368"/>
        <c:axId val="109012128"/>
      </c:barChart>
      <c:lineChart>
        <c:grouping val="standard"/>
        <c:varyColors val="0"/>
        <c:ser>
          <c:idx val="1"/>
          <c:order val="1"/>
          <c:tx>
            <c:v>Sum of Sales-FC-All-Orders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"/>
              <c:pt idx="0">
                <c:v>10</c:v>
              </c:pt>
              <c:pt idx="1">
                <c:v>11</c:v>
              </c:pt>
              <c:pt idx="2">
                <c:v>12</c:v>
              </c:pt>
              <c:pt idx="3">
                <c:v>13</c:v>
              </c:pt>
              <c:pt idx="4">
                <c:v>14</c:v>
              </c:pt>
              <c:pt idx="5">
                <c:v>15</c:v>
              </c:pt>
              <c:pt idx="6">
                <c:v>16</c:v>
              </c:pt>
              <c:pt idx="7">
                <c:v>17</c:v>
              </c:pt>
              <c:pt idx="8">
                <c:v>18</c:v>
              </c:pt>
              <c:pt idx="9">
                <c:v>19</c:v>
              </c:pt>
              <c:pt idx="10">
                <c:v>20</c:v>
              </c:pt>
              <c:pt idx="11">
                <c:v>21</c:v>
              </c:pt>
              <c:pt idx="12">
                <c:v>22</c:v>
              </c:pt>
              <c:pt idx="13">
                <c:v>23</c:v>
              </c:pt>
              <c:pt idx="14">
                <c:v>24</c:v>
              </c:pt>
              <c:pt idx="15">
                <c:v>25</c:v>
              </c:pt>
              <c:pt idx="16">
                <c:v>26</c:v>
              </c:pt>
            </c:strLit>
          </c:cat>
          <c:val>
            <c:numLit>
              <c:formatCode>General</c:formatCode>
              <c:ptCount val="17"/>
              <c:pt idx="0">
                <c:v>15353.698630136987</c:v>
              </c:pt>
              <c:pt idx="1">
                <c:v>15319.212279179323</c:v>
              </c:pt>
              <c:pt idx="2">
                <c:v>15601.003579144755</c:v>
              </c:pt>
              <c:pt idx="3">
                <c:v>15474.806013412515</c:v>
              </c:pt>
              <c:pt idx="4">
                <c:v>15436.201301779389</c:v>
              </c:pt>
              <c:pt idx="5">
                <c:v>15708.765455460103</c:v>
              </c:pt>
              <c:pt idx="6">
                <c:v>12807.509636046836</c:v>
              </c:pt>
              <c:pt idx="7">
                <c:v>16239.833946039411</c:v>
              </c:pt>
              <c:pt idx="8">
                <c:v>16619.816130603951</c:v>
              </c:pt>
              <c:pt idx="9">
                <c:v>17142.571315873538</c:v>
              </c:pt>
              <c:pt idx="10">
                <c:v>17043.374581137901</c:v>
              </c:pt>
              <c:pt idx="11">
                <c:v>12920.966346633253</c:v>
              </c:pt>
              <c:pt idx="12">
                <c:v>13729.756931376607</c:v>
              </c:pt>
              <c:pt idx="13">
                <c:v>11465.834772114482</c:v>
              </c:pt>
              <c:pt idx="14">
                <c:v>15628.975684846204</c:v>
              </c:pt>
              <c:pt idx="15">
                <c:v>15753.641389336526</c:v>
              </c:pt>
              <c:pt idx="16">
                <c:v>14767.980684789065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6DA-43CC-B64A-C50372FF9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392464"/>
        <c:axId val="1786391632"/>
      </c:lineChart>
      <c:catAx>
        <c:axId val="1090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9012128"/>
        <c:crosses val="autoZero"/>
        <c:auto val="1"/>
        <c:lblAlgn val="ctr"/>
        <c:lblOffset val="100"/>
        <c:noMultiLvlLbl val="0"/>
      </c:catAx>
      <c:valAx>
        <c:axId val="109012128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9018368"/>
        <c:crosses val="autoZero"/>
        <c:crossBetween val="between"/>
      </c:valAx>
      <c:valAx>
        <c:axId val="1786391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86392464"/>
        <c:crosses val="max"/>
        <c:crossBetween val="between"/>
      </c:valAx>
      <c:catAx>
        <c:axId val="1786392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86391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>
        <c:manualLayout>
          <c:layoutTarget val="inner"/>
          <c:xMode val="edge"/>
          <c:yMode val="edge"/>
          <c:x val="0.10891426071741032"/>
          <c:y val="0.17819883040935677"/>
          <c:w val="0.85219685039370074"/>
          <c:h val="0.6665576276649629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('LT Forecast 2'!#REF!,'LT Forecast 2'!#REF!,'LT Forecast 2'!#REF!,'LT Forecast 2'!#REF!)</c:f>
              <c:numCache>
                <c:formatCode>General</c:formatCode>
                <c:ptCount val="1"/>
                <c:pt idx="0">
                  <c:v>1</c:v>
                </c:pt>
              </c:numCache>
              <c:extLst/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('LT Forecast 2'!#REF!,'LT Forecast 2'!#REF!,'LT Forecast 2'!#REF!,'LT Forecast 2'!#REF!)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B1DB-47D5-8B0A-0C5DF4E5E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523647"/>
        <c:axId val="1169532799"/>
      </c:lineChart>
      <c:catAx>
        <c:axId val="11695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169532799"/>
        <c:crosses val="autoZero"/>
        <c:auto val="1"/>
        <c:lblAlgn val="ctr"/>
        <c:lblOffset val="100"/>
        <c:noMultiLvlLbl val="0"/>
      </c:catAx>
      <c:valAx>
        <c:axId val="1169532799"/>
        <c:scaling>
          <c:orientation val="minMax"/>
          <c:min val="5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169523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LT Forecast Q2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'[1]LT Forecast'!$O$86</c:f>
              <c:strCache>
                <c:ptCount val="1"/>
                <c:pt idx="0">
                  <c:v>-0,05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'[1]LT Forecast'!$B$87:$C$98</c:f>
              <c:multiLvlStrCache>
                <c:ptCount val="12"/>
                <c:lvl>
                  <c:pt idx="0">
                    <c:v>14</c:v>
                  </c:pt>
                  <c:pt idx="1">
                    <c:v>15</c:v>
                  </c:pt>
                  <c:pt idx="2">
                    <c:v>16</c:v>
                  </c:pt>
                  <c:pt idx="3">
                    <c:v>17</c:v>
                  </c:pt>
                  <c:pt idx="4">
                    <c:v>18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24</c:v>
                  </c:pt>
                  <c:pt idx="11">
                    <c:v>25</c:v>
                  </c:pt>
                </c:lvl>
                <c:lvl>
                  <c:pt idx="0">
                    <c:v>April</c:v>
                  </c:pt>
                  <c:pt idx="4">
                    <c:v>Mei</c:v>
                  </c:pt>
                  <c:pt idx="8">
                    <c:v>Juni</c:v>
                  </c:pt>
                </c:lvl>
              </c:multiLvlStrCache>
            </c:multiLvlStrRef>
          </c:cat>
          <c:val>
            <c:numRef>
              <c:f>'[1]LT Forecast'!$O$87:$O$98</c:f>
              <c:numCache>
                <c:formatCode>General</c:formatCode>
                <c:ptCount val="12"/>
                <c:pt idx="0">
                  <c:v>725875.65703068802</c:v>
                </c:pt>
                <c:pt idx="1">
                  <c:v>745204.07413652213</c:v>
                </c:pt>
                <c:pt idx="2">
                  <c:v>601648.74148439732</c:v>
                </c:pt>
                <c:pt idx="3">
                  <c:v>768182.39608767116</c:v>
                </c:pt>
                <c:pt idx="4">
                  <c:v>804970.78290566662</c:v>
                </c:pt>
                <c:pt idx="5">
                  <c:v>833486.24367284961</c:v>
                </c:pt>
                <c:pt idx="6">
                  <c:v>814642.33254467673</c:v>
                </c:pt>
                <c:pt idx="7">
                  <c:v>629344.1720575589</c:v>
                </c:pt>
                <c:pt idx="8">
                  <c:v>705450.37498920842</c:v>
                </c:pt>
                <c:pt idx="9">
                  <c:v>572467.91410779755</c:v>
                </c:pt>
                <c:pt idx="10">
                  <c:v>754479.81813991896</c:v>
                </c:pt>
                <c:pt idx="11">
                  <c:v>746835.4405883064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A-43A2-B6A9-A4598BE327C1}"/>
            </c:ext>
          </c:extLst>
        </c:ser>
        <c:ser>
          <c:idx val="1"/>
          <c:order val="1"/>
          <c:tx>
            <c:strRef>
              <c:f>'[1]LT Forecast'!$P$86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'[1]LT Forecast'!$B$87:$C$98</c:f>
              <c:multiLvlStrCache>
                <c:ptCount val="12"/>
                <c:lvl>
                  <c:pt idx="0">
                    <c:v>14</c:v>
                  </c:pt>
                  <c:pt idx="1">
                    <c:v>15</c:v>
                  </c:pt>
                  <c:pt idx="2">
                    <c:v>16</c:v>
                  </c:pt>
                  <c:pt idx="3">
                    <c:v>17</c:v>
                  </c:pt>
                  <c:pt idx="4">
                    <c:v>18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24</c:v>
                  </c:pt>
                  <c:pt idx="11">
                    <c:v>25</c:v>
                  </c:pt>
                </c:lvl>
                <c:lvl>
                  <c:pt idx="0">
                    <c:v>April</c:v>
                  </c:pt>
                  <c:pt idx="4">
                    <c:v>Mei</c:v>
                  </c:pt>
                  <c:pt idx="8">
                    <c:v>Juni</c:v>
                  </c:pt>
                </c:lvl>
              </c:multiLvlStrCache>
            </c:multiLvlStrRef>
          </c:cat>
          <c:val>
            <c:numRef>
              <c:f>'[1]LT Forecast'!$P$87:$P$98</c:f>
              <c:numCache>
                <c:formatCode>General</c:formatCode>
                <c:ptCount val="12"/>
                <c:pt idx="0">
                  <c:v>802283.62092865526</c:v>
                </c:pt>
                <c:pt idx="1">
                  <c:v>823646.60825615609</c:v>
                </c:pt>
                <c:pt idx="2">
                  <c:v>664980.1879564391</c:v>
                </c:pt>
                <c:pt idx="3">
                  <c:v>849043.70093900501</c:v>
                </c:pt>
                <c:pt idx="4">
                  <c:v>889704.54952731589</c:v>
                </c:pt>
                <c:pt idx="5">
                  <c:v>921221.63774367608</c:v>
                </c:pt>
                <c:pt idx="6">
                  <c:v>900394.15702306386</c:v>
                </c:pt>
                <c:pt idx="7">
                  <c:v>695590.92701098614</c:v>
                </c:pt>
                <c:pt idx="8">
                  <c:v>779708.30919859873</c:v>
                </c:pt>
                <c:pt idx="9">
                  <c:v>632727.69454019738</c:v>
                </c:pt>
                <c:pt idx="10">
                  <c:v>833898.7463651736</c:v>
                </c:pt>
                <c:pt idx="11">
                  <c:v>825449.69749233872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A-43A2-B6A9-A4598BE327C1}"/>
            </c:ext>
          </c:extLst>
        </c:ser>
        <c:ser>
          <c:idx val="2"/>
          <c:order val="2"/>
          <c:tx>
            <c:strRef>
              <c:f>'[1]LT Forecast'!$K$86</c:f>
              <c:strCache>
                <c:ptCount val="1"/>
                <c:pt idx="0">
                  <c:v>Filter feestdagen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'[1]LT Forecast'!$K$87:$K$98</c:f>
              <c:numCache>
                <c:formatCode>General</c:formatCode>
                <c:ptCount val="12"/>
                <c:pt idx="0">
                  <c:v>764079.63897967164</c:v>
                </c:pt>
                <c:pt idx="1">
                  <c:v>784425.34119633911</c:v>
                </c:pt>
                <c:pt idx="2">
                  <c:v>783338.84652777447</c:v>
                </c:pt>
                <c:pt idx="3">
                  <c:v>814209.57595336833</c:v>
                </c:pt>
                <c:pt idx="4">
                  <c:v>847337.66621649126</c:v>
                </c:pt>
                <c:pt idx="5">
                  <c:v>877353.94070826285</c:v>
                </c:pt>
                <c:pt idx="6">
                  <c:v>857518.24478387029</c:v>
                </c:pt>
                <c:pt idx="7">
                  <c:v>829273.2528890667</c:v>
                </c:pt>
                <c:pt idx="8">
                  <c:v>827427.73931331839</c:v>
                </c:pt>
                <c:pt idx="9">
                  <c:v>802651.56096282578</c:v>
                </c:pt>
                <c:pt idx="10">
                  <c:v>794189.28225254628</c:v>
                </c:pt>
                <c:pt idx="11">
                  <c:v>786142.56904032256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A-43A2-B6A9-A4598BE32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408104"/>
        <c:axId val="272408760"/>
      </c:lineChart>
      <c:catAx>
        <c:axId val="27240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72408760"/>
        <c:crosses val="autoZero"/>
        <c:auto val="1"/>
        <c:lblAlgn val="ctr"/>
        <c:lblOffset val="100"/>
        <c:noMultiLvlLbl val="0"/>
      </c:catAx>
      <c:valAx>
        <c:axId val="272408760"/>
        <c:scaling>
          <c:orientation val="minMax"/>
          <c:min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7240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LT Forecast Q2/Q3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Filter feestdagen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'LT Forecast 2'!$D$253:$D$272</c:f>
              <c:numCache>
                <c:formatCode>0</c:formatCode>
                <c:ptCount val="2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</c:numCache>
            </c:numRef>
          </c:cat>
          <c:val>
            <c:numRef>
              <c:f>'LT Forecast 2'!$L$253:$L$272</c:f>
              <c:numCache>
                <c:formatCode>0</c:formatCode>
                <c:ptCount val="20"/>
                <c:pt idx="0">
                  <c:v>725131</c:v>
                </c:pt>
                <c:pt idx="1">
                  <c:v>723902</c:v>
                </c:pt>
                <c:pt idx="2">
                  <c:v>742182</c:v>
                </c:pt>
                <c:pt idx="3">
                  <c:v>759098.18840633309</c:v>
                </c:pt>
                <c:pt idx="4">
                  <c:v>805364.42371736898</c:v>
                </c:pt>
                <c:pt idx="5">
                  <c:v>852499.80925655249</c:v>
                </c:pt>
                <c:pt idx="6">
                  <c:v>818632.36669975508</c:v>
                </c:pt>
                <c:pt idx="7">
                  <c:v>795314.06524591404</c:v>
                </c:pt>
                <c:pt idx="8">
                  <c:v>859799.6869357446</c:v>
                </c:pt>
                <c:pt idx="9">
                  <c:v>847314.93090906506</c:v>
                </c:pt>
                <c:pt idx="10">
                  <c:v>844161.49099796987</c:v>
                </c:pt>
                <c:pt idx="11">
                  <c:v>825196.98960001359</c:v>
                </c:pt>
                <c:pt idx="12">
                  <c:v>814183.08635867387</c:v>
                </c:pt>
                <c:pt idx="13">
                  <c:v>784671.93725660897</c:v>
                </c:pt>
                <c:pt idx="14">
                  <c:v>730280.63175366074</c:v>
                </c:pt>
                <c:pt idx="15">
                  <c:v>720022.8452706174</c:v>
                </c:pt>
                <c:pt idx="16">
                  <c:v>732103.48973412963</c:v>
                </c:pt>
                <c:pt idx="17">
                  <c:v>689659.85629132041</c:v>
                </c:pt>
                <c:pt idx="18">
                  <c:v>645643.61247980176</c:v>
                </c:pt>
                <c:pt idx="19">
                  <c:v>724956.04288151523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0-4C24-A980-09669B6FB673}"/>
            </c:ext>
          </c:extLst>
        </c:ser>
        <c:ser>
          <c:idx val="1"/>
          <c:order val="1"/>
          <c:tx>
            <c:v>-5%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'LT Forecast 2'!$D$253:$D$272</c:f>
              <c:numCache>
                <c:formatCode>0</c:formatCode>
                <c:ptCount val="2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</c:numCache>
            </c:numRef>
          </c:cat>
          <c:val>
            <c:numRef>
              <c:f>'LT Forecast 2'!$P$253:$P$272</c:f>
              <c:numCache>
                <c:formatCode>0</c:formatCode>
                <c:ptCount val="20"/>
                <c:pt idx="0">
                  <c:v>688874.45</c:v>
                </c:pt>
                <c:pt idx="1">
                  <c:v>687706.9</c:v>
                </c:pt>
                <c:pt idx="2">
                  <c:v>602479.54999999993</c:v>
                </c:pt>
                <c:pt idx="3">
                  <c:v>721143.2789860164</c:v>
                </c:pt>
                <c:pt idx="4">
                  <c:v>765096.20253150049</c:v>
                </c:pt>
                <c:pt idx="5">
                  <c:v>809874.81879372487</c:v>
                </c:pt>
                <c:pt idx="6">
                  <c:v>727287.6491617607</c:v>
                </c:pt>
                <c:pt idx="7">
                  <c:v>634806.37315484602</c:v>
                </c:pt>
                <c:pt idx="8">
                  <c:v>816809.70258895739</c:v>
                </c:pt>
                <c:pt idx="9">
                  <c:v>636229.7271962848</c:v>
                </c:pt>
                <c:pt idx="10">
                  <c:v>801953.41644807137</c:v>
                </c:pt>
                <c:pt idx="11">
                  <c:v>783937.14012001292</c:v>
                </c:pt>
                <c:pt idx="12">
                  <c:v>773473.93204074015</c:v>
                </c:pt>
                <c:pt idx="13">
                  <c:v>745438.34039377852</c:v>
                </c:pt>
                <c:pt idx="14">
                  <c:v>693766.60016597772</c:v>
                </c:pt>
                <c:pt idx="15">
                  <c:v>574086.85208210244</c:v>
                </c:pt>
                <c:pt idx="16">
                  <c:v>695498.31524742313</c:v>
                </c:pt>
                <c:pt idx="17">
                  <c:v>655176.8634767544</c:v>
                </c:pt>
                <c:pt idx="18">
                  <c:v>608352.5310116465</c:v>
                </c:pt>
                <c:pt idx="19">
                  <c:v>560175.10404026764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70-4C24-A980-09669B6FB673}"/>
            </c:ext>
          </c:extLst>
        </c:ser>
        <c:ser>
          <c:idx val="2"/>
          <c:order val="2"/>
          <c:tx>
            <c:v>5%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'LT Forecast 2'!$D$253:$D$272</c:f>
              <c:numCache>
                <c:formatCode>0</c:formatCode>
                <c:ptCount val="20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</c:numCache>
            </c:numRef>
          </c:cat>
          <c:val>
            <c:numRef>
              <c:f>'LT Forecast 2'!$Q$253:$Q$272</c:f>
              <c:numCache>
                <c:formatCode>0</c:formatCode>
                <c:ptCount val="20"/>
                <c:pt idx="0">
                  <c:v>761387.55</c:v>
                </c:pt>
                <c:pt idx="1">
                  <c:v>760097.1</c:v>
                </c:pt>
                <c:pt idx="2">
                  <c:v>665898.45000000007</c:v>
                </c:pt>
                <c:pt idx="3">
                  <c:v>797053.09782664978</c:v>
                </c:pt>
                <c:pt idx="4">
                  <c:v>845632.64490323747</c:v>
                </c:pt>
                <c:pt idx="5">
                  <c:v>895124.7997193801</c:v>
                </c:pt>
                <c:pt idx="6">
                  <c:v>803844.24381036707</c:v>
                </c:pt>
                <c:pt idx="7">
                  <c:v>701628.09664482996</c:v>
                </c:pt>
                <c:pt idx="8">
                  <c:v>902789.67128253181</c:v>
                </c:pt>
                <c:pt idx="9">
                  <c:v>703201.27742747264</c:v>
                </c:pt>
                <c:pt idx="10">
                  <c:v>886369.56554786838</c:v>
                </c:pt>
                <c:pt idx="11">
                  <c:v>866456.83908001427</c:v>
                </c:pt>
                <c:pt idx="12">
                  <c:v>854892.24067660759</c:v>
                </c:pt>
                <c:pt idx="13">
                  <c:v>823905.53411943943</c:v>
                </c:pt>
                <c:pt idx="14">
                  <c:v>766794.66334134375</c:v>
                </c:pt>
                <c:pt idx="15">
                  <c:v>634517.04703811335</c:v>
                </c:pt>
                <c:pt idx="16">
                  <c:v>768708.66422083613</c:v>
                </c:pt>
                <c:pt idx="17">
                  <c:v>724142.84910588642</c:v>
                </c:pt>
                <c:pt idx="18">
                  <c:v>672389.63953918836</c:v>
                </c:pt>
                <c:pt idx="19">
                  <c:v>619140.90446555894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70-4C24-A980-09669B6FB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27567"/>
        <c:axId val="16781631"/>
      </c:lineChart>
      <c:catAx>
        <c:axId val="5482756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781631"/>
        <c:crosses val="autoZero"/>
        <c:auto val="1"/>
        <c:lblAlgn val="ctr"/>
        <c:lblOffset val="100"/>
        <c:noMultiLvlLbl val="0"/>
      </c:catAx>
      <c:valAx>
        <c:axId val="16781631"/>
        <c:scaling>
          <c:orientation val="minMax"/>
          <c:min val="4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548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MLT</a:t>
            </a:r>
            <a:r>
              <a:rPr lang="nl-BE" baseline="0"/>
              <a:t> FC Q3</a:t>
            </a:r>
            <a:endParaRPr lang="nl-B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'LT Forecast 2'!$L$320</c:f>
              <c:strCache>
                <c:ptCount val="1"/>
                <c:pt idx="0">
                  <c:v>Filter feestdagen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2'!$C$321:$D$333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2'!$L$321:$L$333</c:f>
              <c:numCache>
                <c:formatCode>0</c:formatCode>
                <c:ptCount val="13"/>
                <c:pt idx="0">
                  <c:v>671232</c:v>
                </c:pt>
                <c:pt idx="1">
                  <c:v>641578.38903510186</c:v>
                </c:pt>
                <c:pt idx="2">
                  <c:v>658405.508374008</c:v>
                </c:pt>
                <c:pt idx="3">
                  <c:v>651528.80086110171</c:v>
                </c:pt>
                <c:pt idx="4">
                  <c:v>631792.43981233984</c:v>
                </c:pt>
                <c:pt idx="5">
                  <c:v>608155.40508551209</c:v>
                </c:pt>
                <c:pt idx="6">
                  <c:v>629538.56348627433</c:v>
                </c:pt>
                <c:pt idx="7">
                  <c:v>747634.78068127739</c:v>
                </c:pt>
                <c:pt idx="8">
                  <c:v>832190.5075830092</c:v>
                </c:pt>
                <c:pt idx="9">
                  <c:v>810644.53499624878</c:v>
                </c:pt>
                <c:pt idx="10">
                  <c:v>815027.95917949127</c:v>
                </c:pt>
                <c:pt idx="11">
                  <c:v>827581.92417709087</c:v>
                </c:pt>
                <c:pt idx="12">
                  <c:v>831139.2344552445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4D-4C6D-BEF4-8362AD468C6F}"/>
            </c:ext>
          </c:extLst>
        </c:ser>
        <c:ser>
          <c:idx val="1"/>
          <c:order val="1"/>
          <c:tx>
            <c:strRef>
              <c:f>'LT Forecast 2'!$N$320</c:f>
              <c:strCache>
                <c:ptCount val="1"/>
                <c:pt idx="0">
                  <c:v>-5%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2'!$C$321:$D$333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2'!$N$321:$N$333</c:f>
              <c:numCache>
                <c:formatCode>0</c:formatCode>
                <c:ptCount val="13"/>
                <c:pt idx="0">
                  <c:v>637670.40000000002</c:v>
                </c:pt>
                <c:pt idx="1">
                  <c:v>609499.46958334674</c:v>
                </c:pt>
                <c:pt idx="2">
                  <c:v>529959.31186721951</c:v>
                </c:pt>
                <c:pt idx="3">
                  <c:v>618952.36081804661</c:v>
                </c:pt>
                <c:pt idx="4">
                  <c:v>600202.81782172283</c:v>
                </c:pt>
                <c:pt idx="5">
                  <c:v>577747.63483123644</c:v>
                </c:pt>
                <c:pt idx="6">
                  <c:v>497612.25223014876</c:v>
                </c:pt>
                <c:pt idx="7">
                  <c:v>710253.04164721351</c:v>
                </c:pt>
                <c:pt idx="8">
                  <c:v>790580.98220385867</c:v>
                </c:pt>
                <c:pt idx="9">
                  <c:v>770112.3082464363</c:v>
                </c:pt>
                <c:pt idx="10">
                  <c:v>774276.56122051668</c:v>
                </c:pt>
                <c:pt idx="11">
                  <c:v>786202.82796823629</c:v>
                </c:pt>
                <c:pt idx="12">
                  <c:v>789582.27273248229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4D-4C6D-BEF4-8362AD468C6F}"/>
            </c:ext>
          </c:extLst>
        </c:ser>
        <c:ser>
          <c:idx val="2"/>
          <c:order val="2"/>
          <c:tx>
            <c:strRef>
              <c:f>'LT Forecast 2'!$O$320</c:f>
              <c:strCache>
                <c:ptCount val="1"/>
                <c:pt idx="0">
                  <c:v>+5%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2'!$C$321:$D$333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2'!$O$321:$O$333</c:f>
              <c:numCache>
                <c:formatCode>0</c:formatCode>
                <c:ptCount val="13"/>
                <c:pt idx="0">
                  <c:v>704793.59999999998</c:v>
                </c:pt>
                <c:pt idx="1">
                  <c:v>673657.30848685699</c:v>
                </c:pt>
                <c:pt idx="2">
                  <c:v>585744.5025900848</c:v>
                </c:pt>
                <c:pt idx="3">
                  <c:v>684105.24090415682</c:v>
                </c:pt>
                <c:pt idx="4">
                  <c:v>663382.06180295686</c:v>
                </c:pt>
                <c:pt idx="5">
                  <c:v>638563.17533978773</c:v>
                </c:pt>
                <c:pt idx="6">
                  <c:v>549992.48930700659</c:v>
                </c:pt>
                <c:pt idx="7">
                  <c:v>785016.51971534127</c:v>
                </c:pt>
                <c:pt idx="8">
                  <c:v>873800.03296215972</c:v>
                </c:pt>
                <c:pt idx="9">
                  <c:v>851176.76174606127</c:v>
                </c:pt>
                <c:pt idx="10">
                  <c:v>855779.35713846586</c:v>
                </c:pt>
                <c:pt idx="11">
                  <c:v>868961.02038594545</c:v>
                </c:pt>
                <c:pt idx="12">
                  <c:v>872696.19617800671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4D-4C6D-BEF4-8362AD46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751296"/>
        <c:axId val="335762112"/>
      </c:lineChart>
      <c:catAx>
        <c:axId val="33575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35762112"/>
        <c:crosses val="autoZero"/>
        <c:auto val="1"/>
        <c:lblAlgn val="ctr"/>
        <c:lblOffset val="100"/>
        <c:noMultiLvlLbl val="0"/>
      </c:catAx>
      <c:valAx>
        <c:axId val="335762112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357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MLT</a:t>
            </a:r>
            <a:r>
              <a:rPr lang="nl-BE" baseline="0"/>
              <a:t> FC Q3</a:t>
            </a:r>
            <a:endParaRPr lang="nl-B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'LT Forecast 2'!$L$362</c:f>
              <c:strCache>
                <c:ptCount val="1"/>
                <c:pt idx="0">
                  <c:v>Filter feestdagen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2'!$C$363:$D$375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2'!$L$363:$L$375</c:f>
              <c:numCache>
                <c:formatCode>0</c:formatCode>
                <c:ptCount val="13"/>
                <c:pt idx="0">
                  <c:v>691935.24146509625</c:v>
                </c:pt>
                <c:pt idx="1">
                  <c:v>635427.64286974375</c:v>
                </c:pt>
                <c:pt idx="2">
                  <c:v>634756.44658111664</c:v>
                </c:pt>
                <c:pt idx="3">
                  <c:v>609951.50253319938</c:v>
                </c:pt>
                <c:pt idx="4">
                  <c:v>583927.15422507096</c:v>
                </c:pt>
                <c:pt idx="5">
                  <c:v>567164.19382972002</c:v>
                </c:pt>
                <c:pt idx="6">
                  <c:v>570958.41290742462</c:v>
                </c:pt>
                <c:pt idx="7">
                  <c:v>667659.56745551119</c:v>
                </c:pt>
                <c:pt idx="8">
                  <c:v>723233.66073348408</c:v>
                </c:pt>
                <c:pt idx="9">
                  <c:v>728517.68942900095</c:v>
                </c:pt>
                <c:pt idx="10">
                  <c:v>722082.68853867345</c:v>
                </c:pt>
                <c:pt idx="11">
                  <c:v>723856.56123021257</c:v>
                </c:pt>
                <c:pt idx="12">
                  <c:v>764332.76815004915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F-415D-977B-5A8661781F88}"/>
            </c:ext>
          </c:extLst>
        </c:ser>
        <c:ser>
          <c:idx val="1"/>
          <c:order val="1"/>
          <c:tx>
            <c:strRef>
              <c:f>'LT Forecast 2'!$N$362</c:f>
              <c:strCache>
                <c:ptCount val="1"/>
                <c:pt idx="0">
                  <c:v>-5%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2'!$C$363:$D$375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2'!$N$363:$N$375</c:f>
              <c:numCache>
                <c:formatCode>0</c:formatCode>
                <c:ptCount val="13"/>
                <c:pt idx="0">
                  <c:v>657338.47939184145</c:v>
                </c:pt>
                <c:pt idx="1">
                  <c:v>603656.26072625653</c:v>
                </c:pt>
                <c:pt idx="2">
                  <c:v>512768.62425206078</c:v>
                </c:pt>
                <c:pt idx="3">
                  <c:v>579453.92740653944</c:v>
                </c:pt>
                <c:pt idx="4">
                  <c:v>554730.79651381739</c:v>
                </c:pt>
                <c:pt idx="5">
                  <c:v>538805.98413823405</c:v>
                </c:pt>
                <c:pt idx="6">
                  <c:v>461660.49226205336</c:v>
                </c:pt>
                <c:pt idx="7">
                  <c:v>634276.58908273559</c:v>
                </c:pt>
                <c:pt idx="8">
                  <c:v>687071.9776968098</c:v>
                </c:pt>
                <c:pt idx="9">
                  <c:v>692091.80495755083</c:v>
                </c:pt>
                <c:pt idx="10">
                  <c:v>685978.55411173974</c:v>
                </c:pt>
                <c:pt idx="11">
                  <c:v>687663.73316870187</c:v>
                </c:pt>
                <c:pt idx="12">
                  <c:v>726116.12974254671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F-415D-977B-5A8661781F88}"/>
            </c:ext>
          </c:extLst>
        </c:ser>
        <c:ser>
          <c:idx val="2"/>
          <c:order val="2"/>
          <c:tx>
            <c:strRef>
              <c:f>'LT Forecast 2'!$O$362</c:f>
              <c:strCache>
                <c:ptCount val="1"/>
                <c:pt idx="0">
                  <c:v>+5%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2'!$C$363:$D$375</c:f>
              <c:multiLvlStrCache>
                <c:ptCount val="13"/>
                <c:lvl>
                  <c:pt idx="0">
                    <c:v>Wk 27</c:v>
                  </c:pt>
                  <c:pt idx="1">
                    <c:v>Wk 28</c:v>
                  </c:pt>
                  <c:pt idx="2">
                    <c:v>Wk 29</c:v>
                  </c:pt>
                  <c:pt idx="3">
                    <c:v>Wk 30</c:v>
                  </c:pt>
                  <c:pt idx="4">
                    <c:v>Wk 31</c:v>
                  </c:pt>
                  <c:pt idx="5">
                    <c:v>Wk 32</c:v>
                  </c:pt>
                  <c:pt idx="6">
                    <c:v>Wk 33</c:v>
                  </c:pt>
                  <c:pt idx="7">
                    <c:v>Wk 34</c:v>
                  </c:pt>
                  <c:pt idx="8">
                    <c:v>Wk 35</c:v>
                  </c:pt>
                  <c:pt idx="9">
                    <c:v>Wk 36</c:v>
                  </c:pt>
                  <c:pt idx="10">
                    <c:v>Wk 37</c:v>
                  </c:pt>
                  <c:pt idx="11">
                    <c:v>Wk 38</c:v>
                  </c:pt>
                  <c:pt idx="12">
                    <c:v>Wk 39</c:v>
                  </c:pt>
                </c:lvl>
                <c:lvl>
                  <c:pt idx="0">
                    <c:v>Juli</c:v>
                  </c:pt>
                  <c:pt idx="4">
                    <c:v>Augustus</c:v>
                  </c:pt>
                  <c:pt idx="8">
                    <c:v>September</c:v>
                  </c:pt>
                </c:lvl>
              </c:multiLvlStrCache>
            </c:multiLvlStrRef>
          </c:cat>
          <c:val>
            <c:numRef>
              <c:f>'LT Forecast 2'!$O$363:$O$375</c:f>
              <c:numCache>
                <c:formatCode>0</c:formatCode>
                <c:ptCount val="13"/>
                <c:pt idx="0">
                  <c:v>726532.00353835104</c:v>
                </c:pt>
                <c:pt idx="1">
                  <c:v>667199.02501323097</c:v>
                </c:pt>
                <c:pt idx="2">
                  <c:v>566744.26891017251</c:v>
                </c:pt>
                <c:pt idx="3">
                  <c:v>640449.07765985932</c:v>
                </c:pt>
                <c:pt idx="4">
                  <c:v>613123.51193632453</c:v>
                </c:pt>
                <c:pt idx="5">
                  <c:v>595522.403521206</c:v>
                </c:pt>
                <c:pt idx="6">
                  <c:v>510256.33355279587</c:v>
                </c:pt>
                <c:pt idx="7">
                  <c:v>701042.54582828679</c:v>
                </c:pt>
                <c:pt idx="8">
                  <c:v>759395.34377015836</c:v>
                </c:pt>
                <c:pt idx="9">
                  <c:v>764943.57390045107</c:v>
                </c:pt>
                <c:pt idx="10">
                  <c:v>758186.82296560716</c:v>
                </c:pt>
                <c:pt idx="11">
                  <c:v>760049.38929172326</c:v>
                </c:pt>
                <c:pt idx="12">
                  <c:v>802549.40655755159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F-415D-977B-5A8661781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751296"/>
        <c:axId val="335762112"/>
      </c:lineChart>
      <c:catAx>
        <c:axId val="33575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35762112"/>
        <c:crosses val="autoZero"/>
        <c:auto val="1"/>
        <c:lblAlgn val="ctr"/>
        <c:lblOffset val="100"/>
        <c:noMultiLvlLbl val="0"/>
      </c:catAx>
      <c:valAx>
        <c:axId val="335762112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357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'LT Forecast 2'!$L$404</c:f>
              <c:strCache>
                <c:ptCount val="1"/>
                <c:pt idx="0">
                  <c:v>Filter feestdagen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2'!$C$405:$D$417</c:f>
              <c:multiLvlStrCache>
                <c:ptCount val="13"/>
                <c:lvl>
                  <c:pt idx="0">
                    <c:v>Wk 34</c:v>
                  </c:pt>
                  <c:pt idx="1">
                    <c:v>Wk 35</c:v>
                  </c:pt>
                  <c:pt idx="2">
                    <c:v>Wk 36</c:v>
                  </c:pt>
                  <c:pt idx="3">
                    <c:v>Wk 37</c:v>
                  </c:pt>
                  <c:pt idx="4">
                    <c:v>Wk 38</c:v>
                  </c:pt>
                  <c:pt idx="5">
                    <c:v>Wk 39</c:v>
                  </c:pt>
                  <c:pt idx="6">
                    <c:v>Wk 40</c:v>
                  </c:pt>
                  <c:pt idx="7">
                    <c:v>Wk 41</c:v>
                  </c:pt>
                  <c:pt idx="8">
                    <c:v>Wk 42</c:v>
                  </c:pt>
                  <c:pt idx="9">
                    <c:v>Wk 43</c:v>
                  </c:pt>
                  <c:pt idx="10">
                    <c:v>Wk 44</c:v>
                  </c:pt>
                  <c:pt idx="11">
                    <c:v>Wk 45</c:v>
                  </c:pt>
                  <c:pt idx="12">
                    <c:v>Wk 46</c:v>
                  </c:pt>
                </c:lvl>
                <c:lvl>
                  <c:pt idx="0">
                    <c:v>Augustus</c:v>
                  </c:pt>
                  <c:pt idx="1">
                    <c:v>September</c:v>
                  </c:pt>
                  <c:pt idx="6">
                    <c:v>Oktober</c:v>
                  </c:pt>
                  <c:pt idx="10">
                    <c:v>November</c:v>
                  </c:pt>
                </c:lvl>
              </c:multiLvlStrCache>
            </c:multiLvlStrRef>
          </c:cat>
          <c:val>
            <c:numRef>
              <c:f>'LT Forecast 2'!$L$405:$L$417</c:f>
              <c:numCache>
                <c:formatCode>0</c:formatCode>
                <c:ptCount val="13"/>
                <c:pt idx="0">
                  <c:v>730060.14293076796</c:v>
                </c:pt>
                <c:pt idx="1">
                  <c:v>812976.62931732065</c:v>
                </c:pt>
                <c:pt idx="2">
                  <c:v>815806.24264675402</c:v>
                </c:pt>
                <c:pt idx="3">
                  <c:v>819245.98184239096</c:v>
                </c:pt>
                <c:pt idx="4">
                  <c:v>827125.60642339615</c:v>
                </c:pt>
                <c:pt idx="5">
                  <c:v>835495.59003510233</c:v>
                </c:pt>
                <c:pt idx="6">
                  <c:v>835588.35465735628</c:v>
                </c:pt>
                <c:pt idx="7">
                  <c:v>828686.53482509451</c:v>
                </c:pt>
                <c:pt idx="8">
                  <c:v>844235.02388498327</c:v>
                </c:pt>
                <c:pt idx="9">
                  <c:v>876756.3392061675</c:v>
                </c:pt>
                <c:pt idx="10">
                  <c:v>889304.8928584035</c:v>
                </c:pt>
                <c:pt idx="11">
                  <c:v>917845.81906896969</c:v>
                </c:pt>
                <c:pt idx="12">
                  <c:v>866416.05683194124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2-4EC9-97BB-64B419DE5BF9}"/>
            </c:ext>
          </c:extLst>
        </c:ser>
        <c:ser>
          <c:idx val="1"/>
          <c:order val="1"/>
          <c:tx>
            <c:strRef>
              <c:f>'LT Forecast 2'!$N$404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2'!$C$405:$D$417</c:f>
              <c:multiLvlStrCache>
                <c:ptCount val="13"/>
                <c:lvl>
                  <c:pt idx="0">
                    <c:v>Wk 34</c:v>
                  </c:pt>
                  <c:pt idx="1">
                    <c:v>Wk 35</c:v>
                  </c:pt>
                  <c:pt idx="2">
                    <c:v>Wk 36</c:v>
                  </c:pt>
                  <c:pt idx="3">
                    <c:v>Wk 37</c:v>
                  </c:pt>
                  <c:pt idx="4">
                    <c:v>Wk 38</c:v>
                  </c:pt>
                  <c:pt idx="5">
                    <c:v>Wk 39</c:v>
                  </c:pt>
                  <c:pt idx="6">
                    <c:v>Wk 40</c:v>
                  </c:pt>
                  <c:pt idx="7">
                    <c:v>Wk 41</c:v>
                  </c:pt>
                  <c:pt idx="8">
                    <c:v>Wk 42</c:v>
                  </c:pt>
                  <c:pt idx="9">
                    <c:v>Wk 43</c:v>
                  </c:pt>
                  <c:pt idx="10">
                    <c:v>Wk 44</c:v>
                  </c:pt>
                  <c:pt idx="11">
                    <c:v>Wk 45</c:v>
                  </c:pt>
                  <c:pt idx="12">
                    <c:v>Wk 46</c:v>
                  </c:pt>
                </c:lvl>
                <c:lvl>
                  <c:pt idx="0">
                    <c:v>Augustus</c:v>
                  </c:pt>
                  <c:pt idx="1">
                    <c:v>September</c:v>
                  </c:pt>
                  <c:pt idx="6">
                    <c:v>Oktober</c:v>
                  </c:pt>
                  <c:pt idx="10">
                    <c:v>November</c:v>
                  </c:pt>
                </c:lvl>
              </c:multiLvlStrCache>
            </c:multiLvlStrRef>
          </c:cat>
          <c:val>
            <c:numRef>
              <c:f>'LT Forecast 2'!$N$405:$N$417</c:f>
              <c:numCache>
                <c:formatCode>0</c:formatCode>
                <c:ptCount val="13"/>
                <c:pt idx="0">
                  <c:v>722759.54150146025</c:v>
                </c:pt>
                <c:pt idx="1">
                  <c:v>804846.86302414746</c:v>
                </c:pt>
                <c:pt idx="2">
                  <c:v>807648.18022028648</c:v>
                </c:pt>
                <c:pt idx="3">
                  <c:v>811053.522023967</c:v>
                </c:pt>
                <c:pt idx="4">
                  <c:v>818854.3503591622</c:v>
                </c:pt>
                <c:pt idx="5">
                  <c:v>827140.63413475128</c:v>
                </c:pt>
                <c:pt idx="6">
                  <c:v>827232.4711107827</c:v>
                </c:pt>
                <c:pt idx="7">
                  <c:v>820399.66947684356</c:v>
                </c:pt>
                <c:pt idx="8">
                  <c:v>835792.67364613339</c:v>
                </c:pt>
                <c:pt idx="9">
                  <c:v>867988.77581410576</c:v>
                </c:pt>
                <c:pt idx="10">
                  <c:v>742199.96728320362</c:v>
                </c:pt>
                <c:pt idx="11">
                  <c:v>754402.10867496138</c:v>
                </c:pt>
                <c:pt idx="12">
                  <c:v>857751.89626362186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2-4EC9-97BB-64B419DE5BF9}"/>
            </c:ext>
          </c:extLst>
        </c:ser>
        <c:ser>
          <c:idx val="2"/>
          <c:order val="2"/>
          <c:tx>
            <c:strRef>
              <c:f>'LT Forecast 2'!$O$404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2'!$C$405:$D$417</c:f>
              <c:multiLvlStrCache>
                <c:ptCount val="13"/>
                <c:lvl>
                  <c:pt idx="0">
                    <c:v>Wk 34</c:v>
                  </c:pt>
                  <c:pt idx="1">
                    <c:v>Wk 35</c:v>
                  </c:pt>
                  <c:pt idx="2">
                    <c:v>Wk 36</c:v>
                  </c:pt>
                  <c:pt idx="3">
                    <c:v>Wk 37</c:v>
                  </c:pt>
                  <c:pt idx="4">
                    <c:v>Wk 38</c:v>
                  </c:pt>
                  <c:pt idx="5">
                    <c:v>Wk 39</c:v>
                  </c:pt>
                  <c:pt idx="6">
                    <c:v>Wk 40</c:v>
                  </c:pt>
                  <c:pt idx="7">
                    <c:v>Wk 41</c:v>
                  </c:pt>
                  <c:pt idx="8">
                    <c:v>Wk 42</c:v>
                  </c:pt>
                  <c:pt idx="9">
                    <c:v>Wk 43</c:v>
                  </c:pt>
                  <c:pt idx="10">
                    <c:v>Wk 44</c:v>
                  </c:pt>
                  <c:pt idx="11">
                    <c:v>Wk 45</c:v>
                  </c:pt>
                  <c:pt idx="12">
                    <c:v>Wk 46</c:v>
                  </c:pt>
                </c:lvl>
                <c:lvl>
                  <c:pt idx="0">
                    <c:v>Augustus</c:v>
                  </c:pt>
                  <c:pt idx="1">
                    <c:v>September</c:v>
                  </c:pt>
                  <c:pt idx="6">
                    <c:v>Oktober</c:v>
                  </c:pt>
                  <c:pt idx="10">
                    <c:v>November</c:v>
                  </c:pt>
                </c:lvl>
              </c:multiLvlStrCache>
            </c:multiLvlStrRef>
          </c:cat>
          <c:val>
            <c:numRef>
              <c:f>'LT Forecast 2'!$O$405:$O$417</c:f>
              <c:numCache>
                <c:formatCode>0</c:formatCode>
                <c:ptCount val="13"/>
                <c:pt idx="0">
                  <c:v>737360.74436007568</c:v>
                </c:pt>
                <c:pt idx="1">
                  <c:v>829236.16190366703</c:v>
                </c:pt>
                <c:pt idx="2">
                  <c:v>840280.42992615665</c:v>
                </c:pt>
                <c:pt idx="3">
                  <c:v>852015.82111608668</c:v>
                </c:pt>
                <c:pt idx="4">
                  <c:v>868481.88674456603</c:v>
                </c:pt>
                <c:pt idx="5">
                  <c:v>877270.36953685747</c:v>
                </c:pt>
                <c:pt idx="6">
                  <c:v>877367.77239022416</c:v>
                </c:pt>
                <c:pt idx="7">
                  <c:v>878407.72691460024</c:v>
                </c:pt>
                <c:pt idx="8">
                  <c:v>894889.12531808228</c:v>
                </c:pt>
                <c:pt idx="9">
                  <c:v>938129.28295059933</c:v>
                </c:pt>
                <c:pt idx="10">
                  <c:v>802175.7222151797</c:v>
                </c:pt>
                <c:pt idx="11">
                  <c:v>822984.11855450342</c:v>
                </c:pt>
                <c:pt idx="12">
                  <c:v>935729.34137849661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2-4EC9-97BB-64B419DE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447455"/>
        <c:axId val="708447871"/>
      </c:lineChart>
      <c:catAx>
        <c:axId val="70844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08447871"/>
        <c:crosses val="autoZero"/>
        <c:auto val="1"/>
        <c:lblAlgn val="ctr"/>
        <c:lblOffset val="100"/>
        <c:noMultiLvlLbl val="0"/>
      </c:catAx>
      <c:valAx>
        <c:axId val="708447871"/>
        <c:scaling>
          <c:orientation val="minMax"/>
          <c:min val="7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0844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MLT FC Q4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>
        <c:manualLayout>
          <c:layoutTarget val="inner"/>
          <c:xMode val="edge"/>
          <c:yMode val="edge"/>
          <c:x val="4.3546449625621597E-2"/>
          <c:y val="0.17136026349026148"/>
          <c:w val="0.93977273538850492"/>
          <c:h val="0.73659219344884086"/>
        </c:manualLayout>
      </c:layout>
      <c:lineChart>
        <c:grouping val="standard"/>
        <c:varyColors val="0"/>
        <c:ser>
          <c:idx val="0"/>
          <c:order val="0"/>
          <c:tx>
            <c:strRef>
              <c:f>'LT Forecast 2'!$L$448</c:f>
              <c:strCache>
                <c:ptCount val="1"/>
                <c:pt idx="0">
                  <c:v>Filter feestdagen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810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'LT Forecast 2'!$C$449:$D$462</c:f>
              <c:multiLvlStrCache>
                <c:ptCount val="14"/>
                <c:lvl>
                  <c:pt idx="0">
                    <c:v>Wk 39</c:v>
                  </c:pt>
                  <c:pt idx="1">
                    <c:v>Wk 40</c:v>
                  </c:pt>
                  <c:pt idx="2">
                    <c:v>Wk 41</c:v>
                  </c:pt>
                  <c:pt idx="3">
                    <c:v>Wk 42</c:v>
                  </c:pt>
                  <c:pt idx="4">
                    <c:v>Wk 43</c:v>
                  </c:pt>
                  <c:pt idx="5">
                    <c:v>Wk 44</c:v>
                  </c:pt>
                  <c:pt idx="6">
                    <c:v>Wk 45</c:v>
                  </c:pt>
                  <c:pt idx="7">
                    <c:v>Wk 46</c:v>
                  </c:pt>
                  <c:pt idx="8">
                    <c:v>Wk 47</c:v>
                  </c:pt>
                  <c:pt idx="9">
                    <c:v>Wk 48</c:v>
                  </c:pt>
                  <c:pt idx="10">
                    <c:v>Wk 49</c:v>
                  </c:pt>
                  <c:pt idx="11">
                    <c:v>Wk 50</c:v>
                  </c:pt>
                  <c:pt idx="12">
                    <c:v>Wk 51</c:v>
                  </c:pt>
                  <c:pt idx="13">
                    <c:v>Wk 52</c:v>
                  </c:pt>
                </c:lvl>
                <c:lvl>
                  <c:pt idx="0">
                    <c:v>September</c:v>
                  </c:pt>
                  <c:pt idx="1">
                    <c:v>Oktober</c:v>
                  </c:pt>
                  <c:pt idx="5">
                    <c:v>November</c:v>
                  </c:pt>
                  <c:pt idx="9">
                    <c:v>December</c:v>
                  </c:pt>
                </c:lvl>
              </c:multiLvlStrCache>
            </c:multiLvlStrRef>
          </c:cat>
          <c:val>
            <c:numRef>
              <c:f>'LT Forecast 2'!$L$449:$L$462</c:f>
              <c:numCache>
                <c:formatCode>0</c:formatCode>
                <c:ptCount val="14"/>
                <c:pt idx="0">
                  <c:v>763903.39891424065</c:v>
                </c:pt>
                <c:pt idx="1">
                  <c:v>775853.79258597596</c:v>
                </c:pt>
                <c:pt idx="2">
                  <c:v>782763.04859972291</c:v>
                </c:pt>
                <c:pt idx="3">
                  <c:v>799371.76174371375</c:v>
                </c:pt>
                <c:pt idx="4">
                  <c:v>837463.92782597442</c:v>
                </c:pt>
                <c:pt idx="5">
                  <c:v>814942.57619072474</c:v>
                </c:pt>
                <c:pt idx="6">
                  <c:v>858853.02998517931</c:v>
                </c:pt>
                <c:pt idx="7">
                  <c:v>795683.90633577225</c:v>
                </c:pt>
                <c:pt idx="8">
                  <c:v>970880.98254258977</c:v>
                </c:pt>
                <c:pt idx="9">
                  <c:v>988288.78013998701</c:v>
                </c:pt>
                <c:pt idx="10">
                  <c:v>836835.44025493436</c:v>
                </c:pt>
                <c:pt idx="11">
                  <c:v>775457.37093017157</c:v>
                </c:pt>
                <c:pt idx="12">
                  <c:v>972463.4115171954</c:v>
                </c:pt>
                <c:pt idx="13">
                  <c:v>910339.446267972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4-40F7-B1CD-9D985195B159}"/>
            </c:ext>
          </c:extLst>
        </c:ser>
        <c:ser>
          <c:idx val="1"/>
          <c:order val="1"/>
          <c:tx>
            <c:strRef>
              <c:f>'LT Forecast 2'!$N$448</c:f>
              <c:strCache>
                <c:ptCount val="1"/>
                <c:pt idx="0">
                  <c:v>lower band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2'!$C$449:$D$462</c:f>
              <c:multiLvlStrCache>
                <c:ptCount val="14"/>
                <c:lvl>
                  <c:pt idx="0">
                    <c:v>Wk 39</c:v>
                  </c:pt>
                  <c:pt idx="1">
                    <c:v>Wk 40</c:v>
                  </c:pt>
                  <c:pt idx="2">
                    <c:v>Wk 41</c:v>
                  </c:pt>
                  <c:pt idx="3">
                    <c:v>Wk 42</c:v>
                  </c:pt>
                  <c:pt idx="4">
                    <c:v>Wk 43</c:v>
                  </c:pt>
                  <c:pt idx="5">
                    <c:v>Wk 44</c:v>
                  </c:pt>
                  <c:pt idx="6">
                    <c:v>Wk 45</c:v>
                  </c:pt>
                  <c:pt idx="7">
                    <c:v>Wk 46</c:v>
                  </c:pt>
                  <c:pt idx="8">
                    <c:v>Wk 47</c:v>
                  </c:pt>
                  <c:pt idx="9">
                    <c:v>Wk 48</c:v>
                  </c:pt>
                  <c:pt idx="10">
                    <c:v>Wk 49</c:v>
                  </c:pt>
                  <c:pt idx="11">
                    <c:v>Wk 50</c:v>
                  </c:pt>
                  <c:pt idx="12">
                    <c:v>Wk 51</c:v>
                  </c:pt>
                  <c:pt idx="13">
                    <c:v>Wk 52</c:v>
                  </c:pt>
                </c:lvl>
                <c:lvl>
                  <c:pt idx="0">
                    <c:v>September</c:v>
                  </c:pt>
                  <c:pt idx="1">
                    <c:v>Oktober</c:v>
                  </c:pt>
                  <c:pt idx="5">
                    <c:v>November</c:v>
                  </c:pt>
                  <c:pt idx="9">
                    <c:v>December</c:v>
                  </c:pt>
                </c:lvl>
              </c:multiLvlStrCache>
            </c:multiLvlStrRef>
          </c:cat>
          <c:val>
            <c:numRef>
              <c:f>'LT Forecast 2'!$N$449:$N$462</c:f>
              <c:numCache>
                <c:formatCode>0</c:formatCode>
                <c:ptCount val="14"/>
                <c:pt idx="0">
                  <c:v>763903.39891424065</c:v>
                </c:pt>
                <c:pt idx="1">
                  <c:v>768095.25466011616</c:v>
                </c:pt>
                <c:pt idx="2">
                  <c:v>774935.41811372573</c:v>
                </c:pt>
                <c:pt idx="3">
                  <c:v>791378.04412627663</c:v>
                </c:pt>
                <c:pt idx="4">
                  <c:v>829089.28854771471</c:v>
                </c:pt>
                <c:pt idx="5">
                  <c:v>680073.15042881749</c:v>
                </c:pt>
                <c:pt idx="6">
                  <c:v>688894.49968532752</c:v>
                </c:pt>
                <c:pt idx="7">
                  <c:v>787727.06727241457</c:v>
                </c:pt>
                <c:pt idx="8">
                  <c:v>961172.17271716392</c:v>
                </c:pt>
                <c:pt idx="9">
                  <c:v>978405.89233858709</c:v>
                </c:pt>
                <c:pt idx="10">
                  <c:v>828467.08585238503</c:v>
                </c:pt>
                <c:pt idx="11">
                  <c:v>767702.7972208698</c:v>
                </c:pt>
                <c:pt idx="12">
                  <c:v>962738.77740202344</c:v>
                </c:pt>
                <c:pt idx="13">
                  <c:v>901236.05180529226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4-40F7-B1CD-9D985195B159}"/>
            </c:ext>
          </c:extLst>
        </c:ser>
        <c:ser>
          <c:idx val="2"/>
          <c:order val="2"/>
          <c:tx>
            <c:strRef>
              <c:f>'LT Forecast 2'!$O$448</c:f>
              <c:strCache>
                <c:ptCount val="1"/>
                <c:pt idx="0">
                  <c:v>upper band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'LT Forecast 2'!$C$449:$D$462</c:f>
              <c:multiLvlStrCache>
                <c:ptCount val="14"/>
                <c:lvl>
                  <c:pt idx="0">
                    <c:v>Wk 39</c:v>
                  </c:pt>
                  <c:pt idx="1">
                    <c:v>Wk 40</c:v>
                  </c:pt>
                  <c:pt idx="2">
                    <c:v>Wk 41</c:v>
                  </c:pt>
                  <c:pt idx="3">
                    <c:v>Wk 42</c:v>
                  </c:pt>
                  <c:pt idx="4">
                    <c:v>Wk 43</c:v>
                  </c:pt>
                  <c:pt idx="5">
                    <c:v>Wk 44</c:v>
                  </c:pt>
                  <c:pt idx="6">
                    <c:v>Wk 45</c:v>
                  </c:pt>
                  <c:pt idx="7">
                    <c:v>Wk 46</c:v>
                  </c:pt>
                  <c:pt idx="8">
                    <c:v>Wk 47</c:v>
                  </c:pt>
                  <c:pt idx="9">
                    <c:v>Wk 48</c:v>
                  </c:pt>
                  <c:pt idx="10">
                    <c:v>Wk 49</c:v>
                  </c:pt>
                  <c:pt idx="11">
                    <c:v>Wk 50</c:v>
                  </c:pt>
                  <c:pt idx="12">
                    <c:v>Wk 51</c:v>
                  </c:pt>
                  <c:pt idx="13">
                    <c:v>Wk 52</c:v>
                  </c:pt>
                </c:lvl>
                <c:lvl>
                  <c:pt idx="0">
                    <c:v>September</c:v>
                  </c:pt>
                  <c:pt idx="1">
                    <c:v>Oktober</c:v>
                  </c:pt>
                  <c:pt idx="5">
                    <c:v>November</c:v>
                  </c:pt>
                  <c:pt idx="9">
                    <c:v>December</c:v>
                  </c:pt>
                </c:lvl>
              </c:multiLvlStrCache>
            </c:multiLvlStrRef>
          </c:cat>
          <c:val>
            <c:numRef>
              <c:f>'LT Forecast 2'!$O$449:$O$462</c:f>
              <c:numCache>
                <c:formatCode>0</c:formatCode>
                <c:ptCount val="14"/>
                <c:pt idx="0">
                  <c:v>771542.43290338304</c:v>
                </c:pt>
                <c:pt idx="1">
                  <c:v>791370.86843769543</c:v>
                </c:pt>
                <c:pt idx="2">
                  <c:v>806245.94005771459</c:v>
                </c:pt>
                <c:pt idx="3">
                  <c:v>831346.63221346238</c:v>
                </c:pt>
                <c:pt idx="4">
                  <c:v>879337.1242172732</c:v>
                </c:pt>
                <c:pt idx="5">
                  <c:v>855689.70500026096</c:v>
                </c:pt>
                <c:pt idx="6">
                  <c:v>901795.68148443836</c:v>
                </c:pt>
                <c:pt idx="7">
                  <c:v>843424.94071591867</c:v>
                </c:pt>
                <c:pt idx="8">
                  <c:v>1029133.8414951452</c:v>
                </c:pt>
                <c:pt idx="9">
                  <c:v>1057468.9947497861</c:v>
                </c:pt>
                <c:pt idx="10">
                  <c:v>895413.92107277981</c:v>
                </c:pt>
                <c:pt idx="11">
                  <c:v>837493.96060458536</c:v>
                </c:pt>
                <c:pt idx="12">
                  <c:v>1050260.4844385711</c:v>
                </c:pt>
                <c:pt idx="13">
                  <c:v>983166.60196940985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4-40F7-B1CD-9D985195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6431"/>
        <c:axId val="1083735599"/>
      </c:lineChart>
      <c:catAx>
        <c:axId val="108373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83735599"/>
        <c:crosses val="autoZero"/>
        <c:auto val="1"/>
        <c:lblAlgn val="ctr"/>
        <c:lblOffset val="100"/>
        <c:noMultiLvlLbl val="0"/>
      </c:catAx>
      <c:valAx>
        <c:axId val="1083735599"/>
        <c:scaling>
          <c:orientation val="minMax"/>
          <c:max val="1100000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8373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Cyclicité des volumes en semaine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C9E-4C21-8944-DE1C476C2C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B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'LT Forecast 2'!$C$603:$I$603</c:f>
              <c:strCache>
                <c:ptCount val="7"/>
                <c:pt idx="0">
                  <c:v>Lun</c:v>
                </c:pt>
                <c:pt idx="1">
                  <c:v>Mar</c:v>
                </c:pt>
                <c:pt idx="2">
                  <c:v>Mer</c:v>
                </c:pt>
                <c:pt idx="3">
                  <c:v>Jeu</c:v>
                </c:pt>
                <c:pt idx="4">
                  <c:v>Ven</c:v>
                </c:pt>
                <c:pt idx="5">
                  <c:v>Sam</c:v>
                </c:pt>
                <c:pt idx="6">
                  <c:v>Avg</c:v>
                </c:pt>
              </c:strCache>
            </c:strRef>
          </c:cat>
          <c:val>
            <c:numRef>
              <c:f>'LT Forecast 2'!$C$605:$I$605</c:f>
              <c:numCache>
                <c:formatCode>0.0%</c:formatCode>
                <c:ptCount val="7"/>
                <c:pt idx="0">
                  <c:v>0.1364522417153996</c:v>
                </c:pt>
                <c:pt idx="1">
                  <c:v>0.15529564652371669</c:v>
                </c:pt>
                <c:pt idx="2">
                  <c:v>0.15529564652371669</c:v>
                </c:pt>
                <c:pt idx="3">
                  <c:v>0.14684860298895386</c:v>
                </c:pt>
                <c:pt idx="4">
                  <c:v>0.20792722547108511</c:v>
                </c:pt>
                <c:pt idx="5">
                  <c:v>0.19818063677712799</c:v>
                </c:pt>
                <c:pt idx="6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E-4C21-8944-DE1C476C2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878512"/>
        <c:axId val="2115868944"/>
      </c:barChart>
      <c:catAx>
        <c:axId val="211587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115868944"/>
        <c:crosses val="autoZero"/>
        <c:auto val="1"/>
        <c:lblAlgn val="ctr"/>
        <c:lblOffset val="100"/>
        <c:noMultiLvlLbl val="0"/>
      </c:catAx>
      <c:valAx>
        <c:axId val="21158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11587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Forecast W1-W7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'LT Forecast 2'!$C$687:$C$693</c:f>
              <c:strCache>
                <c:ptCount val="7"/>
                <c:pt idx="0">
                  <c:v>Wk 1</c:v>
                </c:pt>
                <c:pt idx="1">
                  <c:v>Wk 2</c:v>
                </c:pt>
                <c:pt idx="2">
                  <c:v>Wk 3</c:v>
                </c:pt>
                <c:pt idx="3">
                  <c:v>Wk 4</c:v>
                </c:pt>
                <c:pt idx="4">
                  <c:v>Wk 5</c:v>
                </c:pt>
                <c:pt idx="5">
                  <c:v>Wk 6</c:v>
                </c:pt>
                <c:pt idx="6">
                  <c:v>Wk 7</c:v>
                </c:pt>
              </c:strCache>
            </c:strRef>
          </c:cat>
          <c:val>
            <c:numRef>
              <c:f>'LT Forecast 2'!$D$687:$D$693</c:f>
              <c:numCache>
                <c:formatCode>0</c:formatCode>
                <c:ptCount val="7"/>
                <c:pt idx="0">
                  <c:v>839342.94</c:v>
                </c:pt>
                <c:pt idx="1">
                  <c:v>852190.59</c:v>
                </c:pt>
                <c:pt idx="2">
                  <c:v>855353.76</c:v>
                </c:pt>
                <c:pt idx="3">
                  <c:v>871592.53</c:v>
                </c:pt>
                <c:pt idx="4">
                  <c:v>890156.39</c:v>
                </c:pt>
                <c:pt idx="5">
                  <c:v>855643.78999999992</c:v>
                </c:pt>
                <c:pt idx="6">
                  <c:v>844155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3-4CD1-8F2B-CF395A80A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074879"/>
        <c:axId val="960075711"/>
      </c:lineChart>
      <c:catAx>
        <c:axId val="9600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60075711"/>
        <c:crosses val="autoZero"/>
        <c:auto val="1"/>
        <c:lblAlgn val="ctr"/>
        <c:lblOffset val="100"/>
        <c:noMultiLvlLbl val="0"/>
      </c:catAx>
      <c:valAx>
        <c:axId val="96007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60074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1</xdr:row>
      <xdr:rowOff>173718</xdr:rowOff>
    </xdr:from>
    <xdr:to>
      <xdr:col>18</xdr:col>
      <xdr:colOff>63500</xdr:colOff>
      <xdr:row>17</xdr:row>
      <xdr:rowOff>166915</xdr:rowOff>
    </xdr:to>
    <xdr:graphicFrame macro="">
      <xdr:nvGraphicFramePr>
        <xdr:cNvPr id="2" name="Chart 7">
          <a:extLst>
            <a:ext uri="{FF2B5EF4-FFF2-40B4-BE49-F238E27FC236}">
              <a16:creationId xmlns:a16="http://schemas.microsoft.com/office/drawing/2014/main" id="{3E63AC09-4404-497B-B835-71D5371C6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784860</xdr:colOff>
      <xdr:row>19</xdr:row>
      <xdr:rowOff>129540</xdr:rowOff>
    </xdr:from>
    <xdr:to>
      <xdr:col>8</xdr:col>
      <xdr:colOff>518160</xdr:colOff>
      <xdr:row>41</xdr:row>
      <xdr:rowOff>66040</xdr:rowOff>
    </xdr:to>
    <xdr:graphicFrame macro="">
      <xdr:nvGraphicFramePr>
        <xdr:cNvPr id="10" name="Chart 2">
          <a:extLst>
            <a:ext uri="{FF2B5EF4-FFF2-40B4-BE49-F238E27FC236}">
              <a16:creationId xmlns:a16="http://schemas.microsoft.com/office/drawing/2014/main" id="{F13676E8-BBB4-422D-8DF7-CFA696362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355600</xdr:colOff>
      <xdr:row>18</xdr:row>
      <xdr:rowOff>63500</xdr:rowOff>
    </xdr:from>
    <xdr:to>
      <xdr:col>15</xdr:col>
      <xdr:colOff>1663700</xdr:colOff>
      <xdr:row>36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F449D0-2005-4EA5-9DD3-498070969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571500</xdr:colOff>
      <xdr:row>44</xdr:row>
      <xdr:rowOff>114300</xdr:rowOff>
    </xdr:from>
    <xdr:to>
      <xdr:col>17</xdr:col>
      <xdr:colOff>590550</xdr:colOff>
      <xdr:row>59</xdr:row>
      <xdr:rowOff>127000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6E90470A-CA94-4561-BEC2-2DFB92280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1155700</xdr:colOff>
      <xdr:row>104</xdr:row>
      <xdr:rowOff>177800</xdr:rowOff>
    </xdr:from>
    <xdr:to>
      <xdr:col>19</xdr:col>
      <xdr:colOff>279400</xdr:colOff>
      <xdr:row>119</xdr:row>
      <xdr:rowOff>63500</xdr:rowOff>
    </xdr:to>
    <xdr:graphicFrame macro="">
      <xdr:nvGraphicFramePr>
        <xdr:cNvPr id="6" name="Chart 3">
          <a:extLst>
            <a:ext uri="{FF2B5EF4-FFF2-40B4-BE49-F238E27FC236}">
              <a16:creationId xmlns:a16="http://schemas.microsoft.com/office/drawing/2014/main" id="{3F95A390-DF4B-4CED-A87D-2013D1677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44450</xdr:colOff>
      <xdr:row>126</xdr:row>
      <xdr:rowOff>158750</xdr:rowOff>
    </xdr:from>
    <xdr:to>
      <xdr:col>21</xdr:col>
      <xdr:colOff>609600</xdr:colOff>
      <xdr:row>149</xdr:row>
      <xdr:rowOff>165100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63BABD4C-CF1E-432D-9B91-A6590BF9F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327660</xdr:colOff>
      <xdr:row>224</xdr:row>
      <xdr:rowOff>175260</xdr:rowOff>
    </xdr:from>
    <xdr:to>
      <xdr:col>15</xdr:col>
      <xdr:colOff>358140</xdr:colOff>
      <xdr:row>239</xdr:row>
      <xdr:rowOff>175260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E60A4D01-0309-4267-BBCE-BC6E5AB0D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201705</xdr:colOff>
      <xdr:row>68</xdr:row>
      <xdr:rowOff>115047</xdr:rowOff>
    </xdr:from>
    <xdr:to>
      <xdr:col>15</xdr:col>
      <xdr:colOff>141941</xdr:colOff>
      <xdr:row>83</xdr:row>
      <xdr:rowOff>56776</xdr:rowOff>
    </xdr:to>
    <xdr:graphicFrame macro="">
      <xdr:nvGraphicFramePr>
        <xdr:cNvPr id="9" name="Grafiek 2">
          <a:extLst>
            <a:ext uri="{FF2B5EF4-FFF2-40B4-BE49-F238E27FC236}">
              <a16:creationId xmlns:a16="http://schemas.microsoft.com/office/drawing/2014/main" id="{15DC8757-EB3D-4D14-9712-27CB7663D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747950</xdr:colOff>
      <xdr:row>273</xdr:row>
      <xdr:rowOff>67627</xdr:rowOff>
    </xdr:from>
    <xdr:to>
      <xdr:col>10</xdr:col>
      <xdr:colOff>622934</xdr:colOff>
      <xdr:row>295</xdr:row>
      <xdr:rowOff>22622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1148A-68FF-44E7-8E65-B6FD48A29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926544</xdr:colOff>
      <xdr:row>333</xdr:row>
      <xdr:rowOff>144541</xdr:rowOff>
    </xdr:from>
    <xdr:to>
      <xdr:col>12</xdr:col>
      <xdr:colOff>345281</xdr:colOff>
      <xdr:row>358</xdr:row>
      <xdr:rowOff>142874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634508B-3449-409A-AA3F-32F5DCD34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377</xdr:row>
      <xdr:rowOff>0</xdr:rowOff>
    </xdr:from>
    <xdr:to>
      <xdr:col>11</xdr:col>
      <xdr:colOff>505381</xdr:colOff>
      <xdr:row>402</xdr:row>
      <xdr:rowOff>4683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BFD9CF-94CA-4DC4-9A7E-08F336E43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283606</xdr:colOff>
      <xdr:row>420</xdr:row>
      <xdr:rowOff>110728</xdr:rowOff>
    </xdr:from>
    <xdr:to>
      <xdr:col>13</xdr:col>
      <xdr:colOff>297656</xdr:colOff>
      <xdr:row>443</xdr:row>
      <xdr:rowOff>83344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AC9892F-B228-EA9E-9171-42BDBA8CF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920932</xdr:colOff>
      <xdr:row>502</xdr:row>
      <xdr:rowOff>52793</xdr:rowOff>
    </xdr:from>
    <xdr:to>
      <xdr:col>16</xdr:col>
      <xdr:colOff>192133</xdr:colOff>
      <xdr:row>528</xdr:row>
      <xdr:rowOff>56058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FA8528D-FC10-9071-9BC1-2D36D2CB7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588307</xdr:colOff>
      <xdr:row>577</xdr:row>
      <xdr:rowOff>185457</xdr:rowOff>
    </xdr:from>
    <xdr:to>
      <xdr:col>16</xdr:col>
      <xdr:colOff>252131</xdr:colOff>
      <xdr:row>593</xdr:row>
      <xdr:rowOff>52481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B8C1E76-A7AE-10CF-3643-01DE693A8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285749</xdr:colOff>
      <xdr:row>682</xdr:row>
      <xdr:rowOff>113179</xdr:rowOff>
    </xdr:from>
    <xdr:to>
      <xdr:col>12</xdr:col>
      <xdr:colOff>621926</xdr:colOff>
      <xdr:row>696</xdr:row>
      <xdr:rowOff>166967</xdr:rowOff>
    </xdr:to>
    <xdr:graphicFrame macro="">
      <xdr:nvGraphicFramePr>
        <xdr:cNvPr id="36" name="Chart 15">
          <a:extLst>
            <a:ext uri="{FF2B5EF4-FFF2-40B4-BE49-F238E27FC236}">
              <a16:creationId xmlns:a16="http://schemas.microsoft.com/office/drawing/2014/main" id="{81773347-F294-FDCF-8F09-52FC4B6A5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</xdr:row>
      <xdr:rowOff>0</xdr:rowOff>
    </xdr:from>
    <xdr:to>
      <xdr:col>19</xdr:col>
      <xdr:colOff>177051</xdr:colOff>
      <xdr:row>46</xdr:row>
      <xdr:rowOff>162261</xdr:rowOff>
    </xdr:to>
    <xdr:pic>
      <xdr:nvPicPr>
        <xdr:cNvPr id="3" name="Afbeelding 8">
          <a:extLst>
            <a:ext uri="{FF2B5EF4-FFF2-40B4-BE49-F238E27FC236}">
              <a16:creationId xmlns:a16="http://schemas.microsoft.com/office/drawing/2014/main" id="{4FF2A17B-E018-4CD0-8430-4A17BBE13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51660"/>
          <a:ext cx="9321051" cy="7774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com-Ops-status_2022_update%20LT%20fc%20Q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 Forecast"/>
      <sheetName val="Ecom-Ops-status_2022_update LT "/>
    </sheetNames>
    <sheetDataSet>
      <sheetData sheetId="0">
        <row r="3">
          <cell r="F3">
            <v>759</v>
          </cell>
          <cell r="H3">
            <v>796</v>
          </cell>
          <cell r="I3">
            <v>759</v>
          </cell>
        </row>
        <row r="4">
          <cell r="F4">
            <v>773</v>
          </cell>
          <cell r="H4">
            <v>812</v>
          </cell>
          <cell r="I4">
            <v>773</v>
          </cell>
        </row>
        <row r="5">
          <cell r="F5">
            <v>780</v>
          </cell>
          <cell r="H5">
            <v>819</v>
          </cell>
          <cell r="I5">
            <v>780</v>
          </cell>
        </row>
        <row r="6">
          <cell r="F6">
            <v>795</v>
          </cell>
          <cell r="H6">
            <v>834</v>
          </cell>
          <cell r="I6">
            <v>795</v>
          </cell>
        </row>
        <row r="7">
          <cell r="F7">
            <v>803</v>
          </cell>
          <cell r="H7">
            <v>843</v>
          </cell>
          <cell r="I7">
            <v>803</v>
          </cell>
        </row>
        <row r="8">
          <cell r="F8">
            <v>759</v>
          </cell>
          <cell r="H8">
            <v>839</v>
          </cell>
          <cell r="I8">
            <v>799</v>
          </cell>
        </row>
        <row r="9">
          <cell r="F9">
            <v>769</v>
          </cell>
          <cell r="H9">
            <v>850</v>
          </cell>
          <cell r="I9">
            <v>810</v>
          </cell>
        </row>
        <row r="10">
          <cell r="F10">
            <v>781</v>
          </cell>
          <cell r="H10">
            <v>863</v>
          </cell>
          <cell r="I10">
            <v>822</v>
          </cell>
        </row>
        <row r="11">
          <cell r="F11">
            <v>792</v>
          </cell>
          <cell r="H11">
            <v>876</v>
          </cell>
          <cell r="I11">
            <v>834</v>
          </cell>
        </row>
        <row r="12">
          <cell r="F12">
            <v>827</v>
          </cell>
          <cell r="H12">
            <v>914</v>
          </cell>
          <cell r="I12">
            <v>871</v>
          </cell>
        </row>
        <row r="13">
          <cell r="F13">
            <v>813</v>
          </cell>
          <cell r="H13">
            <v>898</v>
          </cell>
          <cell r="I13">
            <v>855</v>
          </cell>
        </row>
        <row r="14">
          <cell r="F14">
            <v>832</v>
          </cell>
          <cell r="H14">
            <v>919</v>
          </cell>
          <cell r="I14">
            <v>875</v>
          </cell>
        </row>
        <row r="15">
          <cell r="F15">
            <v>844</v>
          </cell>
          <cell r="H15">
            <v>933</v>
          </cell>
          <cell r="I15">
            <v>889</v>
          </cell>
        </row>
        <row r="16">
          <cell r="F16">
            <v>878</v>
          </cell>
          <cell r="H16">
            <v>970</v>
          </cell>
          <cell r="I16">
            <v>924</v>
          </cell>
        </row>
        <row r="17">
          <cell r="F17">
            <v>866</v>
          </cell>
          <cell r="H17">
            <v>957</v>
          </cell>
          <cell r="I17">
            <v>912</v>
          </cell>
        </row>
        <row r="86">
          <cell r="K86" t="str">
            <v>Filter feestdagen</v>
          </cell>
          <cell r="O86">
            <v>-0.05</v>
          </cell>
          <cell r="P86">
            <v>0.05</v>
          </cell>
          <cell r="S86" t="str">
            <v>Ma</v>
          </cell>
          <cell r="T86" t="str">
            <v>Di</v>
          </cell>
          <cell r="U86" t="str">
            <v>Woe</v>
          </cell>
          <cell r="V86" t="str">
            <v>Don</v>
          </cell>
          <cell r="W86" t="str">
            <v>Vrij</v>
          </cell>
          <cell r="X86" t="str">
            <v>Zat</v>
          </cell>
          <cell r="Y86" t="str">
            <v>Zon</v>
          </cell>
        </row>
        <row r="87">
          <cell r="B87" t="str">
            <v>April</v>
          </cell>
          <cell r="C87">
            <v>14</v>
          </cell>
          <cell r="K87">
            <v>764079.63897967164</v>
          </cell>
          <cell r="O87">
            <v>725875.65703068802</v>
          </cell>
          <cell r="P87">
            <v>802283.62092865526</v>
          </cell>
        </row>
        <row r="88">
          <cell r="B88"/>
          <cell r="C88">
            <v>15</v>
          </cell>
          <cell r="K88">
            <v>784425.34119633911</v>
          </cell>
          <cell r="O88">
            <v>745204.07413652213</v>
          </cell>
          <cell r="P88">
            <v>823646.60825615609</v>
          </cell>
        </row>
        <row r="89">
          <cell r="B89"/>
          <cell r="C89">
            <v>16</v>
          </cell>
          <cell r="K89">
            <v>783338.84652777447</v>
          </cell>
          <cell r="O89">
            <v>601648.74148439732</v>
          </cell>
          <cell r="P89">
            <v>664980.1879564391</v>
          </cell>
        </row>
        <row r="90">
          <cell r="B90"/>
          <cell r="C90">
            <v>17</v>
          </cell>
          <cell r="K90">
            <v>814209.57595336833</v>
          </cell>
          <cell r="O90">
            <v>768182.39608767116</v>
          </cell>
          <cell r="P90">
            <v>849043.70093900501</v>
          </cell>
        </row>
        <row r="91">
          <cell r="B91" t="str">
            <v>Mei</v>
          </cell>
          <cell r="C91">
            <v>18</v>
          </cell>
          <cell r="K91">
            <v>847337.66621649126</v>
          </cell>
          <cell r="O91">
            <v>804970.78290566662</v>
          </cell>
          <cell r="P91">
            <v>889704.54952731589</v>
          </cell>
        </row>
        <row r="92">
          <cell r="B92"/>
          <cell r="C92">
            <v>19</v>
          </cell>
          <cell r="K92">
            <v>877353.94070826285</v>
          </cell>
          <cell r="O92">
            <v>833486.24367284961</v>
          </cell>
          <cell r="P92">
            <v>921221.63774367608</v>
          </cell>
        </row>
        <row r="93">
          <cell r="B93"/>
          <cell r="C93">
            <v>20</v>
          </cell>
          <cell r="K93">
            <v>857518.24478387029</v>
          </cell>
          <cell r="O93">
            <v>814642.33254467673</v>
          </cell>
          <cell r="P93">
            <v>900394.15702306386</v>
          </cell>
        </row>
        <row r="94">
          <cell r="B94"/>
          <cell r="C94">
            <v>21</v>
          </cell>
          <cell r="K94">
            <v>829273.2528890667</v>
          </cell>
          <cell r="O94">
            <v>629344.1720575589</v>
          </cell>
          <cell r="P94">
            <v>695590.92701098614</v>
          </cell>
        </row>
        <row r="95">
          <cell r="B95" t="str">
            <v>Juni</v>
          </cell>
          <cell r="C95">
            <v>22</v>
          </cell>
          <cell r="K95">
            <v>827427.73931331839</v>
          </cell>
          <cell r="O95">
            <v>705450.37498920842</v>
          </cell>
          <cell r="P95">
            <v>779708.30919859873</v>
          </cell>
        </row>
        <row r="96">
          <cell r="B96"/>
          <cell r="C96">
            <v>23</v>
          </cell>
          <cell r="K96">
            <v>802651.56096282578</v>
          </cell>
          <cell r="O96">
            <v>572467.91410779755</v>
          </cell>
          <cell r="P96">
            <v>632727.69454019738</v>
          </cell>
        </row>
        <row r="97">
          <cell r="B97"/>
          <cell r="C97">
            <v>24</v>
          </cell>
          <cell r="K97">
            <v>794189.28225254628</v>
          </cell>
          <cell r="O97">
            <v>754479.81813991896</v>
          </cell>
          <cell r="P97">
            <v>833898.7463651736</v>
          </cell>
        </row>
        <row r="98">
          <cell r="B98"/>
          <cell r="C98">
            <v>25</v>
          </cell>
          <cell r="K98">
            <v>786142.56904032256</v>
          </cell>
          <cell r="O98">
            <v>746835.4405883064</v>
          </cell>
          <cell r="P98">
            <v>825449.69749233872</v>
          </cell>
        </row>
        <row r="100">
          <cell r="M100"/>
          <cell r="N100"/>
          <cell r="O100"/>
          <cell r="P100"/>
          <cell r="Q100"/>
          <cell r="R100"/>
          <cell r="S100" t="e">
            <v>#DIV/0!</v>
          </cell>
        </row>
        <row r="111">
          <cell r="F111" t="str">
            <v>Orders 2022</v>
          </cell>
          <cell r="G111" t="str">
            <v>picks 2022</v>
          </cell>
          <cell r="H111" t="str">
            <v>Orders 2021</v>
          </cell>
          <cell r="I111" t="str">
            <v>picks 2021</v>
          </cell>
        </row>
        <row r="112">
          <cell r="E112" t="str">
            <v>jan</v>
          </cell>
          <cell r="F112">
            <v>63697</v>
          </cell>
          <cell r="G112">
            <v>3280521.1014676127</v>
          </cell>
          <cell r="H112">
            <v>59444</v>
          </cell>
          <cell r="I112">
            <v>3095914.4909238708</v>
          </cell>
        </row>
        <row r="113">
          <cell r="E113" t="str">
            <v>feb</v>
          </cell>
          <cell r="F113">
            <v>64468.59828736831</v>
          </cell>
          <cell r="G113">
            <v>3321001.654923059</v>
          </cell>
          <cell r="H113">
            <v>62067</v>
          </cell>
          <cell r="I113">
            <v>3249471</v>
          </cell>
        </row>
        <row r="114">
          <cell r="E114" t="str">
            <v>mrt</v>
          </cell>
          <cell r="F114">
            <v>74810.035674981686</v>
          </cell>
          <cell r="G114">
            <v>3895132.394110939</v>
          </cell>
          <cell r="H114">
            <v>69744</v>
          </cell>
          <cell r="I114">
            <v>3661725.1</v>
          </cell>
        </row>
        <row r="115">
          <cell r="E115" t="str">
            <v>apr</v>
          </cell>
          <cell r="F115">
            <v>75202.785941700175</v>
          </cell>
          <cell r="G115">
            <v>3847991.8378919968</v>
          </cell>
          <cell r="H115">
            <v>67877</v>
          </cell>
          <cell r="I115">
            <v>3559941</v>
          </cell>
        </row>
        <row r="116">
          <cell r="E116" t="str">
            <v>mei</v>
          </cell>
          <cell r="F116">
            <v>68882.337316406047</v>
          </cell>
          <cell r="G116">
            <v>3573119.8910274939</v>
          </cell>
          <cell r="H116">
            <v>61726</v>
          </cell>
          <cell r="I116">
            <v>3235419.9488583049</v>
          </cell>
        </row>
        <row r="117">
          <cell r="E117" t="str">
            <v>jun</v>
          </cell>
          <cell r="F117">
            <v>67655.936995433978</v>
          </cell>
          <cell r="G117">
            <v>3558918.4258516994</v>
          </cell>
          <cell r="H117">
            <v>63500</v>
          </cell>
          <cell r="I117">
            <v>3281807.8191676396</v>
          </cell>
        </row>
        <row r="118">
          <cell r="E118" t="str">
            <v>jul</v>
          </cell>
          <cell r="F118">
            <v>59338.242765778436</v>
          </cell>
          <cell r="G118">
            <v>2998632.0505736698</v>
          </cell>
          <cell r="H118">
            <v>50475</v>
          </cell>
          <cell r="I118">
            <v>2498926.0787990815</v>
          </cell>
        </row>
        <row r="119">
          <cell r="E119" t="str">
            <v>aug</v>
          </cell>
          <cell r="F119">
            <v>62649.688960870546</v>
          </cell>
          <cell r="G119">
            <v>3133701.3702599565</v>
          </cell>
          <cell r="H119">
            <v>50055</v>
          </cell>
          <cell r="I119">
            <v>2471154.1897815787</v>
          </cell>
        </row>
        <row r="120">
          <cell r="E120" t="str">
            <v>sep</v>
          </cell>
          <cell r="F120">
            <v>75818.464252835707</v>
          </cell>
          <cell r="G120">
            <v>3845538.2597578568</v>
          </cell>
          <cell r="H120">
            <v>55515</v>
          </cell>
          <cell r="I120">
            <v>2792773.7806943967</v>
          </cell>
        </row>
        <row r="121">
          <cell r="E121" t="str">
            <v>okt</v>
          </cell>
          <cell r="F121">
            <v>81293.945599578918</v>
          </cell>
          <cell r="G121">
            <v>4322418.532655159</v>
          </cell>
          <cell r="H121">
            <v>59390</v>
          </cell>
          <cell r="I121">
            <v>3044822.4029561416</v>
          </cell>
        </row>
        <row r="122">
          <cell r="E122" t="str">
            <v>nov</v>
          </cell>
          <cell r="F122">
            <v>78865.626421623921</v>
          </cell>
          <cell r="G122">
            <v>4063364.5779240527</v>
          </cell>
          <cell r="H122">
            <v>58155</v>
          </cell>
          <cell r="I122">
            <v>3073381.436600145</v>
          </cell>
        </row>
        <row r="123">
          <cell r="E123" t="str">
            <v>dec</v>
          </cell>
          <cell r="F123">
            <v>85474.12403726163</v>
          </cell>
          <cell r="G123">
            <v>4446732.0238460172</v>
          </cell>
          <cell r="H123">
            <v>71210</v>
          </cell>
          <cell r="I123">
            <v>3490504.4730124236</v>
          </cell>
        </row>
      </sheetData>
      <sheetData sheetId="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HRISTIAN MBALLA" id="{139F0E3B-A703-4A0D-BD64-F870A3037977}" userId="S::CMballa@delhaize.be::57a910e8-789a-4df0-8be9-34b89dbbea31" providerId="AD"/>
  <person displayName="Tom Brakel" id="{CE62BFCF-717F-456B-A399-0065CDCE9E66}" userId="S::TBrakel@delhaize.be::50326c9a-c21d-4b49-a168-50649b0354b0" providerId="AD"/>
  <person displayName="Nico Buelens" id="{6E39CA57-12CA-4910-9B86-B00AFF3DFE1A}" userId="S::NBuelens@delhaize.be::828de8b8-6c82-41e0-8ae9-73fdd6f787c5" providerId="AD"/>
  <person displayName="Marc Bauherz" id="{15C9052E-A8AA-40C6-B84B-86E80E7B8721}" userId="S::mbauherz@delhaize.be::fb4974fe-f744-4562-ab02-9154102cfe0b" providerId="AD"/>
  <person displayName="Nico Buelens" id="{3D088D29-4217-4BCC-9F07-EB72AAB58A15}" userId="S::nbuelens@delhaize.be::828de8b8-6c82-41e0-8ae9-73fdd6f787c5" providerId="AD"/>
  <person displayName="JONATHAN BRUYLAND" id="{FC26ADBE-44F2-4AB0-8482-FA632A412182}" userId="S::JBruyland@delhaize.be::eb0194be-4135-476d-9149-627f531625f3" providerId="AD"/>
  <person displayName="Nicolas De Coninck" id="{D9611C8C-623C-4B43-B4EE-D586F87FE57B}" userId="S::NDeConinck2@delhaize.be::e65af244-3960-4c3c-bfd5-d8a69e1acd00" providerId="AD"/>
</personList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com-Ops-status_2022_update%20LT%20fc%20Q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as" refreshedDate="44651.425132870369" createdVersion="7" refreshedVersion="7" minRefreshableVersion="3" recordCount="365" xr:uid="{79672B84-E0D9-4FB7-974D-A41ED93E7E57}">
  <cacheSource type="worksheet">
    <worksheetSource name="DB" r:id="rId2"/>
  </cacheSource>
  <cacheFields count="53">
    <cacheField name="weeknum" numFmtId="1">
      <sharedItems containsSemiMixedTypes="0" containsString="0" containsNumber="1" containsInteger="1" minValue="0" maxValue="52" count="5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week" numFmtId="0">
      <sharedItems count="53">
        <s v="Wk 0"/>
        <s v="Wk 1"/>
        <s v="Wk 2"/>
        <s v="Wk 3"/>
        <s v="Wk 4"/>
        <s v="Wk 5"/>
        <s v="Wk 6"/>
        <s v="Wk 7"/>
        <s v="Wk 8"/>
        <s v="Wk 9"/>
        <s v="Wk 10"/>
        <s v="Wk 11"/>
        <s v="Wk 12"/>
        <s v="Wk 13"/>
        <s v="Wk 14"/>
        <s v="Wk 15"/>
        <s v="Wk 16"/>
        <s v="Wk 17"/>
        <s v="Wk 18"/>
        <s v="Wk 19"/>
        <s v="Wk 20"/>
        <s v="Wk 21"/>
        <s v="Wk 22"/>
        <s v="Wk 23"/>
        <s v="Wk 24"/>
        <s v="Wk 25"/>
        <s v="Wk 26"/>
        <s v="Wk 27"/>
        <s v="Wk 28"/>
        <s v="Wk 29"/>
        <s v="Wk 30"/>
        <s v="Wk 31"/>
        <s v="Wk 32"/>
        <s v="Wk 33"/>
        <s v="Wk 34"/>
        <s v="Wk 35"/>
        <s v="Wk 36"/>
        <s v="Wk 37"/>
        <s v="Wk 38"/>
        <s v="Wk 39"/>
        <s v="Wk 40"/>
        <s v="Wk 41"/>
        <s v="Wk 42"/>
        <s v="Wk 43"/>
        <s v="Wk 44"/>
        <s v="Wk 45"/>
        <s v="Wk 46"/>
        <s v="Wk 47"/>
        <s v="Wk 48"/>
        <s v="Wk 49"/>
        <s v="Wk 50"/>
        <s v="Wk 51"/>
        <s v="Wk 52"/>
      </sharedItems>
    </cacheField>
    <cacheField name="Dag" numFmtId="0">
      <sharedItems count="7">
        <s v="Fri"/>
        <s v="Sat"/>
        <s v="Mon"/>
        <s v="Tue"/>
        <s v="Wed"/>
        <s v="Thu"/>
        <s v="Sun"/>
      </sharedItems>
    </cacheField>
    <cacheField name="Datum" numFmtId="16">
      <sharedItems containsSemiMixedTypes="0" containsNonDate="0" containsDate="1" containsString="0" minDate="2022-01-01T00:00:00" maxDate="2023-01-01T00:00:00"/>
    </cacheField>
    <cacheField name="Sales-FC-All-Orders" numFmtId="1">
      <sharedItems containsString="0" containsBlank="1" containsNumber="1" minValue="0" maxValue="4187.1675035868011"/>
    </cacheField>
    <cacheField name="Sales-FC-Orders-Collect" numFmtId="3">
      <sharedItems containsString="0" containsBlank="1" containsNumber="1" minValue="0" maxValue="1300"/>
    </cacheField>
    <cacheField name="Sales-FC-Orders-HD" numFmtId="1">
      <sharedItems containsString="0" containsBlank="1" containsNumber="1" minValue="0" maxValue="2898.7625538020088"/>
    </cacheField>
    <cacheField name="Sales-FC-Buckets-Collect" numFmtId="1">
      <sharedItems containsString="0" containsBlank="1" containsNumber="1" minValue="0" maxValue="60.558353856773131"/>
    </cacheField>
    <cacheField name="Sales-FC-Buckets-HD" numFmtId="1">
      <sharedItems containsString="0" containsBlank="1" containsNumber="1" minValue="0" maxValue="62.445858229859788"/>
    </cacheField>
    <cacheField name="Sales-FC-All Picks" numFmtId="1">
      <sharedItems containsString="0" containsBlank="1" containsNumber="1" minValue="0" maxValue="213371.37021661949"/>
    </cacheField>
    <cacheField name="Sales-FC-Picks-Collect" numFmtId="1">
      <sharedItems containsString="0" containsBlank="1" containsNumber="1" minValue="0" maxValue="69078.003948190861"/>
    </cacheField>
    <cacheField name="Sales-FC-Picks-HD" numFmtId="1">
      <sharedItems containsString="0" containsBlank="1" containsNumber="1" minValue="0" maxValue="144293.36626842862"/>
    </cacheField>
    <cacheField name="Help-column 1" numFmtId="1">
      <sharedItems containsMixedTypes="1" containsNumber="1" containsInteger="1" minValue="2" maxValue="415"/>
    </cacheField>
    <cacheField name="Ops-FC-All Orders" numFmtId="0">
      <sharedItems containsSemiMixedTypes="0" containsString="0" containsNumber="1" minValue="0" maxValue="4187.1675035868011"/>
    </cacheField>
    <cacheField name="Ops-FC-Orders-Collect" numFmtId="1">
      <sharedItems containsMixedTypes="1" containsNumber="1" minValue="0" maxValue="1300"/>
    </cacheField>
    <cacheField name="Ops-FC-Orders-HD" numFmtId="1">
      <sharedItems containsMixedTypes="1" containsNumber="1" minValue="0" maxValue="2898.7625538020088"/>
    </cacheField>
    <cacheField name="Ops-FC-Orders-AM" numFmtId="1">
      <sharedItems containsMixedTypes="1" containsNumber="1" minValue="0" maxValue="1449.3812769010044"/>
    </cacheField>
    <cacheField name="Ops-FC-Orders-PM" numFmtId="1">
      <sharedItems containsMixedTypes="1" containsNumber="1" minValue="0" maxValue="1449.3812769010044"/>
    </cacheField>
    <cacheField name="Ops-FC-All Picks" numFmtId="3">
      <sharedItems containsSemiMixedTypes="0" containsString="0" containsNumber="1" minValue="0" maxValue="209103.9428122871"/>
    </cacheField>
    <cacheField name="Ops-FC-Picks-Collect" numFmtId="1">
      <sharedItems containsMixedTypes="1" containsNumber="1" minValue="0" maxValue="67696.443869227049"/>
    </cacheField>
    <cacheField name="Ops-FC-Picks-HD" numFmtId="1">
      <sharedItems containsMixedTypes="1" containsNumber="1" minValue="0" maxValue="141407.49894306005"/>
    </cacheField>
    <cacheField name="Ops-FC-Picks-AM" numFmtId="1">
      <sharedItems containsMixedTypes="1" containsNumber="1" minValue="0" maxValue="70703.749471530027"/>
    </cacheField>
    <cacheField name="Ops-FC-Picks-PM" numFmtId="1">
      <sharedItems containsMixedTypes="1" containsNumber="1" minValue="0" maxValue="70703.749471530027"/>
    </cacheField>
    <cacheField name="Capped all orders" numFmtId="1">
      <sharedItems containsSemiMixedTypes="0" containsString="0" containsNumber="1" containsInteger="1" minValue="90" maxValue="90"/>
    </cacheField>
    <cacheField name="Capped-Orders-Collect" numFmtId="0">
      <sharedItems containsSemiMixedTypes="0" containsString="0" containsNumber="1" containsInteger="1" minValue="0" maxValue="0"/>
    </cacheField>
    <cacheField name="Capped-Orders-HD" numFmtId="0">
      <sharedItems containsSemiMixedTypes="0" containsString="0" containsNumber="1" containsInteger="1" minValue="90" maxValue="90"/>
    </cacheField>
    <cacheField name="Capped-Orders-AM" numFmtId="0">
      <sharedItems containsSemiMixedTypes="0" containsString="0" containsNumber="1" containsInteger="1" minValue="90" maxValue="90"/>
    </cacheField>
    <cacheField name="Capped-Orders-PM" numFmtId="0">
      <sharedItems containsSemiMixedTypes="0" containsString="0" containsNumber="1" containsInteger="1" minValue="0" maxValue="0"/>
    </cacheField>
    <cacheField name="Act-All Orders" numFmtId="3">
      <sharedItems containsSemiMixedTypes="0" containsString="0" containsNumber="1" minValue="0" maxValue="4187.1675035868011"/>
    </cacheField>
    <cacheField name="Act-Orders-Collect" numFmtId="3">
      <sharedItems containsSemiMixedTypes="0" containsString="0" containsNumber="1" minValue="0" maxValue="1300"/>
    </cacheField>
    <cacheField name="Act-Orders-HD" numFmtId="3">
      <sharedItems containsSemiMixedTypes="0" containsString="0" containsNumber="1" minValue="0" maxValue="2898.7625538020088"/>
    </cacheField>
    <cacheField name="Act-Orders-AM" numFmtId="3">
      <sharedItems containsSemiMixedTypes="0" containsString="0" containsNumber="1" minValue="0" maxValue="1449.3812769010044"/>
    </cacheField>
    <cacheField name="Act-Orders-PM" numFmtId="3">
      <sharedItems containsSemiMixedTypes="0" containsString="0" containsNumber="1" minValue="0" maxValue="1449.3812769010044"/>
    </cacheField>
    <cacheField name="Act-All Picks" numFmtId="3">
      <sharedItems containsSemiMixedTypes="0" containsString="0" containsNumber="1" minValue="0" maxValue="211237.65651445329"/>
    </cacheField>
    <cacheField name="Act-Picks-Collect" numFmtId="3">
      <sharedItems containsSemiMixedTypes="0" containsString="0" containsNumber="1" minValue="0" maxValue="68387.223908708955"/>
    </cacheField>
    <cacheField name="Act-Picks-HD" numFmtId="3">
      <sharedItems containsSemiMixedTypes="0" containsString="0" containsNumber="1" minValue="0" maxValue="142850.43260574434"/>
    </cacheField>
    <cacheField name="Act-Picks-AM" numFmtId="3">
      <sharedItems containsSemiMixedTypes="0" containsString="0" containsNumber="1" minValue="0" maxValue="71425.21630287217"/>
    </cacheField>
    <cacheField name="Act-Picks-PM" numFmtId="3">
      <sharedItems containsSemiMixedTypes="0" containsString="0" containsNumber="1" minValue="0" maxValue="71425.21630287217"/>
    </cacheField>
    <cacheField name="Act-Bucket-order-Collect" numFmtId="0">
      <sharedItems containsSemiMixedTypes="0" containsString="0" containsNumber="1" minValue="0" maxValue="60.558353856773131"/>
    </cacheField>
    <cacheField name="Act-Bucket-order-HD" numFmtId="177">
      <sharedItems containsSemiMixedTypes="0" containsString="0" containsNumber="1" minValue="0" maxValue="62.445858229859788"/>
    </cacheField>
    <cacheField name="Act-Bucket-Collect" numFmtId="1">
      <sharedItems containsMixedTypes="1" containsNumber="1" minValue="41.679000000000002" maxValue="59.952770318205395"/>
    </cacheField>
    <cacheField name="Act-Bucket-HD" numFmtId="1">
      <sharedItems containsMixedTypes="1" containsNumber="1" minValue="0" maxValue="61.821399647561186"/>
    </cacheField>
    <cacheField name="Inbound FC" numFmtId="1">
      <sharedItems containsSemiMixedTypes="0" containsString="0" containsNumber="1" minValue="0" maxValue="232868.99999999974"/>
    </cacheField>
    <cacheField name="Inbound Act - Sec" numFmtId="1">
      <sharedItems containsMixedTypes="1" containsNumber="1" minValue="0" maxValue="147902.29841560099"/>
    </cacheField>
    <cacheField name="Inbound Act - Fresh" numFmtId="1">
      <sharedItems containsMixedTypes="1" containsNumber="1" minValue="0" maxValue="81737.453966890665"/>
    </cacheField>
    <cacheField name="Inbound Act - Frozen" numFmtId="1">
      <sharedItems containsMixedTypes="1" containsNumber="1" minValue="0" maxValue="12270.137135489256"/>
    </cacheField>
    <cacheField name="Inbound Act - Ultrafresh" numFmtId="1">
      <sharedItems containsMixedTypes="1" containsNumber="1" minValue="0" maxValue="11583.182079723274"/>
    </cacheField>
    <cacheField name="Inbound Act - Ultrafresh2" numFmtId="1">
      <sharedItems containsMixedTypes="1" containsNumber="1" containsInteger="1" minValue="0" maxValue="110119"/>
    </cacheField>
    <cacheField name="Inbound Act" numFmtId="1">
      <sharedItems containsString="0" containsBlank="1" containsNumber="1" minValue="0" maxValue="198574.00000000003"/>
    </cacheField>
    <cacheField name="Inbound FC - Sec" numFmtId="0">
      <sharedItems/>
    </cacheField>
    <cacheField name="Inbound FC - Fresh" numFmtId="0">
      <sharedItems/>
    </cacheField>
    <cacheField name="Inbound FC - Frozen" numFmtId="0">
      <sharedItems/>
    </cacheField>
    <cacheField name="Month" numFmtId="0">
      <sharedItems containsString="0" containsBlank="1" containsNumber="1" containsInteger="1" minValue="1" maxValue="12" count="13">
        <m/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indels" refreshedDate="44916.478143865737" createdVersion="8" refreshedVersion="8" minRefreshableVersion="3" recordCount="365" xr:uid="{530C931E-F93D-472B-AAD6-E695A734EBB5}">
  <cacheSource type="worksheet">
    <worksheetSource name="DB"/>
  </cacheSource>
  <cacheFields count="53">
    <cacheField name="weeknum" numFmtId="1">
      <sharedItems containsSemiMixedTypes="0" containsString="0" containsNumber="1" containsInteger="1" minValue="0" maxValue="52" count="5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</sharedItems>
    </cacheField>
    <cacheField name="week" numFmtId="0">
      <sharedItems/>
    </cacheField>
    <cacheField name="Dag" numFmtId="0">
      <sharedItems count="7">
        <s v="Fri"/>
        <s v="Sat"/>
        <s v="Mon"/>
        <s v="Tue"/>
        <s v="Wed"/>
        <s v="Thu"/>
        <s v="Sun"/>
      </sharedItems>
    </cacheField>
    <cacheField name="Datum" numFmtId="16">
      <sharedItems containsSemiMixedTypes="0" containsNonDate="0" containsDate="1" containsString="0" minDate="2022-01-01T00:00:00" maxDate="2023-01-01T00:00:00"/>
    </cacheField>
    <cacheField name="Sales-FC-All-Orders" numFmtId="1">
      <sharedItems containsString="0" containsBlank="1" containsNumber="1" minValue="0" maxValue="4450"/>
    </cacheField>
    <cacheField name="Sales-FC-Orders-Collect" numFmtId="3">
      <sharedItems containsString="0" containsBlank="1" containsNumber="1" containsInteger="1" minValue="0" maxValue="1975"/>
    </cacheField>
    <cacheField name="Sales-FC-Orders-HD" numFmtId="1">
      <sharedItems containsString="0" containsBlank="1" containsNumber="1" minValue="0" maxValue="2600"/>
    </cacheField>
    <cacheField name="Sales-FC-Buckets-Collect" numFmtId="1">
      <sharedItems containsString="0" containsBlank="1" containsNumber="1" minValue="0" maxValue="56.155002306905345"/>
    </cacheField>
    <cacheField name="Sales-FC-Buckets-HD" numFmtId="1">
      <sharedItems containsString="0" containsBlank="1" containsNumber="1" minValue="0" maxValue="59.743213348737669"/>
    </cacheField>
    <cacheField name="Sales-FC-All Picks" numFmtId="1">
      <sharedItems containsString="0" containsBlank="1" containsNumber="1" minValue="0" maxValue="199192.5"/>
    </cacheField>
    <cacheField name="Sales-FC-Picks-Collect" numFmtId="1">
      <sharedItems containsString="0" containsBlank="1" containsNumber="1" minValue="0" maxValue="80272.5"/>
    </cacheField>
    <cacheField name="Sales-FC-Picks-HD" numFmtId="1">
      <sharedItems containsString="0" containsBlank="1" containsNumber="1" minValue="0" maxValue="128755.69698024535"/>
    </cacheField>
    <cacheField name="Help-column 1" numFmtId="1">
      <sharedItems containsMixedTypes="1" containsNumber="1" containsInteger="1" minValue="2" maxValue="415"/>
    </cacheField>
    <cacheField name="Ops-FC-All Orders" numFmtId="0">
      <sharedItems containsSemiMixedTypes="0" containsString="0" containsNumber="1" containsInteger="1" minValue="0" maxValue="4475"/>
    </cacheField>
    <cacheField name="Ops-FC-Orders-Collect" numFmtId="1">
      <sharedItems containsMixedTypes="1" containsNumber="1" containsInteger="1" minValue="0" maxValue="1975"/>
    </cacheField>
    <cacheField name="Ops-FC-Orders-HD" numFmtId="1">
      <sharedItems containsMixedTypes="1" containsNumber="1" containsInteger="1" minValue="0" maxValue="2625"/>
    </cacheField>
    <cacheField name="Ops-FC-Orders-AM" numFmtId="1">
      <sharedItems containsMixedTypes="1" containsNumber="1" containsInteger="1" minValue="0" maxValue="1375"/>
    </cacheField>
    <cacheField name="Ops-FC-Orders-PM" numFmtId="1">
      <sharedItems containsMixedTypes="1" containsNumber="1" containsInteger="1" minValue="0" maxValue="1250"/>
    </cacheField>
    <cacheField name="Ops-FC-All Picks" numFmtId="3">
      <sharedItems containsSemiMixedTypes="0" containsString="0" containsNumber="1" minValue="0" maxValue="197636.59999999998"/>
    </cacheField>
    <cacheField name="Ops-FC-Picks-Collect" numFmtId="1">
      <sharedItems containsMixedTypes="1" containsNumber="1" minValue="0" maxValue="78667.05"/>
    </cacheField>
    <cacheField name="Ops-FC-Picks-HD" numFmtId="1">
      <sharedItems containsMixedTypes="1" containsNumber="1" minValue="0" maxValue="127455.13438448531"/>
    </cacheField>
    <cacheField name="Ops-FC-Picks-AM" numFmtId="1">
      <sharedItems containsMixedTypes="1" containsNumber="1" minValue="0" maxValue="70100.323911466927"/>
    </cacheField>
    <cacheField name="Ops-FC-Picks-PM" numFmtId="1">
      <sharedItems containsMixedTypes="1" containsNumber="1" minValue="0" maxValue="58999.92"/>
    </cacheField>
    <cacheField name="Capped all orders" numFmtId="1">
      <sharedItems containsSemiMixedTypes="0" containsString="0" containsNumber="1" containsInteger="1" minValue="90" maxValue="90"/>
    </cacheField>
    <cacheField name="Capped-Orders-Collect" numFmtId="0">
      <sharedItems containsSemiMixedTypes="0" containsString="0" containsNumber="1" containsInteger="1" minValue="0" maxValue="0"/>
    </cacheField>
    <cacheField name="Capped-Orders-HD" numFmtId="0">
      <sharedItems containsSemiMixedTypes="0" containsString="0" containsNumber="1" containsInteger="1" minValue="90" maxValue="90"/>
    </cacheField>
    <cacheField name="Capped-Orders-AM" numFmtId="0">
      <sharedItems containsSemiMixedTypes="0" containsString="0" containsNumber="1" containsInteger="1" minValue="90" maxValue="90"/>
    </cacheField>
    <cacheField name="Capped-Orders-PM" numFmtId="0">
      <sharedItems containsSemiMixedTypes="0" containsString="0" containsNumber="1" containsInteger="1" minValue="0" maxValue="0"/>
    </cacheField>
    <cacheField name="Act-All Orders" numFmtId="3">
      <sharedItems containsSemiMixedTypes="0" containsString="0" containsNumber="1" containsInteger="1" minValue="0" maxValue="4475"/>
    </cacheField>
    <cacheField name="Act-Orders-Collect" numFmtId="3">
      <sharedItems containsSemiMixedTypes="0" containsString="0" containsNumber="1" containsInteger="1" minValue="0" maxValue="1975"/>
    </cacheField>
    <cacheField name="Act-Orders-HD" numFmtId="3">
      <sharedItems containsSemiMixedTypes="0" containsString="0" containsNumber="1" containsInteger="1" minValue="0" maxValue="2625"/>
    </cacheField>
    <cacheField name="Act-Orders-AM" numFmtId="3">
      <sharedItems containsSemiMixedTypes="0" containsString="0" containsNumber="1" containsInteger="1" minValue="0" maxValue="1375"/>
    </cacheField>
    <cacheField name="Act-Orders-PM" numFmtId="3">
      <sharedItems containsSemiMixedTypes="0" containsString="0" containsNumber="1" containsInteger="1" minValue="0" maxValue="1250"/>
    </cacheField>
    <cacheField name="Act-All Picks" numFmtId="3">
      <sharedItems containsSemiMixedTypes="0" containsString="0" containsNumber="1" minValue="0" maxValue="199653.3"/>
    </cacheField>
    <cacheField name="Act-Picks-Collect" numFmtId="3">
      <sharedItems containsSemiMixedTypes="0" containsString="0" containsNumber="1" minValue="0" maxValue="78135.75"/>
    </cacheField>
    <cacheField name="Act-Picks-HD" numFmtId="3">
      <sharedItems containsSemiMixedTypes="0" containsString="0" containsNumber="1" minValue="0" maxValue="130653.666"/>
    </cacheField>
    <cacheField name="Act-Picks-AM" numFmtId="3">
      <sharedItems containsSemiMixedTypes="0" containsString="0" containsNumber="1" minValue="0" maxValue="69883.30799999999"/>
    </cacheField>
    <cacheField name="Act-Picks-PM" numFmtId="3">
      <sharedItems containsSemiMixedTypes="0" containsString="0" containsNumber="1" minValue="0" maxValue="64033.2"/>
    </cacheField>
    <cacheField name="Act-Bucket-order-Collect" numFmtId="0">
      <sharedItems containsSemiMixedTypes="0" containsString="0" containsNumber="1" minValue="0" maxValue="54.1"/>
    </cacheField>
    <cacheField name="Act-Bucket-order-HD" numFmtId="177">
      <sharedItems containsSemiMixedTypes="0" containsString="0" containsNumber="1" minValue="0" maxValue="59.743213348737669"/>
    </cacheField>
    <cacheField name="Act-Bucket-Collect" numFmtId="1">
      <sharedItems containsMixedTypes="1" containsNumber="1" minValue="29.204999999999998" maxValue="53.558999999999997"/>
    </cacheField>
    <cacheField name="Act-Bucket-HD" numFmtId="1">
      <sharedItems containsMixedTypes="1" containsNumber="1" minValue="42.273000000000003" maxValue="61.677000000000007"/>
    </cacheField>
    <cacheField name="Inbound FC" numFmtId="1">
      <sharedItems containsSemiMixedTypes="0" containsString="0" containsNumber="1" minValue="0" maxValue="370823.04"/>
    </cacheField>
    <cacheField name="Inbound Act - Sec" numFmtId="1">
      <sharedItems containsMixedTypes="1" containsNumber="1" minValue="0" maxValue="161687"/>
    </cacheField>
    <cacheField name="Inbound Act - Fresh" numFmtId="1">
      <sharedItems containsMixedTypes="1" containsNumber="1" minValue="0" maxValue="82253.145392675564"/>
    </cacheField>
    <cacheField name="Inbound Act - Frozen" numFmtId="1">
      <sharedItems containsMixedTypes="1" containsNumber="1" minValue="0" maxValue="145638.48000000001"/>
    </cacheField>
    <cacheField name="Inbound Act - Ultrafresh" numFmtId="1">
      <sharedItems containsMixedTypes="1" containsNumber="1" minValue="0" maxValue="11239.542124116195"/>
    </cacheField>
    <cacheField name="Inbound Act - Ultrafresh2" numFmtId="1">
      <sharedItems containsMixedTypes="1" containsNumber="1" containsInteger="1" minValue="0" maxValue="101687"/>
    </cacheField>
    <cacheField name="Inbound Act" numFmtId="1">
      <sharedItems containsString="0" containsBlank="1" containsNumber="1" minValue="0" maxValue="370823.04"/>
    </cacheField>
    <cacheField name="Inbound FC - Sec" numFmtId="0">
      <sharedItems/>
    </cacheField>
    <cacheField name="Inbound FC - Fresh" numFmtId="0">
      <sharedItems/>
    </cacheField>
    <cacheField name="Inbound FC - Frozen" numFmtId="0">
      <sharedItems/>
    </cacheField>
    <cacheField name="Month" numFmtId="0">
      <sharedItems containsString="0" containsBlank="1" containsNumber="1" containsInteger="1" minValue="1" maxValue="12" count="13">
        <m/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x v="0"/>
    <x v="0"/>
    <x v="0"/>
    <d v="2022-01-01T00:00:00"/>
    <m/>
    <m/>
    <m/>
    <m/>
    <m/>
    <m/>
    <m/>
    <m/>
    <s v=""/>
    <n v="0"/>
    <s v=""/>
    <s v=""/>
    <s v=""/>
    <s v=""/>
    <n v="0"/>
    <s v=""/>
    <s v=""/>
    <s v=""/>
    <s v="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s v=""/>
    <s v=""/>
    <s v=""/>
    <s v=""/>
    <s v=""/>
    <m/>
    <e v="#REF!"/>
    <e v="#REF!"/>
    <e v="#REF!"/>
    <x v="0"/>
  </r>
  <r>
    <x v="0"/>
    <x v="0"/>
    <x v="1"/>
    <d v="2022-01-02T00:00:00"/>
    <m/>
    <m/>
    <m/>
    <m/>
    <m/>
    <m/>
    <m/>
    <m/>
    <s v=""/>
    <n v="0"/>
    <s v=""/>
    <s v=""/>
    <s v=""/>
    <s v=""/>
    <n v="0"/>
    <s v=""/>
    <s v=""/>
    <s v=""/>
    <s v="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s v=""/>
    <s v=""/>
    <s v=""/>
    <s v=""/>
    <s v=""/>
    <m/>
    <e v="#REF!"/>
    <e v="#REF!"/>
    <e v="#REF!"/>
    <x v="0"/>
  </r>
  <r>
    <x v="1"/>
    <x v="1"/>
    <x v="2"/>
    <d v="2022-01-03T00:00:00"/>
    <n v="1600"/>
    <n v="700"/>
    <n v="900"/>
    <n v="43.656842866525146"/>
    <n v="49.512369851021816"/>
    <n v="75120.922872487237"/>
    <n v="30559.790006567604"/>
    <n v="44561.132865919637"/>
    <n v="2"/>
    <n v="1600"/>
    <n v="700"/>
    <n v="900"/>
    <n v="200"/>
    <n v="700"/>
    <n v="73618.504415037489"/>
    <n v="29948.59420643625"/>
    <n v="43669.910208601235"/>
    <n v="9704.4244908002747"/>
    <n v="33965.485717800962"/>
    <n v="90"/>
    <n v="0"/>
    <n v="90"/>
    <n v="90"/>
    <n v="0"/>
    <n v="1517"/>
    <n v="615"/>
    <n v="902"/>
    <n v="201"/>
    <n v="701"/>
    <n v="74567.888999999996"/>
    <n v="26972.055"/>
    <n v="47595.833999999995"/>
    <n v="10606.166999999999"/>
    <n v="36989.666999999994"/>
    <n v="44.3"/>
    <n v="53.3"/>
    <n v="43.856999999999999"/>
    <n v="52.766999999999996"/>
    <n v="163257"/>
    <n v="85794.442754002535"/>
    <n v="60969.286306877912"/>
    <n v="9955.053738034765"/>
    <n v="6538.2172010847999"/>
    <n v="39318"/>
    <m/>
    <e v="#REF!"/>
    <e v="#REF!"/>
    <e v="#REF!"/>
    <x v="1"/>
  </r>
  <r>
    <x v="1"/>
    <x v="1"/>
    <x v="3"/>
    <d v="2022-01-04T00:00:00"/>
    <n v="2850"/>
    <n v="750"/>
    <n v="2100"/>
    <n v="41.534592037673136"/>
    <n v="49.145396519071276"/>
    <n v="134356.27671830452"/>
    <n v="31150.944028254853"/>
    <n v="103205.33269004968"/>
    <n v="3"/>
    <n v="2850"/>
    <n v="750"/>
    <n v="2100"/>
    <n v="1100"/>
    <n v="1000"/>
    <n v="131669.15118393843"/>
    <n v="30527.925147689755"/>
    <n v="101141.22603624868"/>
    <n v="52978.737447558837"/>
    <n v="48162.488588689848"/>
    <n v="90"/>
    <n v="0"/>
    <n v="90"/>
    <n v="90"/>
    <n v="0"/>
    <n v="2847"/>
    <n v="676"/>
    <n v="2171"/>
    <n v="1131"/>
    <n v="1040"/>
    <n v="131848.00199999998"/>
    <n v="29111.94"/>
    <n v="102736.06199999999"/>
    <n v="53521.181999999993"/>
    <n v="49214.879999999997"/>
    <n v="43.5"/>
    <n v="47.8"/>
    <n v="43.064999999999998"/>
    <n v="47.321999999999996"/>
    <n v="147576.00000000009"/>
    <n v="65323.939111411899"/>
    <n v="68517.000793053478"/>
    <n v="6447.0457431537743"/>
    <n v="7288.0143523809411"/>
    <n v="0"/>
    <n v="147576.00000000009"/>
    <e v="#REF!"/>
    <e v="#REF!"/>
    <e v="#REF!"/>
    <x v="1"/>
  </r>
  <r>
    <x v="1"/>
    <x v="1"/>
    <x v="4"/>
    <d v="2022-01-05T00:00:00"/>
    <n v="2750"/>
    <n v="650"/>
    <n v="2100"/>
    <n v="44.275547038122347"/>
    <n v="49.947849611078091"/>
    <n v="133669.58975804353"/>
    <n v="28779.105574779525"/>
    <n v="104890.48418326399"/>
    <n v="4"/>
    <n v="2750"/>
    <n v="650"/>
    <n v="2100"/>
    <n v="1100"/>
    <n v="1000"/>
    <n v="130996.19796288264"/>
    <n v="28203.523463283935"/>
    <n v="102792.67449959871"/>
    <n v="53843.781880742186"/>
    <n v="48948.892618856531"/>
    <n v="90"/>
    <n v="0"/>
    <n v="90"/>
    <n v="90"/>
    <n v="0"/>
    <n v="2725"/>
    <n v="577"/>
    <n v="2148"/>
    <n v="1105"/>
    <n v="1043"/>
    <n v="127975.122"/>
    <n v="25476.858"/>
    <n v="102498.264"/>
    <n v="52728.39"/>
    <n v="49769.874000000003"/>
    <n v="44.6"/>
    <n v="48.2"/>
    <n v="44.154000000000003"/>
    <n v="47.717999999999996"/>
    <n v="133426.00000000009"/>
    <n v="59060.496963457772"/>
    <n v="59891.490568967864"/>
    <n v="5828.8849496261964"/>
    <n v="8645.1275179482418"/>
    <n v="8924"/>
    <n v="124502.00000000009"/>
    <e v="#REF!"/>
    <e v="#REF!"/>
    <e v="#REF!"/>
    <x v="1"/>
  </r>
  <r>
    <x v="1"/>
    <x v="1"/>
    <x v="5"/>
    <d v="2022-01-06T00:00:00"/>
    <n v="2500"/>
    <n v="500"/>
    <n v="2000"/>
    <n v="49"/>
    <n v="50"/>
    <n v="124500"/>
    <n v="24500"/>
    <n v="100000"/>
    <n v="5"/>
    <n v="2400"/>
    <n v="500"/>
    <n v="1900"/>
    <n v="1000"/>
    <n v="900"/>
    <n v="117110"/>
    <n v="24010"/>
    <n v="93100"/>
    <n v="49000"/>
    <n v="44100"/>
    <n v="90"/>
    <n v="0"/>
    <n v="90"/>
    <n v="90"/>
    <n v="0"/>
    <n v="2556"/>
    <n v="515"/>
    <n v="2041"/>
    <n v="1069"/>
    <n v="972"/>
    <n v="122116.40099999998"/>
    <n v="24319.845000000001"/>
    <n v="97796.555999999982"/>
    <n v="51222.203999999998"/>
    <n v="46574.351999999992"/>
    <n v="47.7"/>
    <n v="48.4"/>
    <n v="47.222999999999999"/>
    <n v="47.91599999999999"/>
    <n v="122216.00000000007"/>
    <n v="54098.434314795879"/>
    <n v="54044.997867303784"/>
    <n v="5339.1618050718389"/>
    <n v="8733.4060128285691"/>
    <n v="6545"/>
    <n v="115671.00000000007"/>
    <e v="#REF!"/>
    <e v="#REF!"/>
    <e v="#REF!"/>
    <x v="1"/>
  </r>
  <r>
    <x v="1"/>
    <x v="1"/>
    <x v="0"/>
    <d v="2022-01-07T00:00:00"/>
    <n v="2750"/>
    <n v="900"/>
    <n v="1850"/>
    <n v="54"/>
    <n v="54"/>
    <n v="148500"/>
    <n v="48600"/>
    <n v="99900"/>
    <n v="6"/>
    <n v="2750"/>
    <n v="900"/>
    <n v="1850"/>
    <n v="1000"/>
    <n v="850"/>
    <n v="145530"/>
    <n v="47628"/>
    <n v="97902"/>
    <n v="52920"/>
    <n v="44982"/>
    <n v="90"/>
    <n v="0"/>
    <n v="90"/>
    <n v="90"/>
    <n v="0"/>
    <n v="3028"/>
    <n v="900"/>
    <n v="2128"/>
    <n v="1147"/>
    <n v="981"/>
    <n v="148452.084"/>
    <n v="43748.1"/>
    <n v="104703.984"/>
    <n v="56435.841"/>
    <n v="48268.143000000004"/>
    <n v="49.1"/>
    <n v="49.7"/>
    <n v="48.609000000000002"/>
    <n v="49.202999999999996"/>
    <n v="109870.00000000007"/>
    <n v="48633.525709944879"/>
    <n v="48691.064871575494"/>
    <n v="4799.8110519346319"/>
    <n v="7745.5983665450649"/>
    <n v="2523"/>
    <n v="107347.00000000007"/>
    <e v="#REF!"/>
    <e v="#REF!"/>
    <e v="#REF!"/>
    <x v="1"/>
  </r>
  <r>
    <x v="1"/>
    <x v="1"/>
    <x v="1"/>
    <d v="2022-01-08T00:00:00"/>
    <n v="2700"/>
    <n v="900"/>
    <n v="1800"/>
    <n v="53.000000000000007"/>
    <n v="53"/>
    <n v="143100"/>
    <n v="47700.000000000007"/>
    <n v="95400"/>
    <n v="7"/>
    <n v="2700"/>
    <n v="900"/>
    <n v="1800"/>
    <n v="1000"/>
    <n v="800"/>
    <n v="140238"/>
    <n v="46746.000000000007"/>
    <n v="93492"/>
    <n v="51940"/>
    <n v="41552"/>
    <n v="90"/>
    <n v="0"/>
    <n v="90"/>
    <n v="90"/>
    <n v="0"/>
    <n v="2910"/>
    <n v="1040"/>
    <n v="1870"/>
    <n v="1035"/>
    <n v="835"/>
    <n v="145360.71"/>
    <n v="50759.28"/>
    <n v="94601.43"/>
    <n v="52359.614999999998"/>
    <n v="42241.815000000002"/>
    <n v="49.3"/>
    <n v="51.1"/>
    <n v="48.807000000000002"/>
    <n v="50.588999999999999"/>
    <n v="108457"/>
    <n v="56996.072926556611"/>
    <n v="40199.441700744937"/>
    <n v="5528.8999477880679"/>
    <n v="5732.5854249103895"/>
    <n v="720"/>
    <n v="107737"/>
    <e v="#REF!"/>
    <e v="#REF!"/>
    <e v="#REF!"/>
    <x v="1"/>
  </r>
  <r>
    <x v="1"/>
    <x v="1"/>
    <x v="6"/>
    <d v="2022-01-09T00:00:00"/>
    <n v="90"/>
    <n v="0"/>
    <n v="90"/>
    <n v="0"/>
    <n v="57"/>
    <n v="5130"/>
    <n v="0"/>
    <n v="5130"/>
    <n v="8"/>
    <n v="180"/>
    <n v="0"/>
    <n v="180"/>
    <n v="180"/>
    <n v="0"/>
    <n v="10054.799999999999"/>
    <n v="0"/>
    <n v="10054.799999999999"/>
    <n v="10054.799999999999"/>
    <n v="0"/>
    <n v="90"/>
    <n v="0"/>
    <n v="90"/>
    <n v="90"/>
    <n v="0"/>
    <n v="172"/>
    <n v="0"/>
    <n v="172"/>
    <n v="172"/>
    <n v="0"/>
    <n v="9688.9319999999989"/>
    <n v="0"/>
    <n v="9688.9319999999989"/>
    <n v="9688.9319999999989"/>
    <n v="0"/>
    <n v="0"/>
    <n v="57"/>
    <s v="-"/>
    <n v="56.330999999999996"/>
    <n v="0"/>
    <n v="0"/>
    <n v="0"/>
    <n v="0"/>
    <n v="0"/>
    <n v="0"/>
    <n v="0"/>
    <e v="#REF!"/>
    <e v="#REF!"/>
    <e v="#REF!"/>
    <x v="1"/>
  </r>
  <r>
    <x v="2"/>
    <x v="2"/>
    <x v="2"/>
    <d v="2022-01-10T00:00:00"/>
    <n v="2200"/>
    <n v="650"/>
    <n v="1550"/>
    <n v="46.14149263250934"/>
    <n v="52.405512237002895"/>
    <n v="111220.51417848557"/>
    <n v="29991.970211131073"/>
    <n v="81228.54396735449"/>
    <n v="10"/>
    <n v="2150"/>
    <n v="650"/>
    <n v="1500"/>
    <n v="700"/>
    <n v="800"/>
    <n v="106428.2337953027"/>
    <n v="29392.130806908452"/>
    <n v="77036.102988394254"/>
    <n v="35950.181394583982"/>
    <n v="41085.921593810272"/>
    <n v="90"/>
    <n v="0"/>
    <n v="90"/>
    <n v="90"/>
    <n v="0"/>
    <n v="2145"/>
    <n v="650"/>
    <n v="1495"/>
    <n v="650"/>
    <n v="845"/>
    <n v="107573.89499999999"/>
    <n v="30759.299999999996"/>
    <n v="76814.595000000001"/>
    <n v="33397.65"/>
    <n v="43416.945"/>
    <n v="47.8"/>
    <n v="51.9"/>
    <n v="47.321999999999996"/>
    <n v="51.381"/>
    <n v="166656"/>
    <n v="87580.677408080795"/>
    <n v="62238.662836870972"/>
    <n v="10162.317301959009"/>
    <n v="6674.3424530892298"/>
    <n v="27388"/>
    <n v="139268"/>
    <e v="#REF!"/>
    <e v="#REF!"/>
    <e v="#REF!"/>
    <x v="1"/>
  </r>
  <r>
    <x v="2"/>
    <x v="2"/>
    <x v="3"/>
    <d v="2022-01-11T00:00:00"/>
    <n v="2550"/>
    <n v="550"/>
    <n v="2000"/>
    <n v="46.282425776354415"/>
    <n v="50.501999368071964"/>
    <n v="126459.33291313886"/>
    <n v="25455.334176994929"/>
    <n v="101003.99873614393"/>
    <n v="11"/>
    <n v="2600"/>
    <n v="550"/>
    <n v="2050"/>
    <n v="1050"/>
    <n v="1000"/>
    <n v="126404.74422391161"/>
    <n v="24946.22749345503"/>
    <n v="101458.51673045658"/>
    <n v="51966.55734974605"/>
    <n v="49491.959380710527"/>
    <n v="90"/>
    <n v="0"/>
    <n v="90"/>
    <n v="90"/>
    <n v="0"/>
    <n v="2332"/>
    <n v="400"/>
    <n v="1932"/>
    <n v="1044"/>
    <n v="888"/>
    <n v="112075.52399999998"/>
    <n v="17780.400000000001"/>
    <n v="94295.123999999982"/>
    <n v="50954.507999999994"/>
    <n v="43340.615999999995"/>
    <n v="44.9"/>
    <n v="49.3"/>
    <n v="44.451000000000001"/>
    <n v="48.806999999999988"/>
    <n v="149207.00000000009"/>
    <n v="66045.894881257351"/>
    <n v="69274.246065275729"/>
    <n v="6518.2980579412997"/>
    <n v="7368.560995525716"/>
    <n v="0"/>
    <n v="149207.00000000009"/>
    <e v="#REF!"/>
    <e v="#REF!"/>
    <e v="#REF!"/>
    <x v="1"/>
  </r>
  <r>
    <x v="2"/>
    <x v="2"/>
    <x v="4"/>
    <d v="2022-01-12T00:00:00"/>
    <n v="2450"/>
    <n v="550"/>
    <n v="1900"/>
    <n v="46.623011865462168"/>
    <n v="51.829743068840898"/>
    <n v="124119.16835680191"/>
    <n v="25642.656526004193"/>
    <n v="98476.51183079771"/>
    <n v="12"/>
    <n v="2450"/>
    <n v="550"/>
    <n v="1900"/>
    <n v="1000"/>
    <n v="900"/>
    <n v="121636.78498966586"/>
    <n v="25129.803395484108"/>
    <n v="96506.981594181751"/>
    <n v="50793.148207464081"/>
    <n v="45713.83338671767"/>
    <n v="90"/>
    <n v="0"/>
    <n v="90"/>
    <n v="90"/>
    <n v="0"/>
    <n v="2698"/>
    <n v="660"/>
    <n v="2038"/>
    <n v="1028"/>
    <n v="1010"/>
    <n v="136225.584"/>
    <n v="30905.819999999996"/>
    <n v="105319.764"/>
    <n v="53124.984000000004"/>
    <n v="52194.78"/>
    <n v="47.3"/>
    <n v="52.2"/>
    <n v="46.826999999999991"/>
    <n v="51.677999999999997"/>
    <n v="136204.00000000009"/>
    <n v="60290.167796462476"/>
    <n v="61138.463129043055"/>
    <n v="5950.2454220233421"/>
    <n v="8825.1236524712003"/>
    <n v="5999"/>
    <n v="130205.00000000009"/>
    <e v="#REF!"/>
    <e v="#REF!"/>
    <e v="#REF!"/>
    <x v="1"/>
  </r>
  <r>
    <x v="2"/>
    <x v="2"/>
    <x v="5"/>
    <d v="2022-01-13T00:00:00"/>
    <n v="2675"/>
    <n v="600"/>
    <n v="2075"/>
    <n v="50.999999999999993"/>
    <n v="55"/>
    <n v="144725"/>
    <n v="30599.999999999996"/>
    <n v="114125"/>
    <n v="13"/>
    <n v="2500"/>
    <n v="600"/>
    <n v="1900"/>
    <n v="1000"/>
    <n v="900"/>
    <n v="132398"/>
    <n v="29987.999999999996"/>
    <n v="102410"/>
    <n v="53900"/>
    <n v="48510"/>
    <n v="90"/>
    <n v="0"/>
    <n v="90"/>
    <n v="90"/>
    <n v="0"/>
    <n v="2675"/>
    <n v="600"/>
    <n v="2075"/>
    <n v="1075"/>
    <n v="1000"/>
    <n v="138122.32499999998"/>
    <n v="28630.799999999999"/>
    <n v="109491.52499999999"/>
    <n v="56724.525000000001"/>
    <n v="52767"/>
    <n v="48.2"/>
    <n v="53.3"/>
    <n v="47.717999999999996"/>
    <n v="52.766999999999996"/>
    <n v="123158.00000000007"/>
    <n v="54515.406929875229"/>
    <n v="54461.558612140798"/>
    <n v="5380.3142762734624"/>
    <n v="8800.7201817105852"/>
    <n v="6218"/>
    <n v="116940.00000000007"/>
    <e v="#REF!"/>
    <e v="#REF!"/>
    <e v="#REF!"/>
    <x v="1"/>
  </r>
  <r>
    <x v="2"/>
    <x v="2"/>
    <x v="0"/>
    <d v="2022-01-14T00:00:00"/>
    <n v="2800"/>
    <n v="900"/>
    <n v="1900"/>
    <n v="51.999999999999993"/>
    <n v="59"/>
    <n v="158900"/>
    <n v="46799.999999999993"/>
    <n v="112100"/>
    <n v="14"/>
    <n v="2800"/>
    <n v="900"/>
    <n v="1900"/>
    <n v="1050"/>
    <n v="850"/>
    <n v="155722"/>
    <n v="45863.999999999993"/>
    <n v="109858"/>
    <n v="60711"/>
    <n v="49147"/>
    <n v="90"/>
    <n v="0"/>
    <n v="90"/>
    <n v="90"/>
    <n v="0"/>
    <n v="3084"/>
    <n v="1011"/>
    <n v="2073"/>
    <n v="1113"/>
    <n v="960"/>
    <n v="157427.82"/>
    <n v="52146.368999999999"/>
    <n v="105281.451"/>
    <n v="56525.930999999997"/>
    <n v="48755.519999999997"/>
    <n v="52.1"/>
    <n v="51.3"/>
    <n v="51.579000000000001"/>
    <n v="50.786999999999999"/>
    <n v="112157.00000000009"/>
    <n v="49645.857313646018"/>
    <n v="49704.594182227105"/>
    <n v="4899.7215632277466"/>
    <n v="7906.8269408991982"/>
    <n v="5325"/>
    <n v="106832.00000000009"/>
    <e v="#REF!"/>
    <e v="#REF!"/>
    <e v="#REF!"/>
    <x v="1"/>
  </r>
  <r>
    <x v="2"/>
    <x v="2"/>
    <x v="1"/>
    <d v="2022-01-15T00:00:00"/>
    <n v="2750"/>
    <n v="900"/>
    <n v="1850"/>
    <n v="53.000000000000007"/>
    <n v="59"/>
    <n v="156850"/>
    <n v="47700.000000000007"/>
    <n v="109150"/>
    <n v="15"/>
    <n v="2750"/>
    <n v="900"/>
    <n v="1850"/>
    <n v="950"/>
    <n v="900"/>
    <n v="153713"/>
    <n v="46746.000000000007"/>
    <n v="106967"/>
    <n v="54929"/>
    <n v="52038"/>
    <n v="90"/>
    <n v="0"/>
    <n v="90"/>
    <n v="90"/>
    <n v="0"/>
    <n v="2912"/>
    <n v="1010"/>
    <n v="1902"/>
    <n v="947"/>
    <n v="955"/>
    <n v="146915.20800000001"/>
    <n v="50694.93"/>
    <n v="96220.278000000006"/>
    <n v="47907.783000000003"/>
    <n v="48312.495000000003"/>
    <n v="50.7"/>
    <n v="51.1"/>
    <n v="50.192999999999998"/>
    <n v="50.589000000000006"/>
    <n v="113760"/>
    <n v="59782.893276829345"/>
    <n v="42164.991543899829"/>
    <n v="5799.2352550814667"/>
    <n v="6012.8799241893648"/>
    <n v="1274"/>
    <n v="112486"/>
    <e v="#REF!"/>
    <e v="#REF!"/>
    <e v="#REF!"/>
    <x v="1"/>
  </r>
  <r>
    <x v="2"/>
    <x v="2"/>
    <x v="6"/>
    <d v="2022-01-16T00:00:00"/>
    <n v="90"/>
    <n v="0"/>
    <n v="90"/>
    <n v="0"/>
    <n v="57"/>
    <n v="5130"/>
    <n v="0"/>
    <n v="5130"/>
    <n v="16"/>
    <n v="90"/>
    <n v="0"/>
    <n v="90"/>
    <n v="90"/>
    <n v="0"/>
    <n v="5027.3999999999996"/>
    <n v="0"/>
    <n v="5027.3999999999996"/>
    <n v="5027.3999999999996"/>
    <n v="0"/>
    <n v="90"/>
    <n v="0"/>
    <n v="90"/>
    <n v="90"/>
    <n v="0"/>
    <n v="90"/>
    <n v="0"/>
    <n v="90"/>
    <n v="90"/>
    <n v="0"/>
    <n v="5034.1499999999996"/>
    <n v="0"/>
    <n v="5034.1499999999996"/>
    <n v="5034.1499999999996"/>
    <n v="0"/>
    <n v="0"/>
    <n v="57"/>
    <s v="-"/>
    <n v="55.934999999999995"/>
    <n v="0"/>
    <n v="0"/>
    <n v="0"/>
    <n v="0"/>
    <n v="0"/>
    <n v="0"/>
    <n v="0"/>
    <e v="#REF!"/>
    <e v="#REF!"/>
    <e v="#REF!"/>
    <x v="1"/>
  </r>
  <r>
    <x v="3"/>
    <x v="3"/>
    <x v="2"/>
    <d v="2022-01-17T00:00:00"/>
    <n v="2250"/>
    <n v="700"/>
    <n v="1550"/>
    <n v="47.174250863939186"/>
    <n v="52.094859755414575"/>
    <n v="113769.00822565003"/>
    <n v="33021.975604757426"/>
    <n v="80747.032620892598"/>
    <n v="18"/>
    <n v="2250"/>
    <n v="700"/>
    <n v="1550"/>
    <n v="700"/>
    <n v="850"/>
    <n v="111493.62806113702"/>
    <n v="32361.536092662278"/>
    <n v="79132.091968474735"/>
    <n v="35737.073792214396"/>
    <n v="43395.018176260339"/>
    <n v="90"/>
    <n v="0"/>
    <n v="90"/>
    <n v="90"/>
    <n v="0"/>
    <n v="2305"/>
    <n v="675"/>
    <n v="1630"/>
    <n v="650"/>
    <n v="980"/>
    <n v="111959.09999999999"/>
    <n v="31274.099999999995"/>
    <n v="80685"/>
    <n v="32175"/>
    <n v="48510"/>
    <n v="46.8"/>
    <n v="50"/>
    <n v="46.331999999999994"/>
    <n v="49.5"/>
    <n v="169750.00000000003"/>
    <n v="89206.629164396814"/>
    <n v="63394.135324013827"/>
    <n v="10350.982634933885"/>
    <n v="6798.252876655486"/>
    <n v="31064"/>
    <n v="138686.00000000003"/>
    <e v="#REF!"/>
    <e v="#REF!"/>
    <e v="#REF!"/>
    <x v="1"/>
  </r>
  <r>
    <x v="3"/>
    <x v="3"/>
    <x v="3"/>
    <d v="2022-01-18T00:00:00"/>
    <n v="2600"/>
    <n v="600"/>
    <n v="2000"/>
    <n v="45.470676054522073"/>
    <n v="50.202618348304917"/>
    <n v="127687.64232932308"/>
    <n v="27282.405632713242"/>
    <n v="100405.23669660983"/>
    <n v="19"/>
    <n v="2600"/>
    <n v="600"/>
    <n v="2000"/>
    <n v="1050"/>
    <n v="950"/>
    <n v="125133.88948273662"/>
    <n v="26736.757520058978"/>
    <n v="98397.131962677639"/>
    <n v="51658.494280405765"/>
    <n v="46738.637682271874"/>
    <n v="90"/>
    <n v="0"/>
    <n v="90"/>
    <n v="90"/>
    <n v="0"/>
    <n v="2787"/>
    <n v="615"/>
    <n v="2172"/>
    <n v="1132"/>
    <n v="1040"/>
    <n v="126562.39199999999"/>
    <n v="26789.4"/>
    <n v="99772.991999999998"/>
    <n v="51999.551999999996"/>
    <n v="47773.440000000002"/>
    <n v="44"/>
    <n v="46.4"/>
    <n v="43.56"/>
    <n v="45.936"/>
    <n v="150497.00000000009"/>
    <n v="66616.908335028435"/>
    <n v="69873.170897382835"/>
    <n v="6574.6533528989376"/>
    <n v="7432.2674146898853"/>
    <n v="0"/>
    <n v="150497.00000000009"/>
    <e v="#REF!"/>
    <e v="#REF!"/>
    <e v="#REF!"/>
    <x v="1"/>
  </r>
  <r>
    <x v="3"/>
    <x v="3"/>
    <x v="4"/>
    <d v="2022-01-19T00:00:00"/>
    <n v="2650"/>
    <n v="650"/>
    <n v="2000"/>
    <n v="47.452303161863135"/>
    <n v="51.522469358321835"/>
    <n v="133888.93577185471"/>
    <n v="30843.997055211039"/>
    <n v="103044.93871664366"/>
    <n v="20"/>
    <n v="2650"/>
    <n v="650"/>
    <n v="2000"/>
    <n v="1050"/>
    <n v="950"/>
    <n v="131211.15705641761"/>
    <n v="30227.117114106819"/>
    <n v="100984.03994231079"/>
    <n v="53016.620969713164"/>
    <n v="47967.418972597625"/>
    <n v="90"/>
    <n v="0"/>
    <n v="90"/>
    <n v="90"/>
    <n v="0"/>
    <n v="2757"/>
    <n v="585"/>
    <n v="2172"/>
    <n v="1128"/>
    <n v="1044"/>
    <n v="130309.641"/>
    <n v="27741.285"/>
    <n v="102568.356"/>
    <n v="53267.544000000002"/>
    <n v="49300.812000000005"/>
    <n v="47.9"/>
    <n v="47.7"/>
    <n v="47.420999999999999"/>
    <n v="47.222999999999999"/>
    <n v="144825.00000000009"/>
    <n v="64106.219722788454"/>
    <n v="65008.207708023707"/>
    <n v="6326.8648001859747"/>
    <n v="9383.7077690019487"/>
    <n v="11687"/>
    <n v="133138.00000000009"/>
    <e v="#REF!"/>
    <e v="#REF!"/>
    <e v="#REF!"/>
    <x v="1"/>
  </r>
  <r>
    <x v="3"/>
    <x v="3"/>
    <x v="5"/>
    <d v="2022-01-20T00:00:00"/>
    <n v="2750"/>
    <n v="600"/>
    <n v="2150"/>
    <n v="48.000000000000007"/>
    <n v="48"/>
    <n v="132000"/>
    <n v="28800.000000000004"/>
    <n v="103200"/>
    <n v="21"/>
    <n v="2550"/>
    <n v="600"/>
    <n v="1950"/>
    <n v="1000"/>
    <n v="950"/>
    <n v="119952"/>
    <n v="28224.000000000004"/>
    <n v="91728"/>
    <n v="47040"/>
    <n v="44688"/>
    <n v="90"/>
    <n v="0"/>
    <n v="90"/>
    <n v="90"/>
    <n v="0"/>
    <n v="2605"/>
    <n v="505"/>
    <n v="2100"/>
    <n v="1060"/>
    <n v="1040"/>
    <n v="121634.37000000001"/>
    <n v="23297.67"/>
    <n v="98336.700000000012"/>
    <n v="49636.62"/>
    <n v="48700.08"/>
    <n v="46.6"/>
    <n v="47.3"/>
    <n v="46.133999999999993"/>
    <n v="46.827000000000005"/>
    <n v="138568.00000000009"/>
    <n v="61336.583148954604"/>
    <n v="61275.997123752626"/>
    <n v="6053.5197765038502"/>
    <n v="9901.8999507890057"/>
    <n v="3061"/>
    <n v="135507.00000000009"/>
    <e v="#REF!"/>
    <e v="#REF!"/>
    <e v="#REF!"/>
    <x v="1"/>
  </r>
  <r>
    <x v="3"/>
    <x v="3"/>
    <x v="0"/>
    <d v="2022-01-21T00:00:00"/>
    <n v="2950"/>
    <n v="950"/>
    <n v="2000"/>
    <n v="53"/>
    <n v="53"/>
    <n v="156350"/>
    <n v="50350"/>
    <n v="106000"/>
    <n v="22"/>
    <n v="2950"/>
    <n v="950"/>
    <n v="2000"/>
    <n v="1050"/>
    <n v="950"/>
    <n v="153223"/>
    <n v="49343"/>
    <n v="103880"/>
    <n v="54537"/>
    <n v="49343"/>
    <n v="90"/>
    <n v="0"/>
    <n v="90"/>
    <n v="90"/>
    <n v="0"/>
    <n v="3201"/>
    <n v="1060"/>
    <n v="2141"/>
    <n v="1141"/>
    <n v="1000"/>
    <n v="158661.459"/>
    <n v="52470"/>
    <n v="106191.459"/>
    <n v="56592.458999999995"/>
    <n v="49599"/>
    <n v="50"/>
    <n v="50.1"/>
    <n v="49.5"/>
    <n v="49.599000000000004"/>
    <n v="118726.00000000009"/>
    <n v="52553.599466996595"/>
    <n v="52615.776535384284"/>
    <n v="5186.6967047600901"/>
    <n v="8369.9272928591017"/>
    <n v="0"/>
    <n v="118726.00000000009"/>
    <e v="#REF!"/>
    <e v="#REF!"/>
    <e v="#REF!"/>
    <x v="1"/>
  </r>
  <r>
    <x v="3"/>
    <x v="3"/>
    <x v="1"/>
    <d v="2022-01-22T00:00:00"/>
    <n v="2800"/>
    <n v="950"/>
    <n v="1850"/>
    <n v="52"/>
    <n v="54"/>
    <n v="149300"/>
    <n v="49400"/>
    <n v="99900"/>
    <n v="23"/>
    <n v="2800"/>
    <n v="950"/>
    <n v="1850"/>
    <n v="950"/>
    <n v="900"/>
    <n v="146314"/>
    <n v="48412"/>
    <n v="97902"/>
    <n v="50274"/>
    <n v="47628"/>
    <n v="90"/>
    <n v="0"/>
    <n v="90"/>
    <n v="90"/>
    <n v="0"/>
    <n v="2962"/>
    <n v="990"/>
    <n v="1972"/>
    <n v="1062"/>
    <n v="910"/>
    <n v="146226.16800000001"/>
    <n v="48416.94"/>
    <n v="97809.228000000003"/>
    <n v="52674.138000000006"/>
    <n v="45135.09"/>
    <n v="49.4"/>
    <n v="50.1"/>
    <n v="48.905999999999999"/>
    <n v="49.599000000000004"/>
    <n v="113748.00000000001"/>
    <n v="59776.58706445837"/>
    <n v="42160.543759981701"/>
    <n v="5798.6235214047701"/>
    <n v="6012.2456541551674"/>
    <n v="0"/>
    <n v="113748.00000000001"/>
    <e v="#REF!"/>
    <e v="#REF!"/>
    <e v="#REF!"/>
    <x v="1"/>
  </r>
  <r>
    <x v="3"/>
    <x v="3"/>
    <x v="6"/>
    <d v="2022-01-23T00:00:00"/>
    <n v="90"/>
    <n v="0"/>
    <n v="90"/>
    <n v="0"/>
    <n v="56"/>
    <n v="5040"/>
    <n v="0"/>
    <n v="5040"/>
    <n v="24"/>
    <n v="90"/>
    <n v="0"/>
    <n v="90"/>
    <n v="90"/>
    <n v="0"/>
    <n v="4939.2"/>
    <n v="0"/>
    <n v="4939.2"/>
    <n v="4939.2"/>
    <n v="0"/>
    <n v="90"/>
    <n v="0"/>
    <n v="90"/>
    <n v="90"/>
    <n v="0"/>
    <n v="177"/>
    <n v="0"/>
    <n v="177"/>
    <n v="177"/>
    <n v="0"/>
    <n v="9707.7419999999984"/>
    <n v="0"/>
    <n v="9707.7419999999984"/>
    <n v="9707.7419999999984"/>
    <n v="0"/>
    <n v="0"/>
    <n v="56"/>
    <s v="-"/>
    <n v="54.845999999999989"/>
    <n v="0"/>
    <n v="0"/>
    <n v="0"/>
    <n v="0"/>
    <n v="0"/>
    <n v="0"/>
    <n v="0"/>
    <e v="#REF!"/>
    <e v="#REF!"/>
    <e v="#REF!"/>
    <x v="1"/>
  </r>
  <r>
    <x v="4"/>
    <x v="4"/>
    <x v="2"/>
    <d v="2022-01-24T00:00:00"/>
    <n v="2250"/>
    <n v="650"/>
    <n v="1600"/>
    <n v="47.429850746268656"/>
    <n v="50.398886827458256"/>
    <n v="111467.62190900784"/>
    <n v="30829.402985074626"/>
    <n v="80638.218923933207"/>
    <n v="26"/>
    <n v="2250"/>
    <n v="650"/>
    <n v="1600"/>
    <n v="700"/>
    <n v="900"/>
    <n v="109238.26947082768"/>
    <n v="30212.814925373132"/>
    <n v="79025.454545454544"/>
    <n v="34573.63636363636"/>
    <n v="44451.818181818184"/>
    <n v="90"/>
    <n v="0"/>
    <n v="90"/>
    <n v="90"/>
    <n v="0"/>
    <n v="2402"/>
    <n v="750"/>
    <n v="1652"/>
    <n v="675"/>
    <n v="977"/>
    <n v="114471.126"/>
    <n v="34823.25"/>
    <n v="79647.876000000004"/>
    <n v="32543.775000000001"/>
    <n v="47104.101000000002"/>
    <n v="46.9"/>
    <n v="48.7"/>
    <n v="46.430999999999997"/>
    <n v="48.213000000000001"/>
    <n v="170717"/>
    <n v="89714.804777957761"/>
    <n v="63755.267158230745"/>
    <n v="10409.948173714334"/>
    <n v="6836.97989009717"/>
    <n v="53608"/>
    <n v="117109"/>
    <e v="#REF!"/>
    <e v="#REF!"/>
    <e v="#REF!"/>
    <x v="1"/>
  </r>
  <r>
    <x v="4"/>
    <x v="4"/>
    <x v="3"/>
    <d v="2022-01-25T00:00:00"/>
    <n v="2650"/>
    <n v="600"/>
    <n v="2050"/>
    <n v="44.639534883720934"/>
    <n v="47.027683341427874"/>
    <n v="123190.4717801597"/>
    <n v="26783.720930232561"/>
    <n v="96406.750849927135"/>
    <n v="27"/>
    <n v="2650"/>
    <n v="600"/>
    <n v="2050"/>
    <n v="1050"/>
    <n v="1000"/>
    <n v="120726.66234455651"/>
    <n v="26248.046511627908"/>
    <n v="94478.615832928597"/>
    <n v="48391.48615832928"/>
    <n v="46087.129674599317"/>
    <n v="90"/>
    <n v="0"/>
    <n v="90"/>
    <n v="90"/>
    <n v="0"/>
    <n v="2683"/>
    <n v="545"/>
    <n v="2138"/>
    <n v="1102"/>
    <n v="1036"/>
    <n v="124130.25900000001"/>
    <n v="24225.794999999998"/>
    <n v="99904.464000000007"/>
    <n v="51494.256000000001"/>
    <n v="48410.208000000006"/>
    <n v="44.9"/>
    <n v="47.2"/>
    <n v="44.450999999999993"/>
    <n v="46.728000000000002"/>
    <n v="151355.00000000006"/>
    <n v="66996.698678699438"/>
    <n v="70271.525553156389"/>
    <n v="6612.1361769870409"/>
    <n v="7474.6395911572163"/>
    <n v="0"/>
    <n v="151355.00000000006"/>
    <e v="#REF!"/>
    <e v="#REF!"/>
    <e v="#REF!"/>
    <x v="1"/>
  </r>
  <r>
    <x v="4"/>
    <x v="4"/>
    <x v="4"/>
    <d v="2022-01-26T00:00:00"/>
    <n v="2750"/>
    <n v="600"/>
    <n v="2150"/>
    <n v="48.000000000000007"/>
    <n v="48"/>
    <n v="132000"/>
    <n v="28800.000000000004"/>
    <n v="103200"/>
    <n v="28"/>
    <n v="2750"/>
    <n v="600"/>
    <n v="2150"/>
    <n v="1150"/>
    <n v="1000"/>
    <n v="129360"/>
    <n v="28224.000000000004"/>
    <n v="101136"/>
    <n v="54096"/>
    <n v="47040"/>
    <n v="90"/>
    <n v="0"/>
    <n v="90"/>
    <n v="90"/>
    <n v="0"/>
    <n v="2688"/>
    <n v="610"/>
    <n v="2078"/>
    <n v="1135"/>
    <n v="943"/>
    <n v="125832.26699999999"/>
    <n v="28020.959999999999"/>
    <n v="97811.307000000001"/>
    <n v="53373.375"/>
    <n v="44437.932000000001"/>
    <n v="46.4"/>
    <n v="47.6"/>
    <n v="45.936"/>
    <n v="47.069926371511066"/>
    <n v="145650.00000000009"/>
    <n v="64471.402745549029"/>
    <n v="65378.52893266808"/>
    <n v="6362.9059771937664"/>
    <n v="9437.1623445892219"/>
    <n v="9530"/>
    <n v="136120.00000000009"/>
    <e v="#REF!"/>
    <e v="#REF!"/>
    <e v="#REF!"/>
    <x v="1"/>
  </r>
  <r>
    <x v="4"/>
    <x v="4"/>
    <x v="5"/>
    <d v="2022-01-27T00:00:00"/>
    <n v="2614"/>
    <n v="550"/>
    <n v="2064"/>
    <n v="46.958076019058964"/>
    <n v="48.815579409219417"/>
    <n v="126582.2977111113"/>
    <n v="25826.941810482429"/>
    <n v="100755.35590062887"/>
    <n v="29"/>
    <n v="2700"/>
    <n v="550"/>
    <n v="2150"/>
    <n v="1150"/>
    <n v="1000"/>
    <n v="128164.8287894981"/>
    <n v="25310.40297427278"/>
    <n v="102854.42581522532"/>
    <n v="55015.157994190282"/>
    <n v="47839.267821035028"/>
    <n v="90"/>
    <n v="0"/>
    <n v="90"/>
    <n v="90"/>
    <n v="0"/>
    <n v="2646"/>
    <n v="515"/>
    <n v="2131"/>
    <n v="1066"/>
    <n v="1065"/>
    <n v="126959.77800000001"/>
    <n v="24217.875"/>
    <n v="102741.90300000001"/>
    <n v="51395.058000000005"/>
    <n v="51346.845000000001"/>
    <n v="47.5"/>
    <n v="48.7"/>
    <n v="47.024999999999999"/>
    <n v="48.213000000000001"/>
    <n v="139357.00000000009"/>
    <n v="61685.830912540172"/>
    <n v="61624.899913218018"/>
    <n v="6087.9882476058474"/>
    <n v="9958.2809266360437"/>
    <n v="4390"/>
    <n v="134967.00000000009"/>
    <e v="#REF!"/>
    <e v="#REF!"/>
    <e v="#REF!"/>
    <x v="1"/>
  </r>
  <r>
    <x v="4"/>
    <x v="4"/>
    <x v="0"/>
    <d v="2022-01-28T00:00:00"/>
    <n v="2800"/>
    <n v="900"/>
    <n v="1900"/>
    <n v="49.05513414333091"/>
    <n v="50.593866020328271"/>
    <n v="140277.96616762155"/>
    <n v="44149.620728997819"/>
    <n v="96128.345438623714"/>
    <n v="30"/>
    <n v="3000"/>
    <n v="900"/>
    <n v="2100"/>
    <n v="1100"/>
    <n v="1000"/>
    <n v="147388.80458425346"/>
    <n v="43266.62831441786"/>
    <n v="104122.17626983559"/>
    <n v="54540.187569913876"/>
    <n v="49581.988699921705"/>
    <n v="90"/>
    <n v="0"/>
    <n v="90"/>
    <n v="90"/>
    <n v="0"/>
    <n v="3109"/>
    <n v="1010"/>
    <n v="2099"/>
    <n v="1109"/>
    <n v="990"/>
    <n v="155818.77299999999"/>
    <n v="51294.87"/>
    <n v="104523.90299999999"/>
    <n v="55224.873"/>
    <n v="49299.03"/>
    <n v="51.3"/>
    <n v="50.3"/>
    <n v="50.787000000000006"/>
    <n v="49.796999999999997"/>
    <n v="119402.00000000007"/>
    <n v="52852.828222616168"/>
    <n v="52915.359313696696"/>
    <n v="5216.2286267688987"/>
    <n v="8417.583836918302"/>
    <n v="2040"/>
    <n v="117362.00000000007"/>
    <e v="#REF!"/>
    <e v="#REF!"/>
    <e v="#REF!"/>
    <x v="1"/>
  </r>
  <r>
    <x v="4"/>
    <x v="4"/>
    <x v="1"/>
    <d v="2022-01-29T00:00:00"/>
    <n v="2950"/>
    <n v="1050"/>
    <n v="1900"/>
    <n v="49.376894381945597"/>
    <n v="50.760162999161963"/>
    <n v="148290.0487994506"/>
    <n v="51845.739101042876"/>
    <n v="96444.309698407727"/>
    <n v="31"/>
    <n v="2950"/>
    <n v="1050"/>
    <n v="1900"/>
    <n v="1000"/>
    <n v="900"/>
    <n v="145324.2478234616"/>
    <n v="50808.824319022016"/>
    <n v="94515.423504439575"/>
    <n v="49744.959739178725"/>
    <n v="44770.463765260851"/>
    <n v="90"/>
    <n v="0"/>
    <n v="90"/>
    <n v="90"/>
    <n v="0"/>
    <n v="3050"/>
    <n v="1050"/>
    <n v="2000"/>
    <n v="1050"/>
    <n v="950"/>
    <n v="157652.54999999999"/>
    <n v="52910.55"/>
    <n v="104742"/>
    <n v="54989.55"/>
    <n v="49752.45"/>
    <n v="50.9"/>
    <n v="52.9"/>
    <n v="50.391000000000005"/>
    <n v="52.371000000000002"/>
    <n v="114396"/>
    <n v="60117.122532490946"/>
    <n v="42400.724091560871"/>
    <n v="5831.6571399463737"/>
    <n v="6046.4962360018162"/>
    <n v="0"/>
    <n v="114396"/>
    <e v="#REF!"/>
    <e v="#REF!"/>
    <e v="#REF!"/>
    <x v="1"/>
  </r>
  <r>
    <x v="4"/>
    <x v="4"/>
    <x v="6"/>
    <d v="2022-01-30T00:00:00"/>
    <n v="180"/>
    <n v="0"/>
    <n v="180"/>
    <n v="0"/>
    <n v="56.032863716438641"/>
    <n v="10085.915468958956"/>
    <n v="0"/>
    <n v="10085.915468958956"/>
    <n v="32"/>
    <n v="90"/>
    <n v="0"/>
    <n v="90"/>
    <n v="90"/>
    <n v="0"/>
    <n v="4942.0985797898884"/>
    <n v="0"/>
    <n v="4942.0985797898884"/>
    <n v="4942.0985797898884"/>
    <n v="0"/>
    <n v="90"/>
    <n v="0"/>
    <n v="90"/>
    <n v="90"/>
    <n v="0"/>
    <n v="198"/>
    <n v="0"/>
    <n v="198"/>
    <n v="198"/>
    <n v="0"/>
    <n v="10624.284"/>
    <n v="0"/>
    <n v="10624.284"/>
    <n v="10624.284"/>
    <n v="0"/>
    <n v="0"/>
    <n v="56.032863716438641"/>
    <s v="-"/>
    <n v="53.658000000000001"/>
    <n v="0"/>
    <n v="0"/>
    <n v="0"/>
    <n v="0"/>
    <n v="0"/>
    <n v="0"/>
    <n v="0"/>
    <e v="#REF!"/>
    <e v="#REF!"/>
    <e v="#REF!"/>
    <x v="1"/>
  </r>
  <r>
    <x v="5"/>
    <x v="5"/>
    <x v="2"/>
    <d v="2022-01-31T00:00:00"/>
    <n v="2350"/>
    <n v="750"/>
    <n v="1600"/>
    <n v="47.268702387492368"/>
    <n v="49.807324860859879"/>
    <n v="115143.24656799508"/>
    <n v="35451.526790619275"/>
    <n v="79691.719777375809"/>
    <n v="34"/>
    <n v="2350"/>
    <n v="750"/>
    <n v="1600"/>
    <n v="700"/>
    <n v="900"/>
    <n v="112840.38163663518"/>
    <n v="34742.496254806887"/>
    <n v="78097.885381828295"/>
    <n v="34167.824854549879"/>
    <n v="43930.060527278416"/>
    <n v="90"/>
    <n v="0"/>
    <n v="90"/>
    <n v="90"/>
    <n v="0"/>
    <n v="2403"/>
    <n v="760"/>
    <n v="1643"/>
    <n v="693"/>
    <n v="950"/>
    <n v="117053.145"/>
    <n v="34911.360000000001"/>
    <n v="82141.785000000003"/>
    <n v="34646.534999999996"/>
    <n v="47495.25"/>
    <n v="46.4"/>
    <n v="50.5"/>
    <n v="45.936"/>
    <n v="49.995000000000005"/>
    <n v="173697.00000000003"/>
    <n v="91280.847516749534"/>
    <n v="64868.165675259086"/>
    <n v="10591.662036760596"/>
    <n v="6956.3247712307984"/>
    <n v="36168"/>
    <n v="137529.00000000003"/>
    <e v="#REF!"/>
    <e v="#REF!"/>
    <e v="#REF!"/>
    <x v="1"/>
  </r>
  <r>
    <x v="5"/>
    <x v="5"/>
    <x v="3"/>
    <d v="2022-02-01T00:00:00"/>
    <n v="2700"/>
    <n v="600"/>
    <n v="2100"/>
    <n v="44.711875188364395"/>
    <n v="47.764897719016751"/>
    <n v="127133.4103229538"/>
    <n v="26827.125113018636"/>
    <n v="100306.28520993517"/>
    <n v="35"/>
    <n v="2700"/>
    <n v="600"/>
    <n v="2100"/>
    <n v="1100"/>
    <n v="1000"/>
    <n v="124590.74211649472"/>
    <n v="26290.582610758262"/>
    <n v="98300.159505736461"/>
    <n v="51490.559741100056"/>
    <n v="46809.599764636412"/>
    <n v="90"/>
    <n v="0"/>
    <n v="90"/>
    <n v="90"/>
    <n v="0"/>
    <n v="2784"/>
    <n v="647"/>
    <n v="2137"/>
    <n v="1090"/>
    <n v="1047"/>
    <n v="132637.23000000001"/>
    <n v="28759.796999999999"/>
    <n v="103877.433"/>
    <n v="52983.81"/>
    <n v="50893.623000000007"/>
    <n v="44.9"/>
    <n v="49.1"/>
    <n v="44.451000000000001"/>
    <n v="48.609000000000002"/>
    <n v="153996.00000000006"/>
    <n v="68165.726997621474"/>
    <n v="71497.696469121409"/>
    <n v="6727.5116296871347"/>
    <n v="7605.0649035700617"/>
    <n v="0"/>
    <n v="153996.00000000006"/>
    <e v="#REF!"/>
    <e v="#REF!"/>
    <e v="#REF!"/>
    <x v="2"/>
  </r>
  <r>
    <x v="5"/>
    <x v="5"/>
    <x v="4"/>
    <d v="2022-02-02T00:00:00"/>
    <n v="2800"/>
    <n v="600"/>
    <n v="2200"/>
    <n v="46.137204238530686"/>
    <n v="48.47282624605829"/>
    <n v="134322.54028444664"/>
    <n v="27682.322543118411"/>
    <n v="106640.21774132823"/>
    <n v="36"/>
    <n v="2800"/>
    <n v="600"/>
    <n v="2200"/>
    <n v="1150"/>
    <n v="1050"/>
    <n v="131636.08947875773"/>
    <n v="27128.676092256042"/>
    <n v="104507.41338650168"/>
    <n v="54628.875179307695"/>
    <n v="49878.538207193982"/>
    <n v="90"/>
    <n v="0"/>
    <n v="90"/>
    <n v="90"/>
    <n v="0"/>
    <n v="2797"/>
    <n v="610"/>
    <n v="2187"/>
    <n v="1142"/>
    <n v="1045"/>
    <n v="138447.04500000001"/>
    <n v="29107.98"/>
    <n v="109339.065"/>
    <n v="57094.29"/>
    <n v="52244.775000000001"/>
    <n v="48.2"/>
    <n v="50.5"/>
    <n v="47.717999999999996"/>
    <n v="49.995000000000005"/>
    <n v="148192.00000000006"/>
    <n v="65596.609101739799"/>
    <n v="66519.567178784389"/>
    <n v="6473.9564886529251"/>
    <n v="9601.8672308229725"/>
    <n v="13896"/>
    <n v="134296.00000000006"/>
    <e v="#REF!"/>
    <e v="#REF!"/>
    <e v="#REF!"/>
    <x v="2"/>
  </r>
  <r>
    <x v="5"/>
    <x v="5"/>
    <x v="5"/>
    <d v="2022-02-03T00:00:00"/>
    <n v="2675"/>
    <n v="500"/>
    <n v="2175"/>
    <n v="48.096622134424223"/>
    <n v="48.790838934936389"/>
    <n v="130168.38575069876"/>
    <n v="24048.311067212111"/>
    <n v="106120.07468348664"/>
    <n v="37"/>
    <n v="2650"/>
    <n v="500"/>
    <n v="2150"/>
    <n v="1100"/>
    <n v="1050"/>
    <n v="126369.64248177884"/>
    <n v="23567.344845867869"/>
    <n v="102802.29763591097"/>
    <n v="52596.524371861422"/>
    <n v="50205.773264049545"/>
    <n v="90"/>
    <n v="0"/>
    <n v="90"/>
    <n v="90"/>
    <n v="0"/>
    <n v="2646"/>
    <n v="510"/>
    <n v="2136"/>
    <n v="1104"/>
    <n v="1032"/>
    <n v="128900.37599999999"/>
    <n v="24437.16"/>
    <n v="104463.21599999999"/>
    <n v="53992.223999999995"/>
    <n v="50470.991999999998"/>
    <n v="48.4"/>
    <n v="49.4"/>
    <n v="47.915999999999997"/>
    <n v="48.905999999999992"/>
    <n v="141789.00000000009"/>
    <n v="62762.346199029533"/>
    <n v="62700.351857425667"/>
    <n v="6194.2332687973012"/>
    <n v="10132.068674747577"/>
    <n v="9992"/>
    <n v="131797.00000000009"/>
    <e v="#REF!"/>
    <e v="#REF!"/>
    <e v="#REF!"/>
    <x v="2"/>
  </r>
  <r>
    <x v="5"/>
    <x v="5"/>
    <x v="0"/>
    <d v="2022-02-04T00:00:00"/>
    <n v="2850"/>
    <n v="950"/>
    <n v="1900"/>
    <n v="50.794562823884732"/>
    <n v="50.720626866603361"/>
    <n v="144624.02572923689"/>
    <n v="48254.834682690496"/>
    <n v="96369.191046546388"/>
    <n v="38"/>
    <n v="3050"/>
    <n v="950"/>
    <n v="2100"/>
    <n v="1100"/>
    <n v="1000"/>
    <n v="151672.78808050641"/>
    <n v="47289.737989036686"/>
    <n v="104383.05009146972"/>
    <n v="54676.835762198425"/>
    <n v="49706.214329271286"/>
    <n v="90"/>
    <n v="0"/>
    <n v="90"/>
    <n v="90"/>
    <n v="0"/>
    <n v="3075"/>
    <n v="1023"/>
    <n v="2052"/>
    <n v="1103"/>
    <n v="949"/>
    <n v="156577.50899999999"/>
    <n v="51549.992999999995"/>
    <n v="105027.516"/>
    <n v="56454.849000000002"/>
    <n v="48572.667000000001"/>
    <n v="50.9"/>
    <n v="51.7"/>
    <n v="50.390999999999998"/>
    <n v="51.183"/>
    <n v="121486.00000000007"/>
    <n v="53775.302670413796"/>
    <n v="53838.925156896512"/>
    <n v="5307.2708242043382"/>
    <n v="8564.5013484854262"/>
    <n v="3161"/>
    <n v="118325.00000000007"/>
    <e v="#REF!"/>
    <e v="#REF!"/>
    <e v="#REF!"/>
    <x v="2"/>
  </r>
  <r>
    <x v="5"/>
    <x v="5"/>
    <x v="1"/>
    <d v="2022-02-05T00:00:00"/>
    <n v="3050"/>
    <n v="1050"/>
    <n v="2000"/>
    <n v="50.507182544130124"/>
    <n v="51.320092572030788"/>
    <n v="155672.7268153982"/>
    <n v="53032.541671336628"/>
    <n v="102640.18514406157"/>
    <n v="39"/>
    <n v="3050"/>
    <n v="1050"/>
    <n v="2000"/>
    <n v="1050"/>
    <n v="950"/>
    <n v="152559.27227909025"/>
    <n v="51971.890837909894"/>
    <n v="100587.38144118035"/>
    <n v="52808.375256619678"/>
    <n v="47779.006184560669"/>
    <n v="90"/>
    <n v="0"/>
    <n v="90"/>
    <n v="90"/>
    <n v="0"/>
    <n v="3047"/>
    <n v="1060"/>
    <n v="1987"/>
    <n v="1009"/>
    <n v="978"/>
    <n v="151233.09299999999"/>
    <n v="52679.88"/>
    <n v="98553.213000000003"/>
    <n v="50045.391000000003"/>
    <n v="48507.822"/>
    <n v="50.2"/>
    <n v="50.1"/>
    <n v="49.698"/>
    <n v="49.599000000000004"/>
    <n v="116393.00000000001"/>
    <n v="61166.581374560461"/>
    <n v="43140.909465270161"/>
    <n v="5933.4598193099255"/>
    <n v="6152.0493408594648"/>
    <n v="0"/>
    <n v="116393.00000000001"/>
    <e v="#REF!"/>
    <e v="#REF!"/>
    <e v="#REF!"/>
    <x v="2"/>
  </r>
  <r>
    <x v="5"/>
    <x v="5"/>
    <x v="6"/>
    <d v="2022-02-06T00:00:00"/>
    <n v="200"/>
    <n v="0"/>
    <n v="200"/>
    <n v="0"/>
    <n v="55.799674437386301"/>
    <n v="11159.93488747726"/>
    <n v="0"/>
    <n v="11159.93488747726"/>
    <n v="40"/>
    <n v="180"/>
    <n v="0"/>
    <n v="180"/>
    <n v="180"/>
    <n v="0"/>
    <n v="9843.0625707549425"/>
    <n v="0"/>
    <n v="9843.0625707549425"/>
    <n v="9843.0625707549425"/>
    <n v="0"/>
    <n v="90"/>
    <n v="0"/>
    <n v="90"/>
    <n v="90"/>
    <n v="0"/>
    <n v="125"/>
    <n v="0"/>
    <n v="125"/>
    <n v="125"/>
    <n v="0"/>
    <n v="6447.375"/>
    <n v="0"/>
    <n v="6447.375"/>
    <n v="6447.375"/>
    <n v="0"/>
    <n v="0"/>
    <n v="55.799674437386301"/>
    <s v="-"/>
    <n v="51.579000000000001"/>
    <n v="0"/>
    <n v="0"/>
    <n v="0"/>
    <n v="0"/>
    <n v="0"/>
    <n v="0"/>
    <n v="0"/>
    <e v="#REF!"/>
    <e v="#REF!"/>
    <e v="#REF!"/>
    <x v="2"/>
  </r>
  <r>
    <x v="6"/>
    <x v="6"/>
    <x v="2"/>
    <d v="2022-02-07T00:00:00"/>
    <n v="2400"/>
    <n v="750"/>
    <n v="1650"/>
    <n v="47.986398881341046"/>
    <n v="50.118564914448925"/>
    <n v="118685.43126984651"/>
    <n v="35989.799161005787"/>
    <n v="82695.632108840728"/>
    <n v="42"/>
    <n v="2400"/>
    <n v="750"/>
    <n v="1650"/>
    <n v="700"/>
    <n v="950"/>
    <n v="116311.72264444959"/>
    <n v="35270.003177785671"/>
    <n v="81041.719466663912"/>
    <n v="34381.335531311961"/>
    <n v="46660.383935351951"/>
    <n v="90"/>
    <n v="0"/>
    <n v="90"/>
    <n v="90"/>
    <n v="0"/>
    <n v="2396"/>
    <n v="755"/>
    <n v="1641"/>
    <n v="613"/>
    <n v="1028"/>
    <n v="115696.845"/>
    <n v="35279.64"/>
    <n v="80417.205000000002"/>
    <n v="30040.064999999999"/>
    <n v="50377.14"/>
    <n v="47.2"/>
    <n v="49.5"/>
    <n v="46.728000000000002"/>
    <n v="49.005000000000003"/>
    <n v="174702"/>
    <n v="91808.992802818568"/>
    <n v="65243.488832847499"/>
    <n v="10652.944732183916"/>
    <n v="6996.5736321500253"/>
    <n v="36800"/>
    <n v="137902"/>
    <e v="#REF!"/>
    <e v="#REF!"/>
    <e v="#REF!"/>
    <x v="2"/>
  </r>
  <r>
    <x v="6"/>
    <x v="6"/>
    <x v="3"/>
    <d v="2022-02-08T00:00:00"/>
    <n v="2700"/>
    <n v="550"/>
    <n v="2150"/>
    <n v="45.968880828393679"/>
    <n v="48.371326132089855"/>
    <n v="129281.23563960972"/>
    <n v="25282.884455616524"/>
    <n v="103998.35118399319"/>
    <n v="43"/>
    <n v="2700"/>
    <n v="550"/>
    <n v="2150"/>
    <n v="1150"/>
    <n v="1000"/>
    <n v="126695.61092681752"/>
    <n v="24777.226766504195"/>
    <n v="101918.38416031332"/>
    <n v="54514.484550865265"/>
    <n v="47403.899609448054"/>
    <n v="90"/>
    <n v="0"/>
    <n v="90"/>
    <n v="90"/>
    <n v="0"/>
    <n v="2455"/>
    <n v="475"/>
    <n v="1980"/>
    <n v="950"/>
    <n v="1030"/>
    <n v="114003.94500000001"/>
    <n v="21678.525000000001"/>
    <n v="92325.420000000013"/>
    <n v="44297.55"/>
    <n v="48027.87"/>
    <n v="46.1"/>
    <n v="47.1"/>
    <n v="45.639000000000003"/>
    <n v="46.629000000000005"/>
    <n v="154887.00000000009"/>
    <n v="68560.124662202899"/>
    <n v="71911.372457809353"/>
    <n v="6766.4361008555497"/>
    <n v="7649.0667791322903"/>
    <n v="0"/>
    <n v="154887.00000000009"/>
    <e v="#REF!"/>
    <e v="#REF!"/>
    <e v="#REF!"/>
    <x v="2"/>
  </r>
  <r>
    <x v="6"/>
    <x v="6"/>
    <x v="4"/>
    <d v="2022-02-09T00:00:00"/>
    <n v="2800"/>
    <n v="600"/>
    <n v="2200"/>
    <n v="47.366626495783322"/>
    <n v="49.080688751709658"/>
    <n v="136397.49115123122"/>
    <n v="28419.975897469994"/>
    <n v="107977.51525376124"/>
    <n v="44"/>
    <n v="2800"/>
    <n v="600"/>
    <n v="2200"/>
    <n v="1150"/>
    <n v="1050"/>
    <n v="133669.5413282066"/>
    <n v="27851.576379520593"/>
    <n v="105817.96494868601"/>
    <n v="55313.936223176781"/>
    <n v="50504.028725509233"/>
    <n v="90"/>
    <n v="0"/>
    <n v="90"/>
    <n v="90"/>
    <n v="0"/>
    <n v="2386"/>
    <n v="465"/>
    <n v="1921"/>
    <n v="921"/>
    <n v="1000"/>
    <n v="116002.95300000001"/>
    <n v="23385.78"/>
    <n v="92617.17300000001"/>
    <n v="44404.173000000003"/>
    <n v="48213"/>
    <n v="50.8"/>
    <n v="48.7"/>
    <n v="50.291999999999994"/>
    <n v="48.213000000000008"/>
    <n v="149050.00000000006"/>
    <n v="65976.399445410803"/>
    <n v="66904.701252414525"/>
    <n v="6511.4393127410285"/>
    <n v="9657.4599894337352"/>
    <n v="7329"/>
    <n v="141721.00000000006"/>
    <e v="#REF!"/>
    <e v="#REF!"/>
    <e v="#REF!"/>
    <x v="2"/>
  </r>
  <r>
    <x v="6"/>
    <x v="6"/>
    <x v="5"/>
    <d v="2022-02-10T00:00:00"/>
    <n v="2350"/>
    <n v="450"/>
    <n v="1900"/>
    <n v="47.963250099108983"/>
    <n v="48.305614420574699"/>
    <n v="113364.12994369096"/>
    <n v="21583.462544599042"/>
    <n v="91780.667399091923"/>
    <n v="45"/>
    <n v="2600"/>
    <n v="450"/>
    <n v="2150"/>
    <n v="1150"/>
    <n v="1000"/>
    <n v="122931.72287785794"/>
    <n v="21151.793293707062"/>
    <n v="101779.92958415089"/>
    <n v="54440.427451987685"/>
    <n v="47339.502132163201"/>
    <n v="90"/>
    <n v="0"/>
    <n v="90"/>
    <n v="90"/>
    <n v="0"/>
    <n v="2217"/>
    <n v="460"/>
    <n v="1757"/>
    <n v="810"/>
    <n v="947"/>
    <n v="107919.20699999999"/>
    <n v="22861.079999999998"/>
    <n v="85058.126999999993"/>
    <n v="39212.909999999996"/>
    <n v="45845.216999999997"/>
    <n v="50.2"/>
    <n v="48.9"/>
    <n v="49.697999999999993"/>
    <n v="48.410999999999994"/>
    <n v="142610.00000000009"/>
    <n v="63125.758637437328"/>
    <n v="63063.405330367481"/>
    <n v="6230.0997007044489"/>
    <n v="10190.736331490822"/>
    <n v="4845"/>
    <n v="137765.00000000009"/>
    <e v="#REF!"/>
    <e v="#REF!"/>
    <e v="#REF!"/>
    <x v="2"/>
  </r>
  <r>
    <x v="6"/>
    <x v="6"/>
    <x v="0"/>
    <d v="2022-02-11T00:00:00"/>
    <n v="3000"/>
    <n v="1000"/>
    <n v="2000"/>
    <n v="51.194292961819038"/>
    <n v="50.543030329140635"/>
    <n v="152280.3536201003"/>
    <n v="51194.292961819039"/>
    <n v="101086.06065828128"/>
    <n v="46"/>
    <n v="3100"/>
    <n v="1000"/>
    <n v="2100"/>
    <n v="1100"/>
    <n v="1000"/>
    <n v="154187.96351995409"/>
    <n v="50170.407102582656"/>
    <n v="104017.55641737144"/>
    <n v="54485.386694813606"/>
    <n v="49532.169722557825"/>
    <n v="90"/>
    <n v="0"/>
    <n v="90"/>
    <n v="90"/>
    <n v="0"/>
    <n v="3026"/>
    <n v="1125"/>
    <n v="1901"/>
    <n v="987"/>
    <n v="914"/>
    <n v="151284.87"/>
    <n v="56244.375"/>
    <n v="95040.494999999995"/>
    <n v="49345.065000000002"/>
    <n v="45695.43"/>
    <n v="50.5"/>
    <n v="50.5"/>
    <n v="49.994999999999997"/>
    <n v="49.994999999999997"/>
    <n v="122189.00000000009"/>
    <n v="54086.482870414628"/>
    <n v="54150.473519549807"/>
    <n v="5337.9822756424928"/>
    <n v="8614.0613343931454"/>
    <n v="1224"/>
    <n v="120965.00000000009"/>
    <e v="#REF!"/>
    <e v="#REF!"/>
    <e v="#REF!"/>
    <x v="2"/>
  </r>
  <r>
    <x v="6"/>
    <x v="6"/>
    <x v="1"/>
    <d v="2022-02-12T00:00:00"/>
    <n v="2850"/>
    <n v="1000"/>
    <n v="1850"/>
    <n v="50.40409999994187"/>
    <n v="50.424296425099875"/>
    <n v="143689.04838637664"/>
    <n v="50404.099999941871"/>
    <n v="93284.948386434771"/>
    <n v="47"/>
    <n v="2950"/>
    <n v="1000"/>
    <n v="1950"/>
    <n v="1000"/>
    <n v="950"/>
    <n v="145756.84846830889"/>
    <n v="49396.017999943033"/>
    <n v="96360.830468365864"/>
    <n v="49415.810496597878"/>
    <n v="46945.019971767986"/>
    <n v="90"/>
    <n v="0"/>
    <n v="90"/>
    <n v="90"/>
    <n v="0"/>
    <n v="2656"/>
    <n v="960"/>
    <n v="1696"/>
    <n v="938"/>
    <n v="758"/>
    <n v="129602.87999999999"/>
    <n v="47329.919999999998"/>
    <n v="82272.959999999992"/>
    <n v="45502.38"/>
    <n v="36770.58"/>
    <n v="49.8"/>
    <n v="49"/>
    <n v="49.302"/>
    <n v="48.51"/>
    <n v="117066.00000000001"/>
    <n v="61520.254785032565"/>
    <n v="43390.356013345445"/>
    <n v="5967.7678830113127"/>
    <n v="6187.6213186106907"/>
    <n v="0"/>
    <n v="117066.00000000001"/>
    <e v="#REF!"/>
    <e v="#REF!"/>
    <e v="#REF!"/>
    <x v="2"/>
  </r>
  <r>
    <x v="6"/>
    <x v="6"/>
    <x v="6"/>
    <d v="2022-02-13T00:00:00"/>
    <n v="200"/>
    <n v="0"/>
    <n v="200"/>
    <n v="0"/>
    <n v="53.52513125092981"/>
    <n v="10705.026250185962"/>
    <n v="0"/>
    <n v="10705.026250185962"/>
    <n v="48"/>
    <n v="200"/>
    <n v="0"/>
    <n v="200"/>
    <n v="200"/>
    <n v="0"/>
    <n v="10490.925725182242"/>
    <n v="0"/>
    <n v="10490.925725182242"/>
    <n v="10490.925725182242"/>
    <n v="0"/>
    <n v="90"/>
    <n v="0"/>
    <n v="90"/>
    <n v="90"/>
    <n v="0"/>
    <n v="100"/>
    <n v="0"/>
    <n v="100"/>
    <n v="100"/>
    <n v="0"/>
    <n v="5068.8"/>
    <n v="0"/>
    <n v="5068.8"/>
    <n v="5068.8"/>
    <n v="0"/>
    <n v="0"/>
    <n v="53.52513125092981"/>
    <s v="-"/>
    <n v="50.688000000000002"/>
    <n v="0"/>
    <n v="0"/>
    <n v="0"/>
    <n v="0"/>
    <n v="0"/>
    <n v="0"/>
    <n v="0"/>
    <e v="#REF!"/>
    <e v="#REF!"/>
    <e v="#REF!"/>
    <x v="2"/>
  </r>
  <r>
    <x v="7"/>
    <x v="7"/>
    <x v="2"/>
    <d v="2022-02-14T00:00:00"/>
    <n v="2300"/>
    <n v="750"/>
    <n v="1550"/>
    <n v="47.804943632674814"/>
    <n v="49.323862767677412"/>
    <n v="112305.6950144061"/>
    <n v="35853.707724506108"/>
    <n v="76451.987289899989"/>
    <n v="50"/>
    <n v="2300"/>
    <n v="750"/>
    <n v="1550"/>
    <n v="650"/>
    <n v="900"/>
    <n v="110059.58111411797"/>
    <n v="35136.633570015983"/>
    <n v="74922.947544101989"/>
    <n v="31419.30058301051"/>
    <n v="43503.646961091479"/>
    <n v="90"/>
    <n v="0"/>
    <n v="90"/>
    <n v="90"/>
    <n v="0"/>
    <n v="2230"/>
    <n v="755"/>
    <n v="1475"/>
    <n v="546"/>
    <n v="929"/>
    <n v="105293.43"/>
    <n v="35055.404999999999"/>
    <n v="70238.024999999994"/>
    <n v="25999.974000000002"/>
    <n v="44238.050999999999"/>
    <n v="46.9"/>
    <n v="48.1"/>
    <n v="46.430999999999997"/>
    <n v="47.618999999999993"/>
    <n v="232868.99999999974"/>
    <n v="147902.29841560099"/>
    <n v="67739.7527781549"/>
    <n v="10860.818602941699"/>
    <n v="6366.1302033021602"/>
    <n v="110119"/>
    <n v="122749.99999999974"/>
    <e v="#REF!"/>
    <e v="#REF!"/>
    <e v="#REF!"/>
    <x v="2"/>
  </r>
  <r>
    <x v="7"/>
    <x v="7"/>
    <x v="3"/>
    <d v="2022-02-15T00:00:00"/>
    <n v="2600"/>
    <n v="550"/>
    <n v="2050"/>
    <n v="49.412713909918601"/>
    <n v="50.484437646418584"/>
    <n v="130670.08982561332"/>
    <n v="27176.992650455231"/>
    <n v="103493.09717515809"/>
    <n v="51"/>
    <n v="2600"/>
    <n v="500"/>
    <n v="2100"/>
    <n v="1100"/>
    <n v="1000"/>
    <n v="128109.20249218956"/>
    <n v="24212.229815860115"/>
    <n v="103896.97267632945"/>
    <n v="54422.223782839232"/>
    <n v="49474.748893490214"/>
    <n v="90"/>
    <n v="0"/>
    <n v="90"/>
    <n v="90"/>
    <n v="0"/>
    <n v="2410"/>
    <n v="500"/>
    <n v="1910"/>
    <n v="870"/>
    <n v="1040"/>
    <n v="114595.47"/>
    <n v="23265"/>
    <n v="91330.47"/>
    <n v="41600.79"/>
    <n v="49729.68"/>
    <n v="47"/>
    <n v="48.3"/>
    <n v="46.53"/>
    <n v="47.817"/>
    <n v="147310.00000000006"/>
    <n v="65206.195251952129"/>
    <n v="68393.501564107355"/>
    <n v="6435.4251939609594"/>
    <n v="7274.8779899796473"/>
    <n v="0"/>
    <n v="147310.00000000006"/>
    <e v="#REF!"/>
    <e v="#REF!"/>
    <e v="#REF!"/>
    <x v="2"/>
  </r>
  <r>
    <x v="7"/>
    <x v="7"/>
    <x v="4"/>
    <d v="2022-02-16T00:00:00"/>
    <n v="2600"/>
    <n v="550"/>
    <n v="2050"/>
    <n v="50.656071559667367"/>
    <n v="50.6252081971842"/>
    <n v="131642.51616204466"/>
    <n v="27860.839357817051"/>
    <n v="103781.67680422761"/>
    <n v="52"/>
    <n v="2600"/>
    <n v="500"/>
    <n v="2100"/>
    <n v="1100"/>
    <n v="1000"/>
    <n v="129008.15353404208"/>
    <n v="24821.475064237009"/>
    <n v="104186.67846980508"/>
    <n v="54573.974436564567"/>
    <n v="49612.704033240516"/>
    <n v="90"/>
    <n v="0"/>
    <n v="90"/>
    <n v="90"/>
    <n v="0"/>
    <n v="2226"/>
    <n v="450"/>
    <n v="1776"/>
    <n v="866"/>
    <n v="910"/>
    <n v="106351.542"/>
    <n v="21428.55"/>
    <n v="84922.991999999998"/>
    <n v="41409.521999999997"/>
    <n v="43513.47"/>
    <n v="48.1"/>
    <n v="48.3"/>
    <n v="47.619"/>
    <n v="47.817"/>
    <n v="136760.00000000009"/>
    <n v="60536.279021498696"/>
    <n v="61388.037190742783"/>
    <n v="5974.5349910128352"/>
    <n v="8861.1487967457724"/>
    <n v="14544"/>
    <n v="122216.00000000009"/>
    <e v="#REF!"/>
    <e v="#REF!"/>
    <e v="#REF!"/>
    <x v="2"/>
  </r>
  <r>
    <x v="7"/>
    <x v="7"/>
    <x v="5"/>
    <d v="2022-02-17T00:00:00"/>
    <n v="2500"/>
    <n v="500"/>
    <n v="2000"/>
    <n v="49.60583546338934"/>
    <n v="50.297197327742794"/>
    <n v="125397.31238718027"/>
    <n v="24802.91773169467"/>
    <n v="100594.39465548559"/>
    <n v="53"/>
    <n v="2500"/>
    <n v="500"/>
    <n v="2000"/>
    <n v="1050"/>
    <n v="950"/>
    <n v="122889.36613943666"/>
    <n v="24306.859377060777"/>
    <n v="98582.50676237588"/>
    <n v="51755.816050247333"/>
    <n v="46826.69071212854"/>
    <n v="90"/>
    <n v="0"/>
    <n v="90"/>
    <n v="90"/>
    <n v="0"/>
    <n v="2150"/>
    <n v="480"/>
    <n v="1670"/>
    <n v="725"/>
    <n v="945"/>
    <n v="104788.53000000001"/>
    <n v="22619.52"/>
    <n v="82169.010000000009"/>
    <n v="35672.175000000003"/>
    <n v="46496.834999999999"/>
    <n v="47.6"/>
    <n v="49.7"/>
    <n v="47.124000000000002"/>
    <n v="49.203000000000003"/>
    <n v="129179.00000000007"/>
    <n v="57180.579026895146"/>
    <n v="57124.098150000296"/>
    <n v="5643.3493390176009"/>
    <n v="9230.9734840870406"/>
    <n v="5309"/>
    <n v="123870.00000000007"/>
    <e v="#REF!"/>
    <e v="#REF!"/>
    <e v="#REF!"/>
    <x v="2"/>
  </r>
  <r>
    <x v="7"/>
    <x v="7"/>
    <x v="0"/>
    <d v="2022-02-18T00:00:00"/>
    <n v="3050"/>
    <n v="1000"/>
    <n v="2050"/>
    <n v="52.296486312906282"/>
    <n v="52.844192173725169"/>
    <n v="160627.08026904287"/>
    <n v="52296.48631290628"/>
    <n v="108330.5939561366"/>
    <n v="54"/>
    <n v="3050"/>
    <n v="1000"/>
    <n v="2050"/>
    <n v="1050"/>
    <n v="1000"/>
    <n v="157414.53866366201"/>
    <n v="51250.556586648156"/>
    <n v="106163.98207701386"/>
    <n v="54376.673746763197"/>
    <n v="51787.308330250664"/>
    <n v="90"/>
    <n v="0"/>
    <n v="90"/>
    <n v="90"/>
    <n v="0"/>
    <n v="2920"/>
    <n v="1120"/>
    <n v="1800"/>
    <n v="925"/>
    <n v="875"/>
    <n v="144231.12"/>
    <n v="54774.720000000001"/>
    <n v="89456.4"/>
    <n v="45970.65"/>
    <n v="43485.75"/>
    <n v="49.4"/>
    <n v="50.2"/>
    <n v="48.905999999999999"/>
    <n v="49.697999999999993"/>
    <n v="129418.00000000007"/>
    <n v="57286.371441973664"/>
    <n v="57354.147934372944"/>
    <n v="5653.7903587810697"/>
    <n v="9123.6902648723881"/>
    <n v="0"/>
    <n v="129418.00000000007"/>
    <e v="#REF!"/>
    <e v="#REF!"/>
    <e v="#REF!"/>
    <x v="2"/>
  </r>
  <r>
    <x v="7"/>
    <x v="7"/>
    <x v="1"/>
    <d v="2022-02-19T00:00:00"/>
    <n v="2900"/>
    <n v="1000"/>
    <n v="1900"/>
    <n v="50.873471249806904"/>
    <n v="52.265285018238252"/>
    <n v="150177.5127844596"/>
    <n v="50873.471249806906"/>
    <n v="99304.041534652686"/>
    <n v="55"/>
    <n v="2900"/>
    <n v="1000"/>
    <n v="1900"/>
    <n v="1000"/>
    <n v="900"/>
    <n v="147173.96252877038"/>
    <n v="49856.001824810766"/>
    <n v="97317.96070395963"/>
    <n v="51219.979317873491"/>
    <n v="46097.98138608614"/>
    <n v="90"/>
    <n v="0"/>
    <n v="90"/>
    <n v="90"/>
    <n v="0"/>
    <n v="2670"/>
    <n v="970"/>
    <n v="1700"/>
    <n v="925"/>
    <n v="775"/>
    <n v="129523.68"/>
    <n v="45710.28"/>
    <n v="83813.399999999994"/>
    <n v="45604.35"/>
    <n v="38209.050000000003"/>
    <n v="47.6"/>
    <n v="49.8"/>
    <n v="47.124000000000002"/>
    <n v="49.302"/>
    <n v="116030.00000000001"/>
    <n v="60975.818450338513"/>
    <n v="43006.364001746639"/>
    <n v="5914.9548755898604"/>
    <n v="6132.8626723249999"/>
    <n v="0"/>
    <n v="116030.00000000001"/>
    <e v="#REF!"/>
    <e v="#REF!"/>
    <e v="#REF!"/>
    <x v="2"/>
  </r>
  <r>
    <x v="7"/>
    <x v="7"/>
    <x v="6"/>
    <d v="2022-02-20T00:00:00"/>
    <n v="100"/>
    <n v="0"/>
    <n v="100"/>
    <n v="0"/>
    <n v="54.714699446368876"/>
    <n v="5471.4699446368877"/>
    <n v="0"/>
    <n v="5471.4699446368877"/>
    <n v="56"/>
    <n v="200"/>
    <n v="0"/>
    <n v="200"/>
    <n v="200"/>
    <n v="0"/>
    <n v="10724.0810914883"/>
    <n v="0"/>
    <n v="10724.0810914883"/>
    <n v="10724.0810914883"/>
    <n v="0"/>
    <n v="90"/>
    <n v="0"/>
    <n v="90"/>
    <n v="90"/>
    <n v="0"/>
    <n v="85"/>
    <n v="0"/>
    <n v="85"/>
    <n v="85"/>
    <n v="0"/>
    <n v="4586.1750000000002"/>
    <n v="0"/>
    <n v="4586.1750000000002"/>
    <n v="4586.1750000000002"/>
    <n v="0"/>
    <n v="0"/>
    <n v="54.714699446368876"/>
    <s v="-"/>
    <n v="53.955000000000005"/>
    <n v="0"/>
    <n v="0"/>
    <n v="0"/>
    <n v="0"/>
    <n v="0"/>
    <n v="0"/>
    <n v="0"/>
    <e v="#REF!"/>
    <e v="#REF!"/>
    <e v="#REF!"/>
    <x v="2"/>
  </r>
  <r>
    <x v="8"/>
    <x v="8"/>
    <x v="2"/>
    <d v="2022-02-21T00:00:00"/>
    <n v="2350"/>
    <n v="750"/>
    <n v="1600"/>
    <n v="48.627944905628581"/>
    <n v="50.909683743797316"/>
    <n v="117926.45266929714"/>
    <n v="36470.95867922144"/>
    <n v="81455.493990075702"/>
    <n v="58"/>
    <n v="2300"/>
    <n v="700"/>
    <n v="1600"/>
    <n v="700"/>
    <n v="900"/>
    <n v="113185.15431553542"/>
    <n v="33358.770205261208"/>
    <n v="79826.384110274201"/>
    <n v="34924.043048244959"/>
    <n v="44902.341062029234"/>
    <n v="90"/>
    <n v="0"/>
    <n v="90"/>
    <n v="90"/>
    <n v="0"/>
    <n v="2433"/>
    <n v="800"/>
    <n v="1633"/>
    <n v="640"/>
    <n v="993"/>
    <n v="110989.89000000001"/>
    <n v="35006.400000000001"/>
    <n v="75983.490000000005"/>
    <n v="29779.200000000001"/>
    <n v="46204.29"/>
    <n v="44.2"/>
    <n v="47"/>
    <n v="43.758000000000003"/>
    <n v="46.53"/>
    <n v="174359"/>
    <n v="91629"/>
    <n v="65115"/>
    <n v="10632"/>
    <n v="6983"/>
    <n v="45878"/>
    <n v="128481"/>
    <e v="#REF!"/>
    <e v="#REF!"/>
    <e v="#REF!"/>
    <x v="2"/>
  </r>
  <r>
    <x v="8"/>
    <x v="8"/>
    <x v="3"/>
    <d v="2022-02-22T00:00:00"/>
    <n v="2550"/>
    <n v="550"/>
    <n v="2000"/>
    <n v="45.749039422813475"/>
    <n v="49.008794889752131"/>
    <n v="123179.56146205167"/>
    <n v="25161.97168254741"/>
    <n v="98017.589779504269"/>
    <n v="59"/>
    <n v="2550"/>
    <n v="550"/>
    <n v="2000"/>
    <n v="1050"/>
    <n v="950"/>
    <n v="120715.97023281064"/>
    <n v="24658.73224889646"/>
    <n v="96057.237983914179"/>
    <n v="50430.049941554942"/>
    <n v="45627.188042359237"/>
    <n v="90"/>
    <n v="0"/>
    <n v="90"/>
    <n v="90"/>
    <n v="0"/>
    <n v="2450"/>
    <n v="475"/>
    <n v="1975"/>
    <n v="925"/>
    <n v="1050"/>
    <n v="111303.22500000001"/>
    <n v="19797.525000000001"/>
    <n v="91505.7"/>
    <n v="42857.1"/>
    <n v="48648.6"/>
    <n v="42.1"/>
    <n v="46.8"/>
    <n v="41.679000000000002"/>
    <n v="46.332000000000001"/>
    <n v="147366"/>
    <n v="65231"/>
    <n v="68419"/>
    <n v="6438"/>
    <n v="7278"/>
    <n v="0"/>
    <n v="147366"/>
    <e v="#REF!"/>
    <e v="#REF!"/>
    <e v="#REF!"/>
    <x v="2"/>
  </r>
  <r>
    <x v="8"/>
    <x v="8"/>
    <x v="4"/>
    <d v="2022-02-23T00:00:00"/>
    <n v="2500"/>
    <n v="500"/>
    <n v="2000"/>
    <n v="47.958344728403056"/>
    <n v="49.877765520034295"/>
    <n v="123734.70340427011"/>
    <n v="23979.172364201528"/>
    <n v="99755.531040068585"/>
    <n v="60"/>
    <n v="2500"/>
    <n v="500"/>
    <n v="2000"/>
    <n v="1050"/>
    <n v="950"/>
    <n v="121260.0093361847"/>
    <n v="23499.588916917495"/>
    <n v="97760.420419267204"/>
    <n v="51324.220720115285"/>
    <n v="46436.199699151926"/>
    <n v="90"/>
    <n v="0"/>
    <n v="90"/>
    <n v="90"/>
    <n v="0"/>
    <n v="2225"/>
    <n v="500"/>
    <n v="1725"/>
    <n v="800"/>
    <n v="925"/>
    <n v="102908.02499999999"/>
    <n v="22473"/>
    <n v="80435.024999999994"/>
    <n v="37303.199999999997"/>
    <n v="43131.824999999997"/>
    <n v="45.4"/>
    <n v="47.1"/>
    <n v="44.945999999999998"/>
    <n v="46.628999999999998"/>
    <n v="133598"/>
    <n v="59137"/>
    <n v="59969"/>
    <n v="5836"/>
    <n v="8656"/>
    <n v="17060"/>
    <n v="116538"/>
    <e v="#REF!"/>
    <e v="#REF!"/>
    <e v="#REF!"/>
    <x v="2"/>
  </r>
  <r>
    <x v="8"/>
    <x v="8"/>
    <x v="5"/>
    <d v="2022-02-24T00:00:00"/>
    <n v="2275"/>
    <n v="500"/>
    <n v="1775"/>
    <n v="49.228120184975303"/>
    <n v="50.84082878899401"/>
    <n v="114856.53119295201"/>
    <n v="24614.060092487653"/>
    <n v="90242.471100464361"/>
    <n v="61"/>
    <n v="2500"/>
    <n v="500"/>
    <n v="2000"/>
    <n v="1050"/>
    <n v="950"/>
    <n v="123769.80331706615"/>
    <n v="24121.778890637899"/>
    <n v="99648.024426428252"/>
    <n v="52315.212823874834"/>
    <n v="47332.811602553425"/>
    <n v="90"/>
    <n v="0"/>
    <n v="90"/>
    <n v="90"/>
    <n v="0"/>
    <n v="2130"/>
    <n v="460"/>
    <n v="1670"/>
    <n v="730"/>
    <n v="940"/>
    <n v="103508.46"/>
    <n v="22496.76"/>
    <n v="81011.700000000012"/>
    <n v="35412.300000000003"/>
    <n v="45599.4"/>
    <n v="49.4"/>
    <n v="49"/>
    <n v="48.905999999999999"/>
    <n v="48.510000000000005"/>
    <n v="126646"/>
    <n v="56059"/>
    <n v="56004"/>
    <n v="5533"/>
    <n v="9050"/>
    <n v="4650"/>
    <n v="121996"/>
    <e v="#REF!"/>
    <e v="#REF!"/>
    <e v="#REF!"/>
    <x v="2"/>
  </r>
  <r>
    <x v="8"/>
    <x v="8"/>
    <x v="0"/>
    <d v="2022-02-25T00:00:00"/>
    <n v="3150"/>
    <n v="1100"/>
    <n v="2050"/>
    <n v="51.589574892283395"/>
    <n v="52.889608435368629"/>
    <n v="165172.22967401744"/>
    <n v="56748.532381511737"/>
    <n v="108423.69729250569"/>
    <n v="62"/>
    <n v="3050"/>
    <n v="1000"/>
    <n v="2050"/>
    <n v="1050"/>
    <n v="1000"/>
    <n v="156813.0067410933"/>
    <n v="50557.783394437727"/>
    <n v="106255.22334665558"/>
    <n v="54423.407079994315"/>
    <n v="51831.816266661255"/>
    <n v="90"/>
    <n v="0"/>
    <n v="90"/>
    <n v="90"/>
    <n v="0"/>
    <n v="3030"/>
    <n v="1090"/>
    <n v="1940"/>
    <n v="1020"/>
    <n v="920"/>
    <n v="156633.84"/>
    <n v="55034.1"/>
    <n v="101599.73999999999"/>
    <n v="53418.42"/>
    <n v="48181.32"/>
    <n v="51"/>
    <n v="52.9"/>
    <n v="50.49"/>
    <n v="52.370999999999995"/>
    <n v="118680"/>
    <n v="52533"/>
    <n v="52595"/>
    <n v="5185"/>
    <n v="8367"/>
    <n v="2382"/>
    <n v="116298"/>
    <e v="#REF!"/>
    <e v="#REF!"/>
    <e v="#REF!"/>
    <x v="2"/>
  </r>
  <r>
    <x v="8"/>
    <x v="8"/>
    <x v="1"/>
    <d v="2022-02-26T00:00:00"/>
    <n v="3000"/>
    <n v="1000"/>
    <n v="2000"/>
    <n v="49.835195994840348"/>
    <n v="52.015748789611045"/>
    <n v="153866.69357406243"/>
    <n v="49835.195994840346"/>
    <n v="104031.49757922209"/>
    <n v="63"/>
    <n v="3000"/>
    <n v="1000"/>
    <n v="2000"/>
    <n v="1050"/>
    <n v="950"/>
    <n v="150789.35970258119"/>
    <n v="48838.492074943541"/>
    <n v="101950.86762763764"/>
    <n v="53524.205504509759"/>
    <n v="48426.662123127884"/>
    <n v="90"/>
    <n v="0"/>
    <n v="90"/>
    <n v="90"/>
    <n v="0"/>
    <n v="2796"/>
    <n v="1050"/>
    <n v="1746"/>
    <n v="971"/>
    <n v="775"/>
    <n v="144832.644"/>
    <n v="52182.9"/>
    <n v="92649.744000000006"/>
    <n v="51525.144"/>
    <n v="41124.6"/>
    <n v="50.2"/>
    <n v="53.6"/>
    <n v="49.698"/>
    <n v="53.064"/>
    <n v="118680"/>
    <n v="62368"/>
    <n v="43989"/>
    <n v="6050"/>
    <n v="6273"/>
    <n v="0"/>
    <n v="118680"/>
    <e v="#REF!"/>
    <e v="#REF!"/>
    <e v="#REF!"/>
    <x v="2"/>
  </r>
  <r>
    <x v="8"/>
    <x v="8"/>
    <x v="6"/>
    <d v="2022-02-27T00:00:00"/>
    <n v="100"/>
    <n v="0"/>
    <n v="100"/>
    <n v="0"/>
    <n v="54.513742556911666"/>
    <n v="5451.3742556911666"/>
    <n v="0"/>
    <n v="5451.3742556911666"/>
    <n v="64"/>
    <n v="100"/>
    <n v="0"/>
    <n v="100"/>
    <n v="100"/>
    <n v="0"/>
    <n v="5342.3467705773428"/>
    <n v="0"/>
    <n v="5342.3467705773428"/>
    <n v="5342.3467705773428"/>
    <n v="0"/>
    <n v="90"/>
    <n v="0"/>
    <n v="90"/>
    <n v="90"/>
    <n v="0"/>
    <n v="90"/>
    <n v="0"/>
    <n v="90"/>
    <n v="90"/>
    <n v="0"/>
    <n v="5550.93"/>
    <n v="0"/>
    <n v="5550.93"/>
    <n v="5550.93"/>
    <n v="0"/>
    <n v="0"/>
    <n v="54.513742556911666"/>
    <s v="-"/>
    <n v="61.677000000000007"/>
    <n v="0"/>
    <n v="0"/>
    <n v="0"/>
    <n v="0"/>
    <n v="0"/>
    <n v="0"/>
    <n v="0"/>
    <e v="#REF!"/>
    <e v="#REF!"/>
    <e v="#REF!"/>
    <x v="2"/>
  </r>
  <r>
    <x v="9"/>
    <x v="9"/>
    <x v="2"/>
    <d v="2022-02-28T00:00:00"/>
    <n v="2450"/>
    <n v="800"/>
    <n v="1650"/>
    <n v="47.451199931484496"/>
    <n v="50.332263027690772"/>
    <n v="121009.19394087738"/>
    <n v="37960.959945187598"/>
    <n v="83048.233995689778"/>
    <n v="66"/>
    <n v="2450"/>
    <n v="800"/>
    <n v="1650"/>
    <n v="700"/>
    <n v="950"/>
    <n v="118589.01006205982"/>
    <n v="37201.740746283846"/>
    <n v="81387.269315775979"/>
    <n v="34527.932436995863"/>
    <n v="46859.336878780108"/>
    <n v="90"/>
    <n v="0"/>
    <n v="90"/>
    <n v="90"/>
    <n v="0"/>
    <n v="2365"/>
    <n v="765"/>
    <n v="1600"/>
    <n v="690"/>
    <n v="910"/>
    <n v="121076.00999999998"/>
    <n v="36807.21"/>
    <n v="84268.799999999988"/>
    <n v="36340.92"/>
    <n v="47927.88"/>
    <n v="48.6"/>
    <n v="53.2"/>
    <n v="48.113999999999997"/>
    <n v="52.667999999999992"/>
    <n v="166108.00000000003"/>
    <n v="87292.693709806335"/>
    <n v="62034.009015618787"/>
    <n v="10128.901464056542"/>
    <n v="6652.3958105183474"/>
    <n v="36016"/>
    <n v="130092.00000000003"/>
    <e v="#REF!"/>
    <e v="#REF!"/>
    <e v="#REF!"/>
    <x v="2"/>
  </r>
  <r>
    <x v="9"/>
    <x v="9"/>
    <x v="3"/>
    <d v="2022-03-01T00:00:00"/>
    <n v="2568.8402625820568"/>
    <n v="500"/>
    <n v="2068.8402625820568"/>
    <n v="45.284946988980224"/>
    <n v="48.833005283226392"/>
    <n v="123670.16096731117"/>
    <n v="22642.47349449011"/>
    <n v="101027.68747282105"/>
    <n v="67"/>
    <n v="2450"/>
    <n v="500"/>
    <n v="1950"/>
    <n v="950"/>
    <n v="1000"/>
    <n v="115509.49712084595"/>
    <n v="22189.624024600307"/>
    <n v="93319.873096245632"/>
    <n v="45463.527918683772"/>
    <n v="47856.34517756186"/>
    <n v="90"/>
    <n v="0"/>
    <n v="90"/>
    <n v="90"/>
    <n v="0"/>
    <n v="2392"/>
    <n v="475"/>
    <n v="1917"/>
    <n v="950"/>
    <n v="967"/>
    <n v="118506.46500000001"/>
    <n v="22666.05"/>
    <n v="95840.415000000008"/>
    <n v="47495.25"/>
    <n v="48345.165000000001"/>
    <n v="48.2"/>
    <n v="50.5"/>
    <n v="47.717999999999996"/>
    <n v="49.995000000000005"/>
    <n v="147268.00000000009"/>
    <n v="65187.604116247952"/>
    <n v="68374.001685852709"/>
    <n v="6433.5903704041984"/>
    <n v="7272.8038274952323"/>
    <n v="0"/>
    <n v="147268.00000000009"/>
    <e v="#REF!"/>
    <e v="#REF!"/>
    <e v="#REF!"/>
    <x v="3"/>
  </r>
  <r>
    <x v="9"/>
    <x v="9"/>
    <x v="4"/>
    <d v="2022-03-02T00:00:00"/>
    <n v="2467.4617067833697"/>
    <n v="550"/>
    <n v="1917.4617067833699"/>
    <n v="47.460910003845655"/>
    <n v="49.635866422797029"/>
    <n v="121278.37365084287"/>
    <n v="26103.500502115108"/>
    <n v="95174.873148727755"/>
    <n v="68"/>
    <n v="2450"/>
    <n v="500"/>
    <n v="1950"/>
    <n v="950"/>
    <n v="1000"/>
    <n v="118109.98663584949"/>
    <n v="23255.845901884368"/>
    <n v="94854.14073396512"/>
    <n v="46210.991639624037"/>
    <n v="48643.14909434109"/>
    <n v="90"/>
    <n v="0"/>
    <n v="90"/>
    <n v="90"/>
    <n v="0"/>
    <n v="2322"/>
    <n v="450"/>
    <n v="1872"/>
    <n v="952"/>
    <n v="920"/>
    <n v="122056.308"/>
    <n v="22720.5"/>
    <n v="99335.808000000005"/>
    <n v="50516.928000000007"/>
    <n v="48818.879999999997"/>
    <n v="51"/>
    <n v="53.6"/>
    <n v="50.49"/>
    <n v="53.064"/>
    <n v="141718.00000000012"/>
    <n v="62730.918326767714"/>
    <n v="63613.555532302467"/>
    <n v="6191.1315432608735"/>
    <n v="9182.3945976690375"/>
    <n v="8114"/>
    <n v="133604.00000000012"/>
    <e v="#REF!"/>
    <e v="#REF!"/>
    <e v="#REF!"/>
    <x v="3"/>
  </r>
  <r>
    <x v="9"/>
    <x v="9"/>
    <x v="5"/>
    <d v="2022-03-03T00:00:00"/>
    <n v="2325"/>
    <n v="450"/>
    <n v="1875"/>
    <n v="48.968819177924793"/>
    <n v="50.913196389697404"/>
    <n v="117498.21186074879"/>
    <n v="22035.968630066156"/>
    <n v="95462.243230682638"/>
    <n v="69"/>
    <n v="2400"/>
    <n v="450"/>
    <n v="1950"/>
    <n v="950"/>
    <n v="1000"/>
    <n v="118890.36755817657"/>
    <n v="21595.249257464831"/>
    <n v="97295.118300711736"/>
    <n v="47400.185838808284"/>
    <n v="49894.932461903452"/>
    <n v="90"/>
    <n v="0"/>
    <n v="90"/>
    <n v="90"/>
    <n v="0"/>
    <n v="2287"/>
    <n v="505"/>
    <n v="1782"/>
    <n v="777"/>
    <n v="1005"/>
    <n v="114697.143"/>
    <n v="24547.544999999998"/>
    <n v="90149.597999999998"/>
    <n v="39307.653000000006"/>
    <n v="50841.945"/>
    <n v="49.1"/>
    <n v="51.1"/>
    <n v="48.608999999999995"/>
    <n v="50.588999999999999"/>
    <n v="135594.00000000006"/>
    <n v="60020.153682663746"/>
    <n v="59960.867978163158"/>
    <n v="5923.5967941751569"/>
    <n v="9689.3815449980102"/>
    <n v="7577"/>
    <n v="128017.00000000006"/>
    <e v="#REF!"/>
    <e v="#REF!"/>
    <e v="#REF!"/>
    <x v="3"/>
  </r>
  <r>
    <x v="9"/>
    <x v="9"/>
    <x v="0"/>
    <d v="2022-03-04T00:00:00"/>
    <n v="3050"/>
    <n v="1100"/>
    <n v="1950"/>
    <n v="50.619953014848441"/>
    <n v="53.296415923921735"/>
    <n v="159609.95936798066"/>
    <n v="55681.948316333284"/>
    <n v="103928.01105164738"/>
    <n v="70"/>
    <n v="3050"/>
    <n v="1100"/>
    <n v="1950"/>
    <n v="950"/>
    <n v="1000"/>
    <n v="156417.76018062106"/>
    <n v="54568.309350006617"/>
    <n v="101849.45083061443"/>
    <n v="49618.96322517113"/>
    <n v="52230.487605443297"/>
    <n v="90"/>
    <n v="0"/>
    <n v="90"/>
    <n v="90"/>
    <n v="0"/>
    <n v="2955"/>
    <n v="960"/>
    <n v="1995"/>
    <n v="1085"/>
    <n v="910"/>
    <n v="150097.85999999999"/>
    <n v="48185.279999999999"/>
    <n v="101912.58"/>
    <n v="55426.14"/>
    <n v="46486.44"/>
    <n v="50.7"/>
    <n v="51.6"/>
    <n v="50.192999999999998"/>
    <n v="51.084000000000003"/>
    <n v="116178.00000000007"/>
    <n v="51425.737234276654"/>
    <n v="51486.579909437489"/>
    <n v="5075.3840756499649"/>
    <n v="8190.298780635957"/>
    <n v="80"/>
    <n v="116098.00000000007"/>
    <e v="#REF!"/>
    <e v="#REF!"/>
    <e v="#REF!"/>
    <x v="3"/>
  </r>
  <r>
    <x v="9"/>
    <x v="9"/>
    <x v="1"/>
    <d v="2022-03-05T00:00:00"/>
    <n v="2950"/>
    <n v="1000"/>
    <n v="1950"/>
    <n v="49.083264211340556"/>
    <n v="52.182291072020377"/>
    <n v="150838.73180178029"/>
    <n v="49083.264211340553"/>
    <n v="101755.46759043973"/>
    <n v="71"/>
    <n v="2950"/>
    <n v="1000"/>
    <n v="1950"/>
    <n v="950"/>
    <n v="1000"/>
    <n v="147821.95716574468"/>
    <n v="48101.598927113744"/>
    <n v="99720.358238630928"/>
    <n v="48581.712988050967"/>
    <n v="51138.645250579968"/>
    <n v="90"/>
    <n v="0"/>
    <n v="90"/>
    <n v="90"/>
    <n v="0"/>
    <n v="2800"/>
    <n v="900"/>
    <n v="1900"/>
    <n v="1050"/>
    <n v="850"/>
    <n v="141401.70000000001"/>
    <n v="43213.5"/>
    <n v="98188.200000000012"/>
    <n v="54261.9"/>
    <n v="43926.3"/>
    <n v="48.5"/>
    <n v="52.2"/>
    <n v="48.015000000000001"/>
    <n v="51.678000000000004"/>
    <n v="111308"/>
    <n v="58494.323882360419"/>
    <n v="41256.161029961346"/>
    <n v="5674.2376738098437"/>
    <n v="5883.2774138684053"/>
    <n v="0"/>
    <n v="111308"/>
    <e v="#REF!"/>
    <e v="#REF!"/>
    <e v="#REF!"/>
    <x v="3"/>
  </r>
  <r>
    <x v="9"/>
    <x v="9"/>
    <x v="6"/>
    <d v="2022-03-06T00:00:00"/>
    <n v="100"/>
    <n v="0"/>
    <n v="100"/>
    <n v="0"/>
    <n v="55.690427427293777"/>
    <n v="5569.042742729378"/>
    <n v="0"/>
    <n v="5569.042742729378"/>
    <n v="72"/>
    <n v="100"/>
    <n v="0"/>
    <n v="100"/>
    <n v="100"/>
    <n v="0"/>
    <n v="5457.6618878747904"/>
    <n v="0"/>
    <n v="5457.6618878747904"/>
    <n v="5457.6618878747904"/>
    <n v="0"/>
    <n v="90"/>
    <n v="0"/>
    <n v="90"/>
    <n v="90"/>
    <n v="0"/>
    <n v="105"/>
    <n v="0"/>
    <n v="105"/>
    <n v="105"/>
    <n v="0"/>
    <n v="6029.1"/>
    <n v="0"/>
    <n v="6029.1"/>
    <n v="6029.1"/>
    <n v="0"/>
    <n v="0"/>
    <n v="55.690427427293777"/>
    <s v="-"/>
    <n v="57.42"/>
    <n v="0"/>
    <n v="0"/>
    <n v="0"/>
    <n v="0"/>
    <n v="0"/>
    <n v="0"/>
    <n v="0"/>
    <e v="#REF!"/>
    <e v="#REF!"/>
    <e v="#REF!"/>
    <x v="3"/>
  </r>
  <r>
    <x v="10"/>
    <x v="10"/>
    <x v="2"/>
    <d v="2022-03-07T00:00:00"/>
    <n v="2300"/>
    <n v="750"/>
    <n v="1550"/>
    <n v="47.506718726138502"/>
    <n v="50.676062236534342"/>
    <n v="114177.93551123209"/>
    <n v="35630.039044603873"/>
    <n v="78547.896466628226"/>
    <n v="74"/>
    <n v="2300"/>
    <n v="750"/>
    <n v="1550"/>
    <n v="700"/>
    <n v="850"/>
    <n v="111894.37680100747"/>
    <n v="34917.438263711796"/>
    <n v="76976.938537295675"/>
    <n v="34763.778694262561"/>
    <n v="42213.159843033107"/>
    <n v="90"/>
    <n v="0"/>
    <n v="90"/>
    <n v="90"/>
    <n v="0"/>
    <n v="2307"/>
    <n v="750"/>
    <n v="1557"/>
    <n v="657"/>
    <n v="900"/>
    <n v="117707.04000000001"/>
    <n v="36011.25"/>
    <n v="81695.790000000008"/>
    <n v="34472.79"/>
    <n v="47223"/>
    <n v="48.5"/>
    <n v="53"/>
    <n v="48.015000000000001"/>
    <n v="52.470000000000006"/>
    <n v="176294.00000000003"/>
    <n v="92645.616977367725"/>
    <n v="65838.030590937808"/>
    <n v="10750.021399958965"/>
    <n v="7060.3310317355072"/>
    <n v="46354"/>
    <n v="129940.00000000003"/>
    <e v="#REF!"/>
    <e v="#REF!"/>
    <e v="#REF!"/>
    <x v="3"/>
  </r>
  <r>
    <x v="10"/>
    <x v="10"/>
    <x v="3"/>
    <d v="2022-03-08T00:00:00"/>
    <n v="2400"/>
    <n v="500"/>
    <n v="1900"/>
    <n v="48.05691816081567"/>
    <n v="50.950802658366037"/>
    <n v="120834.9841313033"/>
    <n v="24028.459080407836"/>
    <n v="96806.525050895463"/>
    <n v="75"/>
    <n v="2400"/>
    <n v="500"/>
    <n v="1900"/>
    <n v="950"/>
    <n v="950"/>
    <n v="118418.28444867724"/>
    <n v="23547.88989879968"/>
    <n v="94870.394549877557"/>
    <n v="47435.197274938779"/>
    <n v="47435.197274938779"/>
    <n v="90"/>
    <n v="0"/>
    <n v="90"/>
    <n v="90"/>
    <n v="0"/>
    <n v="2452"/>
    <n v="520"/>
    <n v="1932"/>
    <n v="922"/>
    <n v="1010"/>
    <n v="121580.31600000001"/>
    <n v="24607.439999999999"/>
    <n v="96972.876000000004"/>
    <n v="46277.946000000004"/>
    <n v="50694.93"/>
    <n v="47.8"/>
    <n v="50.7"/>
    <n v="47.321999999999996"/>
    <n v="50.193000000000005"/>
    <n v="145481.00000000006"/>
    <n v="64396.595556644133"/>
    <n v="67544.328294398889"/>
    <n v="6355.522996691564"/>
    <n v="7184.5531522654883"/>
    <n v="2496"/>
    <n v="142985.00000000006"/>
    <e v="#REF!"/>
    <e v="#REF!"/>
    <e v="#REF!"/>
    <x v="3"/>
  </r>
  <r>
    <x v="10"/>
    <x v="10"/>
    <x v="4"/>
    <d v="2022-03-09T00:00:00"/>
    <n v="2350"/>
    <n v="500"/>
    <n v="1850"/>
    <n v="48.622742470437608"/>
    <n v="51.233513400073036"/>
    <n v="119093.37102535392"/>
    <n v="24311.371235218805"/>
    <n v="94781.999790135116"/>
    <n v="76"/>
    <n v="2350"/>
    <n v="500"/>
    <n v="1850"/>
    <n v="900"/>
    <n v="950"/>
    <n v="116711.50360484685"/>
    <n v="23825.14381051443"/>
    <n v="92886.359794332413"/>
    <n v="45187.958818864419"/>
    <n v="47698.400975467994"/>
    <n v="90"/>
    <n v="0"/>
    <n v="90"/>
    <n v="90"/>
    <n v="0"/>
    <n v="2411"/>
    <n v="477"/>
    <n v="1934"/>
    <n v="954"/>
    <n v="980"/>
    <n v="120403.99800000001"/>
    <n v="23139.27"/>
    <n v="97264.728000000003"/>
    <n v="47978.567999999999"/>
    <n v="49286.159999999996"/>
    <n v="49"/>
    <n v="50.8"/>
    <n v="48.51"/>
    <n v="50.292000000000002"/>
    <n v="125071.00000000007"/>
    <n v="55362.188896591571"/>
    <n v="56141.146530296792"/>
    <n v="5463.8861206563788"/>
    <n v="8103.7784524553281"/>
    <n v="10258"/>
    <n v="114813.00000000007"/>
    <e v="#REF!"/>
    <e v="#REF!"/>
    <e v="#REF!"/>
    <x v="3"/>
  </r>
  <r>
    <x v="10"/>
    <x v="10"/>
    <x v="5"/>
    <d v="2022-03-10T00:00:00"/>
    <n v="2216.7808219178082"/>
    <n v="450"/>
    <n v="1766.7808219178082"/>
    <n v="49.090899756043285"/>
    <n v="51.121604184200493"/>
    <n v="112411.57474853809"/>
    <n v="22090.904890219477"/>
    <n v="90320.669858318608"/>
    <n v="77"/>
    <n v="2200"/>
    <n v="450"/>
    <n v="1750"/>
    <n v="850"/>
    <n v="900"/>
    <n v="109322.63796831894"/>
    <n v="21649.086792415088"/>
    <n v="87673.551175903849"/>
    <n v="42584.296285439006"/>
    <n v="45089.254890464836"/>
    <n v="90"/>
    <n v="0"/>
    <n v="90"/>
    <n v="90"/>
    <n v="0"/>
    <n v="2225"/>
    <n v="425"/>
    <n v="1800"/>
    <n v="900"/>
    <n v="900"/>
    <n v="115384.5"/>
    <n v="22720.5"/>
    <n v="92664"/>
    <n v="46332"/>
    <n v="46332"/>
    <n v="54"/>
    <n v="52"/>
    <n v="53.46"/>
    <n v="51.48"/>
    <n v="114405.00000000007"/>
    <n v="50640.925719907566"/>
    <n v="50590.904472482238"/>
    <n v="4997.9283097895832"/>
    <n v="8175.2414978206816"/>
    <n v="3848"/>
    <n v="110557.00000000007"/>
    <e v="#REF!"/>
    <e v="#REF!"/>
    <e v="#REF!"/>
    <x v="3"/>
  </r>
  <r>
    <x v="10"/>
    <x v="10"/>
    <x v="0"/>
    <d v="2022-03-11T00:00:00"/>
    <n v="3018.6986301369861"/>
    <n v="1050"/>
    <n v="1968.6986301369861"/>
    <n v="50.74614991385738"/>
    <n v="53.513732329026361"/>
    <n v="158635.86893922178"/>
    <n v="53283.457409550247"/>
    <n v="105352.41152967155"/>
    <n v="78"/>
    <n v="3050"/>
    <n v="1050"/>
    <n v="2000"/>
    <n v="950"/>
    <n v="1050"/>
    <n v="157104.70362625091"/>
    <n v="52217.788261359237"/>
    <n v="104886.91536489167"/>
    <n v="49821.284798323541"/>
    <n v="55065.630566568121"/>
    <n v="90"/>
    <n v="0"/>
    <n v="90"/>
    <n v="90"/>
    <n v="0"/>
    <n v="3049"/>
    <n v="1050"/>
    <n v="1999"/>
    <n v="1033"/>
    <n v="966"/>
    <n v="151737.10200000001"/>
    <n v="52390.8"/>
    <n v="99346.302000000011"/>
    <n v="51338.034000000007"/>
    <n v="48008.268000000004"/>
    <n v="50.4"/>
    <n v="50.2"/>
    <n v="49.896000000000001"/>
    <n v="49.698000000000008"/>
    <n v="113826.00000000006"/>
    <n v="50384.633634842867"/>
    <n v="50444.24456240968"/>
    <n v="4972.633956471388"/>
    <n v="8024.4878462761317"/>
    <n v="0"/>
    <n v="113826.00000000006"/>
    <e v="#REF!"/>
    <e v="#REF!"/>
    <e v="#REF!"/>
    <x v="3"/>
  </r>
  <r>
    <x v="10"/>
    <x v="10"/>
    <x v="1"/>
    <d v="2022-03-12T00:00:00"/>
    <n v="2968.2191780821918"/>
    <n v="1050"/>
    <n v="1918.2191780821918"/>
    <n v="49.205630103993414"/>
    <n v="52.395442814858448"/>
    <n v="152171.85486076333"/>
    <n v="51665.911609193085"/>
    <n v="100505.94325157025"/>
    <n v="79"/>
    <n v="2950"/>
    <n v="1050"/>
    <n v="1900"/>
    <n v="950"/>
    <n v="950"/>
    <n v="148192.90789827565"/>
    <n v="50632.593377009223"/>
    <n v="97560.314521266439"/>
    <n v="48780.157260633219"/>
    <n v="48780.157260633219"/>
    <n v="90"/>
    <n v="0"/>
    <n v="90"/>
    <n v="90"/>
    <n v="0"/>
    <n v="2636"/>
    <n v="805"/>
    <n v="1831"/>
    <n v="1008"/>
    <n v="823"/>
    <n v="132669.70199999999"/>
    <n v="42397.74"/>
    <n v="90271.961999999985"/>
    <n v="49696.41599999999"/>
    <n v="40575.545999999995"/>
    <n v="53.2"/>
    <n v="49.8"/>
    <n v="52.667999999999999"/>
    <n v="49.301999999999992"/>
    <n v="117778.00000000001"/>
    <n v="61894.423385710325"/>
    <n v="43654.257859154663"/>
    <n v="6004.0640811619633"/>
    <n v="6225.2546739730578"/>
    <n v="0"/>
    <n v="117778.00000000001"/>
    <e v="#REF!"/>
    <e v="#REF!"/>
    <e v="#REF!"/>
    <x v="3"/>
  </r>
  <r>
    <x v="10"/>
    <x v="10"/>
    <x v="6"/>
    <d v="2022-03-13T00:00:00"/>
    <n v="100"/>
    <n v="0"/>
    <n v="100"/>
    <n v="0"/>
    <n v="55.949211292628334"/>
    <n v="5594.9211292628333"/>
    <n v="0"/>
    <n v="5594.9211292628333"/>
    <n v="80"/>
    <n v="100"/>
    <n v="0"/>
    <n v="100"/>
    <n v="100"/>
    <n v="0"/>
    <n v="5483.0227066775769"/>
    <n v="0"/>
    <n v="5483.0227066775769"/>
    <n v="5483.0227066775769"/>
    <n v="0"/>
    <n v="90"/>
    <n v="0"/>
    <n v="90"/>
    <n v="90"/>
    <n v="0"/>
    <n v="92"/>
    <n v="0"/>
    <n v="92"/>
    <n v="92"/>
    <n v="0"/>
    <n v="5437.4760000000006"/>
    <n v="0"/>
    <n v="5437.4760000000006"/>
    <n v="5437.4760000000006"/>
    <n v="0"/>
    <n v="0"/>
    <n v="55.949211292628334"/>
    <s v="-"/>
    <n v="59.103000000000009"/>
    <n v="0"/>
    <n v="0"/>
    <n v="0"/>
    <n v="0"/>
    <n v="0"/>
    <n v="0"/>
    <n v="0"/>
    <e v="#REF!"/>
    <e v="#REF!"/>
    <e v="#REF!"/>
    <x v="3"/>
  </r>
  <r>
    <x v="11"/>
    <x v="11"/>
    <x v="2"/>
    <d v="2022-03-14T00:00:00"/>
    <n v="2365.3424657534247"/>
    <n v="750"/>
    <n v="1615.3424657534247"/>
    <n v="47.625154248660017"/>
    <n v="50.883583610042415"/>
    <n v="117913.27910151146"/>
    <n v="35718.86568649501"/>
    <n v="82194.413415016461"/>
    <n v="82"/>
    <n v="2350"/>
    <n v="750"/>
    <n v="1600"/>
    <n v="800"/>
    <n v="800"/>
    <n v="114789.94747331162"/>
    <n v="35004.48837276511"/>
    <n v="79785.459100546504"/>
    <n v="39892.729550273252"/>
    <n v="39892.729550273252"/>
    <n v="90"/>
    <n v="0"/>
    <n v="90"/>
    <n v="90"/>
    <n v="0"/>
    <n v="2294"/>
    <n v="730"/>
    <n v="1564"/>
    <n v="697"/>
    <n v="867"/>
    <n v="113480.53200000001"/>
    <n v="34978.68"/>
    <n v="78501.851999999999"/>
    <n v="34984.521000000001"/>
    <n v="43517.330999999998"/>
    <n v="48.4"/>
    <n v="50.7"/>
    <n v="47.916000000000004"/>
    <n v="50.192999999999998"/>
    <n v="176636.00000000003"/>
    <n v="92825.344029940476"/>
    <n v="65965.752501281328"/>
    <n v="10770.875809744812"/>
    <n v="7074.0276590333933"/>
    <n v="48957"/>
    <n v="127679.00000000003"/>
    <e v="#REF!"/>
    <e v="#REF!"/>
    <e v="#REF!"/>
    <x v="3"/>
  </r>
  <r>
    <x v="11"/>
    <x v="11"/>
    <x v="3"/>
    <d v="2022-03-15T00:00:00"/>
    <n v="2379.7232876712328"/>
    <n v="450"/>
    <n v="1929.7232876712328"/>
    <n v="45.909179356188965"/>
    <n v="49.669959917440295"/>
    <n v="116508.40906066628"/>
    <n v="20659.130710285033"/>
    <n v="95849.278350381239"/>
    <n v="83"/>
    <n v="2350"/>
    <n v="450"/>
    <n v="1900"/>
    <n v="900"/>
    <n v="1000"/>
    <n v="112731.41346235316"/>
    <n v="20245.948096079333"/>
    <n v="92485.465366273827"/>
    <n v="43808.904647182339"/>
    <n v="48676.560719091489"/>
    <n v="90"/>
    <n v="0"/>
    <n v="90"/>
    <n v="90"/>
    <n v="0"/>
    <n v="2377"/>
    <n v="450"/>
    <n v="1927"/>
    <n v="930"/>
    <n v="997"/>
    <n v="111936.13199999998"/>
    <n v="19602"/>
    <n v="92334.131999999983"/>
    <n v="44561.88"/>
    <n v="47772.251999999993"/>
    <n v="44"/>
    <n v="48.4"/>
    <n v="43.56"/>
    <n v="47.91599999999999"/>
    <n v="145764.00000000012"/>
    <n v="64521.864399603219"/>
    <n v="67675.720331210003"/>
    <n v="6367.8862125621154"/>
    <n v="7198.5290566247595"/>
    <n v="0"/>
    <n v="145764.00000000012"/>
    <e v="#REF!"/>
    <e v="#REF!"/>
    <e v="#REF!"/>
    <x v="3"/>
  </r>
  <r>
    <x v="11"/>
    <x v="11"/>
    <x v="4"/>
    <d v="2022-03-16T00:00:00"/>
    <n v="2328.9410958904109"/>
    <n v="450"/>
    <n v="1878.9410958904111"/>
    <n v="48.335649558515634"/>
    <n v="51.187440984537126"/>
    <n v="117929.22876064398"/>
    <n v="21751.042301332036"/>
    <n v="96178.186459311939"/>
    <n v="84"/>
    <n v="2350"/>
    <n v="450"/>
    <n v="1900"/>
    <n v="950"/>
    <n v="950"/>
    <n v="116627.03656851353"/>
    <n v="21316.021455305396"/>
    <n v="95311.015113208137"/>
    <n v="47655.507556604069"/>
    <n v="47655.507556604069"/>
    <n v="90"/>
    <n v="0"/>
    <n v="90"/>
    <n v="90"/>
    <n v="0"/>
    <n v="2310"/>
    <n v="450"/>
    <n v="1860"/>
    <n v="979"/>
    <n v="881"/>
    <n v="109985.04000000001"/>
    <n v="20493"/>
    <n v="89492.040000000008"/>
    <n v="47103.606"/>
    <n v="42388.434000000001"/>
    <n v="46"/>
    <n v="48.6"/>
    <n v="45.54"/>
    <n v="48.114000000000004"/>
    <n v="125314.00000000009"/>
    <n v="55469.75189602287"/>
    <n v="56250.222963737499"/>
    <n v="5474.5018855204917"/>
    <n v="8119.5232547192154"/>
    <n v="16644"/>
    <n v="108670.00000000009"/>
    <e v="#REF!"/>
    <e v="#REF!"/>
    <e v="#REF!"/>
    <x v="3"/>
  </r>
  <r>
    <x v="11"/>
    <x v="11"/>
    <x v="5"/>
    <d v="2022-03-17T00:00:00"/>
    <n v="2214.126696832579"/>
    <n v="450"/>
    <n v="1764.1266968325792"/>
    <n v="47.582425992349663"/>
    <n v="49.926581964984102"/>
    <n v="109488.90782258578"/>
    <n v="21412.091696557349"/>
    <n v="88076.816126028425"/>
    <n v="85"/>
    <n v="2200"/>
    <n v="450"/>
    <n v="1750"/>
    <n v="900"/>
    <n v="850"/>
    <n v="106607.93793257393"/>
    <n v="20983.849862626201"/>
    <n v="85624.088069947727"/>
    <n v="44035.245293115979"/>
    <n v="41588.842776831756"/>
    <n v="90"/>
    <n v="0"/>
    <n v="90"/>
    <n v="90"/>
    <n v="0"/>
    <n v="2107"/>
    <n v="415"/>
    <n v="1692"/>
    <n v="842"/>
    <n v="850"/>
    <n v="103010.193"/>
    <n v="19926.224999999999"/>
    <n v="83083.968000000008"/>
    <n v="41345.568000000007"/>
    <n v="41738.400000000001"/>
    <n v="48.5"/>
    <n v="49.6"/>
    <n v="48.014999999999993"/>
    <n v="49.104000000000006"/>
    <n v="114627.00000000007"/>
    <n v="50739.193151486776"/>
    <n v="50689.074839099878"/>
    <n v="5007.6266628753165"/>
    <n v="8191.1053465380992"/>
    <n v="10726"/>
    <n v="103901.00000000007"/>
    <e v="#REF!"/>
    <e v="#REF!"/>
    <e v="#REF!"/>
    <x v="3"/>
  </r>
  <r>
    <x v="11"/>
    <x v="11"/>
    <x v="0"/>
    <d v="2022-03-18T00:00:00"/>
    <n v="2965.7411764705885"/>
    <n v="1000"/>
    <n v="1965.7411764705882"/>
    <n v="48.716428359018387"/>
    <n v="51.214764054271875"/>
    <n v="149391.39890372637"/>
    <n v="48716.428359018384"/>
    <n v="100674.97054470799"/>
    <n v="86"/>
    <n v="2950"/>
    <n v="1000"/>
    <n v="1950"/>
    <n v="1000"/>
    <n v="950"/>
    <n v="145613.51389955159"/>
    <n v="47742.099791838016"/>
    <n v="97871.414107713557"/>
    <n v="50190.468773186432"/>
    <n v="47680.945334527118"/>
    <n v="90"/>
    <n v="0"/>
    <n v="90"/>
    <n v="90"/>
    <n v="0"/>
    <n v="2967"/>
    <n v="980"/>
    <n v="1987"/>
    <n v="1021"/>
    <n v="966"/>
    <n v="150970.74299999999"/>
    <n v="50450.400000000001"/>
    <n v="100520.34299999999"/>
    <n v="51651.368999999999"/>
    <n v="48868.973999999995"/>
    <n v="52"/>
    <n v="51.1"/>
    <n v="51.480000000000004"/>
    <n v="50.588999999999999"/>
    <n v="114047.00000000006"/>
    <n v="50482.458420333882"/>
    <n v="50542.185086088735"/>
    <n v="4982.2886232819601"/>
    <n v="8040.0678702954865"/>
    <n v="0"/>
    <n v="114047.00000000006"/>
    <e v="#REF!"/>
    <e v="#REF!"/>
    <e v="#REF!"/>
    <x v="3"/>
  </r>
  <r>
    <x v="11"/>
    <x v="11"/>
    <x v="1"/>
    <d v="2022-03-19T00:00:00"/>
    <n v="2965.3375565610859"/>
    <n v="1050"/>
    <n v="1915.3375565610859"/>
    <n v="47.719188143339551"/>
    <n v="51.17956252920559"/>
    <n v="148131.28579106048"/>
    <n v="50105.147550506532"/>
    <n v="98026.138240553948"/>
    <n v="87"/>
    <n v="2950"/>
    <n v="1050"/>
    <n v="1900"/>
    <n v="1000"/>
    <n v="900"/>
    <n v="144399.39002887721"/>
    <n v="49103.044599496403"/>
    <n v="95296.345429380803"/>
    <n v="50155.97127862148"/>
    <n v="45140.374150759329"/>
    <n v="90"/>
    <n v="0"/>
    <n v="90"/>
    <n v="90"/>
    <n v="0"/>
    <n v="2640"/>
    <n v="867"/>
    <n v="1773"/>
    <n v="975"/>
    <n v="798"/>
    <n v="133207.76699999999"/>
    <n v="43688.996999999996"/>
    <n v="89518.76999999999"/>
    <n v="49227.75"/>
    <n v="40291.019999999997"/>
    <n v="50.9"/>
    <n v="51"/>
    <n v="50.390999999999998"/>
    <n v="50.489999999999995"/>
    <n v="118007.00000000003"/>
    <n v="62014.766938456407"/>
    <n v="43739.136402259035"/>
    <n v="6015.7379988255852"/>
    <n v="6237.3586604589873"/>
    <n v="0"/>
    <n v="118007.00000000003"/>
    <e v="#REF!"/>
    <e v="#REF!"/>
    <e v="#REF!"/>
    <x v="3"/>
  </r>
  <r>
    <x v="11"/>
    <x v="11"/>
    <x v="6"/>
    <d v="2022-03-20T00:00:00"/>
    <n v="100"/>
    <n v="0"/>
    <n v="100"/>
    <n v="0"/>
    <n v="57.247041169517644"/>
    <n v="5724.7041169517643"/>
    <n v="0"/>
    <n v="5724.7041169517643"/>
    <n v="88"/>
    <n v="100"/>
    <n v="0"/>
    <n v="100"/>
    <n v="100"/>
    <n v="0"/>
    <n v="5610.210034612729"/>
    <n v="0"/>
    <n v="5610.210034612729"/>
    <n v="5610.210034612729"/>
    <n v="0"/>
    <n v="90"/>
    <n v="0"/>
    <n v="90"/>
    <n v="90"/>
    <n v="0"/>
    <n v="73"/>
    <n v="0"/>
    <n v="73"/>
    <n v="73"/>
    <n v="0"/>
    <n v="4401.2429999999995"/>
    <n v="0"/>
    <n v="4401.2429999999995"/>
    <n v="4401.2429999999995"/>
    <n v="0"/>
    <n v="0"/>
    <n v="57.247041169517644"/>
    <s v="-"/>
    <n v="60.29099999999999"/>
    <n v="0"/>
    <n v="0"/>
    <n v="0"/>
    <n v="0"/>
    <n v="0"/>
    <n v="0"/>
    <n v="0"/>
    <e v="#REF!"/>
    <e v="#REF!"/>
    <e v="#REF!"/>
    <x v="3"/>
  </r>
  <r>
    <x v="12"/>
    <x v="12"/>
    <x v="2"/>
    <d v="2022-03-21T00:00:00"/>
    <n v="2362.9158371040721"/>
    <n v="750"/>
    <n v="1612.9158371040724"/>
    <n v="46.098674052065682"/>
    <n v="50.457324897017735"/>
    <n v="115957.42396335477"/>
    <n v="34574.005539049263"/>
    <n v="81383.418424305506"/>
    <n v="90"/>
    <n v="2350"/>
    <n v="750"/>
    <n v="1600"/>
    <n v="700"/>
    <n v="900"/>
    <n v="112999.61086679209"/>
    <n v="33882.52542826828"/>
    <n v="79117.085438523805"/>
    <n v="34613.724879354166"/>
    <n v="44503.36055916964"/>
    <n v="90"/>
    <n v="0"/>
    <n v="90"/>
    <n v="90"/>
    <n v="0"/>
    <n v="2275"/>
    <n v="700"/>
    <n v="1575"/>
    <n v="600"/>
    <n v="975"/>
    <n v="110187"/>
    <n v="32848.199999999997"/>
    <n v="77338.8"/>
    <n v="29462.400000000001"/>
    <n v="47876.4"/>
    <n v="47.4"/>
    <n v="49.6"/>
    <n v="46.925999999999995"/>
    <n v="49.103999999999999"/>
    <n v="175134.00000000003"/>
    <n v="92036.016448173614"/>
    <n v="65404.821772228795"/>
    <n v="10679.287144544985"/>
    <n v="7013.874635052618"/>
    <n v="44987"/>
    <n v="130147.00000000003"/>
    <e v="#REF!"/>
    <e v="#REF!"/>
    <e v="#REF!"/>
    <x v="3"/>
  </r>
  <r>
    <x v="12"/>
    <x v="12"/>
    <x v="3"/>
    <d v="2022-03-22T00:00:00"/>
    <n v="2515.7411764705885"/>
    <n v="550"/>
    <n v="1965.7411764705882"/>
    <n v="46.251971336955144"/>
    <n v="51.111809457359271"/>
    <n v="125911.17268957528"/>
    <n v="25438.584235325328"/>
    <n v="100472.58845424996"/>
    <n v="91"/>
    <n v="2350"/>
    <n v="500"/>
    <n v="1850"/>
    <n v="850"/>
    <n v="1000"/>
    <n v="115329.17650130038"/>
    <n v="22663.465955108022"/>
    <n v="92665.710546192349"/>
    <n v="42576.13727798027"/>
    <n v="50089.57326821208"/>
    <n v="90"/>
    <n v="0"/>
    <n v="90"/>
    <n v="90"/>
    <n v="0"/>
    <n v="2295"/>
    <n v="500"/>
    <n v="1795"/>
    <n v="805"/>
    <n v="990"/>
    <n v="110686.95000000001"/>
    <n v="23611.5"/>
    <n v="87075.450000000012"/>
    <n v="39050.550000000003"/>
    <n v="48024.9"/>
    <n v="47.7"/>
    <n v="49"/>
    <n v="47.222999999999999"/>
    <n v="48.510000000000005"/>
    <n v="147853.00000000009"/>
    <n v="65446.552077841814"/>
    <n v="68645.607132971039"/>
    <n v="6459.1468413733601"/>
    <n v="7301.6939478138675"/>
    <n v="0"/>
    <n v="147853.00000000009"/>
    <e v="#REF!"/>
    <e v="#REF!"/>
    <e v="#REF!"/>
    <x v="3"/>
  </r>
  <r>
    <x v="12"/>
    <x v="12"/>
    <x v="4"/>
    <d v="2022-03-23T00:00:00"/>
    <n v="2415.3375565610859"/>
    <n v="500"/>
    <n v="1915.3375565610859"/>
    <n v="48.701872754330687"/>
    <n v="51.022453819301866"/>
    <n v="122076.15840517782"/>
    <n v="24350.936377165344"/>
    <n v="97725.222028012475"/>
    <n v="92"/>
    <n v="2400"/>
    <n v="500"/>
    <n v="1900"/>
    <n v="950"/>
    <n v="950"/>
    <n v="118867.7266611621"/>
    <n v="23863.917649622035"/>
    <n v="95003.80901154007"/>
    <n v="47501.904505770035"/>
    <n v="47501.904505770035"/>
    <n v="90"/>
    <n v="0"/>
    <n v="90"/>
    <n v="90"/>
    <n v="0"/>
    <n v="2320"/>
    <n v="400"/>
    <n v="1920"/>
    <n v="950"/>
    <n v="970"/>
    <n v="114198.48000000001"/>
    <n v="18968.400000000001"/>
    <n v="95230.080000000002"/>
    <n v="47119.05"/>
    <n v="48111.03"/>
    <n v="47.9"/>
    <n v="50.1"/>
    <n v="47.421000000000006"/>
    <n v="49.599000000000004"/>
    <n v="134824.00000000006"/>
    <n v="59679.316194753876"/>
    <n v="60519.016716910672"/>
    <n v="5889.9583623012177"/>
    <n v="8735.7087260343087"/>
    <n v="19699"/>
    <n v="115125.00000000006"/>
    <e v="#REF!"/>
    <e v="#REF!"/>
    <e v="#REF!"/>
    <x v="3"/>
  </r>
  <r>
    <x v="12"/>
    <x v="12"/>
    <x v="5"/>
    <d v="2022-03-24T00:00:00"/>
    <n v="2217.6576576576576"/>
    <n v="450"/>
    <n v="1767.6576576576576"/>
    <n v="49.917305554642709"/>
    <n v="51.080908820460564"/>
    <n v="112756.34713618892"/>
    <n v="22462.78749958922"/>
    <n v="90293.559636599704"/>
    <n v="93"/>
    <n v="2250"/>
    <n v="450"/>
    <n v="1800"/>
    <n v="900"/>
    <n v="900"/>
    <n v="112120.25490888987"/>
    <n v="22013.531749597434"/>
    <n v="90106.723159292436"/>
    <n v="45053.361579646218"/>
    <n v="45053.361579646218"/>
    <n v="90"/>
    <n v="0"/>
    <n v="90"/>
    <n v="90"/>
    <n v="0"/>
    <n v="2194"/>
    <n v="415"/>
    <n v="1779"/>
    <n v="857"/>
    <n v="922"/>
    <n v="112295.50200000001"/>
    <n v="21240.945"/>
    <n v="91054.557000000001"/>
    <n v="43863.830999999998"/>
    <n v="47190.726000000002"/>
    <n v="51.7"/>
    <n v="51.7"/>
    <n v="51.183"/>
    <n v="51.183"/>
    <n v="127808.00000000006"/>
    <n v="56573.711239980294"/>
    <n v="56517.829804807567"/>
    <n v="5583.4554557719248"/>
    <n v="9133.0034994402831"/>
    <n v="8042"/>
    <n v="119766.00000000006"/>
    <e v="#REF!"/>
    <e v="#REF!"/>
    <e v="#REF!"/>
    <x v="3"/>
  </r>
  <r>
    <x v="12"/>
    <x v="12"/>
    <x v="0"/>
    <d v="2022-03-25T00:00:00"/>
    <n v="3070.6846846846847"/>
    <n v="1000"/>
    <n v="2070.6846846846847"/>
    <n v="51.480782791628215"/>
    <n v="52.524935722519949"/>
    <n v="160243.36275629778"/>
    <n v="51480.782791628219"/>
    <n v="108762.57996466955"/>
    <n v="94"/>
    <n v="3150"/>
    <n v="1000"/>
    <n v="2150"/>
    <n v="1050"/>
    <n v="1100"/>
    <n v="161121.20670314517"/>
    <n v="50451.167135795651"/>
    <n v="110670.03956734952"/>
    <n v="54048.15885847302"/>
    <n v="56621.880708876502"/>
    <n v="90"/>
    <n v="0"/>
    <n v="90"/>
    <n v="90"/>
    <n v="0"/>
    <n v="3145"/>
    <n v="1030"/>
    <n v="2115"/>
    <n v="1055"/>
    <n v="1060"/>
    <n v="162758.47499999998"/>
    <n v="52412.58"/>
    <n v="110345.89499999999"/>
    <n v="55042.514999999999"/>
    <n v="55303.38"/>
    <n v="51.4"/>
    <n v="52.7"/>
    <n v="50.886000000000003"/>
    <n v="52.172999999999995"/>
    <n v="115640.00000000009"/>
    <n v="51187.593638827944"/>
    <n v="51248.154562200689"/>
    <n v="5051.8808596133686"/>
    <n v="8152.3709393580721"/>
    <n v="0"/>
    <n v="115640.00000000009"/>
    <e v="#REF!"/>
    <e v="#REF!"/>
    <e v="#REF!"/>
    <x v="3"/>
  </r>
  <r>
    <x v="12"/>
    <x v="12"/>
    <x v="1"/>
    <d v="2022-03-26T00:00:00"/>
    <n v="2918.666666666667"/>
    <n v="1050"/>
    <n v="1868.6666666666667"/>
    <n v="50.961413280887072"/>
    <n v="52.661303481028519"/>
    <n v="151915.90638314671"/>
    <n v="53509.483944931424"/>
    <n v="98406.42243821529"/>
    <n v="95"/>
    <n v="2900"/>
    <n v="1050"/>
    <n v="1850"/>
    <n v="950"/>
    <n v="900"/>
    <n v="147914.2374771375"/>
    <n v="52439.294266032797"/>
    <n v="95474.943211104706"/>
    <n v="49027.673540837553"/>
    <n v="46447.269670267153"/>
    <n v="90"/>
    <n v="0"/>
    <n v="90"/>
    <n v="90"/>
    <n v="0"/>
    <n v="2826"/>
    <n v="895"/>
    <n v="1931"/>
    <n v="1064"/>
    <n v="867"/>
    <n v="143108.95500000002"/>
    <n v="44656.92"/>
    <n v="98452.035000000003"/>
    <n v="54248.04"/>
    <n v="44203.995000000003"/>
    <n v="50.4"/>
    <n v="51.5"/>
    <n v="49.896000000000001"/>
    <n v="50.984999999999999"/>
    <n v="125551.00000000003"/>
    <n v="65979.272449008451"/>
    <n v="46535.309892125246"/>
    <n v="6400.3145702420288"/>
    <n v="6636.1030886242879"/>
    <n v="0"/>
    <n v="125551.00000000003"/>
    <e v="#REF!"/>
    <e v="#REF!"/>
    <e v="#REF!"/>
    <x v="3"/>
  </r>
  <r>
    <x v="12"/>
    <x v="12"/>
    <x v="6"/>
    <d v="2022-03-27T00:00:00"/>
    <n v="100"/>
    <n v="0"/>
    <n v="100"/>
    <n v="0"/>
    <n v="59.743213348737669"/>
    <n v="5974.3213348737672"/>
    <n v="0"/>
    <n v="5974.3213348737672"/>
    <n v="96"/>
    <n v="100"/>
    <n v="0"/>
    <n v="100"/>
    <n v="100"/>
    <n v="0"/>
    <n v="5854.8349081762917"/>
    <n v="0"/>
    <n v="5854.8349081762917"/>
    <n v="5854.8349081762917"/>
    <n v="0"/>
    <n v="90"/>
    <n v="0"/>
    <n v="90"/>
    <n v="90"/>
    <n v="0"/>
    <n v="87"/>
    <n v="0"/>
    <n v="87"/>
    <n v="87"/>
    <n v="0"/>
    <n v="4616.5680000000002"/>
    <n v="0"/>
    <n v="4616.5680000000002"/>
    <n v="4616.5680000000002"/>
    <n v="0"/>
    <n v="0"/>
    <n v="59.743213348737669"/>
    <s v="-"/>
    <n v="53.064"/>
    <n v="0"/>
    <n v="0"/>
    <n v="0"/>
    <n v="0"/>
    <n v="0"/>
    <n v="0"/>
    <n v="0"/>
    <e v="#REF!"/>
    <e v="#REF!"/>
    <e v="#REF!"/>
    <x v="3"/>
  </r>
  <r>
    <x v="13"/>
    <x v="13"/>
    <x v="2"/>
    <d v="2022-03-28T00:00:00"/>
    <n v="2316.1441441441439"/>
    <n v="700"/>
    <n v="1616.1441441441441"/>
    <n v="48.850490554155932"/>
    <n v="52.347479765907643"/>
    <n v="118796.41627228487"/>
    <n v="34195.343387909154"/>
    <n v="84601.07288437571"/>
    <n v="98"/>
    <n v="2300"/>
    <n v="700"/>
    <n v="1600"/>
    <n v="700"/>
    <n v="900"/>
    <n v="115592.28479309415"/>
    <n v="33511.436520150972"/>
    <n v="82080.848272943171"/>
    <n v="35910.371119412637"/>
    <n v="46170.477153530541"/>
    <n v="90"/>
    <n v="0"/>
    <n v="90"/>
    <n v="90"/>
    <n v="0"/>
    <n v="2277"/>
    <n v="690"/>
    <n v="1587"/>
    <n v="705"/>
    <n v="882"/>
    <n v="111010.58100000001"/>
    <n v="31354.29"/>
    <n v="79656.290999999997"/>
    <n v="35386.065000000002"/>
    <n v="44270.226000000002"/>
    <n v="45.9"/>
    <n v="50.7"/>
    <n v="45.441000000000003"/>
    <n v="50.192999999999998"/>
    <n v="188317.00000000006"/>
    <n v="98963.916255385659"/>
    <n v="70328.09061450552"/>
    <n v="11483.157566202324"/>
    <n v="7541.8355639065167"/>
    <n v="67871"/>
    <n v="120446.00000000006"/>
    <e v="#REF!"/>
    <e v="#REF!"/>
    <e v="#REF!"/>
    <x v="3"/>
  </r>
  <r>
    <x v="13"/>
    <x v="13"/>
    <x v="3"/>
    <d v="2022-03-29T00:00:00"/>
    <n v="2469.6756756756758"/>
    <n v="500"/>
    <n v="1969.6756756756756"/>
    <n v="46.954696741216466"/>
    <n v="49.896965460115545"/>
    <n v="121758.18752742717"/>
    <n v="23477.348370608233"/>
    <n v="98280.83915681894"/>
    <n v="99"/>
    <n v="2500"/>
    <n v="500"/>
    <n v="2000"/>
    <n v="1000"/>
    <n v="1000"/>
    <n v="120805.85370502254"/>
    <n v="23007.801403196067"/>
    <n v="97798.052301826479"/>
    <n v="48899.02615091324"/>
    <n v="48899.02615091324"/>
    <n v="90"/>
    <n v="0"/>
    <n v="90"/>
    <n v="90"/>
    <n v="0"/>
    <n v="2400"/>
    <n v="450"/>
    <n v="1950"/>
    <n v="900"/>
    <n v="1050"/>
    <n v="112904.55"/>
    <n v="21205.8"/>
    <n v="91698.75"/>
    <n v="42322.5"/>
    <n v="49376.25"/>
    <n v="47.6"/>
    <n v="47.5"/>
    <n v="47.123999999999995"/>
    <n v="47.024999999999999"/>
    <n v="135479.00000000009"/>
    <n v="59969.249382521368"/>
    <n v="62900.571572898647"/>
    <n v="5918.5728725316458"/>
    <n v="6690.6061720484195"/>
    <n v="0"/>
    <n v="135479.00000000009"/>
    <e v="#REF!"/>
    <e v="#REF!"/>
    <e v="#REF!"/>
    <x v="3"/>
  </r>
  <r>
    <x v="13"/>
    <x v="13"/>
    <x v="4"/>
    <d v="2022-03-30T00:00:00"/>
    <n v="2369.1711711711714"/>
    <n v="450"/>
    <n v="1919.1711711711712"/>
    <n v="48.900640879253473"/>
    <n v="50.943613788913119"/>
    <n v="119774.80333462427"/>
    <n v="22005.288395664062"/>
    <n v="97769.514938960216"/>
    <n v="100"/>
    <n v="2450"/>
    <n v="450"/>
    <n v="2000"/>
    <n v="1000"/>
    <n v="1000"/>
    <n v="121414.6656540205"/>
    <n v="21565.182627750779"/>
    <n v="99849.483026269721"/>
    <n v="49924.741513134861"/>
    <n v="49924.741513134861"/>
    <n v="90"/>
    <n v="0"/>
    <n v="90"/>
    <n v="90"/>
    <n v="0"/>
    <n v="2487"/>
    <n v="520"/>
    <n v="1967"/>
    <n v="955"/>
    <n v="1012"/>
    <n v="122517.84600000001"/>
    <n v="24761.88"/>
    <n v="97755.966"/>
    <n v="47461.59"/>
    <n v="50294.376000000004"/>
    <n v="48.1"/>
    <n v="50.2"/>
    <n v="47.619"/>
    <n v="49.698"/>
    <n v="129846.00000000007"/>
    <n v="57475.823967720971"/>
    <n v="58284.520891117194"/>
    <n v="5672.4880845499611"/>
    <n v="8413.167056611961"/>
    <n v="8277"/>
    <n v="121569.00000000007"/>
    <e v="#REF!"/>
    <e v="#REF!"/>
    <e v="#REF!"/>
    <x v="3"/>
  </r>
  <r>
    <x v="13"/>
    <x v="13"/>
    <x v="5"/>
    <d v="2022-03-31T00:00:00"/>
    <n v="2287.836322869955"/>
    <n v="450"/>
    <n v="1837.836322869955"/>
    <n v="53.55540032310742"/>
    <n v="53.210829026552631"/>
    <n v="121892.72450041969"/>
    <n v="24099.930145398339"/>
    <n v="97792.794355021353"/>
    <n v="101"/>
    <n v="2300"/>
    <n v="450"/>
    <n v="1850"/>
    <n v="900"/>
    <n v="950"/>
    <n v="120089.1645676303"/>
    <n v="23617.931542490373"/>
    <n v="96471.233025139925"/>
    <n v="46931.951201419419"/>
    <n v="49539.281823720499"/>
    <n v="90"/>
    <n v="0"/>
    <n v="90"/>
    <n v="90"/>
    <n v="0"/>
    <n v="2397"/>
    <n v="480"/>
    <n v="1917"/>
    <n v="890"/>
    <n v="1027"/>
    <n v="119552.004"/>
    <n v="23142.240000000002"/>
    <n v="96409.763999999996"/>
    <n v="44759.88"/>
    <n v="51649.883999999998"/>
    <n v="48.7"/>
    <n v="50.8"/>
    <n v="48.213000000000001"/>
    <n v="50.291999999999994"/>
    <n v="119527.00000000006"/>
    <n v="52908.158983640496"/>
    <n v="52855.898246426164"/>
    <n v="5221.6894111640186"/>
    <n v="8541.2533587693943"/>
    <n v="13475"/>
    <n v="106052.00000000006"/>
    <e v="#REF!"/>
    <e v="#REF!"/>
    <e v="#REF!"/>
    <x v="3"/>
  </r>
  <r>
    <x v="13"/>
    <x v="13"/>
    <x v="0"/>
    <d v="2022-04-01T00:00:00"/>
    <n v="3093.0913677130047"/>
    <n v="1000"/>
    <n v="2093.0913677130047"/>
    <n v="50.991754806326625"/>
    <n v="52.49363246773337"/>
    <n v="160865.72378443845"/>
    <n v="50991.754806326622"/>
    <n v="109873.96897811184"/>
    <n v="102"/>
    <n v="3100"/>
    <n v="1000"/>
    <n v="2100"/>
    <n v="1000"/>
    <n v="1100"/>
    <n v="158003.81532879535"/>
    <n v="49971.919710200091"/>
    <n v="108031.89561859527"/>
    <n v="51443.759818378698"/>
    <n v="56588.135800216573"/>
    <n v="90"/>
    <n v="0"/>
    <n v="90"/>
    <n v="90"/>
    <n v="0"/>
    <n v="3100"/>
    <n v="1000"/>
    <n v="2100"/>
    <n v="1000"/>
    <n v="1100"/>
    <n v="163973.70000000001"/>
    <n v="53163"/>
    <n v="110810.7"/>
    <n v="52767"/>
    <n v="58043.7"/>
    <n v="53.7"/>
    <n v="53.3"/>
    <n v="53.162999999999997"/>
    <n v="52.766999999999996"/>
    <n v="122226.00000000009"/>
    <n v="54102.860775677829"/>
    <n v="54166.870801794721"/>
    <n v="5339.5986678234485"/>
    <n v="8616.6697547040785"/>
    <n v="0"/>
    <n v="122226.00000000009"/>
    <e v="#REF!"/>
    <e v="#REF!"/>
    <e v="#REF!"/>
    <x v="4"/>
  </r>
  <r>
    <x v="13"/>
    <x v="13"/>
    <x v="1"/>
    <d v="2022-04-02T00:00:00"/>
    <n v="2838.8873318385649"/>
    <n v="950"/>
    <n v="1888.8873318385652"/>
    <n v="49.698249085834583"/>
    <n v="52.762022955718699"/>
    <n v="146874.85339477548"/>
    <n v="47213.33663154285"/>
    <n v="99661.516763232619"/>
    <n v="103"/>
    <n v="2850"/>
    <n v="950"/>
    <n v="1900"/>
    <n v="1050"/>
    <n v="850"/>
    <n v="144511.95664246019"/>
    <n v="46269.069898911992"/>
    <n v="98242.88674354821"/>
    <n v="54292.12162143454"/>
    <n v="43950.765122113669"/>
    <n v="90"/>
    <n v="0"/>
    <n v="90"/>
    <n v="90"/>
    <n v="0"/>
    <n v="2850"/>
    <n v="950"/>
    <n v="1900"/>
    <n v="1050"/>
    <n v="850"/>
    <n v="145986.56844493427"/>
    <n v="46741.203265227421"/>
    <n v="99245.36517970686"/>
    <n v="54846.122862469587"/>
    <n v="44399.24231723728"/>
    <n v="49.698249085834583"/>
    <n v="52.762022955718699"/>
    <n v="49.201266594976232"/>
    <n v="52.234402726161505"/>
    <n v="130485.00000000001"/>
    <n v="68572.176768873745"/>
    <n v="48364.090379797555"/>
    <n v="6651.8390669770142"/>
    <n v="6896.8937843516987"/>
    <n v="0"/>
    <n v="130485.00000000001"/>
    <e v="#REF!"/>
    <e v="#REF!"/>
    <e v="#REF!"/>
    <x v="4"/>
  </r>
  <r>
    <x v="13"/>
    <x v="13"/>
    <x v="6"/>
    <d v="2022-04-03T00:00:00"/>
    <n v="100"/>
    <n v="0"/>
    <n v="100"/>
    <n v="0"/>
    <n v="57.620872201375008"/>
    <n v="5762.0872201375005"/>
    <n v="0"/>
    <n v="5762.0872201375005"/>
    <n v="104"/>
    <n v="100"/>
    <n v="0"/>
    <n v="100"/>
    <n v="100"/>
    <n v="0"/>
    <n v="5646.8454757347499"/>
    <n v="0"/>
    <n v="5646.8454757347499"/>
    <n v="5646.8454757347499"/>
    <n v="0"/>
    <n v="90"/>
    <n v="0"/>
    <n v="90"/>
    <n v="90"/>
    <n v="0"/>
    <n v="100"/>
    <n v="0"/>
    <n v="100"/>
    <n v="100"/>
    <n v="0"/>
    <n v="5704.4663479361252"/>
    <n v="0"/>
    <n v="5704.4663479361252"/>
    <n v="5704.4663479361252"/>
    <n v="0"/>
    <n v="0"/>
    <n v="57.620872201375008"/>
    <s v="-"/>
    <n v="57.044663479361255"/>
    <n v="0"/>
    <n v="0"/>
    <n v="0"/>
    <n v="0"/>
    <n v="0"/>
    <n v="0"/>
    <n v="0"/>
    <e v="#REF!"/>
    <e v="#REF!"/>
    <e v="#REF!"/>
    <x v="4"/>
  </r>
  <r>
    <x v="14"/>
    <x v="14"/>
    <x v="2"/>
    <d v="2022-04-04T00:00:00"/>
    <n v="2333.6322869955156"/>
    <n v="700"/>
    <n v="1633.6322869955156"/>
    <n v="48.477253636021381"/>
    <n v="51.089979212440937"/>
    <n v="117396.31712858821"/>
    <n v="33934.077545214968"/>
    <n v="83462.239583373244"/>
    <n v="106"/>
    <n v="2300"/>
    <n v="700"/>
    <n v="1600"/>
    <n v="700"/>
    <n v="900"/>
    <n v="113364.48339941807"/>
    <n v="33255.395994310667"/>
    <n v="80109.087405107392"/>
    <n v="35047.72573973448"/>
    <n v="45061.361665372904"/>
    <n v="90"/>
    <n v="0"/>
    <n v="90"/>
    <n v="90"/>
    <n v="0"/>
    <n v="2300"/>
    <n v="700"/>
    <n v="1600"/>
    <n v="700"/>
    <n v="900"/>
    <n v="114521.26384226925"/>
    <n v="33594.736769762821"/>
    <n v="80926.527072506433"/>
    <n v="35405.355594221568"/>
    <n v="45521.171478284872"/>
    <n v="48.477253636021381"/>
    <n v="51.089979212440937"/>
    <n v="47.992481099661177"/>
    <n v="50.579079420316518"/>
    <n v="167167.00000000003"/>
    <n v="87849.21695154476"/>
    <n v="62429.498790629863"/>
    <n v="10193.476961024995"/>
    <n v="6694.8072968003989"/>
    <n v="48839"/>
    <n v="118328.00000000003"/>
    <e v="#REF!"/>
    <e v="#REF!"/>
    <e v="#REF!"/>
    <x v="4"/>
  </r>
  <r>
    <x v="14"/>
    <x v="14"/>
    <x v="3"/>
    <d v="2022-04-05T00:00:00"/>
    <n v="2490.9893497757848"/>
    <n v="500"/>
    <n v="1990.9893497757846"/>
    <n v="44.073704533836569"/>
    <n v="47.749681248945365"/>
    <n v="117105.95908875699"/>
    <n v="22036.852266918286"/>
    <n v="95069.106821838708"/>
    <n v="107"/>
    <n v="2500"/>
    <n v="500"/>
    <n v="2000"/>
    <n v="1000"/>
    <n v="1000"/>
    <n v="115185.49046951284"/>
    <n v="21596.115221579919"/>
    <n v="93589.375247932912"/>
    <n v="46794.687623966456"/>
    <n v="46794.687623966456"/>
    <n v="90"/>
    <n v="0"/>
    <n v="90"/>
    <n v="90"/>
    <n v="0"/>
    <n v="2500"/>
    <n v="500"/>
    <n v="2000"/>
    <n v="1000"/>
    <n v="1000"/>
    <n v="116360.85261716094"/>
    <n v="21816.483744249104"/>
    <n v="94544.368872911829"/>
    <n v="47272.184436455915"/>
    <n v="47272.184436455915"/>
    <n v="44.073704533836569"/>
    <n v="47.749681248945365"/>
    <n v="43.63296748849821"/>
    <n v="47.272184436455916"/>
    <n v="128731.00000000006"/>
    <n v="56982.273579383946"/>
    <n v="59767.591133318194"/>
    <n v="5623.7778877454903"/>
    <n v="6357.3573995524403"/>
    <n v="0"/>
    <n v="128731.00000000006"/>
    <e v="#REF!"/>
    <e v="#REF!"/>
    <e v="#REF!"/>
    <x v="4"/>
  </r>
  <r>
    <x v="14"/>
    <x v="14"/>
    <x v="4"/>
    <d v="2022-04-06T00:00:00"/>
    <n v="2389.9383408071749"/>
    <n v="450"/>
    <n v="1939.9383408071749"/>
    <n v="46.930758839297113"/>
    <n v="47.650441185517856"/>
    <n v="113557.75928984708"/>
    <n v="21118.841477683702"/>
    <n v="92438.917812163374"/>
    <n v="108"/>
    <n v="2400"/>
    <n v="450"/>
    <n v="1950"/>
    <n v="950"/>
    <n v="1000"/>
    <n v="111756.45775365466"/>
    <n v="20696.464648130026"/>
    <n v="91059.993105524627"/>
    <n v="44362.56074371712"/>
    <n v="46697.4323618075"/>
    <n v="90"/>
    <n v="0"/>
    <n v="90"/>
    <n v="90"/>
    <n v="0"/>
    <n v="2400"/>
    <n v="450"/>
    <n v="1950"/>
    <n v="950"/>
    <n v="1000"/>
    <n v="112896.82977154909"/>
    <n v="20907.653062906866"/>
    <n v="91989.176708642219"/>
    <n v="44815.239934979545"/>
    <n v="47173.936773662674"/>
    <n v="46.930758839297113"/>
    <n v="47.650441185517856"/>
    <n v="46.461451250904148"/>
    <n v="47.173936773662675"/>
    <n v="132010.00000000009"/>
    <n v="58433.710102574165"/>
    <n v="59255.884685214638"/>
    <n v="5767.0251839982775"/>
    <n v="8553.3800282129978"/>
    <n v="9113"/>
    <n v="122897.00000000009"/>
    <e v="#REF!"/>
    <e v="#REF!"/>
    <e v="#REF!"/>
    <x v="4"/>
  </r>
  <r>
    <x v="14"/>
    <x v="14"/>
    <x v="5"/>
    <d v="2022-04-07T00:00:00"/>
    <n v="2407.7200913242009"/>
    <n v="450"/>
    <n v="1957.7200913242009"/>
    <n v="49.611805177162481"/>
    <n v="50.965275446632248"/>
    <n v="122101.05603146706"/>
    <n v="22325.312329723118"/>
    <n v="99775.743701743937"/>
    <n v="109"/>
    <n v="2400"/>
    <n v="450"/>
    <n v="1950"/>
    <n v="950"/>
    <n v="1000"/>
    <n v="119273.44746164289"/>
    <n v="21878.806083128657"/>
    <n v="97394.641378514236"/>
    <n v="47448.671440814622"/>
    <n v="49945.969937699607"/>
    <n v="90"/>
    <n v="0"/>
    <n v="90"/>
    <n v="90"/>
    <n v="0"/>
    <n v="2400"/>
    <n v="450"/>
    <n v="1950"/>
    <n v="950"/>
    <n v="1000"/>
    <n v="120490.52345614944"/>
    <n v="22102.059206425885"/>
    <n v="98388.464249723562"/>
    <n v="47932.841557557629"/>
    <n v="50455.622692165925"/>
    <n v="49.611805177162481"/>
    <n v="50.965275446632248"/>
    <n v="49.115687125390856"/>
    <n v="50.455622692165932"/>
    <n v="117498.00000000009"/>
    <n v="52010.030070693581"/>
    <n v="51958.656472249626"/>
    <n v="5133.0499588624316"/>
    <n v="8396.2634981944357"/>
    <n v="7018"/>
    <n v="110480.00000000009"/>
    <e v="#REF!"/>
    <e v="#REF!"/>
    <e v="#REF!"/>
    <x v="4"/>
  </r>
  <r>
    <x v="14"/>
    <x v="14"/>
    <x v="0"/>
    <d v="2022-04-08T00:00:00"/>
    <n v="3010.7579908675798"/>
    <n v="950"/>
    <n v="2060.7579908675798"/>
    <n v="47.875624092294473"/>
    <n v="51.858495619530487"/>
    <n v="152349.65212999858"/>
    <n v="45481.842887679748"/>
    <n v="106867.80924231884"/>
    <n v="110"/>
    <n v="3000"/>
    <n v="950"/>
    <n v="2050"/>
    <n v="1000"/>
    <n v="1050"/>
    <n v="148755.9237295629"/>
    <n v="44572.20602992615"/>
    <n v="104183.71769963675"/>
    <n v="50821.325707139877"/>
    <n v="53362.391992496872"/>
    <n v="90"/>
    <n v="0"/>
    <n v="90"/>
    <n v="90"/>
    <n v="0"/>
    <n v="3000"/>
    <n v="950"/>
    <n v="2050"/>
    <n v="1000"/>
    <n v="1050"/>
    <n v="150273.84131864007"/>
    <n v="45027.024458802953"/>
    <n v="105246.81685983713"/>
    <n v="51339.910663335177"/>
    <n v="53906.906196501943"/>
    <n v="47.875624092294473"/>
    <n v="51.858495619530487"/>
    <n v="47.396867851371532"/>
    <n v="51.339910663335182"/>
    <n v="116923.00000000006"/>
    <n v="51755.508569981663"/>
    <n v="51816.741403287706"/>
    <n v="5107.9303506448796"/>
    <n v="8242.8196760858173"/>
    <n v="0"/>
    <n v="116923.00000000006"/>
    <e v="#REF!"/>
    <e v="#REF!"/>
    <e v="#REF!"/>
    <x v="4"/>
  </r>
  <r>
    <x v="14"/>
    <x v="14"/>
    <x v="1"/>
    <d v="2022-04-09T00:00:00"/>
    <n v="2703.1632420091323"/>
    <n v="900"/>
    <n v="1803.1632420091323"/>
    <n v="48.21398528497194"/>
    <n v="51.251167493538304"/>
    <n v="135806.80809087632"/>
    <n v="43392.586756474746"/>
    <n v="92414.221334401591"/>
    <n v="111"/>
    <n v="2700"/>
    <n v="900"/>
    <n v="1800"/>
    <n v="950"/>
    <n v="850"/>
    <n v="132931.79447994681"/>
    <n v="42524.735021345252"/>
    <n v="90407.05945860155"/>
    <n v="47714.836936484156"/>
    <n v="42692.222522117401"/>
    <n v="90"/>
    <n v="0"/>
    <n v="90"/>
    <n v="90"/>
    <n v="0"/>
    <n v="2700"/>
    <n v="900"/>
    <n v="1800"/>
    <n v="950"/>
    <n v="850"/>
    <n v="134288.24136239526"/>
    <n v="42958.660888909995"/>
    <n v="91329.580473485257"/>
    <n v="48201.723027672771"/>
    <n v="43127.857445812479"/>
    <n v="48.21398528497194"/>
    <n v="51.251167493538304"/>
    <n v="47.731845432122213"/>
    <n v="50.738655818602922"/>
    <n v="122417.00000000001"/>
    <n v="64332.299984789192"/>
    <n v="45373.696992172874"/>
    <n v="6240.5501250114967"/>
    <n v="6470.4528980264549"/>
    <n v="0"/>
    <n v="122417.00000000001"/>
    <e v="#REF!"/>
    <e v="#REF!"/>
    <e v="#REF!"/>
    <x v="4"/>
  </r>
  <r>
    <x v="14"/>
    <x v="14"/>
    <x v="6"/>
    <d v="2022-04-10T00:00:00"/>
    <n v="100"/>
    <n v="0"/>
    <n v="100"/>
    <n v="0"/>
    <n v="57.620872201375008"/>
    <n v="5762.0872201375005"/>
    <n v="0"/>
    <n v="5762.0872201375005"/>
    <n v="112"/>
    <n v="100"/>
    <n v="0"/>
    <n v="100"/>
    <n v="100"/>
    <n v="0"/>
    <n v="5646.8454757347499"/>
    <n v="0"/>
    <n v="5646.8454757347499"/>
    <n v="5646.8454757347499"/>
    <n v="0"/>
    <n v="90"/>
    <n v="0"/>
    <n v="90"/>
    <n v="90"/>
    <n v="0"/>
    <n v="100"/>
    <n v="0"/>
    <n v="100"/>
    <n v="100"/>
    <n v="0"/>
    <n v="5704.4663479361252"/>
    <n v="0"/>
    <n v="5704.4663479361252"/>
    <n v="5704.4663479361252"/>
    <n v="0"/>
    <n v="0"/>
    <n v="57.620872201375008"/>
    <s v="-"/>
    <n v="57.044663479361255"/>
    <n v="0"/>
    <n v="0"/>
    <n v="0"/>
    <n v="0"/>
    <n v="0"/>
    <n v="0"/>
    <n v="0"/>
    <e v="#REF!"/>
    <e v="#REF!"/>
    <e v="#REF!"/>
    <x v="4"/>
  </r>
  <r>
    <x v="15"/>
    <x v="15"/>
    <x v="2"/>
    <d v="2022-04-11T00:00:00"/>
    <n v="2247.0874429223741"/>
    <n v="650"/>
    <n v="1597.0874429223743"/>
    <n v="48.477253636021388"/>
    <n v="51.067668940854603"/>
    <n v="113069.74766816973"/>
    <n v="31510.214863413901"/>
    <n v="81559.532804755829"/>
    <n v="114"/>
    <n v="2247.0874429223741"/>
    <n v="650"/>
    <n v="1597.0874429223743"/>
    <n v="798.54372146118715"/>
    <n v="798.54372146118715"/>
    <n v="110808.35271480633"/>
    <n v="30880.010566145622"/>
    <n v="79928.342148660711"/>
    <n v="39964.171074330356"/>
    <n v="39964.171074330356"/>
    <n v="90"/>
    <n v="0"/>
    <n v="90"/>
    <n v="90"/>
    <n v="0"/>
    <n v="2247.0874429223741"/>
    <n v="650"/>
    <n v="1597.0874429223743"/>
    <n v="798.54372146118715"/>
    <n v="798.54372146118715"/>
    <n v="111939.05019148803"/>
    <n v="31195.112714779763"/>
    <n v="80743.937476708263"/>
    <n v="40371.968738354131"/>
    <n v="40371.968738354131"/>
    <n v="48.477253636021388"/>
    <n v="51.067668940854603"/>
    <n v="47.992481099661177"/>
    <n v="50.556992251446047"/>
    <n v="201223.00000000003"/>
    <n v="105746.24766036772"/>
    <n v="75147.912178521568"/>
    <n v="12270.137135489256"/>
    <n v="8058.7030256214839"/>
    <n v="52942"/>
    <n v="148281.00000000003"/>
    <e v="#REF!"/>
    <e v="#REF!"/>
    <e v="#REF!"/>
    <x v="4"/>
  </r>
  <r>
    <x v="15"/>
    <x v="15"/>
    <x v="3"/>
    <d v="2022-04-12T00:00:00"/>
    <n v="2407.7200913242009"/>
    <n v="450"/>
    <n v="1957.7200913242009"/>
    <n v="44.073704533836562"/>
    <n v="47.729767986190566"/>
    <n v="113274.69278103438"/>
    <n v="19833.167040226454"/>
    <n v="93441.52574080792"/>
    <n v="115"/>
    <n v="2407.7200913242009"/>
    <n v="450"/>
    <n v="1957.7200913242009"/>
    <n v="978.86004566210045"/>
    <n v="978.86004566210045"/>
    <n v="111009.19892541369"/>
    <n v="19436.503699421923"/>
    <n v="91572.69522599176"/>
    <n v="45786.34761299588"/>
    <n v="45786.34761299588"/>
    <n v="90"/>
    <n v="0"/>
    <n v="90"/>
    <n v="90"/>
    <n v="0"/>
    <n v="2407.7200913242009"/>
    <n v="450"/>
    <n v="1957.7200913242009"/>
    <n v="978.86004566210045"/>
    <n v="978.86004566210045"/>
    <n v="112141.94585322402"/>
    <n v="19634.835369824188"/>
    <n v="92507.11048339984"/>
    <n v="46253.55524169992"/>
    <n v="46253.55524169992"/>
    <n v="44.073704533836562"/>
    <n v="47.729767986190566"/>
    <n v="43.632967488498196"/>
    <n v="47.252470306328661"/>
    <n v="166956.00000000012"/>
    <n v="73902.420300623984"/>
    <n v="77514.801759127746"/>
    <n v="7293.6857557731719"/>
    <n v="8245.0921844752011"/>
    <n v="0"/>
    <n v="166956.00000000012"/>
    <e v="#REF!"/>
    <e v="#REF!"/>
    <e v="#REF!"/>
    <x v="4"/>
  </r>
  <r>
    <x v="15"/>
    <x v="15"/>
    <x v="4"/>
    <d v="2022-04-13T00:00:00"/>
    <n v="2306.2011415525112"/>
    <n v="400"/>
    <n v="1906.2011415525114"/>
    <n v="46.93075883929712"/>
    <n v="47.630599137759766"/>
    <n v="109565.80598494658"/>
    <n v="18772.303535718849"/>
    <n v="90793.50244922773"/>
    <n v="116"/>
    <n v="2306.2011415525112"/>
    <n v="400"/>
    <n v="1906.2011415525114"/>
    <n v="953.10057077625572"/>
    <n v="953.10057077625572"/>
    <n v="107374.48986524765"/>
    <n v="18396.857465004472"/>
    <n v="88977.632400243179"/>
    <n v="44488.81620012159"/>
    <n v="44488.81620012159"/>
    <n v="90"/>
    <n v="0"/>
    <n v="90"/>
    <n v="90"/>
    <n v="0"/>
    <n v="2306.2011415525112"/>
    <n v="400"/>
    <n v="1906.2011415525114"/>
    <n v="953.10057077625572"/>
    <n v="953.10057077625572"/>
    <n v="108470.1479250971"/>
    <n v="18584.580500361659"/>
    <n v="89885.567424735447"/>
    <n v="44942.783712367724"/>
    <n v="44942.783712367724"/>
    <n v="46.93075883929712"/>
    <n v="47.630599137759766"/>
    <n v="46.461451250904148"/>
    <n v="47.154293146382166"/>
    <n v="147268.00000000009"/>
    <n v="65187.604116247952"/>
    <n v="66104.807407182714"/>
    <n v="6433.5903704041984"/>
    <n v="9541.998106165227"/>
    <n v="12509"/>
    <n v="134759.00000000009"/>
    <e v="#REF!"/>
    <e v="#REF!"/>
    <e v="#REF!"/>
    <x v="4"/>
  </r>
  <r>
    <x v="15"/>
    <x v="15"/>
    <x v="5"/>
    <d v="2022-04-14T00:00:00"/>
    <n v="2432.5855932203385"/>
    <n v="450"/>
    <n v="1982.5855932203388"/>
    <n v="49.611805177162488"/>
    <n v="50.934151194880606"/>
    <n v="123306.62669159991"/>
    <n v="22325.312329723118"/>
    <n v="100981.31436187679"/>
    <n v="117"/>
    <n v="2432.5855932203385"/>
    <n v="450"/>
    <n v="1982.5855932203388"/>
    <n v="991.29279661016938"/>
    <n v="991.29279661016938"/>
    <n v="120840.49415776791"/>
    <n v="21878.806083128657"/>
    <n v="98961.688074639256"/>
    <n v="49480.844037319628"/>
    <n v="49480.844037319628"/>
    <n v="90"/>
    <n v="0"/>
    <n v="90"/>
    <n v="90"/>
    <n v="0"/>
    <n v="2432.5855932203385"/>
    <n v="450"/>
    <n v="1982.5855932203388"/>
    <n v="991.29279661016938"/>
    <n v="991.29279661016938"/>
    <n v="122073.56042468391"/>
    <n v="22102.059206425885"/>
    <n v="99971.501218258025"/>
    <n v="49985.750609129012"/>
    <n v="49985.750609129012"/>
    <n v="49.611805177162488"/>
    <n v="50.934151194880606"/>
    <n v="49.115687125390856"/>
    <n v="50.424809682931802"/>
    <n v="130582.00000000009"/>
    <n v="57801.611488632225"/>
    <n v="57744.517178669434"/>
    <n v="5704.6411830684274"/>
    <n v="9331.2301496300006"/>
    <n v="8468"/>
    <n v="122114.00000000009"/>
    <e v="#REF!"/>
    <e v="#REF!"/>
    <e v="#REF!"/>
    <x v="4"/>
  </r>
  <r>
    <x v="15"/>
    <x v="15"/>
    <x v="0"/>
    <d v="2022-04-15T00:00:00"/>
    <n v="3086.9322033898306"/>
    <n v="1000"/>
    <n v="2086.9322033898306"/>
    <n v="49.756082764716659"/>
    <n v="50.623013040401894"/>
    <n v="155402.8789113547"/>
    <n v="49756.082764716659"/>
    <n v="105646.79614663805"/>
    <n v="118"/>
    <n v="3086.9322033898306"/>
    <n v="1000"/>
    <n v="2086.9322033898306"/>
    <n v="1043.4661016949153"/>
    <n v="1043.4661016949153"/>
    <n v="152294.82133312762"/>
    <n v="48760.961109422322"/>
    <n v="103533.86022370528"/>
    <n v="51766.930111852642"/>
    <n v="51766.930111852642"/>
    <n v="90"/>
    <n v="0"/>
    <n v="90"/>
    <n v="90"/>
    <n v="0"/>
    <n v="3086.9322033898306"/>
    <n v="1000"/>
    <n v="2086.9322033898306"/>
    <n v="1043.4661016949153"/>
    <n v="1043.4661016949153"/>
    <n v="153848.85012224116"/>
    <n v="49258.52193706949"/>
    <n v="104590.32818517167"/>
    <n v="52295.164092585837"/>
    <n v="52295.164092585837"/>
    <n v="49.756082764716659"/>
    <n v="50.623013040401894"/>
    <n v="49.258521937069489"/>
    <n v="50.116782909997873"/>
    <n v="130824.00000000007"/>
    <n v="57908.731841975321"/>
    <n v="57977.244659679549"/>
    <n v="5715.213261657379"/>
    <n v="9222.8102366878284"/>
    <n v="0"/>
    <n v="130824.00000000007"/>
    <e v="#REF!"/>
    <e v="#REF!"/>
    <e v="#REF!"/>
    <x v="4"/>
  </r>
  <r>
    <x v="15"/>
    <x v="15"/>
    <x v="1"/>
    <d v="2022-04-16T00:00:00"/>
    <n v="2928.2389830508473"/>
    <n v="1050"/>
    <n v="1878.2389830508475"/>
    <n v="49.69824908583459"/>
    <n v="52.705606227070469"/>
    <n v="151176.88578113756"/>
    <n v="52183.161540126319"/>
    <n v="98993.724241011252"/>
    <n v="119"/>
    <n v="2928.2389830508473"/>
    <n v="1050"/>
    <n v="1878.2389830508475"/>
    <n v="939.11949152542377"/>
    <n v="939.11949152542377"/>
    <n v="148153.34806551482"/>
    <n v="51139.49830932379"/>
    <n v="97013.849756191019"/>
    <n v="48506.924878095509"/>
    <n v="48506.924878095509"/>
    <n v="90"/>
    <n v="0"/>
    <n v="90"/>
    <n v="90"/>
    <n v="0"/>
    <n v="2928.2389830508473"/>
    <n v="1050"/>
    <n v="1878.2389830508475"/>
    <n v="939.11949152542377"/>
    <n v="939.11949152542377"/>
    <n v="149665.11692332619"/>
    <n v="51661.329924725054"/>
    <n v="98003.786998601136"/>
    <n v="49001.893499300568"/>
    <n v="49001.893499300568"/>
    <n v="49.69824908583459"/>
    <n v="52.705606227070469"/>
    <n v="49.201266594976239"/>
    <n v="52.178550164799759"/>
    <n v="126313.00000000001"/>
    <n v="66379.716934565266"/>
    <n v="46817.744170926686"/>
    <n v="6439.1596587122476"/>
    <n v="6676.3792357958091"/>
    <n v="0"/>
    <n v="126313.00000000001"/>
    <e v="#REF!"/>
    <e v="#REF!"/>
    <e v="#REF!"/>
    <x v="4"/>
  </r>
  <r>
    <x v="15"/>
    <x v="15"/>
    <x v="6"/>
    <d v="2022-04-17T00:00:00"/>
    <n v="300"/>
    <n v="0"/>
    <n v="300"/>
    <n v="0"/>
    <n v="62.095677926987335"/>
    <n v="18628.703378096201"/>
    <n v="0"/>
    <n v="18628.703378096201"/>
    <n v="120"/>
    <n v="180"/>
    <n v="0"/>
    <n v="180"/>
    <n v="180"/>
    <n v="0"/>
    <n v="10953.677586320566"/>
    <n v="0"/>
    <n v="10953.677586320566"/>
    <n v="10953.677586320566"/>
    <n v="0"/>
    <n v="90"/>
    <n v="0"/>
    <n v="90"/>
    <n v="90"/>
    <n v="0"/>
    <n v="180"/>
    <n v="0"/>
    <n v="180"/>
    <n v="180"/>
    <n v="0"/>
    <n v="11065.449806589142"/>
    <n v="0"/>
    <n v="11065.449806589142"/>
    <n v="11065.449806589142"/>
    <n v="0"/>
    <n v="0"/>
    <n v="62.095677926987335"/>
    <s v="-"/>
    <n v="61.474721147717453"/>
    <n v="0"/>
    <n v="0"/>
    <n v="0"/>
    <n v="0"/>
    <n v="0"/>
    <n v="0"/>
    <n v="0"/>
    <e v="#REF!"/>
    <e v="#REF!"/>
    <e v="#REF!"/>
    <x v="4"/>
  </r>
  <r>
    <x v="16"/>
    <x v="16"/>
    <x v="2"/>
    <d v="2022-04-18T00:00:00"/>
    <n v="0"/>
    <n v="0"/>
    <n v="0"/>
    <n v="0"/>
    <n v="0"/>
    <n v="0"/>
    <n v="0"/>
    <n v="0"/>
    <n v="12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4"/>
  </r>
  <r>
    <x v="16"/>
    <x v="16"/>
    <x v="3"/>
    <d v="2022-04-19T00:00:00"/>
    <n v="1643.4661016949153"/>
    <n v="600"/>
    <n v="1043.4661016949153"/>
    <n v="46.286753825526382"/>
    <n v="46.525714891624013"/>
    <n v="76320.058641847805"/>
    <n v="27772.052295315829"/>
    <n v="48548.006346531976"/>
    <n v="123"/>
    <n v="1643.4661016949153"/>
    <n v="600"/>
    <n v="1043.4661016949153"/>
    <n v="521.73305084745766"/>
    <n v="521.73305084745766"/>
    <n v="74793.657469010854"/>
    <n v="27216.61124940951"/>
    <n v="47577.04621960134"/>
    <n v="23788.52310980067"/>
    <n v="23788.52310980067"/>
    <n v="90"/>
    <n v="0"/>
    <n v="90"/>
    <n v="90"/>
    <n v="0"/>
    <n v="1643.4661016949153"/>
    <n v="600"/>
    <n v="1043.4661016949153"/>
    <n v="521.73305084745766"/>
    <n v="521.73305084745766"/>
    <n v="75556.858055429329"/>
    <n v="27494.331772362671"/>
    <n v="48062.526283066654"/>
    <n v="24031.263141533327"/>
    <n v="24031.263141533327"/>
    <n v="46.286753825526382"/>
    <n v="46.525714891624013"/>
    <n v="45.823886287271122"/>
    <n v="46.060457742707769"/>
    <n v="175579.00000000009"/>
    <n v="77719.357519126352"/>
    <n v="81518.312477933636"/>
    <n v="7670.392506486126"/>
    <n v="8670.9374964539857"/>
    <n v="44292"/>
    <n v="131287.00000000009"/>
    <e v="#REF!"/>
    <e v="#REF!"/>
    <e v="#REF!"/>
    <x v="4"/>
  </r>
  <r>
    <x v="16"/>
    <x v="16"/>
    <x v="4"/>
    <d v="2022-04-20T00:00:00"/>
    <n v="2843.4521186440679"/>
    <n v="600"/>
    <n v="2243.4521186440679"/>
    <n v="46.893949736998849"/>
    <n v="48.463566838790506"/>
    <n v="136862.06154373227"/>
    <n v="28136.36984219931"/>
    <n v="108725.69170153295"/>
    <n v="124"/>
    <n v="2843.4521186440679"/>
    <n v="600"/>
    <n v="2243.4521186440679"/>
    <n v="1121.726059322034"/>
    <n v="1121.726059322034"/>
    <n v="134124.82031285763"/>
    <n v="27573.642445355323"/>
    <n v="106551.17786750229"/>
    <n v="53275.588933751147"/>
    <n v="53275.588933751147"/>
    <n v="90"/>
    <n v="0"/>
    <n v="90"/>
    <n v="90"/>
    <n v="0"/>
    <n v="2843.4521186440679"/>
    <n v="600"/>
    <n v="2243.4521186440679"/>
    <n v="1121.726059322034"/>
    <n v="1121.726059322034"/>
    <n v="135493.44092829493"/>
    <n v="27855.006143777318"/>
    <n v="107638.43478451762"/>
    <n v="53819.217392258812"/>
    <n v="53819.217392258812"/>
    <n v="46.893949736998849"/>
    <n v="48.463566838790506"/>
    <n v="46.425010239628861"/>
    <n v="47.978931170402603"/>
    <n v="149407.00000000009"/>
    <n v="66134.424098896285"/>
    <n v="67064.949345987901"/>
    <n v="6527.0353129734913"/>
    <n v="9680.5912421424091"/>
    <n v="7541"/>
    <n v="141866.00000000009"/>
    <e v="#REF!"/>
    <e v="#REF!"/>
    <e v="#REF!"/>
    <x v="4"/>
  </r>
  <r>
    <x v="16"/>
    <x v="16"/>
    <x v="5"/>
    <d v="2022-04-21T00:00:00"/>
    <n v="2593.628032197917"/>
    <n v="560"/>
    <n v="2033.628032197917"/>
    <n v="47.069963322916429"/>
    <n v="49.838667471271869"/>
    <n v="127712.49071780215"/>
    <n v="26359.179460833202"/>
    <n v="101353.31125696895"/>
    <n v="125"/>
    <n v="2593.628032197917"/>
    <n v="560"/>
    <n v="2033.628032197917"/>
    <n v="1016.8140160989585"/>
    <n v="1016.8140160989585"/>
    <n v="125158.24090344612"/>
    <n v="25831.995871616538"/>
    <n v="99326.245031829574"/>
    <n v="49663.122515914787"/>
    <n v="49663.122515914787"/>
    <n v="90"/>
    <n v="0"/>
    <n v="90"/>
    <n v="90"/>
    <n v="0"/>
    <n v="2593.628032197917"/>
    <n v="560"/>
    <n v="2033.628032197917"/>
    <n v="1016.8140160989585"/>
    <n v="1016.8140160989585"/>
    <n v="126435.36581062412"/>
    <n v="26095.58766622487"/>
    <n v="100339.77814439926"/>
    <n v="50169.889072199629"/>
    <n v="50169.889072199629"/>
    <n v="47.069963322916429"/>
    <n v="49.838667471271869"/>
    <n v="46.59926368968727"/>
    <n v="49.340280796559149"/>
    <n v="141529.00000000009"/>
    <n v="62647.258216098926"/>
    <n v="62585.377554179788"/>
    <n v="6182.8748372554519"/>
    <n v="10113.489392465917"/>
    <n v="5683"/>
    <n v="135846.00000000009"/>
    <e v="#REF!"/>
    <e v="#REF!"/>
    <e v="#REF!"/>
    <x v="4"/>
  </r>
  <r>
    <x v="16"/>
    <x v="16"/>
    <x v="0"/>
    <d v="2022-04-22T00:00:00"/>
    <n v="3044.0568939014966"/>
    <n v="1000"/>
    <n v="2044.0568939014963"/>
    <n v="49.829541655156"/>
    <n v="51.296837945959155"/>
    <n v="154683.19689394167"/>
    <n v="49829.541655155997"/>
    <n v="104853.65523878568"/>
    <n v="126"/>
    <n v="3044.0568939014966"/>
    <n v="1000"/>
    <n v="2044.0568939014963"/>
    <n v="1022.0284469507482"/>
    <n v="1022.0284469507482"/>
    <n v="151589.53295606285"/>
    <n v="48832.950822052873"/>
    <n v="102756.58213400996"/>
    <n v="51378.291067004982"/>
    <n v="51378.291067004982"/>
    <n v="90"/>
    <n v="0"/>
    <n v="90"/>
    <n v="90"/>
    <n v="0"/>
    <n v="3044.0568939014966"/>
    <n v="1000"/>
    <n v="2044.0568939014963"/>
    <n v="1022.0284469507482"/>
    <n v="1022.0284469507482"/>
    <n v="153136.36492500227"/>
    <n v="49331.246238604435"/>
    <n v="103805.11868639782"/>
    <n v="51902.559343198911"/>
    <n v="51902.559343198911"/>
    <n v="49.829541655156"/>
    <n v="51.296837945959155"/>
    <n v="49.331246238604436"/>
    <n v="50.783869566499561"/>
    <n v="125096.00000000007"/>
    <n v="55373.25504879644"/>
    <n v="55438.768100251269"/>
    <n v="5464.9782775354024"/>
    <n v="8818.9985734169604"/>
    <n v="0"/>
    <n v="125096.00000000007"/>
    <e v="#REF!"/>
    <e v="#REF!"/>
    <e v="#REF!"/>
    <x v="4"/>
  </r>
  <r>
    <x v="16"/>
    <x v="16"/>
    <x v="1"/>
    <d v="2022-04-23T00:00:00"/>
    <n v="2582.9064896084406"/>
    <n v="810"/>
    <n v="1772.9064896084406"/>
    <n v="50.078232283819993"/>
    <n v="51.653463885393776"/>
    <n v="132140.12948306403"/>
    <n v="40563.368149894195"/>
    <n v="91576.761333169838"/>
    <n v="127"/>
    <n v="2582.9064896084406"/>
    <n v="810"/>
    <n v="1772.9064896084406"/>
    <n v="886.45324480422028"/>
    <n v="886.45324480422028"/>
    <n v="129497.32689340276"/>
    <n v="39752.100786896313"/>
    <n v="89745.226106506438"/>
    <n v="44872.613053253219"/>
    <n v="44872.613053253219"/>
    <n v="90"/>
    <n v="0"/>
    <n v="90"/>
    <n v="90"/>
    <n v="0"/>
    <n v="2582.9064896084406"/>
    <n v="810"/>
    <n v="1772.9064896084406"/>
    <n v="886.45324480422028"/>
    <n v="886.45324480422028"/>
    <n v="130818.72818823339"/>
    <n v="40157.734468395254"/>
    <n v="90660.993719838138"/>
    <n v="45330.496859919069"/>
    <n v="45330.496859919069"/>
    <n v="50.078232283819993"/>
    <n v="51.653463885393776"/>
    <n v="49.577449960981795"/>
    <n v="51.136929246539836"/>
    <n v="122097.00000000001"/>
    <n v="64164.13432156323"/>
    <n v="45255.089421022662"/>
    <n v="6224.237226966261"/>
    <n v="6453.5390304478633"/>
    <n v="0"/>
    <n v="122097.00000000001"/>
    <e v="#REF!"/>
    <e v="#REF!"/>
    <e v="#REF!"/>
    <x v="4"/>
  </r>
  <r>
    <x v="16"/>
    <x v="16"/>
    <x v="6"/>
    <d v="2022-04-24T00:00:00"/>
    <n v="100"/>
    <n v="0"/>
    <n v="100"/>
    <n v="0"/>
    <n v="55.965274400302491"/>
    <n v="5596.5274400302487"/>
    <n v="0"/>
    <n v="5596.5274400302487"/>
    <n v="128"/>
    <n v="180"/>
    <n v="0"/>
    <n v="180"/>
    <n v="180"/>
    <n v="0"/>
    <n v="9872.2744042133581"/>
    <n v="0"/>
    <n v="9872.2744042133581"/>
    <n v="9872.2744042133581"/>
    <n v="0"/>
    <n v="90"/>
    <n v="0"/>
    <n v="90"/>
    <n v="90"/>
    <n v="0"/>
    <n v="180"/>
    <n v="0"/>
    <n v="180"/>
    <n v="180"/>
    <n v="0"/>
    <n v="9973.0118981339037"/>
    <n v="0"/>
    <n v="9973.0118981339037"/>
    <n v="9973.0118981339037"/>
    <n v="0"/>
    <n v="0"/>
    <n v="55.965274400302491"/>
    <s v="-"/>
    <n v="55.405621656299466"/>
    <n v="0"/>
    <n v="0"/>
    <n v="0"/>
    <n v="0"/>
    <n v="0"/>
    <n v="0"/>
    <n v="0"/>
    <e v="#REF!"/>
    <e v="#REF!"/>
    <e v="#REF!"/>
    <x v="4"/>
  </r>
  <r>
    <x v="17"/>
    <x v="17"/>
    <x v="2"/>
    <d v="2022-04-25T00:00:00"/>
    <n v="2435.4024257583337"/>
    <n v="808.5"/>
    <n v="1626.9024257583337"/>
    <n v="46.638192478508493"/>
    <n v="50.03565235468723"/>
    <n v="119110.10280911546"/>
    <n v="37706.97861887412"/>
    <n v="81403.124190241331"/>
    <n v="130"/>
    <n v="2435.4024257583337"/>
    <n v="808.5"/>
    <n v="1626.9024257583337"/>
    <n v="813.45121287916686"/>
    <n v="813.45121287916686"/>
    <n v="116727.90075293314"/>
    <n v="36952.839046496636"/>
    <n v="79775.061706436507"/>
    <n v="39887.530853218253"/>
    <n v="39887.530853218253"/>
    <n v="90"/>
    <n v="0"/>
    <n v="90"/>
    <n v="90"/>
    <n v="0"/>
    <n v="2435.4024257583337"/>
    <n v="808.5"/>
    <n v="1626.9024257583337"/>
    <n v="813.45121287916686"/>
    <n v="813.45121287916686"/>
    <n v="117919.0017810243"/>
    <n v="37329.908832685382"/>
    <n v="80589.092948338919"/>
    <n v="40294.54647416946"/>
    <n v="40294.54647416946"/>
    <n v="46.638192478508493"/>
    <n v="50.03565235468723"/>
    <n v="46.171810553723418"/>
    <n v="49.535295831140353"/>
    <n v="191414"/>
    <n v="100591.44456479441"/>
    <n v="71484.683469282973"/>
    <n v="11672.005832596376"/>
    <n v="7665.8661333262635"/>
    <n v="0"/>
    <n v="191414"/>
    <e v="#REF!"/>
    <e v="#REF!"/>
    <e v="#REF!"/>
    <x v="4"/>
  </r>
  <r>
    <x v="17"/>
    <x v="17"/>
    <x v="3"/>
    <d v="2022-04-26T00:00:00"/>
    <n v="2568.4166492337081"/>
    <n v="430.5"/>
    <n v="2137.9166492337081"/>
    <n v="44.999769015047804"/>
    <n v="48.76587805194017"/>
    <n v="123629.78316272164"/>
    <n v="19372.40056097808"/>
    <n v="104257.38260174355"/>
    <n v="131"/>
    <n v="2568.4166492337081"/>
    <n v="430.5"/>
    <n v="2137.9166492337081"/>
    <n v="1068.958324616854"/>
    <n v="1068.958324616854"/>
    <n v="121157.1874994672"/>
    <n v="18984.952549758516"/>
    <n v="102172.23494970868"/>
    <n v="51086.117474854342"/>
    <n v="51086.117474854342"/>
    <n v="90"/>
    <n v="0"/>
    <n v="90"/>
    <n v="90"/>
    <n v="0"/>
    <n v="2568.4166492337081"/>
    <n v="430.5"/>
    <n v="2137.9166492337081"/>
    <n v="1068.958324616854"/>
    <n v="1068.958324616854"/>
    <n v="122393.48533109442"/>
    <n v="19178.6765553683"/>
    <n v="103214.80877572611"/>
    <n v="51607.404387863055"/>
    <n v="51607.404387863055"/>
    <n v="44.999769015047804"/>
    <n v="48.76587805194017"/>
    <n v="44.549771324897328"/>
    <n v="48.27821927142076"/>
    <n v="169704.00000000009"/>
    <n v="75118.811750982844"/>
    <n v="78790.650936360558"/>
    <n v="7413.7356399154887"/>
    <n v="8380.8016727411996"/>
    <n v="0"/>
    <n v="169704.00000000009"/>
    <e v="#REF!"/>
    <e v="#REF!"/>
    <e v="#REF!"/>
    <x v="4"/>
  </r>
  <r>
    <x v="17"/>
    <x v="17"/>
    <x v="4"/>
    <d v="2022-04-27T00:00:00"/>
    <n v="2290.6015093001047"/>
    <n v="440.00000000000006"/>
    <n v="1850.6015093001047"/>
    <n v="49.728379276624381"/>
    <n v="49.065666234252753"/>
    <n v="112681.48286963804"/>
    <n v="21880.486881714729"/>
    <n v="90800.995987923321"/>
    <n v="132"/>
    <n v="2290.6015093001047"/>
    <n v="440.00000000000006"/>
    <n v="1850.6015093001047"/>
    <n v="925.30075465005234"/>
    <n v="925.30075465005234"/>
    <n v="110427.85321224527"/>
    <n v="21442.877144080434"/>
    <n v="88984.976068164848"/>
    <n v="44492.488034082424"/>
    <n v="44492.488034082424"/>
    <n v="90"/>
    <n v="0"/>
    <n v="90"/>
    <n v="90"/>
    <n v="0"/>
    <n v="2290.6015093001047"/>
    <n v="440.00000000000006"/>
    <n v="1850.6015093001047"/>
    <n v="925.30075465005234"/>
    <n v="925.30075465005234"/>
    <n v="111554.66804094167"/>
    <n v="21661.682012897581"/>
    <n v="89892.986028044092"/>
    <n v="44946.493014022046"/>
    <n v="44946.493014022046"/>
    <n v="49.728379276624381"/>
    <n v="49.065666234252753"/>
    <n v="49.231095483858134"/>
    <n v="48.575009571910222"/>
    <n v="163308.00000000006"/>
    <n v="72287.647370889943"/>
    <n v="73304.74976269246"/>
    <n v="7134.3182239859907"/>
    <n v="10581.284642431696"/>
    <n v="0"/>
    <n v="163308.00000000006"/>
    <e v="#REF!"/>
    <e v="#REF!"/>
    <e v="#REF!"/>
    <x v="4"/>
  </r>
  <r>
    <x v="17"/>
    <x v="17"/>
    <x v="5"/>
    <d v="2022-04-28T00:00:00"/>
    <n v="2536.2387958797667"/>
    <n v="451.5"/>
    <n v="2084.7387958797667"/>
    <n v="48.800225969753654"/>
    <n v="49.950181278214281"/>
    <n v="126166.38279726428"/>
    <n v="22033.302025343775"/>
    <n v="104133.0807719205"/>
    <n v="133"/>
    <n v="2536.2387958797667"/>
    <n v="451.5"/>
    <n v="2084.7387958797667"/>
    <n v="1042.3693979398834"/>
    <n v="1042.3693979398834"/>
    <n v="123643.055141319"/>
    <n v="21592.635984836899"/>
    <n v="102050.41915648209"/>
    <n v="51025.209578241047"/>
    <n v="51025.209578241047"/>
    <n v="90"/>
    <n v="0"/>
    <n v="90"/>
    <n v="90"/>
    <n v="0"/>
    <n v="2536.2387958797667"/>
    <n v="451.5"/>
    <n v="2084.7387958797667"/>
    <n v="1042.3693979398834"/>
    <n v="1042.3693979398834"/>
    <n v="124904.71896929163"/>
    <n v="21812.969005090337"/>
    <n v="103091.7499642013"/>
    <n v="51545.87498210065"/>
    <n v="51545.87498210065"/>
    <n v="48.800225969753654"/>
    <n v="49.950181278214281"/>
    <n v="48.312223710056116"/>
    <n v="49.450679465432138"/>
    <n v="156252.00000000012"/>
    <n v="69164.336572588581"/>
    <n v="69096.018579907308"/>
    <n v="6826.0678664502602"/>
    <n v="11165.57698105395"/>
    <n v="0"/>
    <n v="156252.00000000012"/>
    <e v="#REF!"/>
    <e v="#REF!"/>
    <e v="#REF!"/>
    <x v="4"/>
  </r>
  <r>
    <x v="17"/>
    <x v="17"/>
    <x v="0"/>
    <d v="2022-04-29T00:00:00"/>
    <n v="3355.6019132757388"/>
    <n v="1018.5"/>
    <n v="2337.1019132757388"/>
    <n v="50.328714769693747"/>
    <n v="51.360827083093476"/>
    <n v="171295.28323625523"/>
    <n v="51259.795992933083"/>
    <n v="120035.48724332215"/>
    <n v="134"/>
    <n v="3355.6019132757388"/>
    <n v="1018.5"/>
    <n v="2337.1019132757388"/>
    <n v="1168.5509566378694"/>
    <n v="1168.5509566378694"/>
    <n v="167869.37757153012"/>
    <n v="50234.60007307442"/>
    <n v="117634.7774984557"/>
    <n v="58817.388749227852"/>
    <n v="58817.388749227852"/>
    <n v="90"/>
    <n v="0"/>
    <n v="90"/>
    <n v="90"/>
    <n v="0"/>
    <n v="3355.6019132757388"/>
    <n v="1018.5"/>
    <n v="2337.1019132757388"/>
    <n v="1168.5509566378694"/>
    <n v="1168.5509566378694"/>
    <n v="169582.33040389267"/>
    <n v="50747.198033003755"/>
    <n v="118835.13237088892"/>
    <n v="59417.566185444462"/>
    <n v="59417.566185444462"/>
    <n v="50.328714769693747"/>
    <n v="51.360827083093476"/>
    <n v="49.825427621996816"/>
    <n v="50.84721881226254"/>
    <n v="133878.00000000009"/>
    <n v="59260.572995321752"/>
    <n v="59330.685199570253"/>
    <n v="5848.6311459989502"/>
    <n v="9438.110659109132"/>
    <n v="0"/>
    <n v="133878.00000000009"/>
    <e v="#REF!"/>
    <e v="#REF!"/>
    <e v="#REF!"/>
    <x v="4"/>
  </r>
  <r>
    <x v="17"/>
    <x v="17"/>
    <x v="1"/>
    <d v="2022-04-30T00:00:00"/>
    <n v="3053.5726525917594"/>
    <n v="903"/>
    <n v="2150.5726525917594"/>
    <n v="49.820968023262814"/>
    <n v="51.49404247276977"/>
    <n v="155730.01363834355"/>
    <n v="44988.334125006324"/>
    <n v="110741.67951333721"/>
    <n v="135"/>
    <n v="3053.5726525917594"/>
    <n v="903"/>
    <n v="2150.5726525917594"/>
    <n v="1075.2863262958797"/>
    <n v="1075.2863262958797"/>
    <n v="152615.41336557665"/>
    <n v="44088.567442506195"/>
    <n v="108526.84592307046"/>
    <n v="54263.422961535231"/>
    <n v="54263.422961535231"/>
    <n v="90"/>
    <n v="0"/>
    <n v="90"/>
    <n v="90"/>
    <n v="0"/>
    <n v="3053.5726525917594"/>
    <n v="903"/>
    <n v="2150.5726525917594"/>
    <n v="1075.2863262958797"/>
    <n v="1075.2863262958797"/>
    <n v="154172.7135019601"/>
    <n v="44538.450783756263"/>
    <n v="109634.26271820383"/>
    <n v="54817.131359101913"/>
    <n v="54817.131359101913"/>
    <n v="49.820968023262814"/>
    <n v="51.49404247276977"/>
    <n v="49.322758343030195"/>
    <n v="50.979102048042073"/>
    <n v="128265.00000000001"/>
    <n v="67405.527480243632"/>
    <n v="47541.250354942968"/>
    <n v="6538.6683367881878"/>
    <n v="6779.5538280252185"/>
    <n v="0"/>
    <n v="128265.00000000001"/>
    <e v="#REF!"/>
    <e v="#REF!"/>
    <e v="#REF!"/>
    <x v="4"/>
  </r>
  <r>
    <x v="17"/>
    <x v="17"/>
    <x v="6"/>
    <d v="2022-05-01T00:00:00"/>
    <n v="0"/>
    <n v="0"/>
    <n v="0"/>
    <n v="0"/>
    <n v="0"/>
    <n v="0"/>
    <n v="0"/>
    <n v="0"/>
    <n v="136"/>
    <n v="180"/>
    <n v="0"/>
    <n v="180"/>
    <n v="180"/>
    <n v="0"/>
    <n v="0"/>
    <n v="0"/>
    <n v="0"/>
    <n v="0"/>
    <n v="0"/>
    <n v="90"/>
    <n v="0"/>
    <n v="90"/>
    <n v="90"/>
    <n v="0"/>
    <n v="180"/>
    <n v="0"/>
    <n v="180"/>
    <n v="180"/>
    <n v="0"/>
    <n v="0"/>
    <n v="0"/>
    <n v="0"/>
    <n v="0"/>
    <n v="0"/>
    <n v="0"/>
    <n v="0"/>
    <s v="-"/>
    <n v="0"/>
    <n v="0"/>
    <n v="0"/>
    <n v="0"/>
    <n v="0"/>
    <n v="0"/>
    <n v="0"/>
    <n v="0"/>
    <e v="#REF!"/>
    <e v="#REF!"/>
    <e v="#REF!"/>
    <x v="5"/>
  </r>
  <r>
    <x v="18"/>
    <x v="18"/>
    <x v="2"/>
    <d v="2022-05-02T00:00:00"/>
    <n v="2437.2823298998055"/>
    <n v="700"/>
    <n v="1737.2823298998057"/>
    <n v="47.757284799087131"/>
    <n v="51.187473317738423"/>
    <n v="122357.19226648574"/>
    <n v="33430.099359360989"/>
    <n v="88927.092907124752"/>
    <n v="138"/>
    <n v="2437.2823298998055"/>
    <n v="700"/>
    <n v="1737.2823298998057"/>
    <n v="868.64116494990287"/>
    <n v="868.64116494990287"/>
    <n v="119910.04842115601"/>
    <n v="32761.49737217377"/>
    <n v="87148.551048982248"/>
    <n v="43574.275524491124"/>
    <n v="43574.275524491124"/>
    <n v="90"/>
    <n v="0"/>
    <n v="90"/>
    <n v="90"/>
    <n v="0"/>
    <n v="2437.2823298998055"/>
    <n v="700"/>
    <n v="1737.2823298998057"/>
    <n v="868.64116494990287"/>
    <n v="868.64116494990287"/>
    <n v="121133.62034382088"/>
    <n v="33095.798365767376"/>
    <n v="88037.8219780535"/>
    <n v="44018.91098902675"/>
    <n v="44018.91098902675"/>
    <n v="47.757284799087131"/>
    <n v="51.187473317738423"/>
    <n v="47.279711951096253"/>
    <n v="50.675598584561037"/>
    <n v="198574.00000000003"/>
    <n v="104354.15127947531"/>
    <n v="74158.627557176558"/>
    <n v="12108.606926358536"/>
    <n v="7952.6142369896115"/>
    <n v="0"/>
    <n v="198574.00000000003"/>
    <e v="#REF!"/>
    <e v="#REF!"/>
    <e v="#REF!"/>
    <x v="5"/>
  </r>
  <r>
    <x v="18"/>
    <x v="18"/>
    <x v="3"/>
    <d v="2022-05-03T00:00:00"/>
    <n v="2762.1676936151721"/>
    <n v="470"/>
    <n v="2292.1676936151721"/>
    <n v="46.136064536784403"/>
    <n v="48.793606748956243"/>
    <n v="133527.07937720939"/>
    <n v="21683.95033228867"/>
    <n v="111843.12904492073"/>
    <n v="139"/>
    <n v="2762.1676936151721"/>
    <n v="470"/>
    <n v="2292.1676936151721"/>
    <n v="1146.083846807586"/>
    <n v="1146.083846807586"/>
    <n v="130856.53778966521"/>
    <n v="21250.271325642898"/>
    <n v="109606.26646402231"/>
    <n v="54803.133232011154"/>
    <n v="54803.133232011154"/>
    <n v="90"/>
    <n v="0"/>
    <n v="90"/>
    <n v="90"/>
    <n v="0"/>
    <n v="2762.1676936151721"/>
    <n v="470"/>
    <n v="2292.1676936151721"/>
    <n v="1146.083846807586"/>
    <n v="1146.083846807586"/>
    <n v="132191.80858343729"/>
    <n v="21467.110828965782"/>
    <n v="110724.69775447152"/>
    <n v="55362.34887723576"/>
    <n v="55362.34887723576"/>
    <n v="46.136064536784403"/>
    <n v="48.793606748956243"/>
    <n v="45.674703891416556"/>
    <n v="48.30567068146668"/>
    <n v="176051.00000000012"/>
    <n v="77928.286472754218"/>
    <n v="81737.453966890665"/>
    <n v="7691.0124283620989"/>
    <n v="8694.2471319931228"/>
    <n v="0"/>
    <n v="176051.00000000012"/>
    <e v="#REF!"/>
    <e v="#REF!"/>
    <e v="#REF!"/>
    <x v="5"/>
  </r>
  <r>
    <x v="18"/>
    <x v="18"/>
    <x v="4"/>
    <d v="2022-05-04T00:00:00"/>
    <n v="2604.3459897377566"/>
    <n v="430"/>
    <n v="2174.3459897377566"/>
    <n v="47.806312829947842"/>
    <n v="49.816060050966392"/>
    <n v="128874.06491323162"/>
    <n v="20556.714516877571"/>
    <n v="108317.35039635404"/>
    <n v="140"/>
    <n v="2604.3459897377566"/>
    <n v="430"/>
    <n v="2174.3459897377566"/>
    <n v="1087.1729948688783"/>
    <n v="1087.1729948688783"/>
    <n v="126296.58361496698"/>
    <n v="20145.58022654002"/>
    <n v="106151.00338842697"/>
    <n v="53075.501694213483"/>
    <n v="53075.501694213483"/>
    <n v="90"/>
    <n v="0"/>
    <n v="90"/>
    <n v="90"/>
    <n v="0"/>
    <n v="2604.3459897377566"/>
    <n v="430"/>
    <n v="2174.3459897377566"/>
    <n v="1087.1729948688783"/>
    <n v="1087.1729948688783"/>
    <n v="127585.3242640993"/>
    <n v="20351.147371708794"/>
    <n v="107234.1768923905"/>
    <n v="53617.088446195252"/>
    <n v="53617.088446195252"/>
    <n v="47.806312829947842"/>
    <n v="49.816060050966392"/>
    <n v="47.32824970164836"/>
    <n v="49.317899450456736"/>
    <n v="169416.00000000012"/>
    <n v="74991.329677582791"/>
    <n v="76046.473447695811"/>
    <n v="7401.1539926691321"/>
    <n v="10977.042882052368"/>
    <n v="0"/>
    <n v="169416.00000000012"/>
    <e v="#REF!"/>
    <e v="#REF!"/>
    <e v="#REF!"/>
    <x v="5"/>
  </r>
  <r>
    <x v="18"/>
    <x v="18"/>
    <x v="5"/>
    <d v="2022-05-05T00:00:00"/>
    <n v="2447.41640402347"/>
    <n v="440"/>
    <n v="2007.4164040234702"/>
    <n v="52.641422874694562"/>
    <n v="50.752252113718306"/>
    <n v="125043.12949907858"/>
    <n v="23162.226064865608"/>
    <n v="101880.90343421297"/>
    <n v="141"/>
    <n v="2447.41640402347"/>
    <n v="440"/>
    <n v="2007.4164040234702"/>
    <n v="1003.7082020117351"/>
    <n v="1003.7082020117351"/>
    <n v="122542.26690909702"/>
    <n v="22698.981543568294"/>
    <n v="99843.285365528718"/>
    <n v="49921.642682764359"/>
    <n v="49921.642682764359"/>
    <n v="90"/>
    <n v="0"/>
    <n v="90"/>
    <n v="90"/>
    <n v="0"/>
    <n v="2447.41640402347"/>
    <n v="440"/>
    <n v="2007.4164040234702"/>
    <n v="1003.7082020117351"/>
    <n v="1003.7082020117351"/>
    <n v="123792.69820408779"/>
    <n v="22930.603804216953"/>
    <n v="100862.09439987084"/>
    <n v="50431.047199935419"/>
    <n v="50431.047199935419"/>
    <n v="52.641422874694562"/>
    <n v="50.752252113718306"/>
    <n v="52.115008645947619"/>
    <n v="50.244729592581123"/>
    <n v="162096.00000000012"/>
    <n v="71751.160311998043"/>
    <n v="71680.287149787866"/>
    <n v="7081.3704584909083"/>
    <n v="11583.182079723274"/>
    <n v="0"/>
    <n v="162096.00000000012"/>
    <e v="#REF!"/>
    <e v="#REF!"/>
    <e v="#REF!"/>
    <x v="5"/>
  </r>
  <r>
    <x v="18"/>
    <x v="18"/>
    <x v="0"/>
    <d v="2022-05-06T00:00:00"/>
    <n v="3228.6371416596817"/>
    <n v="990"/>
    <n v="2238.6371416596817"/>
    <n v="54.290223134897289"/>
    <n v="52.185364764414473"/>
    <n v="170571.41671622498"/>
    <n v="53747.320903548316"/>
    <n v="116824.09581267668"/>
    <n v="142"/>
    <n v="3228.6371416596817"/>
    <n v="990"/>
    <n v="2238.6371416596817"/>
    <n v="1119.3185708298408"/>
    <n v="1119.3185708298408"/>
    <n v="167159.98838190048"/>
    <n v="52672.374485477347"/>
    <n v="114487.61389642314"/>
    <n v="57243.806948211568"/>
    <n v="57243.806948211568"/>
    <n v="90"/>
    <n v="0"/>
    <n v="90"/>
    <n v="90"/>
    <n v="0"/>
    <n v="3228.6371416596817"/>
    <n v="990"/>
    <n v="2238.6371416596817"/>
    <n v="1119.3185708298408"/>
    <n v="1119.3185708298408"/>
    <n v="168865.70254906273"/>
    <n v="53209.847694512835"/>
    <n v="115655.85485454991"/>
    <n v="57827.927427274954"/>
    <n v="57827.927427274954"/>
    <n v="54.290223134897289"/>
    <n v="52.185364764414473"/>
    <n v="53.747320903548321"/>
    <n v="51.663511116770323"/>
    <n v="138885.00000000009"/>
    <n v="61476.901958912298"/>
    <n v="61549.63634011797"/>
    <n v="6067.3683257298744"/>
    <n v="9791.0933752399324"/>
    <n v="0"/>
    <n v="138885.00000000009"/>
    <e v="#REF!"/>
    <e v="#REF!"/>
    <e v="#REF!"/>
    <x v="5"/>
  </r>
  <r>
    <x v="18"/>
    <x v="18"/>
    <x v="1"/>
    <d v="2022-05-07T00:00:00"/>
    <n v="2939.9665716680638"/>
    <n v="880"/>
    <n v="2059.9665716680638"/>
    <n v="53.742510277815697"/>
    <n v="52.320701827447706"/>
    <n v="155072.30581523228"/>
    <n v="47293.409044477812"/>
    <n v="107778.89677075445"/>
    <n v="143"/>
    <n v="2939.9665716680638"/>
    <n v="880"/>
    <n v="2059.9665716680638"/>
    <n v="1029.9832858340319"/>
    <n v="1029.9832858340319"/>
    <n v="151970.85969892761"/>
    <n v="46347.540863588256"/>
    <n v="105623.31883533936"/>
    <n v="52811.659417669682"/>
    <n v="52811.659417669682"/>
    <n v="90"/>
    <n v="0"/>
    <n v="90"/>
    <n v="90"/>
    <n v="0"/>
    <n v="2939.9665716680638"/>
    <n v="880"/>
    <n v="2059.9665716680638"/>
    <n v="1029.9832858340319"/>
    <n v="1029.9832858340319"/>
    <n v="153521.58275707994"/>
    <n v="46820.47495403303"/>
    <n v="106701.10780304691"/>
    <n v="53350.553901523454"/>
    <n v="53350.553901523454"/>
    <n v="53.742510277815697"/>
    <n v="52.320701827447706"/>
    <n v="53.205085175037532"/>
    <n v="51.79749480917323"/>
    <n v="133063.00000000003"/>
    <n v="69926.9613932379"/>
    <n v="49319.622624876436"/>
    <n v="6783.259851853948"/>
    <n v="7033.1561300317289"/>
    <n v="0"/>
    <n v="133063.00000000003"/>
    <e v="#REF!"/>
    <e v="#REF!"/>
    <e v="#REF!"/>
    <x v="5"/>
  </r>
  <r>
    <x v="18"/>
    <x v="18"/>
    <x v="6"/>
    <d v="2022-05-08T00:00:00"/>
    <n v="200"/>
    <n v="0"/>
    <n v="200"/>
    <n v="0"/>
    <n v="59.462388145143805"/>
    <n v="11892.477629028761"/>
    <n v="0"/>
    <n v="11892.477629028761"/>
    <n v="144"/>
    <n v="180"/>
    <n v="0"/>
    <n v="180"/>
    <n v="180"/>
    <n v="0"/>
    <n v="10489.165268803366"/>
    <n v="0"/>
    <n v="10489.165268803366"/>
    <n v="10489.165268803366"/>
    <n v="0"/>
    <n v="90"/>
    <n v="0"/>
    <n v="90"/>
    <n v="90"/>
    <n v="0"/>
    <n v="180"/>
    <n v="0"/>
    <n v="180"/>
    <n v="180"/>
    <n v="0"/>
    <n v="10596.197567464626"/>
    <n v="0"/>
    <n v="10596.197567464626"/>
    <n v="10596.197567464626"/>
    <n v="0"/>
    <n v="0"/>
    <n v="59.462388145143805"/>
    <s v="-"/>
    <n v="58.867764263692365"/>
    <n v="0"/>
    <n v="0"/>
    <n v="0"/>
    <n v="0"/>
    <n v="0"/>
    <n v="0"/>
    <n v="0"/>
    <e v="#REF!"/>
    <e v="#REF!"/>
    <e v="#REF!"/>
    <x v="5"/>
  </r>
  <r>
    <x v="19"/>
    <x v="19"/>
    <x v="2"/>
    <d v="2022-05-09T00:00:00"/>
    <n v="2569.7659010896896"/>
    <n v="720"/>
    <n v="1849.7659010896898"/>
    <n v="51.51638900225894"/>
    <n v="52.009250056302179"/>
    <n v="133296.73737702123"/>
    <n v="37091.800081626439"/>
    <n v="96204.937295394804"/>
    <n v="146"/>
    <n v="2569.7659010896896"/>
    <n v="720"/>
    <n v="1849.7659010896898"/>
    <n v="924.8829505448449"/>
    <n v="924.8829505448449"/>
    <n v="130630.80262948081"/>
    <n v="36349.964079993908"/>
    <n v="94280.8385494869"/>
    <n v="47140.41927474345"/>
    <n v="47140.41927474345"/>
    <n v="90"/>
    <n v="0"/>
    <n v="90"/>
    <n v="90"/>
    <n v="0"/>
    <n v="2569.7659010896896"/>
    <n v="720"/>
    <n v="1849.7659010896898"/>
    <n v="924.8829505448449"/>
    <n v="924.8829505448449"/>
    <n v="131963.77000325103"/>
    <n v="36720.882080810174"/>
    <n v="95242.887922440859"/>
    <n v="47621.44396122043"/>
    <n v="47621.44396122043"/>
    <n v="51.51638900225894"/>
    <n v="52.009250056302179"/>
    <n v="51.001225112236355"/>
    <n v="51.489157555739162"/>
    <n v="197045.00000000003"/>
    <n v="103550.63471987376"/>
    <n v="73587.613519412698"/>
    <n v="12015.371860386142"/>
    <n v="7891.3799003274244"/>
    <n v="0"/>
    <n v="197045.00000000003"/>
    <e v="#REF!"/>
    <e v="#REF!"/>
    <e v="#REF!"/>
    <x v="5"/>
  </r>
  <r>
    <x v="19"/>
    <x v="19"/>
    <x v="3"/>
    <d v="2022-05-10T00:00:00"/>
    <n v="2729.1471751886002"/>
    <n v="480"/>
    <n v="2249.1471751886002"/>
    <n v="45.092926178693276"/>
    <n v="49.577257240008969"/>
    <n v="133151.15264073753"/>
    <n v="21644.604565772774"/>
    <n v="111506.54807496475"/>
    <n v="147"/>
    <n v="2729.1471751886002"/>
    <n v="480"/>
    <n v="2249.1471751886002"/>
    <n v="1124.5735875943001"/>
    <n v="1124.5735875943001"/>
    <n v="130488.12958792278"/>
    <n v="21211.712474457319"/>
    <n v="109276.41711346546"/>
    <n v="54638.20855673273"/>
    <n v="54638.20855673273"/>
    <n v="90"/>
    <n v="0"/>
    <n v="90"/>
    <n v="90"/>
    <n v="0"/>
    <n v="2729.1471751886002"/>
    <n v="480"/>
    <n v="2249.1471751886002"/>
    <n v="1124.5735875943001"/>
    <n v="1124.5735875943001"/>
    <n v="131819.64111433015"/>
    <n v="21428.158520115045"/>
    <n v="110391.48259421511"/>
    <n v="55195.741297107554"/>
    <n v="55195.741297107554"/>
    <n v="45.092926178693276"/>
    <n v="49.577257240008969"/>
    <n v="44.641996916906344"/>
    <n v="49.081484667608883"/>
    <n v="163489.00000000009"/>
    <n v="72367.766312853171"/>
    <n v="75905.133237487928"/>
    <n v="7142.2254397901243"/>
    <n v="8073.8750098688652"/>
    <n v="0"/>
    <n v="163489.00000000009"/>
    <e v="#REF!"/>
    <e v="#REF!"/>
    <e v="#REF!"/>
    <x v="5"/>
  </r>
  <r>
    <x v="19"/>
    <x v="19"/>
    <x v="4"/>
    <d v="2022-05-11T00:00:00"/>
    <n v="2573.5368063704946"/>
    <n v="440"/>
    <n v="2133.5368063704946"/>
    <n v="51.569276161159642"/>
    <n v="50.615994786165921"/>
    <n v="130681.56937825229"/>
    <n v="22690.481510910242"/>
    <n v="107991.08786734204"/>
    <n v="148"/>
    <n v="2573.5368063704946"/>
    <n v="440"/>
    <n v="2133.5368063704946"/>
    <n v="1066.7684031852473"/>
    <n v="1066.7684031852473"/>
    <n v="128067.93799068723"/>
    <n v="22236.671880692036"/>
    <n v="105831.26610999519"/>
    <n v="52915.633054997597"/>
    <n v="52915.633054997597"/>
    <n v="90"/>
    <n v="0"/>
    <n v="90"/>
    <n v="90"/>
    <n v="0"/>
    <n v="2573.5368063704946"/>
    <n v="440"/>
    <n v="2133.5368063704946"/>
    <n v="1066.7684031852473"/>
    <n v="1066.7684031852473"/>
    <n v="129374.75368446976"/>
    <n v="22463.576695801141"/>
    <n v="106911.17698866862"/>
    <n v="53455.588494334312"/>
    <n v="53455.588494334312"/>
    <n v="51.569276161159642"/>
    <n v="50.615994786165921"/>
    <n v="51.053583399548046"/>
    <n v="50.109834838304259"/>
    <n v="144211.00000000009"/>
    <n v="63834.435024636943"/>
    <n v="64732.598942045959"/>
    <n v="6300.0414272371454"/>
    <n v="9343.9246060800288"/>
    <n v="0"/>
    <n v="144211.00000000009"/>
    <e v="#REF!"/>
    <e v="#REF!"/>
    <e v="#REF!"/>
    <x v="5"/>
  </r>
  <r>
    <x v="19"/>
    <x v="19"/>
    <x v="5"/>
    <d v="2022-05-12T00:00:00"/>
    <n v="2568.4205863192183"/>
    <n v="490"/>
    <n v="2078.4205863192183"/>
    <n v="52.64142287469457"/>
    <n v="49.832329712558945"/>
    <n v="129366.8371474297"/>
    <n v="25794.297208600339"/>
    <n v="103572.53993882936"/>
    <n v="149"/>
    <n v="2568.4205863192183"/>
    <n v="490"/>
    <n v="2078.4205863192183"/>
    <n v="1039.2102931596091"/>
    <n v="1039.2102931596091"/>
    <n v="126779.50040448111"/>
    <n v="25278.41126442833"/>
    <n v="101501.08914005278"/>
    <n v="50750.544570026388"/>
    <n v="50750.544570026388"/>
    <n v="90"/>
    <n v="0"/>
    <n v="90"/>
    <n v="90"/>
    <n v="0"/>
    <n v="2568.4205863192183"/>
    <n v="490"/>
    <n v="2078.4205863192183"/>
    <n v="1039.2102931596091"/>
    <n v="1039.2102931596091"/>
    <n v="128073.1687759554"/>
    <n v="25536.354236514337"/>
    <n v="102536.81453944107"/>
    <n v="51268.407269720534"/>
    <n v="51268.407269720534"/>
    <n v="52.64142287469457"/>
    <n v="49.832329712558945"/>
    <n v="52.115008645947626"/>
    <n v="49.334006415433358"/>
    <n v="127871.00000000007"/>
    <n v="56601.597943536559"/>
    <n v="56545.688962901768"/>
    <n v="5586.2076911070653"/>
    <n v="9137.5054024546862"/>
    <n v="0"/>
    <n v="127871.00000000007"/>
    <e v="#REF!"/>
    <e v="#REF!"/>
    <e v="#REF!"/>
    <x v="5"/>
  </r>
  <r>
    <x v="19"/>
    <x v="19"/>
    <x v="0"/>
    <d v="2022-05-13T00:00:00"/>
    <n v="3400.5284690553744"/>
    <n v="1090"/>
    <n v="2310.5284690553744"/>
    <n v="54.290223134897275"/>
    <n v="51.239314440758186"/>
    <n v="177566.23796728998"/>
    <n v="59176.343217038033"/>
    <n v="118389.89475025194"/>
    <n v="150"/>
    <n v="3400.5284690553744"/>
    <n v="1090"/>
    <n v="2310.5284690553744"/>
    <n v="1155.2642345276872"/>
    <n v="1155.2642345276872"/>
    <n v="174014.91320794416"/>
    <n v="57992.816352697271"/>
    <n v="116022.0968552469"/>
    <n v="58011.048427623449"/>
    <n v="58011.048427623449"/>
    <n v="90"/>
    <n v="0"/>
    <n v="90"/>
    <n v="90"/>
    <n v="0"/>
    <n v="3400.5284690553744"/>
    <n v="1090"/>
    <n v="2310.5284690553744"/>
    <n v="1155.2642345276872"/>
    <n v="1155.2642345276872"/>
    <n v="175790.57558761709"/>
    <n v="58584.579784867652"/>
    <n v="117205.99580274943"/>
    <n v="58602.997901374714"/>
    <n v="58602.997901374714"/>
    <n v="54.290223134897275"/>
    <n v="51.239314440758186"/>
    <n v="53.747320903548307"/>
    <n v="50.726921296350604"/>
    <n v="128108.00000000009"/>
    <n v="56706.505066438687"/>
    <n v="56773.595508945058"/>
    <n v="5596.5613383202126"/>
    <n v="9031.3380862961239"/>
    <n v="0"/>
    <n v="128108.00000000009"/>
    <e v="#REF!"/>
    <e v="#REF!"/>
    <e v="#REF!"/>
    <x v="5"/>
  </r>
  <r>
    <x v="19"/>
    <x v="19"/>
    <x v="1"/>
    <d v="2022-05-14T00:00:00"/>
    <n v="3101.1723778501632"/>
    <n v="970"/>
    <n v="2131.1723778501632"/>
    <n v="53.742510277815683"/>
    <n v="51.372184093925085"/>
    <n v="161613.21470028788"/>
    <n v="52130.234969481215"/>
    <n v="109482.97973080666"/>
    <n v="151"/>
    <n v="3101.1723778501632"/>
    <n v="970"/>
    <n v="2131.1723778501632"/>
    <n v="1065.5861889250816"/>
    <n v="1065.5861889250816"/>
    <n v="158380.95040628212"/>
    <n v="51087.630270091591"/>
    <n v="107293.32013619052"/>
    <n v="53646.660068095262"/>
    <n v="53646.660068095262"/>
    <n v="90"/>
    <n v="0"/>
    <n v="90"/>
    <n v="90"/>
    <n v="0"/>
    <n v="3101.1723778501632"/>
    <n v="970"/>
    <n v="2131.1723778501632"/>
    <n v="1065.5861889250816"/>
    <n v="1065.5861889250816"/>
    <n v="159997.082553285"/>
    <n v="51608.932619786399"/>
    <n v="108388.1499334986"/>
    <n v="54194.0749667493"/>
    <n v="54194.0749667493"/>
    <n v="53.742510277815683"/>
    <n v="51.372184093925085"/>
    <n v="53.205085175037524"/>
    <n v="50.858462252985838"/>
    <n v="123690"/>
    <n v="65001.284013809971"/>
    <n v="45845.532736154797"/>
    <n v="6305.4448725477023"/>
    <n v="6537.7383774875398"/>
    <n v="0"/>
    <n v="123690"/>
    <e v="#REF!"/>
    <e v="#REF!"/>
    <e v="#REF!"/>
    <x v="5"/>
  </r>
  <r>
    <x v="19"/>
    <x v="19"/>
    <x v="6"/>
    <d v="2022-05-15T00:00:00"/>
    <n v="200"/>
    <n v="0"/>
    <n v="200"/>
    <n v="0"/>
    <n v="58.390957486220714"/>
    <n v="11678.191497244143"/>
    <n v="0"/>
    <n v="11678.191497244143"/>
    <n v="152"/>
    <n v="180"/>
    <n v="0"/>
    <n v="180"/>
    <n v="180"/>
    <n v="0"/>
    <n v="10300.164900569334"/>
    <n v="0"/>
    <n v="10300.164900569334"/>
    <n v="10300.164900569334"/>
    <n v="0"/>
    <n v="90"/>
    <n v="0"/>
    <n v="90"/>
    <n v="90"/>
    <n v="0"/>
    <n v="180"/>
    <n v="0"/>
    <n v="180"/>
    <n v="180"/>
    <n v="0"/>
    <n v="10405.268624044533"/>
    <n v="0"/>
    <n v="10405.268624044533"/>
    <n v="10405.268624044533"/>
    <n v="0"/>
    <n v="0"/>
    <n v="58.390957486220714"/>
    <s v="-"/>
    <n v="57.807047911358517"/>
    <n v="0"/>
    <n v="0"/>
    <n v="0"/>
    <n v="0"/>
    <n v="0"/>
    <n v="0"/>
    <n v="0"/>
    <e v="#REF!"/>
    <e v="#REF!"/>
    <e v="#REF!"/>
    <x v="5"/>
  </r>
  <r>
    <x v="20"/>
    <x v="20"/>
    <x v="2"/>
    <d v="2022-05-16T00:00:00"/>
    <n v="2709.6148534201957"/>
    <n v="800"/>
    <n v="1909.6148534201955"/>
    <n v="51.516389002258954"/>
    <n v="51.066410583824897"/>
    <n v="138730.28736353345"/>
    <n v="41213.111201807165"/>
    <n v="97517.176161726296"/>
    <n v="154"/>
    <n v="2709.6148534201957"/>
    <n v="800"/>
    <n v="1909.6148534201955"/>
    <n v="954.80742671009773"/>
    <n v="954.80742671009773"/>
    <n v="135955.68161626279"/>
    <n v="40388.84897777102"/>
    <n v="95566.832638491775"/>
    <n v="47783.416319245887"/>
    <n v="47783.416319245887"/>
    <n v="90"/>
    <n v="0"/>
    <n v="90"/>
    <n v="90"/>
    <n v="0"/>
    <n v="2709.6148534201957"/>
    <n v="800"/>
    <n v="1909.6148534201955"/>
    <n v="954.80742671009773"/>
    <n v="954.80742671009773"/>
    <n v="137342.98448989814"/>
    <n v="40800.980089789096"/>
    <n v="96542.004400109028"/>
    <n v="48271.002200054514"/>
    <n v="48271.002200054514"/>
    <n v="51.516389002258954"/>
    <n v="51.066410583824897"/>
    <n v="51.001225112236369"/>
    <n v="50.555746477986645"/>
    <n v="0"/>
    <n v="0"/>
    <n v="0"/>
    <n v="0"/>
    <n v="0"/>
    <n v="0"/>
    <n v="0"/>
    <e v="#REF!"/>
    <e v="#REF!"/>
    <e v="#REF!"/>
    <x v="5"/>
  </r>
  <r>
    <x v="20"/>
    <x v="20"/>
    <x v="3"/>
    <d v="2022-05-17T00:00:00"/>
    <n v="2851.0788273615635"/>
    <n v="530"/>
    <n v="2321.0788273615635"/>
    <n v="44.776355269785725"/>
    <n v="48.678756863824148"/>
    <n v="136718.70019189006"/>
    <n v="23731.468292986436"/>
    <n v="112987.23189890361"/>
    <n v="155"/>
    <n v="2851.0788273615635"/>
    <n v="530"/>
    <n v="2321.0788273615635"/>
    <n v="1160.5394136807818"/>
    <n v="1160.5394136807818"/>
    <n v="133984.32618805225"/>
    <n v="23256.838927126708"/>
    <n v="110727.48726092554"/>
    <n v="55363.74363046277"/>
    <n v="55363.74363046277"/>
    <n v="90"/>
    <n v="0"/>
    <n v="90"/>
    <n v="90"/>
    <n v="0"/>
    <n v="2851.0788273615635"/>
    <n v="530"/>
    <n v="2321.0788273615635"/>
    <n v="1160.5394136807818"/>
    <n v="1160.5394136807818"/>
    <n v="135351.51318997116"/>
    <n v="23494.153610056572"/>
    <n v="111857.35957991457"/>
    <n v="55928.679789957285"/>
    <n v="55928.679789957285"/>
    <n v="44.776355269785725"/>
    <n v="48.678756863824148"/>
    <n v="44.328591717087875"/>
    <n v="48.191969295185899"/>
    <n v="0"/>
    <n v="0"/>
    <n v="0"/>
    <n v="0"/>
    <n v="0"/>
    <n v="0"/>
    <n v="0"/>
    <e v="#REF!"/>
    <e v="#REF!"/>
    <e v="#REF!"/>
    <x v="5"/>
  </r>
  <r>
    <x v="20"/>
    <x v="20"/>
    <x v="4"/>
    <d v="2022-05-18T00:00:00"/>
    <n v="2685.0248859934859"/>
    <n v="480"/>
    <n v="2205.0248859934859"/>
    <n v="51.569276161159642"/>
    <n v="49.698556572758434"/>
    <n v="134339.80659824412"/>
    <n v="24753.252557356627"/>
    <n v="109586.55404088748"/>
    <n v="156"/>
    <n v="2685.0248859934859"/>
    <n v="480"/>
    <n v="2205.0248859934859"/>
    <n v="1102.5124429967429"/>
    <n v="1102.5124429967429"/>
    <n v="131653.01046627923"/>
    <n v="24258.187506209495"/>
    <n v="107394.82296006972"/>
    <n v="53697.411480034862"/>
    <n v="53697.411480034862"/>
    <n v="90"/>
    <n v="0"/>
    <n v="90"/>
    <n v="90"/>
    <n v="0"/>
    <n v="2685.0248859934859"/>
    <n v="480"/>
    <n v="2205.0248859934859"/>
    <n v="1102.5124429967429"/>
    <n v="1102.5124429967429"/>
    <n v="132996.40853226167"/>
    <n v="24505.720031783061"/>
    <n v="108490.6885004786"/>
    <n v="54245.344250239301"/>
    <n v="54245.344250239301"/>
    <n v="51.569276161159642"/>
    <n v="49.698556572758434"/>
    <n v="51.053583399548046"/>
    <n v="49.20157100703085"/>
    <n v="0"/>
    <n v="0"/>
    <n v="0"/>
    <n v="0"/>
    <n v="0"/>
    <n v="0"/>
    <n v="0"/>
    <e v="#REF!"/>
    <e v="#REF!"/>
    <e v="#REF!"/>
    <x v="5"/>
  </r>
  <r>
    <x v="20"/>
    <x v="20"/>
    <x v="5"/>
    <d v="2022-05-19T00:00:00"/>
    <n v="2403.6835188509876"/>
    <n v="510"/>
    <n v="1893.6835188509874"/>
    <n v="50.337687156987236"/>
    <n v="49.430249604336865"/>
    <n v="119277.46945848674"/>
    <n v="25672.220450063491"/>
    <n v="93605.249008423256"/>
    <n v="157"/>
    <n v="2403.6835188509876"/>
    <n v="510"/>
    <n v="1893.6835188509874"/>
    <n v="946.84175942549371"/>
    <n v="946.84175942549371"/>
    <n v="116891.92006931701"/>
    <n v="25158.776041062221"/>
    <n v="91733.144028254785"/>
    <n v="45866.572014127392"/>
    <n v="45866.572014127392"/>
    <n v="90"/>
    <n v="0"/>
    <n v="90"/>
    <n v="90"/>
    <n v="0"/>
    <n v="2403.6835188509876"/>
    <n v="510"/>
    <n v="1893.6835188509874"/>
    <n v="946.84175942549371"/>
    <n v="946.84175942549371"/>
    <n v="118084.69476390188"/>
    <n v="25415.498245562856"/>
    <n v="92669.196518339028"/>
    <n v="46334.598259169514"/>
    <n v="46334.598259169514"/>
    <n v="50.337687156987236"/>
    <n v="49.430249604336865"/>
    <n v="49.834310285417367"/>
    <n v="48.935947108293497"/>
    <n v="0"/>
    <n v="0"/>
    <n v="0"/>
    <n v="0"/>
    <n v="0"/>
    <n v="0"/>
    <n v="0"/>
    <e v="#REF!"/>
    <e v="#REF!"/>
    <e v="#REF!"/>
    <x v="5"/>
  </r>
  <r>
    <x v="20"/>
    <x v="20"/>
    <x v="0"/>
    <d v="2022-05-20T00:00:00"/>
    <n v="3247.0956193895872"/>
    <n v="1130"/>
    <n v="2117.0956193895872"/>
    <n v="51.914331311914545"/>
    <n v="50.825514283223022"/>
    <n v="166265.66802469781"/>
    <n v="58663.194382463436"/>
    <n v="107602.47364223436"/>
    <n v="158"/>
    <n v="3247.0956193895872"/>
    <n v="1130"/>
    <n v="2117.0956193895872"/>
    <n v="1058.5478096947936"/>
    <n v="1058.5478096947936"/>
    <n v="162940.35466420383"/>
    <n v="57489.930494814165"/>
    <n v="105450.42416938966"/>
    <n v="52725.212084694831"/>
    <n v="52725.212084694831"/>
    <n v="90"/>
    <n v="0"/>
    <n v="90"/>
    <n v="90"/>
    <n v="0"/>
    <n v="3247.0956193895872"/>
    <n v="1130"/>
    <n v="2117.0956193895872"/>
    <n v="1058.5478096947936"/>
    <n v="1058.5478096947936"/>
    <n v="164603.01134445082"/>
    <n v="58076.562438638801"/>
    <n v="106526.44890581201"/>
    <n v="53263.224452906004"/>
    <n v="53263.224452906004"/>
    <n v="51.914331311914545"/>
    <n v="50.825514283223022"/>
    <n v="51.3951879987954"/>
    <n v="50.317259140390789"/>
    <n v="0"/>
    <n v="0"/>
    <n v="0"/>
    <n v="0"/>
    <n v="0"/>
    <n v="0"/>
    <n v="0"/>
    <e v="#REF!"/>
    <e v="#REF!"/>
    <e v="#REF!"/>
    <x v="5"/>
  </r>
  <r>
    <x v="20"/>
    <x v="20"/>
    <x v="1"/>
    <d v="2022-05-21T00:00:00"/>
    <n v="2946.8768761220826"/>
    <n v="1000"/>
    <n v="1946.8768761220826"/>
    <n v="51.390587899483222"/>
    <n v="50.95727714478366"/>
    <n v="150598.13244280685"/>
    <n v="51390.587899483224"/>
    <n v="99207.544543323616"/>
    <n v="159"/>
    <n v="2946.8768761220826"/>
    <n v="1000"/>
    <n v="1946.8768761220826"/>
    <n v="973.43843806104132"/>
    <n v="973.43843806104132"/>
    <n v="147586.16979395071"/>
    <n v="50362.776141493559"/>
    <n v="97223.393652457147"/>
    <n v="48611.696826228574"/>
    <n v="48611.696826228574"/>
    <n v="90"/>
    <n v="0"/>
    <n v="90"/>
    <n v="90"/>
    <n v="0"/>
    <n v="2946.8768761220826"/>
    <n v="1000"/>
    <n v="1946.8768761220826"/>
    <n v="973.43843806104132"/>
    <n v="973.43843806104132"/>
    <n v="149092.15111837877"/>
    <n v="50876.682020488392"/>
    <n v="98215.469097890382"/>
    <n v="49107.734548945191"/>
    <n v="49107.734548945191"/>
    <n v="51.390587899483222"/>
    <n v="50.95727714478366"/>
    <n v="50.876682020488389"/>
    <n v="50.447704373335824"/>
    <n v="0"/>
    <n v="0"/>
    <n v="0"/>
    <n v="0"/>
    <n v="0"/>
    <n v="0"/>
    <n v="0"/>
    <e v="#REF!"/>
    <e v="#REF!"/>
    <e v="#REF!"/>
    <x v="5"/>
  </r>
  <r>
    <x v="20"/>
    <x v="20"/>
    <x v="6"/>
    <d v="2022-05-22T00:00:00"/>
    <n v="200"/>
    <n v="0"/>
    <n v="200"/>
    <n v="0"/>
    <n v="57.940903521056399"/>
    <n v="11588.18070421128"/>
    <n v="0"/>
    <n v="11588.18070421128"/>
    <n v="160"/>
    <n v="180"/>
    <n v="0"/>
    <n v="180"/>
    <n v="180"/>
    <n v="0"/>
    <n v="10220.775381114348"/>
    <n v="0"/>
    <n v="10220.775381114348"/>
    <n v="10220.775381114348"/>
    <n v="0"/>
    <n v="90"/>
    <n v="0"/>
    <n v="90"/>
    <n v="90"/>
    <n v="0"/>
    <n v="180"/>
    <n v="0"/>
    <n v="180"/>
    <n v="180"/>
    <n v="0"/>
    <n v="10325.06900745225"/>
    <n v="0"/>
    <n v="10325.06900745225"/>
    <n v="10325.06900745225"/>
    <n v="0"/>
    <n v="0"/>
    <n v="57.940903521056399"/>
    <s v="-"/>
    <n v="57.361494485845832"/>
    <n v="0"/>
    <n v="0"/>
    <n v="0"/>
    <n v="0"/>
    <n v="0"/>
    <n v="0"/>
    <n v="0"/>
    <e v="#REF!"/>
    <e v="#REF!"/>
    <e v="#REF!"/>
    <x v="5"/>
  </r>
  <r>
    <x v="21"/>
    <x v="21"/>
    <x v="2"/>
    <d v="2022-05-23T00:00:00"/>
    <n v="2564.7421184919208"/>
    <n v="820"/>
    <n v="1744.7421184919208"/>
    <n v="49.261887909567939"/>
    <n v="50.654050699015556"/>
    <n v="128773.00381264328"/>
    <n v="40394.748085845713"/>
    <n v="88378.255726797564"/>
    <n v="162"/>
    <n v="2564.7421184919208"/>
    <n v="820"/>
    <n v="1744.7421184919208"/>
    <n v="872.3710592459604"/>
    <n v="872.3710592459604"/>
    <n v="126197.54373639041"/>
    <n v="39586.8531241288"/>
    <n v="86610.690612261606"/>
    <n v="43305.345306130803"/>
    <n v="43305.345306130803"/>
    <n v="90"/>
    <n v="0"/>
    <n v="90"/>
    <n v="90"/>
    <n v="0"/>
    <n v="2564.7421184919208"/>
    <n v="820"/>
    <n v="1744.7421184919208"/>
    <n v="872.3710592459604"/>
    <n v="872.3710592459604"/>
    <n v="127485.27377451686"/>
    <n v="39990.800604987257"/>
    <n v="87494.473169529592"/>
    <n v="43747.236584764796"/>
    <n v="43747.236584764796"/>
    <n v="49.261887909567939"/>
    <n v="50.654050699015556"/>
    <n v="48.769269030472266"/>
    <n v="50.1475101920254"/>
    <n v="0"/>
    <n v="0"/>
    <n v="0"/>
    <n v="0"/>
    <n v="0"/>
    <n v="0"/>
    <n v="0"/>
    <e v="#REF!"/>
    <e v="#REF!"/>
    <e v="#REF!"/>
    <x v="5"/>
  </r>
  <r>
    <x v="21"/>
    <x v="21"/>
    <x v="3"/>
    <d v="2022-05-24T00:00:00"/>
    <n v="2677.7342908438063"/>
    <n v="550"/>
    <n v="2127.7342908438063"/>
    <n v="44.45978436087816"/>
    <n v="48.28628590799898"/>
    <n v="127193.26770242047"/>
    <n v="24452.881398482987"/>
    <n v="102740.38630393748"/>
    <n v="163"/>
    <n v="2677.7342908438063"/>
    <n v="550"/>
    <n v="2127.7342908438063"/>
    <n v="1063.8671454219032"/>
    <n v="1063.8671454219032"/>
    <n v="124649.40234837205"/>
    <n v="23963.823770513325"/>
    <n v="100685.57857785873"/>
    <n v="50342.789288929365"/>
    <n v="50342.789288929365"/>
    <n v="90"/>
    <n v="0"/>
    <n v="90"/>
    <n v="90"/>
    <n v="0"/>
    <n v="2677.7342908438063"/>
    <n v="550"/>
    <n v="2127.7342908438063"/>
    <n v="1063.8671454219032"/>
    <n v="1063.8671454219032"/>
    <n v="125921.33502539626"/>
    <n v="24208.352584498156"/>
    <n v="101712.98244089811"/>
    <n v="50856.491220449054"/>
    <n v="50856.491220449054"/>
    <n v="44.45978436087816"/>
    <n v="48.28628590799898"/>
    <n v="44.015186517269377"/>
    <n v="47.803423048918987"/>
    <n v="0"/>
    <n v="0"/>
    <n v="0"/>
    <n v="0"/>
    <n v="0"/>
    <n v="0"/>
    <n v="0"/>
    <e v="#REF!"/>
    <e v="#REF!"/>
    <e v="#REF!"/>
    <x v="5"/>
  </r>
  <r>
    <x v="21"/>
    <x v="21"/>
    <x v="4"/>
    <d v="2022-05-25T00:00:00"/>
    <n v="2521.3475763016158"/>
    <n v="500"/>
    <n v="2021.3475763016158"/>
    <n v="49.312460578655973"/>
    <n v="49.297590782100578"/>
    <n v="124303.79593423587"/>
    <n v="24656.230289327985"/>
    <n v="99647.565644907882"/>
    <n v="164"/>
    <n v="2521.3475763016158"/>
    <n v="500"/>
    <n v="2021.3475763016158"/>
    <n v="1010.6737881508079"/>
    <n v="1010.6737881508079"/>
    <n v="121817.72001555114"/>
    <n v="24163.105683541424"/>
    <n v="97654.614332009718"/>
    <n v="48827.307166004859"/>
    <n v="48827.307166004859"/>
    <n v="90"/>
    <n v="0"/>
    <n v="90"/>
    <n v="90"/>
    <n v="0"/>
    <n v="2521.3475763016158"/>
    <n v="500"/>
    <n v="2021.3475763016158"/>
    <n v="1010.6737881508079"/>
    <n v="1010.6737881508079"/>
    <n v="123060.75797489351"/>
    <n v="24409.667986434706"/>
    <n v="98651.0899884588"/>
    <n v="49325.5449942294"/>
    <n v="49325.5449942294"/>
    <n v="49.312460578655973"/>
    <n v="49.297590782100578"/>
    <n v="48.819335972869411"/>
    <n v="48.804614874279572"/>
    <n v="0"/>
    <n v="0"/>
    <n v="0"/>
    <n v="0"/>
    <n v="0"/>
    <n v="0"/>
    <n v="0"/>
    <e v="#REF!"/>
    <e v="#REF!"/>
    <e v="#REF!"/>
    <x v="5"/>
  </r>
  <r>
    <x v="21"/>
    <x v="21"/>
    <x v="5"/>
    <d v="2022-05-26T00:00:00"/>
    <n v="0"/>
    <n v="0"/>
    <n v="0"/>
    <n v="0"/>
    <n v="0"/>
    <n v="0"/>
    <n v="0"/>
    <n v="0"/>
    <n v="165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5"/>
  </r>
  <r>
    <x v="21"/>
    <x v="21"/>
    <x v="0"/>
    <d v="2022-05-27T00:00:00"/>
    <n v="2180.4246509298218"/>
    <n v="571.35621982753628"/>
    <n v="1609.0684311022853"/>
    <n v="57.414296503461678"/>
    <n v="53.405695527347376"/>
    <n v="118737.43412839038"/>
    <n v="32804.0154142752"/>
    <n v="85933.418714115178"/>
    <n v="166"/>
    <n v="2180.4246509298218"/>
    <n v="571.35621982753628"/>
    <n v="1609.0684311022853"/>
    <n v="804.53421555114267"/>
    <n v="804.53421555114267"/>
    <n v="116362.68544582257"/>
    <n v="32147.935105989694"/>
    <n v="84214.75033983287"/>
    <n v="42107.375169916435"/>
    <n v="42107.375169916435"/>
    <n v="90"/>
    <n v="0"/>
    <n v="90"/>
    <n v="90"/>
    <n v="0"/>
    <n v="2180.4246509298218"/>
    <n v="571.35621982753628"/>
    <n v="1609.0684311022853"/>
    <n v="804.53421555114267"/>
    <n v="804.53421555114267"/>
    <n v="117550.05978710647"/>
    <n v="32475.975260132447"/>
    <n v="85074.084526974024"/>
    <n v="42537.042263487012"/>
    <n v="42537.042263487012"/>
    <n v="57.414296503461678"/>
    <n v="53.405695527347376"/>
    <n v="56.84015353842706"/>
    <n v="52.871638572073898"/>
    <n v="0"/>
    <n v="0"/>
    <n v="0"/>
    <n v="0"/>
    <n v="0"/>
    <n v="0"/>
    <n v="0"/>
    <e v="#REF!"/>
    <e v="#REF!"/>
    <e v="#REF!"/>
    <x v="5"/>
  </r>
  <r>
    <x v="21"/>
    <x v="21"/>
    <x v="1"/>
    <d v="2022-05-28T00:00:00"/>
    <n v="2776.7177100660892"/>
    <n v="786.65064169187474"/>
    <n v="1990.0670683742144"/>
    <n v="56.835066090333626"/>
    <n v="53.544041105058447"/>
    <n v="151265.57412141314"/>
    <n v="44709.341210561055"/>
    <n v="106556.23291085209"/>
    <n v="167"/>
    <n v="2776.7177100660892"/>
    <n v="786.65064169187474"/>
    <n v="1990.0670683742144"/>
    <n v="995.03353418710719"/>
    <n v="995.03353418710719"/>
    <n v="148240.26263898489"/>
    <n v="43815.15438634983"/>
    <n v="104425.10825263505"/>
    <n v="52212.554126317526"/>
    <n v="52212.554126317526"/>
    <n v="90"/>
    <n v="0"/>
    <n v="90"/>
    <n v="90"/>
    <n v="0"/>
    <n v="2776.7177100660892"/>
    <n v="786.65064169187474"/>
    <n v="1990.0670683742144"/>
    <n v="995.03353418710719"/>
    <n v="995.03353418710719"/>
    <n v="149752.918380199"/>
    <n v="44262.247798455443"/>
    <n v="105490.67058174357"/>
    <n v="52745.335290871786"/>
    <n v="52745.335290871786"/>
    <n v="56.835066090333626"/>
    <n v="53.544041105058447"/>
    <n v="56.266715429430285"/>
    <n v="53.00860069400786"/>
    <n v="0"/>
    <n v="0"/>
    <n v="0"/>
    <n v="0"/>
    <n v="0"/>
    <n v="0"/>
    <n v="0"/>
    <e v="#REF!"/>
    <e v="#REF!"/>
    <e v="#REF!"/>
    <x v="5"/>
  </r>
  <r>
    <x v="21"/>
    <x v="21"/>
    <x v="6"/>
    <d v="2022-05-29T00:00:00"/>
    <n v="200"/>
    <n v="0"/>
    <n v="200"/>
    <n v="0"/>
    <n v="60.972369175846737"/>
    <n v="12194.473835169347"/>
    <n v="0"/>
    <n v="12194.473835169347"/>
    <n v="168"/>
    <n v="180"/>
    <n v="0"/>
    <n v="180"/>
    <n v="180"/>
    <n v="0"/>
    <n v="10755.525922619365"/>
    <n v="0"/>
    <n v="10755.525922619365"/>
    <n v="10755.525922619365"/>
    <n v="0"/>
    <n v="90"/>
    <n v="0"/>
    <n v="90"/>
    <n v="90"/>
    <n v="0"/>
    <n v="180"/>
    <n v="0"/>
    <n v="180"/>
    <n v="180"/>
    <n v="0"/>
    <n v="10865.276187135889"/>
    <n v="0"/>
    <n v="10865.276187135889"/>
    <n v="10865.276187135889"/>
    <n v="0"/>
    <n v="0"/>
    <n v="60.972369175846737"/>
    <s v="-"/>
    <n v="60.362645484088269"/>
    <n v="0"/>
    <n v="0"/>
    <n v="0"/>
    <n v="0"/>
    <n v="0"/>
    <n v="0"/>
    <n v="0"/>
    <e v="#REF!"/>
    <e v="#REF!"/>
    <e v="#REF!"/>
    <x v="5"/>
  </r>
  <r>
    <x v="22"/>
    <x v="22"/>
    <x v="2"/>
    <d v="2022-05-30T00:00:00"/>
    <n v="1724.9116505139716"/>
    <n v="490"/>
    <n v="1234.9116505139716"/>
    <n v="54.480845024601386"/>
    <n v="53.225665826013994"/>
    <n v="92424.608896962716"/>
    <n v="26695.614062054679"/>
    <n v="65728.994834908037"/>
    <n v="170"/>
    <n v="1724.9116505139716"/>
    <n v="490"/>
    <n v="1234.9116505139716"/>
    <n v="617.4558252569858"/>
    <n v="617.4558252569858"/>
    <n v="90576.11671902347"/>
    <n v="26161.701780813586"/>
    <n v="64414.414938209877"/>
    <n v="32207.207469104938"/>
    <n v="32207.207469104938"/>
    <n v="90"/>
    <n v="0"/>
    <n v="90"/>
    <n v="90"/>
    <n v="0"/>
    <n v="1724.9116505139716"/>
    <n v="490"/>
    <n v="1234.9116505139716"/>
    <n v="617.4558252569858"/>
    <n v="617.4558252569858"/>
    <n v="91500.362807993079"/>
    <n v="26428.657921434133"/>
    <n v="65071.704886558953"/>
    <n v="32535.852443279477"/>
    <n v="32535.852443279477"/>
    <n v="54.480845024601386"/>
    <n v="53.225665826013994"/>
    <n v="53.93603657435537"/>
    <n v="52.693409167753856"/>
    <n v="0"/>
    <n v="0"/>
    <n v="0"/>
    <n v="0"/>
    <n v="0"/>
    <n v="0"/>
    <n v="0"/>
    <e v="#REF!"/>
    <e v="#REF!"/>
    <e v="#REF!"/>
    <x v="5"/>
  </r>
  <r>
    <x v="22"/>
    <x v="22"/>
    <x v="3"/>
    <d v="2022-05-31T00:00:00"/>
    <n v="2037.1083359838078"/>
    <n v="380"/>
    <n v="1657.1083359838078"/>
    <n v="44.623303524205049"/>
    <n v="50.739610316765727"/>
    <n v="101037.88655968042"/>
    <n v="16956.855339197919"/>
    <n v="84081.031220482502"/>
    <n v="171"/>
    <n v="2037.1083359838078"/>
    <n v="380"/>
    <n v="1657.1083359838078"/>
    <n v="828.55416799190391"/>
    <n v="828.55416799190391"/>
    <n v="99017.128828486806"/>
    <n v="16617.718232413961"/>
    <n v="82399.410596072848"/>
    <n v="41199.705298036424"/>
    <n v="41199.705298036424"/>
    <n v="90"/>
    <n v="0"/>
    <n v="90"/>
    <n v="90"/>
    <n v="0"/>
    <n v="2037.1083359838078"/>
    <n v="380"/>
    <n v="1657.1083359838078"/>
    <n v="828.55416799190391"/>
    <n v="828.55416799190391"/>
    <n v="100027.50769408362"/>
    <n v="16787.28678580594"/>
    <n v="83240.220908277683"/>
    <n v="41620.110454138841"/>
    <n v="41620.110454138841"/>
    <n v="44.623303524205049"/>
    <n v="50.739610316765727"/>
    <n v="44.177070488962997"/>
    <n v="50.23221421359807"/>
    <n v="0"/>
    <n v="0"/>
    <n v="0"/>
    <n v="0"/>
    <n v="0"/>
    <n v="0"/>
    <n v="0"/>
    <e v="#REF!"/>
    <e v="#REF!"/>
    <e v="#REF!"/>
    <x v="5"/>
  </r>
  <r>
    <x v="22"/>
    <x v="22"/>
    <x v="4"/>
    <d v="2022-06-01T00:00:00"/>
    <n v="1948.7315903629519"/>
    <n v="370"/>
    <n v="1578.7315903629519"/>
    <n v="54.536775519025873"/>
    <n v="51.80143878187711"/>
    <n v="101959.17477324151"/>
    <n v="20178.606942039572"/>
    <n v="81780.567831201945"/>
    <n v="172"/>
    <n v="1948.7315903629519"/>
    <n v="370"/>
    <n v="1578.7315903629519"/>
    <n v="789.36579518147596"/>
    <n v="789.36579518147596"/>
    <n v="99919.991277776688"/>
    <n v="19775.034803198781"/>
    <n v="80144.956474577906"/>
    <n v="40072.478237288953"/>
    <n v="40072.478237288953"/>
    <n v="90"/>
    <n v="0"/>
    <n v="90"/>
    <n v="90"/>
    <n v="0"/>
    <n v="1948.7315903629519"/>
    <n v="370"/>
    <n v="1578.7315903629519"/>
    <n v="789.36579518147596"/>
    <n v="789.36579518147596"/>
    <n v="100939.5830255091"/>
    <n v="19976.820872619177"/>
    <n v="80962.762152889918"/>
    <n v="40481.381076444959"/>
    <n v="40481.381076444959"/>
    <n v="54.536775519025873"/>
    <n v="51.80143878187711"/>
    <n v="53.99140776383561"/>
    <n v="51.283424394058336"/>
    <n v="0"/>
    <n v="0"/>
    <n v="0"/>
    <n v="0"/>
    <n v="0"/>
    <n v="0"/>
    <n v="0"/>
    <e v="#REF!"/>
    <e v="#REF!"/>
    <e v="#REF!"/>
    <x v="6"/>
  </r>
  <r>
    <x v="22"/>
    <x v="22"/>
    <x v="5"/>
    <d v="2022-06-02T00:00:00"/>
    <n v="2121.3233969189382"/>
    <n v="380"/>
    <n v="1741.3233969189382"/>
    <n v="58.601470635146136"/>
    <n v="53.190600095064681"/>
    <n v="114890.59528305035"/>
    <n v="22268.558841355531"/>
    <n v="92622.036441694829"/>
    <n v="173"/>
    <n v="2121.3233969189382"/>
    <n v="380"/>
    <n v="1741.3233969189382"/>
    <n v="870.66169845946911"/>
    <n v="870.66169845946911"/>
    <n v="112592.78337738935"/>
    <n v="21823.187664528421"/>
    <n v="90769.59571286093"/>
    <n v="45384.797856430465"/>
    <n v="45384.797856430465"/>
    <n v="90"/>
    <n v="0"/>
    <n v="90"/>
    <n v="90"/>
    <n v="0"/>
    <n v="2121.3233969189382"/>
    <n v="380"/>
    <n v="1741.3233969189382"/>
    <n v="870.66169845946911"/>
    <n v="870.66169845946911"/>
    <n v="113741.68933021986"/>
    <n v="22045.873252941976"/>
    <n v="91695.816077277879"/>
    <n v="45847.90803863894"/>
    <n v="45847.90803863894"/>
    <n v="58.601470635146136"/>
    <n v="53.190600095064681"/>
    <n v="58.015455928794673"/>
    <n v="52.658694094114033"/>
    <n v="0"/>
    <n v="0"/>
    <n v="0"/>
    <n v="0"/>
    <n v="0"/>
    <n v="0"/>
    <n v="0"/>
    <e v="#REF!"/>
    <e v="#REF!"/>
    <e v="#REF!"/>
    <x v="6"/>
  </r>
  <r>
    <x v="22"/>
    <x v="22"/>
    <x v="0"/>
    <d v="2022-06-03T00:00:00"/>
    <n v="2991.0715923905182"/>
    <n v="720"/>
    <n v="2271.0715923905182"/>
    <n v="60.43694761800591"/>
    <n v="54.690861842047028"/>
    <n v="167721.46497779182"/>
    <n v="43514.602284964254"/>
    <n v="124206.86269282758"/>
    <n v="174"/>
    <n v="2991.0715923905182"/>
    <n v="720"/>
    <n v="2271.0715923905182"/>
    <n v="1135.5357961952591"/>
    <n v="1135.5357961952591"/>
    <n v="164367.03567823599"/>
    <n v="42644.310239264967"/>
    <n v="121722.72543897103"/>
    <n v="60861.362719485514"/>
    <n v="60861.362719485514"/>
    <n v="90"/>
    <n v="0"/>
    <n v="90"/>
    <n v="90"/>
    <n v="0"/>
    <n v="2991.0715923905182"/>
    <n v="720"/>
    <n v="2271.0715923905182"/>
    <n v="1135.5357961952591"/>
    <n v="1135.5357961952591"/>
    <n v="166044.25032801391"/>
    <n v="43079.456262114611"/>
    <n v="122964.7940658993"/>
    <n v="61482.397032949651"/>
    <n v="61482.397032949651"/>
    <n v="60.43694761800591"/>
    <n v="54.690861842047028"/>
    <n v="59.832578141825849"/>
    <n v="54.143953223626561"/>
    <n v="0"/>
    <n v="0"/>
    <n v="0"/>
    <n v="0"/>
    <n v="0"/>
    <n v="0"/>
    <n v="0"/>
    <e v="#REF!"/>
    <e v="#REF!"/>
    <e v="#REF!"/>
    <x v="6"/>
  </r>
  <r>
    <x v="22"/>
    <x v="22"/>
    <x v="1"/>
    <d v="2022-06-04T00:00:00"/>
    <n v="2706.610365206418"/>
    <n v="730"/>
    <n v="1976.610365206418"/>
    <n v="59.827222858339738"/>
    <n v="54.832540180117029"/>
    <n v="152056.43995720471"/>
    <n v="43673.872686588009"/>
    <n v="108382.56727061671"/>
    <n v="175"/>
    <n v="2706.610365206418"/>
    <n v="730"/>
    <n v="1976.610365206418"/>
    <n v="988.305182603209"/>
    <n v="988.305182603209"/>
    <n v="149015.31115806062"/>
    <n v="42800.395232856245"/>
    <n v="106214.91592520438"/>
    <n v="53107.457962602188"/>
    <n v="53107.457962602188"/>
    <n v="90"/>
    <n v="0"/>
    <n v="90"/>
    <n v="90"/>
    <n v="0"/>
    <n v="2706.610365206418"/>
    <n v="730"/>
    <n v="1976.610365206418"/>
    <n v="988.305182603209"/>
    <n v="988.305182603209"/>
    <n v="150535.87555763268"/>
    <n v="43237.13395972213"/>
    <n v="107298.74159791054"/>
    <n v="53649.370798955271"/>
    <n v="53649.370798955271"/>
    <n v="59.827222858339738"/>
    <n v="54.832540180117029"/>
    <n v="59.228950629756341"/>
    <n v="54.284214778315857"/>
    <n v="0"/>
    <n v="0"/>
    <n v="0"/>
    <n v="0"/>
    <n v="0"/>
    <n v="0"/>
    <n v="0"/>
    <e v="#REF!"/>
    <e v="#REF!"/>
    <e v="#REF!"/>
    <x v="6"/>
  </r>
  <r>
    <x v="22"/>
    <x v="22"/>
    <x v="6"/>
    <d v="2022-06-05T00:00:00"/>
    <n v="200"/>
    <n v="0"/>
    <n v="200"/>
    <n v="0"/>
    <n v="62.445858229859788"/>
    <n v="12489.171645971957"/>
    <n v="0"/>
    <n v="12489.171645971957"/>
    <n v="176"/>
    <n v="180"/>
    <n v="0"/>
    <n v="180"/>
    <n v="180"/>
    <n v="0"/>
    <n v="11015.449391747265"/>
    <n v="0"/>
    <n v="11015.449391747265"/>
    <n v="11015.449391747265"/>
    <n v="0"/>
    <n v="90"/>
    <n v="0"/>
    <n v="90"/>
    <n v="90"/>
    <n v="0"/>
    <n v="180"/>
    <n v="0"/>
    <n v="180"/>
    <n v="180"/>
    <n v="0"/>
    <n v="11127.851936561014"/>
    <n v="0"/>
    <n v="11127.851936561014"/>
    <n v="11127.851936561014"/>
    <n v="0"/>
    <n v="0"/>
    <n v="62.445858229859788"/>
    <s v="-"/>
    <n v="61.821399647561186"/>
    <n v="0"/>
    <n v="0"/>
    <n v="0"/>
    <n v="0"/>
    <n v="0"/>
    <n v="0"/>
    <n v="0"/>
    <e v="#REF!"/>
    <e v="#REF!"/>
    <e v="#REF!"/>
    <x v="6"/>
  </r>
  <r>
    <x v="23"/>
    <x v="23"/>
    <x v="2"/>
    <d v="2022-06-06T00:00:00"/>
    <n v="0"/>
    <n v="0"/>
    <n v="0"/>
    <n v="0"/>
    <n v="0"/>
    <n v="0"/>
    <n v="0"/>
    <n v="0"/>
    <n v="17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6"/>
  </r>
  <r>
    <x v="23"/>
    <x v="23"/>
    <x v="3"/>
    <d v="2022-06-07T00:00:00"/>
    <n v="1109.9522635616977"/>
    <n v="256.85129564214571"/>
    <n v="853.10096791955186"/>
    <n v="45.103603845076002"/>
    <n v="51.960550342122929"/>
    <n v="55912.514876235509"/>
    <n v="11584.919085737836"/>
    <n v="44327.595790497675"/>
    <n v="179"/>
    <n v="1109.9522635616977"/>
    <n v="256.85129564214571"/>
    <n v="853.10096791955186"/>
    <n v="426.55048395977593"/>
    <n v="426.55048395977593"/>
    <n v="54794.264578710798"/>
    <n v="11353.220704023079"/>
    <n v="43441.043874687719"/>
    <n v="21720.521937343859"/>
    <n v="21720.521937343859"/>
    <n v="90"/>
    <n v="0"/>
    <n v="90"/>
    <n v="90"/>
    <n v="0"/>
    <n v="1109.9522635616977"/>
    <n v="256.85129564214571"/>
    <n v="853.10096791955186"/>
    <n v="426.55048395977593"/>
    <n v="426.55048395977593"/>
    <n v="55353.389727473157"/>
    <n v="11469.069894880458"/>
    <n v="43884.319832592701"/>
    <n v="21942.15991629635"/>
    <n v="21942.15991629635"/>
    <n v="45.103603845076002"/>
    <n v="51.960550342122929"/>
    <n v="44.652567806625242"/>
    <n v="51.440944838701704"/>
    <n v="0"/>
    <n v="0"/>
    <n v="0"/>
    <n v="0"/>
    <n v="0"/>
    <n v="0"/>
    <n v="0"/>
    <e v="#REF!"/>
    <e v="#REF!"/>
    <e v="#REF!"/>
    <x v="6"/>
  </r>
  <r>
    <x v="23"/>
    <x v="23"/>
    <x v="4"/>
    <d v="2022-06-08T00:00:00"/>
    <n v="2192.3271831089969"/>
    <n v="399.69510667843531"/>
    <n v="1792.6320764305615"/>
    <n v="57.407935758641337"/>
    <n v="53.047958373094254"/>
    <n v="118041.14277600085"/>
    <n v="22945.671007238911"/>
    <n v="95095.471768761941"/>
    <n v="180"/>
    <n v="2192.3271831089969"/>
    <n v="399.69510667843531"/>
    <n v="1792.6320764305615"/>
    <n v="896.31603821528074"/>
    <n v="896.31603821528074"/>
    <n v="115680.31992048083"/>
    <n v="22486.757587094133"/>
    <n v="93193.562333386697"/>
    <n v="46596.781166693348"/>
    <n v="46596.781166693348"/>
    <n v="90"/>
    <n v="0"/>
    <n v="90"/>
    <n v="90"/>
    <n v="0"/>
    <n v="2192.3271831089969"/>
    <n v="399.69510667843531"/>
    <n v="1792.6320764305615"/>
    <n v="896.31603821528074"/>
    <n v="896.31603821528074"/>
    <n v="116860.73134824084"/>
    <n v="22716.21429716652"/>
    <n v="94144.517051074319"/>
    <n v="47072.25852553716"/>
    <n v="47072.25852553716"/>
    <n v="57.407935758641337"/>
    <n v="53.047958373094254"/>
    <n v="56.833856401054923"/>
    <n v="52.517478789363309"/>
    <n v="0"/>
    <n v="0"/>
    <n v="0"/>
    <n v="0"/>
    <n v="0"/>
    <n v="0"/>
    <n v="0"/>
    <e v="#REF!"/>
    <e v="#REF!"/>
    <e v="#REF!"/>
    <x v="6"/>
  </r>
  <r>
    <x v="23"/>
    <x v="23"/>
    <x v="5"/>
    <d v="2022-06-09T00:00:00"/>
    <n v="2227.7175739644972"/>
    <n v="470"/>
    <n v="1757.7175739644972"/>
    <n v="51.023550106735946"/>
    <n v="51.366608087751686"/>
    <n v="114269.05830095391"/>
    <n v="23981.068550165895"/>
    <n v="90287.989750788009"/>
    <n v="181"/>
    <n v="2227.7175739644972"/>
    <n v="470"/>
    <n v="1757.7175739644972"/>
    <n v="878.8587869822486"/>
    <n v="878.8587869822486"/>
    <n v="111983.67713493481"/>
    <n v="23501.447179162577"/>
    <n v="88482.229955772244"/>
    <n v="44241.114977886122"/>
    <n v="44241.114977886122"/>
    <n v="90"/>
    <n v="0"/>
    <n v="90"/>
    <n v="90"/>
    <n v="0"/>
    <n v="2227.7175739644972"/>
    <n v="470"/>
    <n v="1757.7175739644972"/>
    <n v="878.8587869822486"/>
    <n v="878.8587869822486"/>
    <n v="113126.36771794436"/>
    <n v="23741.257864664236"/>
    <n v="89385.109853280126"/>
    <n v="44692.554926640063"/>
    <n v="44692.554926640063"/>
    <n v="51.023550106735946"/>
    <n v="51.366608087751686"/>
    <n v="50.51331460566859"/>
    <n v="50.852942006874166"/>
    <n v="0"/>
    <n v="0"/>
    <n v="0"/>
    <n v="0"/>
    <n v="0"/>
    <n v="0"/>
    <n v="0"/>
    <e v="#REF!"/>
    <e v="#REF!"/>
    <e v="#REF!"/>
    <x v="6"/>
  </r>
  <r>
    <x v="23"/>
    <x v="23"/>
    <x v="0"/>
    <d v="2022-06-10T00:00:00"/>
    <n v="3003.8696351084809"/>
    <n v="1040"/>
    <n v="1963.8696351084811"/>
    <n v="52.62167641294743"/>
    <n v="52.815833724553421"/>
    <n v="158449.95557405427"/>
    <n v="54726.54346946533"/>
    <n v="103723.41210458893"/>
    <n v="182"/>
    <n v="3003.8696351084809"/>
    <n v="1040"/>
    <n v="1963.8696351084811"/>
    <n v="981.93481755424057"/>
    <n v="981.93481755424057"/>
    <n v="155280.95646257317"/>
    <n v="53632.012600076021"/>
    <n v="101648.94386249715"/>
    <n v="50824.471931248576"/>
    <n v="50824.471931248576"/>
    <n v="90"/>
    <n v="0"/>
    <n v="90"/>
    <n v="90"/>
    <n v="0"/>
    <n v="3003.8696351084809"/>
    <n v="1040"/>
    <n v="1963.8696351084811"/>
    <n v="981.93481755424057"/>
    <n v="981.93481755424057"/>
    <n v="156865.45601831374"/>
    <n v="54179.278034770679"/>
    <n v="102686.17798354305"/>
    <n v="51343.088991771525"/>
    <n v="51343.088991771525"/>
    <n v="52.62167641294743"/>
    <n v="52.815833724553421"/>
    <n v="52.095459648817958"/>
    <n v="52.287675387307885"/>
    <n v="0"/>
    <n v="0"/>
    <n v="0"/>
    <n v="0"/>
    <n v="0"/>
    <n v="0"/>
    <n v="0"/>
    <e v="#REF!"/>
    <e v="#REF!"/>
    <e v="#REF!"/>
    <x v="6"/>
  </r>
  <r>
    <x v="23"/>
    <x v="23"/>
    <x v="1"/>
    <d v="2022-06-11T00:00:00"/>
    <n v="2731.9681163708087"/>
    <n v="920"/>
    <n v="1811.9681163708087"/>
    <n v="52.090796872059492"/>
    <n v="52.952692429458395"/>
    <n v="143872.12348046325"/>
    <n v="47923.533122294735"/>
    <n v="95948.590358168512"/>
    <n v="183"/>
    <n v="2731.9681163708087"/>
    <n v="920"/>
    <n v="1811.9681163708087"/>
    <n v="905.98405818540436"/>
    <n v="905.98405818540436"/>
    <n v="140994.68101085399"/>
    <n v="46965.062459848843"/>
    <n v="94029.618551005144"/>
    <n v="47014.809275502572"/>
    <n v="47014.809275502572"/>
    <n v="90"/>
    <n v="0"/>
    <n v="90"/>
    <n v="90"/>
    <n v="0"/>
    <n v="2731.9681163708087"/>
    <n v="920"/>
    <n v="1811.9681163708087"/>
    <n v="905.98405818540436"/>
    <n v="905.98405818540436"/>
    <n v="142433.40224565862"/>
    <n v="47444.297791071789"/>
    <n v="94989.104454586821"/>
    <n v="47494.55222729341"/>
    <n v="47494.55222729341"/>
    <n v="52.090796872059492"/>
    <n v="52.952692429458395"/>
    <n v="51.569888903338899"/>
    <n v="52.423165505163809"/>
    <n v="0"/>
    <n v="0"/>
    <n v="0"/>
    <n v="0"/>
    <n v="0"/>
    <n v="0"/>
    <n v="0"/>
    <e v="#REF!"/>
    <e v="#REF!"/>
    <e v="#REF!"/>
    <x v="6"/>
  </r>
  <r>
    <x v="23"/>
    <x v="23"/>
    <x v="6"/>
    <d v="2022-06-12T00:00:00"/>
    <n v="200"/>
    <n v="0"/>
    <n v="200"/>
    <n v="0"/>
    <n v="60.265046581448317"/>
    <n v="12053.009316289663"/>
    <n v="0"/>
    <n v="12053.009316289663"/>
    <n v="184"/>
    <n v="180"/>
    <n v="0"/>
    <n v="180"/>
    <n v="180"/>
    <n v="0"/>
    <n v="10630.754216967482"/>
    <n v="0"/>
    <n v="10630.754216967482"/>
    <n v="10630.754216967482"/>
    <n v="0"/>
    <n v="90"/>
    <n v="0"/>
    <n v="90"/>
    <n v="90"/>
    <n v="0"/>
    <n v="180"/>
    <n v="0"/>
    <n v="180"/>
    <n v="180"/>
    <n v="0"/>
    <n v="10739.23130081409"/>
    <n v="0"/>
    <n v="10739.23130081409"/>
    <n v="10739.23130081409"/>
    <n v="0"/>
    <n v="0"/>
    <n v="60.265046581448317"/>
    <s v="-"/>
    <n v="59.662396115633832"/>
    <n v="0"/>
    <n v="0"/>
    <n v="0"/>
    <n v="0"/>
    <n v="0"/>
    <n v="0"/>
    <n v="0"/>
    <e v="#REF!"/>
    <e v="#REF!"/>
    <e v="#REF!"/>
    <x v="6"/>
  </r>
  <r>
    <x v="24"/>
    <x v="24"/>
    <x v="2"/>
    <d v="2022-06-13T00:00:00"/>
    <n v="2376.666163708087"/>
    <n v="760"/>
    <n v="1616.666163708087"/>
    <n v="49.933092838917894"/>
    <n v="52.63773889726248"/>
    <n v="123046.80196688289"/>
    <n v="37949.150557577603"/>
    <n v="85097.651409305283"/>
    <n v="186"/>
    <n v="2376.666163708087"/>
    <n v="760"/>
    <n v="1616.666163708087"/>
    <n v="808.33308185404348"/>
    <n v="808.33308185404348"/>
    <n v="120585.86592754522"/>
    <n v="37190.167546426048"/>
    <n v="83395.698381119175"/>
    <n v="41697.849190559587"/>
    <n v="41697.849190559587"/>
    <n v="90"/>
    <n v="0"/>
    <n v="90"/>
    <n v="90"/>
    <n v="0"/>
    <n v="2376.666163708087"/>
    <n v="760"/>
    <n v="1616.666163708087"/>
    <n v="808.33308185404348"/>
    <n v="808.33308185404348"/>
    <n v="121816.33394721407"/>
    <n v="37569.659052001829"/>
    <n v="84246.674895212229"/>
    <n v="42123.337447606114"/>
    <n v="42123.337447606114"/>
    <n v="49.933092838917894"/>
    <n v="52.63773889726248"/>
    <n v="49.433761910528723"/>
    <n v="52.111361508289853"/>
    <n v="0"/>
    <n v="0"/>
    <n v="0"/>
    <n v="0"/>
    <n v="0"/>
    <n v="0"/>
    <n v="0"/>
    <e v="#REF!"/>
    <e v="#REF!"/>
    <e v="#REF!"/>
    <x v="6"/>
  </r>
  <r>
    <x v="24"/>
    <x v="24"/>
    <x v="3"/>
    <d v="2022-06-14T00:00:00"/>
    <n v="2474.7197435897438"/>
    <n v="500"/>
    <n v="1974.7197435897438"/>
    <n v="48.653829690316321"/>
    <n v="50.178402336261726"/>
    <n v="123415.19664036391"/>
    <n v="24326.91484515816"/>
    <n v="99088.281795205752"/>
    <n v="187"/>
    <n v="2474.7197435897438"/>
    <n v="500"/>
    <n v="1974.7197435897438"/>
    <n v="987.35987179487188"/>
    <n v="987.35987179487188"/>
    <n v="120946.89270755663"/>
    <n v="23840.376548254997"/>
    <n v="97106.516159301638"/>
    <n v="48553.258079650819"/>
    <n v="48553.258079650819"/>
    <n v="90"/>
    <n v="0"/>
    <n v="90"/>
    <n v="90"/>
    <n v="0"/>
    <n v="2474.7197435897438"/>
    <n v="500"/>
    <n v="1974.7197435897438"/>
    <n v="987.35987179487188"/>
    <n v="987.35987179487188"/>
    <n v="122181.04467396026"/>
    <n v="24083.645696706579"/>
    <n v="98097.398977253688"/>
    <n v="49048.699488626844"/>
    <n v="49048.699488626844"/>
    <n v="48.653829690316321"/>
    <n v="50.178402336261726"/>
    <n v="48.167291393413159"/>
    <n v="49.676618312899102"/>
    <n v="0"/>
    <n v="0"/>
    <n v="0"/>
    <n v="0"/>
    <n v="0"/>
    <n v="0"/>
    <n v="0"/>
    <e v="#REF!"/>
    <e v="#REF!"/>
    <e v="#REF!"/>
    <x v="6"/>
  </r>
  <r>
    <x v="24"/>
    <x v="24"/>
    <x v="4"/>
    <d v="2022-06-15T00:00:00"/>
    <n v="2337.0687672583826"/>
    <n v="460"/>
    <n v="1877.0687672583826"/>
    <n v="49.984354572640335"/>
    <n v="51.22881877147212"/>
    <n v="119152.81880288482"/>
    <n v="22992.803103414553"/>
    <n v="96160.01569947027"/>
    <n v="188"/>
    <n v="2337.0687672583826"/>
    <n v="460"/>
    <n v="1877.0687672583826"/>
    <n v="938.53438362919132"/>
    <n v="938.53438362919132"/>
    <n v="116769.76242682713"/>
    <n v="22532.947041346262"/>
    <n v="94236.815385480862"/>
    <n v="47118.407692740431"/>
    <n v="47118.407692740431"/>
    <n v="90"/>
    <n v="0"/>
    <n v="90"/>
    <n v="90"/>
    <n v="0"/>
    <n v="2337.0687672583826"/>
    <n v="460"/>
    <n v="1877.0687672583826"/>
    <n v="938.53438362919132"/>
    <n v="938.53438362919132"/>
    <n v="117961.29061485599"/>
    <n v="22762.875072380408"/>
    <n v="95198.415542475574"/>
    <n v="47599.207771237787"/>
    <n v="47599.207771237787"/>
    <n v="49.984354572640335"/>
    <n v="51.22881877147212"/>
    <n v="49.484511026913928"/>
    <n v="50.716530583757404"/>
    <n v="0"/>
    <n v="0"/>
    <n v="0"/>
    <n v="0"/>
    <n v="0"/>
    <n v="0"/>
    <n v="0"/>
    <e v="#REF!"/>
    <e v="#REF!"/>
    <e v="#REF!"/>
    <x v="6"/>
  </r>
  <r>
    <x v="24"/>
    <x v="24"/>
    <x v="5"/>
    <d v="2022-06-16T00:00:00"/>
    <n v="2319.5522170252571"/>
    <n v="460"/>
    <n v="1859.5522170252571"/>
    <n v="49.833562785608528"/>
    <n v="49.482389221913792"/>
    <n v="114938.52546269639"/>
    <n v="22923.438881379923"/>
    <n v="92015.086581316471"/>
    <n v="189"/>
    <n v="2319.5522170252571"/>
    <n v="460"/>
    <n v="1859.5522170252571"/>
    <n v="929.77610851262853"/>
    <n v="929.77610851262853"/>
    <n v="112639.75495344246"/>
    <n v="22464.970103752323"/>
    <n v="90174.784849690142"/>
    <n v="45087.392424845071"/>
    <n v="45087.392424845071"/>
    <n v="90"/>
    <n v="0"/>
    <n v="90"/>
    <n v="90"/>
    <n v="0"/>
    <n v="2319.5522170252571"/>
    <n v="460"/>
    <n v="1859.5522170252571"/>
    <n v="929.77610851262853"/>
    <n v="929.77610851262853"/>
    <n v="113789.14020806944"/>
    <n v="22694.204492566125"/>
    <n v="91094.935715503307"/>
    <n v="45547.467857751653"/>
    <n v="45547.467857751653"/>
    <n v="49.833562785608528"/>
    <n v="49.482389221913792"/>
    <n v="49.335227157752442"/>
    <n v="48.987565329694654"/>
    <n v="0"/>
    <n v="0"/>
    <n v="0"/>
    <n v="0"/>
    <n v="0"/>
    <n v="0"/>
    <n v="0"/>
    <e v="#REF!"/>
    <e v="#REF!"/>
    <e v="#REF!"/>
    <x v="6"/>
  </r>
  <r>
    <x v="24"/>
    <x v="24"/>
    <x v="0"/>
    <d v="2022-06-17T00:00:00"/>
    <n v="3097.0437043966326"/>
    <n v="1020"/>
    <n v="2077.0437043966326"/>
    <n v="51.394417086285841"/>
    <n v="50.878308773735661"/>
    <n v="158098.77635684717"/>
    <n v="52422.305428011561"/>
    <n v="105676.47092883561"/>
    <n v="190"/>
    <n v="3097.0437043966326"/>
    <n v="1020"/>
    <n v="2077.0437043966326"/>
    <n v="1038.5218521983163"/>
    <n v="1038.5218521983163"/>
    <n v="154936.80082971024"/>
    <n v="51373.859319451331"/>
    <n v="103562.9415102589"/>
    <n v="51781.470755129449"/>
    <n v="51781.470755129449"/>
    <n v="90"/>
    <n v="0"/>
    <n v="90"/>
    <n v="90"/>
    <n v="0"/>
    <n v="3097.0437043966326"/>
    <n v="1020"/>
    <n v="2077.0437043966326"/>
    <n v="1038.5218521983163"/>
    <n v="1038.5218521983163"/>
    <n v="156517.7885932787"/>
    <n v="51898.082373731442"/>
    <n v="104619.70621954725"/>
    <n v="52309.853109773627"/>
    <n v="52309.853109773627"/>
    <n v="51.394417086285841"/>
    <n v="50.878308773735661"/>
    <n v="50.880472915422985"/>
    <n v="50.369525685998305"/>
    <n v="0"/>
    <n v="0"/>
    <n v="0"/>
    <n v="0"/>
    <n v="0"/>
    <n v="0"/>
    <n v="0"/>
    <e v="#REF!"/>
    <e v="#REF!"/>
    <e v="#REF!"/>
    <x v="6"/>
  </r>
  <r>
    <x v="24"/>
    <x v="24"/>
    <x v="1"/>
    <d v="2022-06-18T00:00:00"/>
    <n v="2823.9250888681008"/>
    <n v="910"/>
    <n v="1913.9250888681011"/>
    <n v="50.875918885414045"/>
    <n v="51.010133478710877"/>
    <n v="143926.66043714219"/>
    <n v="46297.086185726781"/>
    <n v="97629.574251415412"/>
    <n v="191"/>
    <n v="2823.9250888681008"/>
    <n v="910"/>
    <n v="1913.9250888681011"/>
    <n v="956.96254443405053"/>
    <n v="956.96254443405053"/>
    <n v="141048.12722839933"/>
    <n v="45371.144462012242"/>
    <n v="95676.982766387096"/>
    <n v="47838.491383193548"/>
    <n v="47838.491383193548"/>
    <n v="90"/>
    <n v="0"/>
    <n v="90"/>
    <n v="90"/>
    <n v="0"/>
    <n v="2823.9250888681008"/>
    <n v="910"/>
    <n v="1913.9250888681011"/>
    <n v="956.96254443405053"/>
    <n v="956.96254443405053"/>
    <n v="142487.39383277076"/>
    <n v="45834.115323869511"/>
    <n v="96653.278508901261"/>
    <n v="48326.639254450631"/>
    <n v="48326.639254450631"/>
    <n v="50.875918885414045"/>
    <n v="51.010133478710877"/>
    <n v="50.367159696559902"/>
    <n v="50.500032143923768"/>
    <n v="0"/>
    <n v="0"/>
    <n v="0"/>
    <n v="0"/>
    <n v="0"/>
    <n v="0"/>
    <n v="0"/>
    <e v="#REF!"/>
    <e v="#REF!"/>
    <e v="#REF!"/>
    <x v="6"/>
  </r>
  <r>
    <x v="24"/>
    <x v="24"/>
    <x v="6"/>
    <d v="2022-06-19T00:00:00"/>
    <n v="200"/>
    <n v="0"/>
    <n v="200"/>
    <n v="0"/>
    <n v="58.052512928645044"/>
    <n v="11610.502585729009"/>
    <n v="0"/>
    <n v="11610.502585729009"/>
    <n v="192"/>
    <n v="180"/>
    <n v="0"/>
    <n v="180"/>
    <n v="180"/>
    <n v="0"/>
    <n v="10240.463280612987"/>
    <n v="0"/>
    <n v="10240.463280612987"/>
    <n v="10240.463280612987"/>
    <n v="0"/>
    <n v="90"/>
    <n v="0"/>
    <n v="90"/>
    <n v="90"/>
    <n v="0"/>
    <n v="180"/>
    <n v="0"/>
    <n v="180"/>
    <n v="180"/>
    <n v="0"/>
    <n v="10344.957803884547"/>
    <n v="0"/>
    <n v="10344.957803884547"/>
    <n v="10344.957803884547"/>
    <n v="0"/>
    <n v="0"/>
    <n v="58.052512928645044"/>
    <s v="-"/>
    <n v="57.471987799358594"/>
    <n v="0"/>
    <n v="0"/>
    <n v="0"/>
    <n v="0"/>
    <n v="0"/>
    <n v="0"/>
    <n v="0"/>
    <e v="#REF!"/>
    <e v="#REF!"/>
    <e v="#REF!"/>
    <x v="6"/>
  </r>
  <r>
    <x v="25"/>
    <x v="25"/>
    <x v="2"/>
    <d v="2022-06-20T00:00:00"/>
    <n v="2447.3081758652947"/>
    <n v="740"/>
    <n v="1707.3081758652947"/>
    <n v="48.768537505964972"/>
    <n v="50.706764712424139"/>
    <n v="122660.79171961363"/>
    <n v="36088.71775441408"/>
    <n v="86572.073965199554"/>
    <n v="194"/>
    <n v="2447.3081758652947"/>
    <n v="740"/>
    <n v="1707.3081758652947"/>
    <n v="853.65408793264737"/>
    <n v="853.65408793264737"/>
    <n v="120207.57588522136"/>
    <n v="35366.943399325799"/>
    <n v="84840.632485895563"/>
    <n v="42420.316242947782"/>
    <n v="42420.316242947782"/>
    <n v="90"/>
    <n v="0"/>
    <n v="90"/>
    <n v="90"/>
    <n v="0"/>
    <n v="2447.3081758652947"/>
    <n v="740"/>
    <n v="1707.3081758652947"/>
    <n v="853.65408793264737"/>
    <n v="853.65408793264737"/>
    <n v="121434.18380241749"/>
    <n v="35727.830576869936"/>
    <n v="85706.353225547558"/>
    <n v="42853.176612773779"/>
    <n v="42853.176612773779"/>
    <n v="48.768537505964972"/>
    <n v="50.706764712424139"/>
    <n v="48.280852130905316"/>
    <n v="50.199697065299901"/>
    <n v="0"/>
    <n v="0"/>
    <n v="0"/>
    <n v="0"/>
    <n v="0"/>
    <n v="0"/>
    <n v="0"/>
    <e v="#REF!"/>
    <e v="#REF!"/>
    <e v="#REF!"/>
    <x v="6"/>
  </r>
  <r>
    <x v="25"/>
    <x v="25"/>
    <x v="3"/>
    <d v="2022-06-21T00:00:00"/>
    <n v="2577.9182787652012"/>
    <n v="490"/>
    <n v="2087.9182787652012"/>
    <n v="48.653829690316314"/>
    <n v="48.337888601739508"/>
    <n v="124765.93771674298"/>
    <n v="23840.376548254993"/>
    <n v="100925.56116848798"/>
    <n v="195"/>
    <n v="2577.9182787652012"/>
    <n v="490"/>
    <n v="2087.9182787652012"/>
    <n v="1043.9591393826006"/>
    <n v="1043.9591393826006"/>
    <n v="122270.61896240812"/>
    <n v="23363.569017289894"/>
    <n v="98907.049945118226"/>
    <n v="49453.524972559113"/>
    <n v="49453.524972559113"/>
    <n v="90"/>
    <n v="0"/>
    <n v="90"/>
    <n v="90"/>
    <n v="0"/>
    <n v="2577.9182787652012"/>
    <n v="490"/>
    <n v="2087.9182787652012"/>
    <n v="1043.9591393826006"/>
    <n v="1043.9591393826006"/>
    <n v="123518.27833957554"/>
    <n v="23601.972782772442"/>
    <n v="99916.305556803098"/>
    <n v="49958.152778401549"/>
    <n v="49958.152778401549"/>
    <n v="48.653829690316314"/>
    <n v="48.337888601739508"/>
    <n v="48.167291393413144"/>
    <n v="47.854509715722109"/>
    <n v="0"/>
    <n v="0"/>
    <n v="0"/>
    <n v="0"/>
    <n v="0"/>
    <n v="0"/>
    <n v="0"/>
    <e v="#REF!"/>
    <e v="#REF!"/>
    <e v="#REF!"/>
    <x v="6"/>
  </r>
  <r>
    <x v="25"/>
    <x v="25"/>
    <x v="4"/>
    <d v="2022-06-22T00:00:00"/>
    <n v="2429.1725350795136"/>
    <n v="450"/>
    <n v="1979.1725350795136"/>
    <n v="48.8186036973729"/>
    <n v="49.349668135740288"/>
    <n v="119639.8794533636"/>
    <n v="21968.371663817805"/>
    <n v="97671.507789545794"/>
    <n v="196"/>
    <n v="2429.1725350795136"/>
    <n v="450"/>
    <n v="1979.1725350795136"/>
    <n v="989.58626753975682"/>
    <n v="989.58626753975682"/>
    <n v="117247.08186429633"/>
    <n v="21529.00423054145"/>
    <n v="95718.077633754874"/>
    <n v="47859.038816877437"/>
    <n v="47859.038816877437"/>
    <n v="90"/>
    <n v="0"/>
    <n v="90"/>
    <n v="90"/>
    <n v="0"/>
    <n v="2429.1725350795136"/>
    <n v="450"/>
    <n v="1979.1725350795136"/>
    <n v="989.58626753975682"/>
    <n v="989.58626753975682"/>
    <n v="118443.48065882997"/>
    <n v="21748.687947179627"/>
    <n v="96694.792711650342"/>
    <n v="48347.396355825171"/>
    <n v="48347.396355825171"/>
    <n v="48.8186036973729"/>
    <n v="49.349668135740288"/>
    <n v="48.330417660399171"/>
    <n v="48.856171454382881"/>
    <n v="0"/>
    <n v="0"/>
    <n v="0"/>
    <n v="0"/>
    <n v="0"/>
    <n v="0"/>
    <n v="0"/>
    <e v="#REF!"/>
    <e v="#REF!"/>
    <e v="#REF!"/>
    <x v="6"/>
  </r>
  <r>
    <x v="25"/>
    <x v="25"/>
    <x v="5"/>
    <d v="2022-06-23T00:00:00"/>
    <n v="2298.6811344537814"/>
    <n v="430"/>
    <n v="1868.6811344537814"/>
    <n v="49.96342853437875"/>
    <n v="49.066819849738067"/>
    <n v="113174.51485063072"/>
    <n v="21484.274269782862"/>
    <n v="91690.240580847851"/>
    <n v="197"/>
    <n v="2298.6811344537814"/>
    <n v="430"/>
    <n v="1868.6811344537814"/>
    <n v="934.3405672268907"/>
    <n v="934.3405672268907"/>
    <n v="110911.0245536181"/>
    <n v="21054.588784387204"/>
    <n v="89856.435769230899"/>
    <n v="44928.217884615449"/>
    <n v="44928.217884615449"/>
    <n v="90"/>
    <n v="0"/>
    <n v="90"/>
    <n v="90"/>
    <n v="0"/>
    <n v="2298.6811344537814"/>
    <n v="430"/>
    <n v="1868.6811344537814"/>
    <n v="934.3405672268907"/>
    <n v="934.3405672268907"/>
    <n v="112042.76970212441"/>
    <n v="21269.431527085031"/>
    <n v="90773.338175039375"/>
    <n v="45386.669087519687"/>
    <n v="45386.669087519687"/>
    <n v="49.96342853437875"/>
    <n v="49.066819849738067"/>
    <n v="49.463794249034954"/>
    <n v="48.576151651240686"/>
    <n v="0"/>
    <n v="0"/>
    <n v="0"/>
    <n v="0"/>
    <n v="0"/>
    <n v="0"/>
    <n v="0"/>
    <e v="#REF!"/>
    <e v="#REF!"/>
    <e v="#REF!"/>
    <x v="6"/>
  </r>
  <r>
    <x v="25"/>
    <x v="25"/>
    <x v="0"/>
    <d v="2022-06-24T00:00:00"/>
    <n v="3037.2403314659196"/>
    <n v="950"/>
    <n v="2087.2403314659196"/>
    <n v="51.528350405206531"/>
    <n v="50.450817949663744"/>
    <n v="154254.9148649291"/>
    <n v="48951.932884946204"/>
    <n v="105302.98197998291"/>
    <n v="198"/>
    <n v="3037.2403314659196"/>
    <n v="950"/>
    <n v="2087.2403314659196"/>
    <n v="1043.6201657329598"/>
    <n v="1043.6201657329598"/>
    <n v="151169.81656763054"/>
    <n v="47972.894227247278"/>
    <n v="103196.92234038326"/>
    <n v="51598.461170191629"/>
    <n v="51598.461170191629"/>
    <n v="90"/>
    <n v="0"/>
    <n v="90"/>
    <n v="90"/>
    <n v="0"/>
    <n v="3037.2403314659196"/>
    <n v="950"/>
    <n v="2087.2403314659196"/>
    <n v="1043.6201657329598"/>
    <n v="1043.6201657329598"/>
    <n v="152712.36571627983"/>
    <n v="48462.413556096741"/>
    <n v="104249.95216018308"/>
    <n v="52124.976080091539"/>
    <n v="52124.976080091539"/>
    <n v="51.528350405206531"/>
    <n v="50.450817949663744"/>
    <n v="51.013066901154467"/>
    <n v="49.946309770167105"/>
    <n v="0"/>
    <n v="0"/>
    <n v="0"/>
    <n v="0"/>
    <n v="0"/>
    <n v="0"/>
    <n v="0"/>
    <e v="#REF!"/>
    <e v="#REF!"/>
    <e v="#REF!"/>
    <x v="6"/>
  </r>
  <r>
    <x v="25"/>
    <x v="25"/>
    <x v="1"/>
    <d v="2022-06-25T00:00:00"/>
    <n v="2763.3209337068156"/>
    <n v="840"/>
    <n v="1923.3209337068158"/>
    <n v="51.008501003390464"/>
    <n v="50.581516843429384"/>
    <n v="140131.63104645963"/>
    <n v="42847.140842847992"/>
    <n v="97284.49020361164"/>
    <n v="199"/>
    <n v="2763.3209337068156"/>
    <n v="840"/>
    <n v="1923.3209337068158"/>
    <n v="961.66046685340791"/>
    <n v="961.66046685340791"/>
    <n v="137328.99842553044"/>
    <n v="41990.198025991034"/>
    <n v="95338.80039953941"/>
    <n v="47669.400199769705"/>
    <n v="47669.400199769705"/>
    <n v="90"/>
    <n v="0"/>
    <n v="90"/>
    <n v="90"/>
    <n v="0"/>
    <n v="2763.3209337068156"/>
    <n v="840"/>
    <n v="1923.3209337068158"/>
    <n v="961.66046685340791"/>
    <n v="961.66046685340791"/>
    <n v="138730.31473599502"/>
    <n v="42418.669434419513"/>
    <n v="96311.645301575525"/>
    <n v="48155.822650787763"/>
    <n v="48155.822650787763"/>
    <n v="51.008501003390464"/>
    <n v="50.581516843429384"/>
    <n v="50.498415993356566"/>
    <n v="50.075701674995095"/>
    <n v="0"/>
    <n v="0"/>
    <n v="0"/>
    <n v="0"/>
    <n v="0"/>
    <n v="0"/>
    <n v="0"/>
    <e v="#REF!"/>
    <e v="#REF!"/>
    <e v="#REF!"/>
    <x v="6"/>
  </r>
  <r>
    <x v="25"/>
    <x v="25"/>
    <x v="6"/>
    <d v="2022-06-26T00:00:00"/>
    <n v="200"/>
    <n v="0"/>
    <n v="200"/>
    <n v="0"/>
    <n v="57.574496942914401"/>
    <n v="11514.89938858288"/>
    <n v="0"/>
    <n v="11514.89938858288"/>
    <n v="200"/>
    <n v="180"/>
    <n v="0"/>
    <n v="180"/>
    <n v="180"/>
    <n v="0"/>
    <n v="10156.141260730099"/>
    <n v="0"/>
    <n v="10156.141260730099"/>
    <n v="10156.141260730099"/>
    <n v="0"/>
    <n v="90"/>
    <n v="0"/>
    <n v="90"/>
    <n v="90"/>
    <n v="0"/>
    <n v="180"/>
    <n v="0"/>
    <n v="180"/>
    <n v="180"/>
    <n v="0"/>
    <n v="10259.775355227346"/>
    <n v="0"/>
    <n v="10259.775355227346"/>
    <n v="10259.775355227346"/>
    <n v="0"/>
    <n v="0"/>
    <n v="57.574496942914401"/>
    <s v="-"/>
    <n v="56.998751973485255"/>
    <n v="0"/>
    <n v="0"/>
    <n v="0"/>
    <n v="0"/>
    <n v="0"/>
    <n v="0"/>
    <n v="0"/>
    <e v="#REF!"/>
    <e v="#REF!"/>
    <e v="#REF!"/>
    <x v="6"/>
  </r>
  <r>
    <x v="26"/>
    <x v="26"/>
    <x v="2"/>
    <d v="2022-06-27T00:00:00"/>
    <n v="2416.6176563958916"/>
    <n v="690"/>
    <n v="1726.6176563958918"/>
    <n v="48.89562780988097"/>
    <n v="50.280738911370428"/>
    <n v="120553.594769822"/>
    <n v="33737.983188817867"/>
    <n v="86815.611581004137"/>
    <n v="202"/>
    <n v="2416.6176563958916"/>
    <n v="690"/>
    <n v="1726.6176563958918"/>
    <n v="863.3088281979459"/>
    <n v="863.3088281979459"/>
    <n v="118142.52287442556"/>
    <n v="33063.223525041511"/>
    <n v="85079.299349384048"/>
    <n v="42539.649674692024"/>
    <n v="42539.649674692024"/>
    <n v="90"/>
    <n v="0"/>
    <n v="90"/>
    <n v="90"/>
    <n v="0"/>
    <n v="2416.6176563958916"/>
    <n v="690"/>
    <n v="1726.6176563958918"/>
    <n v="863.3088281979459"/>
    <n v="863.3088281979459"/>
    <n v="119348.05882212378"/>
    <n v="33400.603356929685"/>
    <n v="85947.4554651941"/>
    <n v="42973.72773259705"/>
    <n v="42973.72773259705"/>
    <n v="48.89562780988097"/>
    <n v="50.280738911370428"/>
    <n v="48.406671531782152"/>
    <n v="49.777931522256729"/>
    <n v="0"/>
    <n v="0"/>
    <n v="0"/>
    <n v="0"/>
    <n v="0"/>
    <n v="0"/>
    <n v="0"/>
    <e v="#REF!"/>
    <e v="#REF!"/>
    <e v="#REF!"/>
    <x v="6"/>
  </r>
  <r>
    <x v="26"/>
    <x v="26"/>
    <x v="3"/>
    <d v="2022-06-28T00:00:00"/>
    <n v="2558.1682913165264"/>
    <n v="460"/>
    <n v="2098.1682913165264"/>
    <n v="46.524602189615315"/>
    <n v="47.932093509944622"/>
    <n v="121970.91574620751"/>
    <n v="21401.317007223046"/>
    <n v="100569.59873898447"/>
    <n v="203"/>
    <n v="2558.1682913165264"/>
    <n v="460"/>
    <n v="2098.1682913165264"/>
    <n v="1049.0841456582632"/>
    <n v="1049.0841456582632"/>
    <n v="119531.49743128337"/>
    <n v="20973.290667078585"/>
    <n v="98558.206764204777"/>
    <n v="49279.103382102388"/>
    <n v="49279.103382102388"/>
    <n v="90"/>
    <n v="0"/>
    <n v="90"/>
    <n v="90"/>
    <n v="0"/>
    <n v="2558.1682913165264"/>
    <n v="460"/>
    <n v="2098.1682913165264"/>
    <n v="1049.0841456582632"/>
    <n v="1049.0841456582632"/>
    <n v="120751.20658874544"/>
    <n v="21187.303837150816"/>
    <n v="99563.902751594622"/>
    <n v="49781.951375797311"/>
    <n v="49781.951375797311"/>
    <n v="46.524602189615315"/>
    <n v="47.932093509944622"/>
    <n v="46.059356167719166"/>
    <n v="47.45277257484517"/>
    <n v="0"/>
    <n v="0"/>
    <n v="0"/>
    <n v="0"/>
    <n v="0"/>
    <n v="0"/>
    <n v="0"/>
    <e v="#REF!"/>
    <e v="#REF!"/>
    <e v="#REF!"/>
    <x v="6"/>
  </r>
  <r>
    <x v="26"/>
    <x v="26"/>
    <x v="4"/>
    <d v="2022-06-29T00:00:00"/>
    <n v="2419.8166526610644"/>
    <n v="420"/>
    <n v="1999.8166526610644"/>
    <n v="48.945824473265468"/>
    <n v="48.935232230061523"/>
    <n v="118418.73859428495"/>
    <n v="20557.246278771498"/>
    <n v="97861.49231551346"/>
    <n v="204"/>
    <n v="2419.8166526610644"/>
    <n v="420"/>
    <n v="1999.8166526610644"/>
    <n v="999.90832633053219"/>
    <n v="999.90832633053219"/>
    <n v="116050.36382239925"/>
    <n v="20146.101353196067"/>
    <n v="95904.262469203182"/>
    <n v="47952.131234601591"/>
    <n v="47952.131234601591"/>
    <n v="90"/>
    <n v="0"/>
    <n v="90"/>
    <n v="90"/>
    <n v="0"/>
    <n v="2419.8166526610644"/>
    <n v="420"/>
    <n v="1999.8166526610644"/>
    <n v="999.90832633053219"/>
    <n v="999.90832633053219"/>
    <n v="117234.55120834211"/>
    <n v="20351.673815983784"/>
    <n v="96882.877392358321"/>
    <n v="48441.438696179161"/>
    <n v="48441.438696179161"/>
    <n v="48.945824473265468"/>
    <n v="48.935232230061523"/>
    <n v="48.456366228532822"/>
    <n v="48.445879907760904"/>
    <n v="0"/>
    <n v="0"/>
    <n v="0"/>
    <n v="0"/>
    <n v="0"/>
    <n v="0"/>
    <n v="0"/>
    <e v="#REF!"/>
    <e v="#REF!"/>
    <e v="#REF!"/>
    <x v="6"/>
  </r>
  <r>
    <x v="26"/>
    <x v="26"/>
    <x v="5"/>
    <d v="2022-06-30T00:00:00"/>
    <n v="2027.0321645021645"/>
    <n v="390"/>
    <n v="1637.0321645021645"/>
    <n v="50.645084947329529"/>
    <n v="50.110655553277056"/>
    <n v="101784.33805446207"/>
    <n v="19751.583129458515"/>
    <n v="82032.754925003552"/>
    <n v="205"/>
    <n v="2027.0321645021645"/>
    <n v="390"/>
    <n v="1637.0321645021645"/>
    <n v="818.51608225108225"/>
    <n v="818.51608225108225"/>
    <n v="99748.651293372823"/>
    <n v="19356.551466869343"/>
    <n v="80392.099826503472"/>
    <n v="40196.049913251736"/>
    <n v="40196.049913251736"/>
    <n v="90"/>
    <n v="0"/>
    <n v="90"/>
    <n v="90"/>
    <n v="0"/>
    <n v="2027.0321645021645"/>
    <n v="390"/>
    <n v="1637.0321645021645"/>
    <n v="818.51608225108225"/>
    <n v="818.51608225108225"/>
    <n v="100766.49467391745"/>
    <n v="19554.067298163929"/>
    <n v="81212.427375753512"/>
    <n v="40606.213687876756"/>
    <n v="40606.213687876756"/>
    <n v="50.645084947329529"/>
    <n v="50.110655553277056"/>
    <n v="50.138634097856226"/>
    <n v="49.609548997744284"/>
    <n v="0"/>
    <n v="0"/>
    <n v="0"/>
    <n v="0"/>
    <n v="0"/>
    <n v="0"/>
    <n v="0"/>
    <e v="#REF!"/>
    <e v="#REF!"/>
    <e v="#REF!"/>
    <x v="6"/>
  </r>
  <r>
    <x v="26"/>
    <x v="26"/>
    <x v="0"/>
    <d v="2022-07-01T00:00:00"/>
    <n v="2695.0696428571432"/>
    <n v="870"/>
    <n v="1825.0696428571432"/>
    <n v="52.231357215043758"/>
    <n v="51.523630537545323"/>
    <n v="139475.49476094931"/>
    <n v="45441.280777088068"/>
    <n v="94034.213983861235"/>
    <n v="206"/>
    <n v="2695.0696428571432"/>
    <n v="870"/>
    <n v="1825.0696428571432"/>
    <n v="912.5348214285716"/>
    <n v="912.5348214285716"/>
    <n v="136685.98486573031"/>
    <n v="44532.455161546306"/>
    <n v="92153.529704184009"/>
    <n v="46076.764852092005"/>
    <n v="46076.764852092005"/>
    <n v="90"/>
    <n v="0"/>
    <n v="90"/>
    <n v="90"/>
    <n v="0"/>
    <n v="2695.0696428571432"/>
    <n v="870"/>
    <n v="1825.0696428571432"/>
    <n v="912.5348214285716"/>
    <n v="912.5348214285716"/>
    <n v="138080.73981333981"/>
    <n v="44986.867969317187"/>
    <n v="93093.871844022622"/>
    <n v="46546.935922011311"/>
    <n v="46546.935922011311"/>
    <n v="52.231357215043758"/>
    <n v="51.523630537545323"/>
    <n v="51.70904364289332"/>
    <n v="51.00839423216987"/>
    <n v="0"/>
    <n v="0"/>
    <n v="0"/>
    <n v="0"/>
    <n v="0"/>
    <n v="0"/>
    <n v="0"/>
    <e v="#REF!"/>
    <e v="#REF!"/>
    <e v="#REF!"/>
    <x v="7"/>
  </r>
  <r>
    <x v="26"/>
    <x v="26"/>
    <x v="1"/>
    <d v="2022-07-02T00:00:00"/>
    <n v="2451.2762770562767"/>
    <n v="770"/>
    <n v="1681.276277056277"/>
    <n v="51.704415452096526"/>
    <n v="51.657065885016031"/>
    <n v="126662.19931292489"/>
    <n v="39812.399898114323"/>
    <n v="86849.799414810564"/>
    <n v="207"/>
    <n v="2451.2762770562767"/>
    <n v="770"/>
    <n v="1681.276277056277"/>
    <n v="840.63813852813848"/>
    <n v="840.63813852813848"/>
    <n v="124128.95532666639"/>
    <n v="39016.151900152036"/>
    <n v="85112.803426514351"/>
    <n v="42556.401713257175"/>
    <n v="42556.401713257175"/>
    <n v="90"/>
    <n v="0"/>
    <n v="90"/>
    <n v="90"/>
    <n v="0"/>
    <n v="2451.2762770562767"/>
    <n v="770"/>
    <n v="1681.276277056277"/>
    <n v="840.63813852813848"/>
    <n v="840.63813852813848"/>
    <n v="125395.57731979564"/>
    <n v="39414.275899133179"/>
    <n v="85981.301420662465"/>
    <n v="42990.650710331232"/>
    <n v="42990.650710331232"/>
    <n v="51.704415452096526"/>
    <n v="51.657065885016031"/>
    <n v="51.187371297575559"/>
    <n v="51.140495226165875"/>
    <n v="0"/>
    <n v="0"/>
    <n v="0"/>
    <n v="0"/>
    <n v="0"/>
    <n v="0"/>
    <n v="0"/>
    <e v="#REF!"/>
    <e v="#REF!"/>
    <e v="#REF!"/>
    <x v="7"/>
  </r>
  <r>
    <x v="26"/>
    <x v="26"/>
    <x v="6"/>
    <d v="2022-07-03T00:00:00"/>
    <n v="200"/>
    <n v="0"/>
    <n v="200"/>
    <n v="0"/>
    <n v="58.835576291457386"/>
    <n v="11767.115258291476"/>
    <n v="0"/>
    <n v="11767.115258291476"/>
    <n v="208"/>
    <n v="180"/>
    <n v="0"/>
    <n v="180"/>
    <n v="180"/>
    <n v="0"/>
    <n v="10378.595657813083"/>
    <n v="0"/>
    <n v="10378.595657813083"/>
    <n v="10378.595657813083"/>
    <n v="0"/>
    <n v="90"/>
    <n v="0"/>
    <n v="90"/>
    <n v="90"/>
    <n v="0"/>
    <n v="180"/>
    <n v="0"/>
    <n v="180"/>
    <n v="180"/>
    <n v="0"/>
    <n v="10484.499695137707"/>
    <n v="0"/>
    <n v="10484.499695137707"/>
    <n v="10484.499695137707"/>
    <n v="0"/>
    <n v="0"/>
    <n v="58.835576291457386"/>
    <s v="-"/>
    <n v="58.247220528542819"/>
    <n v="0"/>
    <n v="0"/>
    <n v="0"/>
    <n v="0"/>
    <n v="0"/>
    <n v="0"/>
    <n v="0"/>
    <e v="#REF!"/>
    <e v="#REF!"/>
    <e v="#REF!"/>
    <x v="7"/>
  </r>
  <r>
    <x v="27"/>
    <x v="27"/>
    <x v="2"/>
    <d v="2022-07-04T00:00:00"/>
    <n v="2134.2998268398269"/>
    <n v="630"/>
    <n v="1504.2998268398269"/>
    <n v="49.562716103049766"/>
    <n v="51.349990540156774"/>
    <n v="108470.29302270594"/>
    <n v="31224.511144921351"/>
    <n v="77245.781877784582"/>
    <n v="210"/>
    <n v="2134.2998268398269"/>
    <n v="630"/>
    <n v="1504.2998268398269"/>
    <n v="752.14991341991345"/>
    <n v="752.14991341991345"/>
    <n v="106300.88716225181"/>
    <n v="30600.020922022923"/>
    <n v="75700.86624022889"/>
    <n v="37850.433120114445"/>
    <n v="37850.433120114445"/>
    <n v="90"/>
    <n v="0"/>
    <n v="90"/>
    <n v="90"/>
    <n v="0"/>
    <n v="2134.2998268398269"/>
    <n v="630"/>
    <n v="1504.2998268398269"/>
    <n v="752.14991341991345"/>
    <n v="752.14991341991345"/>
    <n v="107385.59009247887"/>
    <n v="30912.266033472137"/>
    <n v="76473.324059006729"/>
    <n v="38236.662029503364"/>
    <n v="38236.662029503364"/>
    <n v="49.562716103049766"/>
    <n v="51.349990540156774"/>
    <n v="49.067088942019268"/>
    <n v="50.836490634755201"/>
    <n v="0"/>
    <n v="0"/>
    <n v="0"/>
    <n v="0"/>
    <n v="0"/>
    <n v="0"/>
    <n v="0"/>
    <e v="#REF!"/>
    <e v="#REF!"/>
    <e v="#REF!"/>
    <x v="7"/>
  </r>
  <r>
    <x v="27"/>
    <x v="27"/>
    <x v="3"/>
    <d v="2022-07-05T00:00:00"/>
    <n v="2256.1306709956712"/>
    <n v="420"/>
    <n v="1836.1306709956712"/>
    <n v="51.453562770000097"/>
    <n v="48.95217135289807"/>
    <n v="111493.07959629185"/>
    <n v="21610.496363400041"/>
    <n v="89882.583232891804"/>
    <n v="211"/>
    <n v="2256.1306709956712"/>
    <n v="420"/>
    <n v="1836.1306709956712"/>
    <n v="918.06533549783558"/>
    <n v="918.06533549783558"/>
    <n v="109263.218004366"/>
    <n v="21178.286436132039"/>
    <n v="88084.931568233966"/>
    <n v="44042.465784116983"/>
    <n v="44042.465784116983"/>
    <n v="90"/>
    <n v="0"/>
    <n v="90"/>
    <n v="90"/>
    <n v="0"/>
    <n v="2256.1306709956712"/>
    <n v="420"/>
    <n v="1836.1306709956712"/>
    <n v="918.06533549783558"/>
    <n v="918.06533549783558"/>
    <n v="110378.14880032893"/>
    <n v="21394.391399766042"/>
    <n v="88983.757400562885"/>
    <n v="44491.878700281442"/>
    <n v="44491.878700281442"/>
    <n v="51.453562770000097"/>
    <n v="48.95217135289807"/>
    <n v="50.939027142300098"/>
    <n v="48.46264963936909"/>
    <n v="0"/>
    <n v="0"/>
    <n v="0"/>
    <n v="0"/>
    <n v="0"/>
    <n v="0"/>
    <n v="0"/>
    <e v="#REF!"/>
    <e v="#REF!"/>
    <e v="#REF!"/>
    <x v="7"/>
  </r>
  <r>
    <x v="27"/>
    <x v="27"/>
    <x v="4"/>
    <d v="2022-07-06T00:00:00"/>
    <n v="2116.5814177489183"/>
    <n v="380"/>
    <n v="1736.5814177489181"/>
    <n v="49.613597604895276"/>
    <n v="49.976312872566467"/>
    <n v="105641.10335196518"/>
    <n v="18853.167089860206"/>
    <n v="86787.93626210498"/>
    <n v="212"/>
    <n v="2116.5814177489183"/>
    <n v="380"/>
    <n v="1736.5814177489181"/>
    <n v="868.29070887445903"/>
    <n v="868.29070887445903"/>
    <n v="103528.28128492588"/>
    <n v="18476.103748063"/>
    <n v="85052.177536862873"/>
    <n v="42526.088768431437"/>
    <n v="42526.088768431437"/>
    <n v="90"/>
    <n v="0"/>
    <n v="90"/>
    <n v="90"/>
    <n v="0"/>
    <n v="2116.5814177489183"/>
    <n v="380"/>
    <n v="1736.5814177489181"/>
    <n v="868.29070887445903"/>
    <n v="868.29070887445903"/>
    <n v="104584.69231844554"/>
    <n v="18664.635418961603"/>
    <n v="85920.056899483927"/>
    <n v="42960.028449741963"/>
    <n v="42960.028449741963"/>
    <n v="49.613597604895276"/>
    <n v="49.976312872566467"/>
    <n v="49.117461628846321"/>
    <n v="49.476549743840799"/>
    <n v="0"/>
    <n v="0"/>
    <n v="0"/>
    <n v="0"/>
    <n v="0"/>
    <n v="0"/>
    <n v="0"/>
    <e v="#REF!"/>
    <e v="#REF!"/>
    <e v="#REF!"/>
    <x v="7"/>
  </r>
  <r>
    <x v="27"/>
    <x v="27"/>
    <x v="5"/>
    <d v="2022-07-07T00:00:00"/>
    <n v="1818.689209274673"/>
    <n v="310"/>
    <n v="1508.689209274673"/>
    <n v="49.966620653850597"/>
    <n v="49.252878154694379"/>
    <n v="89796.938200401361"/>
    <n v="15489.652402693686"/>
    <n v="74307.285797707678"/>
    <n v="213"/>
    <n v="1818.689209274673"/>
    <n v="310"/>
    <n v="1508.689209274673"/>
    <n v="754.34460463733649"/>
    <n v="754.34460463733649"/>
    <n v="88000.999436393322"/>
    <n v="15179.859354639811"/>
    <n v="72821.140081753518"/>
    <n v="36410.570040876759"/>
    <n v="36410.570040876759"/>
    <n v="90"/>
    <n v="0"/>
    <n v="90"/>
    <n v="90"/>
    <n v="0"/>
    <n v="1818.689209274673"/>
    <n v="310"/>
    <n v="1508.689209274673"/>
    <n v="754.34460463733649"/>
    <n v="754.34460463733649"/>
    <n v="88898.968818397349"/>
    <n v="15334.755878666749"/>
    <n v="73564.212939730598"/>
    <n v="36782.106469865299"/>
    <n v="36782.106469865299"/>
    <n v="49.966620653850597"/>
    <n v="49.252878154694379"/>
    <n v="49.466954447312091"/>
    <n v="48.760349373147434"/>
    <n v="0"/>
    <n v="0"/>
    <n v="0"/>
    <n v="0"/>
    <n v="0"/>
    <n v="0"/>
    <n v="0"/>
    <e v="#REF!"/>
    <e v="#REF!"/>
    <e v="#REF!"/>
    <x v="7"/>
  </r>
  <r>
    <x v="27"/>
    <x v="27"/>
    <x v="0"/>
    <d v="2022-07-08T00:00:00"/>
    <n v="2376.3213436385258"/>
    <n v="700"/>
    <n v="1676.3213436385256"/>
    <n v="51.531642506159272"/>
    <n v="50.641167134094459"/>
    <n v="120963.01908795987"/>
    <n v="36072.149754311489"/>
    <n v="84890.86933364837"/>
    <n v="214"/>
    <n v="2376.3213436385258"/>
    <n v="700"/>
    <n v="1676.3213436385256"/>
    <n v="838.1606718192628"/>
    <n v="838.1606718192628"/>
    <n v="118543.75870620066"/>
    <n v="35350.706759225257"/>
    <n v="83193.051946975407"/>
    <n v="41596.525973487704"/>
    <n v="41596.525973487704"/>
    <n v="90"/>
    <n v="0"/>
    <n v="90"/>
    <n v="90"/>
    <n v="0"/>
    <n v="2376.3213436385258"/>
    <n v="700"/>
    <n v="1676.3213436385256"/>
    <n v="838.1606718192628"/>
    <n v="838.1606718192628"/>
    <n v="119753.38889708027"/>
    <n v="35711.428256768377"/>
    <n v="84041.960640311881"/>
    <n v="42020.980320155941"/>
    <n v="42020.980320155941"/>
    <n v="51.531642506159272"/>
    <n v="50.641167134094459"/>
    <n v="51.016326081097681"/>
    <n v="50.13475546275351"/>
    <n v="0"/>
    <n v="0"/>
    <n v="0"/>
    <n v="0"/>
    <n v="0"/>
    <n v="0"/>
    <n v="0"/>
    <e v="#REF!"/>
    <e v="#REF!"/>
    <e v="#REF!"/>
    <x v="7"/>
  </r>
  <r>
    <x v="27"/>
    <x v="27"/>
    <x v="1"/>
    <d v="2022-07-09T00:00:00"/>
    <n v="2162.2156361474435"/>
    <n v="620"/>
    <n v="1542.2156361474435"/>
    <n v="51.011759891622496"/>
    <n v="50.772271240266548"/>
    <n v="109929.08172226418"/>
    <n v="31627.291132805949"/>
    <n v="78301.790589458222"/>
    <n v="215"/>
    <n v="2162.2156361474435"/>
    <n v="620"/>
    <n v="1542.2156361474435"/>
    <n v="771.10781807372177"/>
    <n v="771.10781807372177"/>
    <n v="107730.50008781889"/>
    <n v="30994.745310149829"/>
    <n v="76735.754777669063"/>
    <n v="38367.877388834531"/>
    <n v="38367.877388834531"/>
    <n v="90"/>
    <n v="0"/>
    <n v="90"/>
    <n v="90"/>
    <n v="0"/>
    <n v="2162.2156361474435"/>
    <n v="620"/>
    <n v="1542.2156361474435"/>
    <n v="771.10781807372177"/>
    <n v="771.10781807372177"/>
    <n v="108829.79090504153"/>
    <n v="31311.018221477891"/>
    <n v="77518.772683563642"/>
    <n v="38759.386341781821"/>
    <n v="38759.386341781821"/>
    <n v="51.011759891622496"/>
    <n v="50.772271240266548"/>
    <n v="50.501642292706272"/>
    <n v="50.26454852786388"/>
    <n v="0"/>
    <n v="0"/>
    <n v="0"/>
    <n v="0"/>
    <n v="0"/>
    <n v="0"/>
    <n v="0"/>
    <e v="#REF!"/>
    <e v="#REF!"/>
    <e v="#REF!"/>
    <x v="7"/>
  </r>
  <r>
    <x v="27"/>
    <x v="27"/>
    <x v="6"/>
    <d v="2022-07-10T00:00:00"/>
    <n v="200"/>
    <n v="0"/>
    <n v="200"/>
    <n v="0"/>
    <n v="57.852682508416713"/>
    <n v="11570.536501683342"/>
    <n v="0"/>
    <n v="11570.536501683342"/>
    <n v="216"/>
    <n v="180"/>
    <n v="0"/>
    <n v="180"/>
    <n v="180"/>
    <n v="0"/>
    <n v="10205.213194484708"/>
    <n v="0"/>
    <n v="10205.213194484708"/>
    <n v="10205.213194484708"/>
    <n v="0"/>
    <n v="90"/>
    <n v="0"/>
    <n v="90"/>
    <n v="90"/>
    <n v="0"/>
    <n v="180"/>
    <n v="0"/>
    <n v="180"/>
    <n v="180"/>
    <n v="0"/>
    <n v="10309.348022999857"/>
    <n v="0"/>
    <n v="10309.348022999857"/>
    <n v="10309.348022999857"/>
    <n v="0"/>
    <n v="0"/>
    <n v="57.852682508416713"/>
    <s v="-"/>
    <n v="57.274155683332538"/>
    <n v="0"/>
    <n v="0"/>
    <n v="0"/>
    <n v="0"/>
    <n v="0"/>
    <n v="0"/>
    <n v="0"/>
    <e v="#REF!"/>
    <e v="#REF!"/>
    <e v="#REF!"/>
    <x v="7"/>
  </r>
  <r>
    <x v="28"/>
    <x v="28"/>
    <x v="2"/>
    <d v="2022-07-11T00:00:00"/>
    <n v="1895.7589774078479"/>
    <n v="510"/>
    <n v="1385.7589774078479"/>
    <n v="48.898751708504399"/>
    <n v="50.470560791136158"/>
    <n v="94878.396082462699"/>
    <n v="24938.363371337244"/>
    <n v="69940.032711125459"/>
    <n v="218"/>
    <n v="1895.7589774078479"/>
    <n v="510"/>
    <n v="1385.7589774078479"/>
    <n v="692.87948870392393"/>
    <n v="692.87948870392393"/>
    <n v="92980.828160813457"/>
    <n v="24439.596103910499"/>
    <n v="68541.232056902954"/>
    <n v="34270.616028451477"/>
    <n v="34270.616028451477"/>
    <n v="90"/>
    <n v="0"/>
    <n v="90"/>
    <n v="90"/>
    <n v="0"/>
    <n v="1895.7589774078479"/>
    <n v="510"/>
    <n v="1385.7589774078479"/>
    <n v="692.87948870392393"/>
    <n v="692.87948870392393"/>
    <n v="93929.612121638071"/>
    <n v="24688.979737623871"/>
    <n v="69240.632384014199"/>
    <n v="34620.3161920071"/>
    <n v="34620.3161920071"/>
    <n v="48.898751708504399"/>
    <n v="50.470560791136158"/>
    <n v="48.409764191419356"/>
    <n v="49.965855183224789"/>
    <n v="0"/>
    <n v="0"/>
    <n v="0"/>
    <n v="0"/>
    <n v="0"/>
    <n v="0"/>
    <n v="0"/>
    <e v="#REF!"/>
    <e v="#REF!"/>
    <e v="#REF!"/>
    <x v="7"/>
  </r>
  <r>
    <x v="28"/>
    <x v="28"/>
    <x v="3"/>
    <d v="2022-07-12T00:00:00"/>
    <n v="2027.4968192627825"/>
    <n v="340"/>
    <n v="1687.4968192627825"/>
    <n v="54.162403221343695"/>
    <n v="48.114633765301924"/>
    <n v="99608.508534197535"/>
    <n v="18415.217095256856"/>
    <n v="81193.29143894068"/>
    <n v="219"/>
    <n v="2027.4968192627825"/>
    <n v="340"/>
    <n v="1687.4968192627825"/>
    <n v="843.74840963139127"/>
    <n v="843.74840963139127"/>
    <n v="97616.338363513583"/>
    <n v="18046.912753351717"/>
    <n v="79569.425610161867"/>
    <n v="39784.712805080933"/>
    <n v="39784.712805080933"/>
    <n v="90"/>
    <n v="0"/>
    <n v="90"/>
    <n v="90"/>
    <n v="0"/>
    <n v="2027.4968192627825"/>
    <n v="340"/>
    <n v="1687.4968192627825"/>
    <n v="843.74840963139127"/>
    <n v="843.74840963139127"/>
    <n v="98612.423448855552"/>
    <n v="18231.064924304286"/>
    <n v="80381.358524551266"/>
    <n v="40190.679262275633"/>
    <n v="40190.679262275633"/>
    <n v="54.162403221343695"/>
    <n v="48.114633765301924"/>
    <n v="53.620779189130253"/>
    <n v="47.633487427648902"/>
    <n v="0"/>
    <n v="0"/>
    <n v="0"/>
    <n v="0"/>
    <n v="0"/>
    <n v="0"/>
    <n v="0"/>
    <e v="#REF!"/>
    <e v="#REF!"/>
    <e v="#REF!"/>
    <x v="7"/>
  </r>
  <r>
    <x v="28"/>
    <x v="28"/>
    <x v="4"/>
    <d v="2022-07-13T00:00:00"/>
    <n v="1908.0930142687278"/>
    <n v="310"/>
    <n v="1598.0930142687278"/>
    <n v="48.948951578909522"/>
    <n v="49.120882567249396"/>
    <n v="93673.914274897747"/>
    <n v="15174.174989461952"/>
    <n v="78499.739285435789"/>
    <n v="220"/>
    <n v="1908.0930142687278"/>
    <n v="310"/>
    <n v="1598.0930142687278"/>
    <n v="799.04650713436388"/>
    <n v="799.04650713436388"/>
    <n v="91800.43598939979"/>
    <n v="14870.691489672712"/>
    <n v="76929.74449972708"/>
    <n v="38464.87224986354"/>
    <n v="38464.87224986354"/>
    <n v="90"/>
    <n v="0"/>
    <n v="90"/>
    <n v="90"/>
    <n v="0"/>
    <n v="1908.0930142687278"/>
    <n v="310"/>
    <n v="1598.0930142687278"/>
    <n v="799.04650713436388"/>
    <n v="799.04650713436388"/>
    <n v="92737.175132148754"/>
    <n v="15022.433239567332"/>
    <n v="77714.741892581427"/>
    <n v="38857.370946290714"/>
    <n v="38857.370946290714"/>
    <n v="48.948951578909522"/>
    <n v="49.120882567249396"/>
    <n v="48.459462063120426"/>
    <n v="48.629673741576902"/>
    <n v="0"/>
    <n v="0"/>
    <n v="0"/>
    <n v="0"/>
    <n v="0"/>
    <n v="0"/>
    <n v="0"/>
    <e v="#REF!"/>
    <e v="#REF!"/>
    <e v="#REF!"/>
    <x v="7"/>
  </r>
  <r>
    <x v="28"/>
    <x v="28"/>
    <x v="5"/>
    <d v="2022-07-14T00:00:00"/>
    <n v="1742.732298136646"/>
    <n v="290"/>
    <n v="1452.732298136646"/>
    <n v="50.325717135646236"/>
    <n v="48.669575136300928"/>
    <n v="85298.321706430026"/>
    <n v="14594.457969337409"/>
    <n v="70703.863737092615"/>
    <n v="221"/>
    <n v="1742.732298136646"/>
    <n v="290"/>
    <n v="1452.732298136646"/>
    <n v="726.36614906832301"/>
    <n v="726.36614906832301"/>
    <n v="83592.355272301429"/>
    <n v="14302.568809950661"/>
    <n v="69289.786462350763"/>
    <n v="34644.893231175382"/>
    <n v="34644.893231175382"/>
    <n v="90"/>
    <n v="0"/>
    <n v="90"/>
    <n v="90"/>
    <n v="0"/>
    <n v="1742.732298136646"/>
    <n v="290"/>
    <n v="1452.732298136646"/>
    <n v="726.36614906832301"/>
    <n v="726.36614906832301"/>
    <n v="84445.33848936572"/>
    <n v="14448.513389644035"/>
    <n v="69996.825099721682"/>
    <n v="34998.412549860841"/>
    <n v="34998.412549860841"/>
    <n v="50.325717135646236"/>
    <n v="48.669575136300928"/>
    <n v="49.822459964289777"/>
    <n v="48.182879384937912"/>
    <n v="0"/>
    <n v="0"/>
    <n v="0"/>
    <n v="0"/>
    <n v="0"/>
    <n v="0"/>
    <n v="0"/>
    <e v="#REF!"/>
    <e v="#REF!"/>
    <e v="#REF!"/>
    <x v="7"/>
  </r>
  <r>
    <x v="28"/>
    <x v="28"/>
    <x v="0"/>
    <d v="2022-07-15T00:00:00"/>
    <n v="2271.6546583850932"/>
    <n v="650"/>
    <n v="1621.6546583850932"/>
    <n v="51.90198637338429"/>
    <n v="50.041069379234834"/>
    <n v="114885.6244121076"/>
    <n v="33736.291142699789"/>
    <n v="81149.333269407813"/>
    <n v="222"/>
    <n v="2271.6546583850932"/>
    <n v="650"/>
    <n v="1621.6546583850932"/>
    <n v="810.82732919254659"/>
    <n v="810.82732919254659"/>
    <n v="112587.91192386544"/>
    <n v="33061.565319845795"/>
    <n v="79526.346604019651"/>
    <n v="39763.173302009825"/>
    <n v="39763.173302009825"/>
    <n v="90"/>
    <n v="0"/>
    <n v="90"/>
    <n v="90"/>
    <n v="0"/>
    <n v="2271.6546583850932"/>
    <n v="650"/>
    <n v="1621.6546583850932"/>
    <n v="810.82732919254659"/>
    <n v="810.82732919254659"/>
    <n v="113736.76816798652"/>
    <n v="33398.928231272788"/>
    <n v="80337.839936713732"/>
    <n v="40168.919968356866"/>
    <n v="40168.919968356866"/>
    <n v="51.90198637338429"/>
    <n v="50.041069379234834"/>
    <n v="51.382966509650444"/>
    <n v="49.540658685442487"/>
    <n v="0"/>
    <n v="0"/>
    <n v="0"/>
    <n v="0"/>
    <n v="0"/>
    <n v="0"/>
    <n v="0"/>
    <e v="#REF!"/>
    <e v="#REF!"/>
    <e v="#REF!"/>
    <x v="7"/>
  </r>
  <r>
    <x v="28"/>
    <x v="28"/>
    <x v="1"/>
    <d v="2022-07-16T00:00:00"/>
    <n v="2056.5167701863356"/>
    <n v="570"/>
    <n v="1486.5167701863354"/>
    <n v="51.37836750421625"/>
    <n v="50.170587461930936"/>
    <n v="103865.0891096639"/>
    <n v="29285.669477403262"/>
    <n v="74579.419632260629"/>
    <n v="223"/>
    <n v="2056.5167701863356"/>
    <n v="570"/>
    <n v="1486.5167701863354"/>
    <n v="743.2583850931677"/>
    <n v="743.2583850931677"/>
    <n v="101787.78732747062"/>
    <n v="28699.956087855197"/>
    <n v="73087.831239615422"/>
    <n v="36543.915619807711"/>
    <n v="36543.915619807711"/>
    <n v="90"/>
    <n v="0"/>
    <n v="90"/>
    <n v="90"/>
    <n v="0"/>
    <n v="2056.5167701863356"/>
    <n v="570"/>
    <n v="1486.5167701863354"/>
    <n v="743.2583850931677"/>
    <n v="743.2583850931677"/>
    <n v="102826.43821856726"/>
    <n v="28992.812782629229"/>
    <n v="73833.625435938025"/>
    <n v="36916.812717969013"/>
    <n v="36916.812717969013"/>
    <n v="51.37836750421625"/>
    <n v="50.170587461930936"/>
    <n v="50.864583829174087"/>
    <n v="49.668881587311631"/>
    <n v="0"/>
    <n v="0"/>
    <n v="0"/>
    <n v="0"/>
    <n v="0"/>
    <n v="0"/>
    <n v="0"/>
    <e v="#REF!"/>
    <e v="#REF!"/>
    <e v="#REF!"/>
    <x v="7"/>
  </r>
  <r>
    <x v="28"/>
    <x v="28"/>
    <x v="6"/>
    <d v="2022-07-17T00:00:00"/>
    <n v="200"/>
    <n v="0"/>
    <n v="200"/>
    <n v="0"/>
    <n v="57.183895471381014"/>
    <n v="11436.779094276202"/>
    <n v="0"/>
    <n v="11436.779094276202"/>
    <n v="224"/>
    <n v="180"/>
    <n v="0"/>
    <n v="180"/>
    <n v="180"/>
    <n v="0"/>
    <n v="10087.23916115161"/>
    <n v="0"/>
    <n v="10087.23916115161"/>
    <n v="10087.23916115161"/>
    <n v="0"/>
    <n v="90"/>
    <n v="0"/>
    <n v="90"/>
    <n v="90"/>
    <n v="0"/>
    <n v="180"/>
    <n v="0"/>
    <n v="180"/>
    <n v="180"/>
    <n v="0"/>
    <n v="10190.170173000097"/>
    <n v="0"/>
    <n v="10190.170173000097"/>
    <n v="10190.170173000097"/>
    <n v="0"/>
    <n v="0"/>
    <n v="57.183895471381014"/>
    <s v="-"/>
    <n v="56.612056516667202"/>
    <n v="0"/>
    <n v="0"/>
    <n v="0"/>
    <n v="0"/>
    <n v="0"/>
    <n v="0"/>
    <n v="0"/>
    <e v="#REF!"/>
    <e v="#REF!"/>
    <e v="#REF!"/>
    <x v="7"/>
  </r>
  <r>
    <x v="29"/>
    <x v="29"/>
    <x v="2"/>
    <d v="2022-07-18T00:00:00"/>
    <n v="1810.1173913043478"/>
    <n v="470"/>
    <n v="1340.1173913043478"/>
    <n v="49.250173707289683"/>
    <n v="49.872526935516504"/>
    <n v="89982.622337006353"/>
    <n v="23147.58164242615"/>
    <n v="66835.040694580195"/>
    <n v="226"/>
    <n v="1810.1173913043478"/>
    <n v="470"/>
    <n v="1340.1173913043478"/>
    <n v="670.05869565217392"/>
    <n v="670.05869565217392"/>
    <n v="88182.96989026622"/>
    <n v="22684.630009577628"/>
    <n v="65498.339880688589"/>
    <n v="32749.169940344294"/>
    <n v="32749.169940344294"/>
    <n v="90"/>
    <n v="0"/>
    <n v="90"/>
    <n v="90"/>
    <n v="0"/>
    <n v="1810.1173913043478"/>
    <n v="470"/>
    <n v="1340.1173913043478"/>
    <n v="670.05869565217392"/>
    <n v="670.05869565217392"/>
    <n v="89082.796113636286"/>
    <n v="22916.105826001887"/>
    <n v="66166.690287634396"/>
    <n v="33083.345143817198"/>
    <n v="33083.345143817198"/>
    <n v="49.250173707289683"/>
    <n v="49.872526935516504"/>
    <n v="48.757671970216784"/>
    <n v="49.373801666161341"/>
    <n v="0"/>
    <n v="0"/>
    <n v="0"/>
    <n v="0"/>
    <n v="0"/>
    <n v="0"/>
    <n v="0"/>
    <e v="#REF!"/>
    <e v="#REF!"/>
    <e v="#REF!"/>
    <x v="7"/>
  </r>
  <r>
    <x v="29"/>
    <x v="29"/>
    <x v="3"/>
    <d v="2022-07-19T00:00:00"/>
    <n v="1931.6546583850932"/>
    <n v="310"/>
    <n v="1621.6546583850932"/>
    <n v="47.158510950543068"/>
    <n v="47.545100585060013"/>
    <n v="91720.872241818739"/>
    <n v="14619.138394668351"/>
    <n v="77101.73384715039"/>
    <n v="227"/>
    <n v="1931.6546583850932"/>
    <n v="310"/>
    <n v="1621.6546583850932"/>
    <n v="810.82732919254659"/>
    <n v="810.82732919254659"/>
    <n v="89886.454796982376"/>
    <n v="14326.755626774984"/>
    <n v="75559.699170207386"/>
    <n v="37779.849585103693"/>
    <n v="37779.849585103693"/>
    <n v="90"/>
    <n v="0"/>
    <n v="90"/>
    <n v="90"/>
    <n v="0"/>
    <n v="1931.6546583850932"/>
    <n v="310"/>
    <n v="1621.6546583850932"/>
    <n v="810.82732919254659"/>
    <n v="810.82732919254659"/>
    <n v="90803.66351940055"/>
    <n v="14472.947010721668"/>
    <n v="76330.716508678888"/>
    <n v="38165.358254339444"/>
    <n v="38165.358254339444"/>
    <n v="47.158510950543068"/>
    <n v="47.545100585060013"/>
    <n v="46.686925841037635"/>
    <n v="47.069649579209418"/>
    <n v="0"/>
    <n v="0"/>
    <n v="0"/>
    <n v="0"/>
    <n v="0"/>
    <n v="0"/>
    <n v="0"/>
    <e v="#REF!"/>
    <e v="#REF!"/>
    <e v="#REF!"/>
    <x v="7"/>
  </r>
  <r>
    <x v="29"/>
    <x v="29"/>
    <x v="4"/>
    <d v="2022-07-20T00:00:00"/>
    <n v="1832.8242236024846"/>
    <n v="290"/>
    <n v="1542.8242236024846"/>
    <n v="49.300734350478983"/>
    <n v="48.539176356969165"/>
    <n v="89184.63003888393"/>
    <n v="14297.212961638905"/>
    <n v="74887.417077245031"/>
    <n v="228"/>
    <n v="1832.8242236024846"/>
    <n v="290"/>
    <n v="1542.8242236024846"/>
    <n v="771.4121118012423"/>
    <n v="771.4121118012423"/>
    <n v="87400.937438106266"/>
    <n v="14011.268702406127"/>
    <n v="73389.668735700136"/>
    <n v="36694.834367850068"/>
    <n v="36694.834367850068"/>
    <n v="90"/>
    <n v="0"/>
    <n v="90"/>
    <n v="90"/>
    <n v="0"/>
    <n v="1832.8242236024846"/>
    <n v="290"/>
    <n v="1542.8242236024846"/>
    <n v="771.4121118012423"/>
    <n v="771.4121118012423"/>
    <n v="88292.783738495084"/>
    <n v="14154.240832022515"/>
    <n v="74138.542906472576"/>
    <n v="37069.271453236288"/>
    <n v="37069.271453236288"/>
    <n v="49.300734350478983"/>
    <n v="48.539176356969165"/>
    <n v="48.80772700697419"/>
    <n v="48.05378459339947"/>
    <n v="0"/>
    <n v="0"/>
    <n v="0"/>
    <n v="0"/>
    <n v="0"/>
    <n v="0"/>
    <n v="0"/>
    <e v="#REF!"/>
    <e v="#REF!"/>
    <e v="#REF!"/>
    <x v="7"/>
  </r>
  <r>
    <x v="29"/>
    <x v="29"/>
    <x v="5"/>
    <d v="2022-07-21T00:00:00"/>
    <n v="0"/>
    <n v="0"/>
    <n v="0"/>
    <n v="0"/>
    <n v="0"/>
    <n v="0"/>
    <n v="0"/>
    <n v="0"/>
    <n v="229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29"/>
    <x v="29"/>
    <x v="0"/>
    <d v="2022-07-22T00:00:00"/>
    <n v="2151.6319595667082"/>
    <n v="274.09475863156888"/>
    <n v="1877.5372009351393"/>
    <n v="51.394475115907348"/>
    <n v="48.571822522227691"/>
    <n v="105282.35995459252"/>
    <n v="14086.956251890797"/>
    <n v="91195.403702701733"/>
    <n v="230"/>
    <n v="2151.6319595667082"/>
    <n v="274.09475863156888"/>
    <n v="1877.5372009351393"/>
    <n v="938.76860046756963"/>
    <n v="938.76860046756963"/>
    <n v="103176.71275550067"/>
    <n v="13805.21712685298"/>
    <n v="89371.495628647695"/>
    <n v="44685.747814323848"/>
    <n v="44685.747814323848"/>
    <n v="90"/>
    <n v="0"/>
    <n v="90"/>
    <n v="90"/>
    <n v="0"/>
    <n v="2151.6319595667082"/>
    <n v="274.09475863156888"/>
    <n v="1877.5372009351393"/>
    <n v="938.76860046756963"/>
    <n v="938.76860046756963"/>
    <n v="104229.53635504661"/>
    <n v="13946.086689371888"/>
    <n v="90283.449665674721"/>
    <n v="45141.724832837361"/>
    <n v="45141.724832837361"/>
    <n v="51.394475115907348"/>
    <n v="48.571822522227691"/>
    <n v="50.880530364748267"/>
    <n v="48.086104297005413"/>
    <n v="0"/>
    <n v="0"/>
    <n v="0"/>
    <n v="0"/>
    <n v="0"/>
    <n v="0"/>
    <n v="0"/>
    <e v="#REF!"/>
    <e v="#REF!"/>
    <e v="#REF!"/>
    <x v="7"/>
  </r>
  <r>
    <x v="29"/>
    <x v="29"/>
    <x v="1"/>
    <d v="2022-07-23T00:00:00"/>
    <n v="2446.2377813572512"/>
    <n v="622.34451042007697"/>
    <n v="1823.8932709371741"/>
    <n v="50.875976329597371"/>
    <n v="48.697503932608527"/>
    <n v="120481.43431510797"/>
    <n v="31662.384580986702"/>
    <n v="88819.049734121261"/>
    <n v="231"/>
    <n v="2446.2377813572512"/>
    <n v="622.34451042007697"/>
    <n v="1823.8932709371741"/>
    <n v="911.94663546858703"/>
    <n v="911.94663546858703"/>
    <n v="118071.8056288058"/>
    <n v="31029.136889366968"/>
    <n v="87042.668739438828"/>
    <n v="43521.334369719414"/>
    <n v="43521.334369719414"/>
    <n v="90"/>
    <n v="0"/>
    <n v="90"/>
    <n v="90"/>
    <n v="0"/>
    <n v="2446.2377813572512"/>
    <n v="622.34451042007697"/>
    <n v="1823.8932709371741"/>
    <n v="911.94663546858703"/>
    <n v="911.94663546858703"/>
    <n v="119276.61997195688"/>
    <n v="31345.760735176835"/>
    <n v="87930.859236780045"/>
    <n v="43965.429618390022"/>
    <n v="43965.429618390022"/>
    <n v="50.875976329597371"/>
    <n v="48.697503932608527"/>
    <n v="50.367216566301401"/>
    <n v="48.210528893282437"/>
    <n v="0"/>
    <n v="0"/>
    <n v="0"/>
    <n v="0"/>
    <n v="0"/>
    <n v="0"/>
    <n v="0"/>
    <e v="#REF!"/>
    <e v="#REF!"/>
    <e v="#REF!"/>
    <x v="7"/>
  </r>
  <r>
    <x v="29"/>
    <x v="29"/>
    <x v="6"/>
    <d v="2022-07-24T00:00:00"/>
    <n v="200"/>
    <n v="0"/>
    <n v="200"/>
    <n v="0"/>
    <n v="55.513813203843519"/>
    <n v="11102.762640768704"/>
    <n v="0"/>
    <n v="11102.762640768704"/>
    <n v="232"/>
    <n v="180"/>
    <n v="0"/>
    <n v="180"/>
    <n v="180"/>
    <n v="0"/>
    <n v="9792.6366491579956"/>
    <n v="0"/>
    <n v="9792.6366491579956"/>
    <n v="9792.6366491579956"/>
    <n v="0"/>
    <n v="90"/>
    <n v="0"/>
    <n v="90"/>
    <n v="90"/>
    <n v="0"/>
    <n v="180"/>
    <n v="0"/>
    <n v="180"/>
    <n v="180"/>
    <n v="0"/>
    <n v="9892.5615129249145"/>
    <n v="0"/>
    <n v="9892.5615129249145"/>
    <n v="9892.5615129249145"/>
    <n v="0"/>
    <n v="0"/>
    <n v="55.513813203843519"/>
    <s v="-"/>
    <n v="54.958675071805082"/>
    <n v="0"/>
    <n v="0"/>
    <n v="0"/>
    <n v="0"/>
    <n v="0"/>
    <n v="0"/>
    <n v="0"/>
    <e v="#REF!"/>
    <e v="#REF!"/>
    <e v="#REF!"/>
    <x v="7"/>
  </r>
  <r>
    <x v="30"/>
    <x v="30"/>
    <x v="2"/>
    <d v="2022-07-25T00:00:00"/>
    <n v="2006.2479996751879"/>
    <n v="411.99022263754318"/>
    <n v="1594.2577770376447"/>
    <n v="48.768592570696384"/>
    <n v="48.40827275686204"/>
    <n v="97267.448626507685"/>
    <n v="20092.183310920838"/>
    <n v="77175.265315586847"/>
    <n v="234"/>
    <n v="2006.2479996751879"/>
    <n v="411.99022263754318"/>
    <n v="1594.2577770376447"/>
    <n v="797.12888851882235"/>
    <n v="797.12888851882235"/>
    <n v="95322.099653977522"/>
    <n v="19690.339644702421"/>
    <n v="75631.760009275109"/>
    <n v="37815.880004637555"/>
    <n v="37815.880004637555"/>
    <n v="90"/>
    <n v="0"/>
    <n v="90"/>
    <n v="90"/>
    <n v="0"/>
    <n v="2006.2479996751879"/>
    <n v="411.99022263754318"/>
    <n v="1594.2577770376447"/>
    <n v="797.12888851882235"/>
    <n v="797.12888851882235"/>
    <n v="96294.774140242604"/>
    <n v="19891.261477811629"/>
    <n v="76403.512662430978"/>
    <n v="38201.756331215489"/>
    <n v="38201.756331215489"/>
    <n v="48.768592570696384"/>
    <n v="48.40827275686204"/>
    <n v="48.280906644989422"/>
    <n v="47.924190029293413"/>
    <n v="0"/>
    <n v="0"/>
    <n v="0"/>
    <n v="0"/>
    <n v="0"/>
    <n v="0"/>
    <n v="0"/>
    <e v="#REF!"/>
    <e v="#REF!"/>
    <e v="#REF!"/>
    <x v="7"/>
  </r>
  <r>
    <x v="30"/>
    <x v="30"/>
    <x v="3"/>
    <d v="2022-07-26T00:00:00"/>
    <n v="2056.2685419152976"/>
    <n v="317.01036042783477"/>
    <n v="1739.2581814874629"/>
    <n v="46.05866529109754"/>
    <n v="46.149791005172744"/>
    <n v="94867.475664439058"/>
    <n v="14601.074084755834"/>
    <n v="80266.401579683225"/>
    <n v="235"/>
    <n v="2056.2685419152976"/>
    <n v="317.01036042783477"/>
    <n v="1739.2581814874629"/>
    <n v="869.62909074373147"/>
    <n v="869.62909074373147"/>
    <n v="92970.126151150267"/>
    <n v="14309.052603060716"/>
    <n v="78661.073548089553"/>
    <n v="39330.536774044776"/>
    <n v="39330.536774044776"/>
    <n v="90"/>
    <n v="0"/>
    <n v="90"/>
    <n v="90"/>
    <n v="0"/>
    <n v="2056.2685419152976"/>
    <n v="317.01036042783477"/>
    <n v="1739.2581814874629"/>
    <n v="869.62909074373147"/>
    <n v="869.62909074373147"/>
    <n v="93918.800907794663"/>
    <n v="14455.063343908276"/>
    <n v="79463.737563886389"/>
    <n v="39731.868781943194"/>
    <n v="39731.868781943194"/>
    <n v="46.05866529109754"/>
    <n v="46.149791005172744"/>
    <n v="45.598078638186564"/>
    <n v="45.688293095121018"/>
    <n v="0"/>
    <n v="0"/>
    <n v="0"/>
    <n v="0"/>
    <n v="0"/>
    <n v="0"/>
    <n v="0"/>
    <e v="#REF!"/>
    <e v="#REF!"/>
    <e v="#REF!"/>
    <x v="7"/>
  </r>
  <r>
    <x v="30"/>
    <x v="30"/>
    <x v="4"/>
    <d v="2022-07-27T00:00:00"/>
    <n v="2210.9779923777123"/>
    <n v="286.69978130942752"/>
    <n v="1924.2782110682847"/>
    <n v="48.818658818634233"/>
    <n v="47.114419591685454"/>
    <n v="104657.54985453101"/>
    <n v="13996.29880712199"/>
    <n v="90661.251047409023"/>
    <n v="236"/>
    <n v="2210.9779923777123"/>
    <n v="286.69978130942752"/>
    <n v="1924.2782110682847"/>
    <n v="962.13910553414235"/>
    <n v="962.13910553414235"/>
    <n v="102564.39885744039"/>
    <n v="13716.37283097955"/>
    <n v="88848.026026460837"/>
    <n v="44424.013013230418"/>
    <n v="44424.013013230418"/>
    <n v="90"/>
    <n v="0"/>
    <n v="90"/>
    <n v="90"/>
    <n v="0"/>
    <n v="2210.9779923777123"/>
    <n v="286.69978130942752"/>
    <n v="1924.2782110682847"/>
    <n v="962.13910553414235"/>
    <n v="962.13910553414235"/>
    <n v="103610.9743559857"/>
    <n v="13856.33581905077"/>
    <n v="89754.63853693493"/>
    <n v="44877.319268467465"/>
    <n v="44877.319268467465"/>
    <n v="48.818658818634233"/>
    <n v="47.114419591685454"/>
    <n v="48.330472230447889"/>
    <n v="46.643275395768597"/>
    <n v="0"/>
    <n v="0"/>
    <n v="0"/>
    <n v="0"/>
    <n v="0"/>
    <n v="0"/>
    <n v="0"/>
    <e v="#REF!"/>
    <e v="#REF!"/>
    <e v="#REF!"/>
    <x v="7"/>
  </r>
  <r>
    <x v="30"/>
    <x v="30"/>
    <x v="5"/>
    <d v="2022-07-28T00:00:00"/>
    <n v="1879.4412252042009"/>
    <n v="330"/>
    <n v="1549.4412252042009"/>
    <n v="50.017183792631364"/>
    <n v="48.047273723987757"/>
    <n v="90952.097318185552"/>
    <n v="16505.670651568351"/>
    <n v="74446.426666617204"/>
    <n v="237"/>
    <n v="1879.4412252042009"/>
    <n v="330"/>
    <n v="1549.4412252042009"/>
    <n v="774.72061260210046"/>
    <n v="774.72061260210046"/>
    <n v="89133.055371821843"/>
    <n v="16175.557238536983"/>
    <n v="72957.498133284855"/>
    <n v="36478.749066642427"/>
    <n v="36478.749066642427"/>
    <n v="90"/>
    <n v="0"/>
    <n v="90"/>
    <n v="90"/>
    <n v="0"/>
    <n v="1879.4412252042009"/>
    <n v="330"/>
    <n v="1549.4412252042009"/>
    <n v="774.72061260210046"/>
    <n v="774.72061260210046"/>
    <n v="90042.576345003705"/>
    <n v="16340.613945052668"/>
    <n v="73701.962399951037"/>
    <n v="36850.981199975518"/>
    <n v="36850.981199975518"/>
    <n v="50.017183792631364"/>
    <n v="48.047273723987757"/>
    <n v="49.517011954705055"/>
    <n v="47.566800986747886"/>
    <n v="0"/>
    <n v="0"/>
    <n v="0"/>
    <n v="0"/>
    <n v="0"/>
    <n v="0"/>
    <n v="0"/>
    <e v="#REF!"/>
    <e v="#REF!"/>
    <e v="#REF!"/>
    <x v="7"/>
  </r>
  <r>
    <x v="30"/>
    <x v="30"/>
    <x v="0"/>
    <d v="2022-07-29T00:00:00"/>
    <n v="2460.3978646441074"/>
    <n v="730"/>
    <n v="1730.3978646441074"/>
    <n v="51.583789350543448"/>
    <n v="49.40110828943569"/>
    <n v="123139.73852098855"/>
    <n v="37656.166225896719"/>
    <n v="85483.572295091828"/>
    <n v="238"/>
    <n v="2460.3978646441074"/>
    <n v="730"/>
    <n v="1730.3978646441074"/>
    <n v="865.19893232205368"/>
    <n v="865.19893232205368"/>
    <n v="120676.94375056878"/>
    <n v="36903.042901378787"/>
    <n v="83773.900849189988"/>
    <n v="41886.950424594994"/>
    <n v="41886.950424594994"/>
    <n v="90"/>
    <n v="0"/>
    <n v="90"/>
    <n v="90"/>
    <n v="0"/>
    <n v="2460.3978646441074"/>
    <n v="730"/>
    <n v="1730.3978646441074"/>
    <n v="865.19893232205368"/>
    <n v="865.19893232205368"/>
    <n v="121908.34113577867"/>
    <n v="37279.604563637753"/>
    <n v="84628.736572140915"/>
    <n v="42314.368286070458"/>
    <n v="42314.368286070458"/>
    <n v="51.583789350543448"/>
    <n v="49.40110828943569"/>
    <n v="51.067951457038021"/>
    <n v="48.907097206541337"/>
    <n v="0"/>
    <n v="0"/>
    <n v="0"/>
    <n v="0"/>
    <n v="0"/>
    <n v="0"/>
    <n v="0"/>
    <e v="#REF!"/>
    <e v="#REF!"/>
    <e v="#REF!"/>
    <x v="7"/>
  </r>
  <r>
    <x v="30"/>
    <x v="30"/>
    <x v="1"/>
    <d v="2022-07-30T00:00:00"/>
    <n v="2234.6803850641772"/>
    <n v="640"/>
    <n v="1594.6803850641775"/>
    <n v="51.063380646860672"/>
    <n v="49.528958667304877"/>
    <n v="111663.4224933963"/>
    <n v="32680.563613990831"/>
    <n v="78982.858879405467"/>
    <n v="239"/>
    <n v="2234.6803850641772"/>
    <n v="640"/>
    <n v="1594.6803850641775"/>
    <n v="797.34019253208874"/>
    <n v="797.34019253208874"/>
    <n v="109430.15404352837"/>
    <n v="32026.952341711014"/>
    <n v="77403.20170181735"/>
    <n v="38701.600850908675"/>
    <n v="38701.600850908675"/>
    <n v="90"/>
    <n v="0"/>
    <n v="90"/>
    <n v="90"/>
    <n v="0"/>
    <n v="2234.6803850641772"/>
    <n v="640"/>
    <n v="1594.6803850641775"/>
    <n v="797.34019253208874"/>
    <n v="797.34019253208874"/>
    <n v="110546.78826846233"/>
    <n v="32353.757977850921"/>
    <n v="78193.030290611408"/>
    <n v="39096.515145305704"/>
    <n v="39096.515145305704"/>
    <n v="51.063380646860672"/>
    <n v="49.528958667304877"/>
    <n v="50.552746840392061"/>
    <n v="49.033669080631824"/>
    <n v="0"/>
    <n v="0"/>
    <n v="0"/>
    <n v="0"/>
    <n v="0"/>
    <n v="0"/>
    <n v="0"/>
    <e v="#REF!"/>
    <e v="#REF!"/>
    <e v="#REF!"/>
    <x v="7"/>
  </r>
  <r>
    <x v="30"/>
    <x v="30"/>
    <x v="6"/>
    <d v="2022-07-31T00:00:00"/>
    <n v="200"/>
    <n v="0"/>
    <n v="200"/>
    <n v="0"/>
    <n v="56.454383492827652"/>
    <n v="11290.876698565531"/>
    <n v="0"/>
    <n v="11290.876698565531"/>
    <n v="240"/>
    <n v="180"/>
    <n v="0"/>
    <n v="180"/>
    <n v="180"/>
    <n v="0"/>
    <n v="9958.5532481347982"/>
    <n v="0"/>
    <n v="9958.5532481347982"/>
    <n v="9958.5532481347982"/>
    <n v="0"/>
    <n v="90"/>
    <n v="0"/>
    <n v="90"/>
    <n v="90"/>
    <n v="0"/>
    <n v="180"/>
    <n v="0"/>
    <n v="180"/>
    <n v="180"/>
    <n v="0"/>
    <n v="10060.171138421887"/>
    <n v="0"/>
    <n v="10060.171138421887"/>
    <n v="10060.171138421887"/>
    <n v="0"/>
    <n v="0"/>
    <n v="56.454383492827652"/>
    <s v="-"/>
    <n v="55.889839657899373"/>
    <n v="0"/>
    <n v="0"/>
    <n v="0"/>
    <n v="0"/>
    <n v="0"/>
    <n v="0"/>
    <n v="0"/>
    <e v="#REF!"/>
    <e v="#REF!"/>
    <e v="#REF!"/>
    <x v="7"/>
  </r>
  <r>
    <x v="31"/>
    <x v="31"/>
    <x v="2"/>
    <d v="2022-08-01T00:00:00"/>
    <n v="1955.0335355892648"/>
    <n v="530"/>
    <n v="1425.0335355892648"/>
    <n v="48.948234229765369"/>
    <n v="49.234736037254144"/>
    <n v="96103.7141107481"/>
    <n v="25942.564141775645"/>
    <n v="70161.149968972459"/>
    <n v="242"/>
    <n v="1955.0335355892648"/>
    <n v="530"/>
    <n v="1425.0335355892648"/>
    <n v="712.51676779463241"/>
    <n v="712.51676779463241"/>
    <n v="94181.639828533138"/>
    <n v="25423.712858940133"/>
    <n v="68757.926969593012"/>
    <n v="34378.963484796506"/>
    <n v="34378.963484796506"/>
    <n v="90"/>
    <n v="0"/>
    <n v="90"/>
    <n v="90"/>
    <n v="0"/>
    <n v="1955.0335355892648"/>
    <n v="530"/>
    <n v="1425.0335355892648"/>
    <n v="712.51676779463241"/>
    <n v="712.51676779463241"/>
    <n v="95142.676969640626"/>
    <n v="25683.138500357887"/>
    <n v="69459.538469282736"/>
    <n v="34729.769234641368"/>
    <n v="34729.769234641368"/>
    <n v="48.948234229765369"/>
    <n v="49.234736037254144"/>
    <n v="48.458751887467713"/>
    <n v="48.742388676881603"/>
    <n v="0"/>
    <n v="0"/>
    <n v="0"/>
    <n v="0"/>
    <n v="0"/>
    <n v="0"/>
    <n v="0"/>
    <e v="#REF!"/>
    <e v="#REF!"/>
    <e v="#REF!"/>
    <x v="8"/>
  </r>
  <r>
    <x v="31"/>
    <x v="31"/>
    <x v="3"/>
    <d v="2022-08-02T00:00:00"/>
    <n v="2091.7076546091012"/>
    <n v="350"/>
    <n v="1741.7076546091014"/>
    <n v="46.178693696072685"/>
    <n v="46.937278167477182"/>
    <n v="97913.559464437101"/>
    <n v="16162.54279362544"/>
    <n v="81751.016670811659"/>
    <n v="243"/>
    <n v="2091.7076546091012"/>
    <n v="350"/>
    <n v="1741.7076546091014"/>
    <n v="870.85382730455069"/>
    <n v="870.85382730455069"/>
    <n v="95955.288275148356"/>
    <n v="15839.291937752931"/>
    <n v="80115.996337395423"/>
    <n v="40057.998168697712"/>
    <n v="40057.998168697712"/>
    <n v="90"/>
    <n v="0"/>
    <n v="90"/>
    <n v="90"/>
    <n v="0"/>
    <n v="2091.7076546091012"/>
    <n v="350"/>
    <n v="1741.7076546091014"/>
    <n v="870.85382730455069"/>
    <n v="870.85382730455069"/>
    <n v="96934.423869792721"/>
    <n v="16000.917365689185"/>
    <n v="80933.506504103541"/>
    <n v="40466.753252051771"/>
    <n v="40466.753252051771"/>
    <n v="46.178693696072685"/>
    <n v="46.937278167477182"/>
    <n v="45.716906759111957"/>
    <n v="46.46790538580241"/>
    <n v="0"/>
    <n v="0"/>
    <n v="0"/>
    <n v="0"/>
    <n v="0"/>
    <n v="0"/>
    <n v="0"/>
    <e v="#REF!"/>
    <e v="#REF!"/>
    <e v="#REF!"/>
    <x v="8"/>
  </r>
  <r>
    <x v="31"/>
    <x v="31"/>
    <x v="4"/>
    <d v="2022-08-03T00:00:00"/>
    <n v="1971.2293348891483"/>
    <n v="320"/>
    <n v="1651.2293348891483"/>
    <n v="48.998484899343644"/>
    <n v="47.918553989536747"/>
    <n v="94804.037200782477"/>
    <n v="15679.515167789967"/>
    <n v="79124.522032992507"/>
    <n v="244"/>
    <n v="1971.2293348891483"/>
    <n v="320"/>
    <n v="1651.2293348891483"/>
    <n v="825.61466744457414"/>
    <n v="825.61466744457414"/>
    <n v="92907.956456766828"/>
    <n v="15365.924864434168"/>
    <n v="77542.031592332656"/>
    <n v="38771.015796166328"/>
    <n v="38771.015796166328"/>
    <n v="90"/>
    <n v="0"/>
    <n v="90"/>
    <n v="90"/>
    <n v="0"/>
    <n v="1971.2293348891483"/>
    <n v="320"/>
    <n v="1651.2293348891483"/>
    <n v="825.61466744457414"/>
    <n v="825.61466744457414"/>
    <n v="93855.996828774645"/>
    <n v="15522.720016112067"/>
    <n v="78333.276812662574"/>
    <n v="39166.638406331287"/>
    <n v="39166.638406331287"/>
    <n v="48.998484899343644"/>
    <n v="47.918553989536747"/>
    <n v="48.508500050350207"/>
    <n v="47.439368449641378"/>
    <n v="0"/>
    <n v="0"/>
    <n v="0"/>
    <n v="0"/>
    <n v="0"/>
    <n v="0"/>
    <n v="0"/>
    <e v="#REF!"/>
    <e v="#REF!"/>
    <e v="#REF!"/>
    <x v="8"/>
  </r>
  <r>
    <x v="31"/>
    <x v="31"/>
    <x v="5"/>
    <d v="2022-08-04T00:00:00"/>
    <n v="1825.5205609167674"/>
    <n v="310"/>
    <n v="1515.5205609167674"/>
    <n v="50.493832754564238"/>
    <n v="48.421917422453291"/>
    <n v="89037.499606656711"/>
    <n v="15653.088153914914"/>
    <n v="73384.411452741799"/>
    <n v="245"/>
    <n v="1825.5205609167674"/>
    <n v="310"/>
    <n v="1515.5205609167674"/>
    <n v="757.7602804583837"/>
    <n v="757.7602804583837"/>
    <n v="87256.749614523578"/>
    <n v="15340.026390836616"/>
    <n v="71916.72322368696"/>
    <n v="35958.36161184348"/>
    <n v="35958.36161184348"/>
    <n v="90"/>
    <n v="0"/>
    <n v="90"/>
    <n v="90"/>
    <n v="0"/>
    <n v="1825.5205609167674"/>
    <n v="310"/>
    <n v="1515.5205609167674"/>
    <n v="757.7602804583837"/>
    <n v="757.7602804583837"/>
    <n v="88147.124610590152"/>
    <n v="15496.557272375765"/>
    <n v="72650.567338214387"/>
    <n v="36325.283669107193"/>
    <n v="36325.283669107193"/>
    <n v="50.493832754564238"/>
    <n v="48.421917422453291"/>
    <n v="49.9888944270186"/>
    <n v="47.937698248228756"/>
    <n v="0"/>
    <n v="0"/>
    <n v="0"/>
    <n v="0"/>
    <n v="0"/>
    <n v="0"/>
    <n v="0"/>
    <e v="#REF!"/>
    <e v="#REF!"/>
    <e v="#REF!"/>
    <x v="8"/>
  </r>
  <r>
    <x v="31"/>
    <x v="31"/>
    <x v="0"/>
    <d v="2022-08-05T00:00:00"/>
    <n v="2376.4439324487334"/>
    <n v="690"/>
    <n v="1686.4439324487334"/>
    <n v="52.075367599899501"/>
    <n v="49.78604787599015"/>
    <n v="119893.3820049964"/>
    <n v="35932.003643930657"/>
    <n v="83961.378361065741"/>
    <n v="246"/>
    <n v="2376.4439324487334"/>
    <n v="690"/>
    <n v="1686.4439324487334"/>
    <n v="843.22196622436672"/>
    <n v="843.22196622436672"/>
    <n v="117495.51436489647"/>
    <n v="35213.363571052047"/>
    <n v="82282.150793844427"/>
    <n v="41141.075396922213"/>
    <n v="41141.075396922213"/>
    <n v="90"/>
    <n v="0"/>
    <n v="90"/>
    <n v="90"/>
    <n v="0"/>
    <n v="2376.4439324487334"/>
    <n v="690"/>
    <n v="1686.4439324487334"/>
    <n v="843.22196622436672"/>
    <n v="843.22196622436672"/>
    <n v="118694.44818494644"/>
    <n v="35572.683607491352"/>
    <n v="83121.764577455077"/>
    <n v="41560.882288727538"/>
    <n v="41560.882288727538"/>
    <n v="52.075367599899501"/>
    <n v="49.78604787599015"/>
    <n v="51.554613923900511"/>
    <n v="49.288187397230246"/>
    <n v="0"/>
    <n v="0"/>
    <n v="0"/>
    <n v="0"/>
    <n v="0"/>
    <n v="0"/>
    <n v="0"/>
    <e v="#REF!"/>
    <e v="#REF!"/>
    <e v="#REF!"/>
    <x v="8"/>
  </r>
  <r>
    <x v="31"/>
    <x v="31"/>
    <x v="1"/>
    <d v="2022-08-06T00:00:00"/>
    <n v="2159.7052352231603"/>
    <n v="610"/>
    <n v="1549.7052352231603"/>
    <n v="51.54999955525463"/>
    <n v="49.914870553737217"/>
    <n v="108798.83594131826"/>
    <n v="31445.499728705323"/>
    <n v="77353.336212612936"/>
    <n v="247"/>
    <n v="2159.7052352231603"/>
    <n v="610"/>
    <n v="1549.7052352231603"/>
    <n v="774.85261761158017"/>
    <n v="774.85261761158017"/>
    <n v="106622.85922249188"/>
    <n v="30816.589734131216"/>
    <n v="75806.269488360675"/>
    <n v="37903.134744180337"/>
    <n v="37903.134744180337"/>
    <n v="90"/>
    <n v="0"/>
    <n v="90"/>
    <n v="90"/>
    <n v="0"/>
    <n v="2159.7052352231603"/>
    <n v="610"/>
    <n v="1549.7052352231603"/>
    <n v="774.85261761158017"/>
    <n v="774.85261761158017"/>
    <n v="107710.84758190508"/>
    <n v="31131.044731418271"/>
    <n v="76579.802850486813"/>
    <n v="38289.901425243406"/>
    <n v="38289.901425243406"/>
    <n v="51.54999955525463"/>
    <n v="49.914870553737217"/>
    <n v="51.034499559702084"/>
    <n v="49.415721848199851"/>
    <n v="0"/>
    <n v="0"/>
    <n v="0"/>
    <n v="0"/>
    <n v="0"/>
    <n v="0"/>
    <n v="0"/>
    <e v="#REF!"/>
    <e v="#REF!"/>
    <e v="#REF!"/>
    <x v="8"/>
  </r>
  <r>
    <x v="31"/>
    <x v="31"/>
    <x v="6"/>
    <d v="2022-08-07T00:00:00"/>
    <n v="200"/>
    <n v="0"/>
    <n v="200"/>
    <n v="0"/>
    <n v="56.913655089953821"/>
    <n v="11382.731017990764"/>
    <n v="0"/>
    <n v="11382.731017990764"/>
    <n v="248"/>
    <n v="180"/>
    <n v="0"/>
    <n v="180"/>
    <n v="180"/>
    <n v="0"/>
    <n v="10039.568757867853"/>
    <n v="0"/>
    <n v="10039.568757867853"/>
    <n v="10039.568757867853"/>
    <n v="0"/>
    <n v="90"/>
    <n v="0"/>
    <n v="90"/>
    <n v="90"/>
    <n v="0"/>
    <n v="180"/>
    <n v="0"/>
    <n v="180"/>
    <n v="180"/>
    <n v="0"/>
    <n v="10142.013337029772"/>
    <n v="0"/>
    <n v="10142.013337029772"/>
    <n v="10142.013337029772"/>
    <n v="0"/>
    <n v="0"/>
    <n v="56.913655089953821"/>
    <s v="-"/>
    <n v="56.344518539054285"/>
    <n v="0"/>
    <n v="0"/>
    <n v="0"/>
    <n v="0"/>
    <n v="0"/>
    <n v="0"/>
    <n v="0"/>
    <e v="#REF!"/>
    <e v="#REF!"/>
    <e v="#REF!"/>
    <x v="8"/>
  </r>
  <r>
    <x v="32"/>
    <x v="32"/>
    <x v="2"/>
    <d v="2022-08-08T00:00:00"/>
    <n v="1890.1767551266587"/>
    <n v="500"/>
    <n v="1390.1767551266587"/>
    <n v="49.414696418656199"/>
    <n v="49.618410365753235"/>
    <n v="93685.708926133899"/>
    <n v="24707.348209328098"/>
    <n v="68978.360716805793"/>
    <n v="250"/>
    <n v="1890.1767551266587"/>
    <n v="500"/>
    <n v="1390.1767551266587"/>
    <n v="695.08837756332935"/>
    <n v="695.08837756332935"/>
    <n v="91811.994747611214"/>
    <n v="24213.201245141536"/>
    <n v="67598.793502469678"/>
    <n v="33799.396751234839"/>
    <n v="33799.396751234839"/>
    <n v="90"/>
    <n v="0"/>
    <n v="90"/>
    <n v="90"/>
    <n v="0"/>
    <n v="1890.1767551266587"/>
    <n v="500"/>
    <n v="1390.1767551266587"/>
    <n v="695.08837756332935"/>
    <n v="695.08837756332935"/>
    <n v="92748.851836872549"/>
    <n v="24460.274727234817"/>
    <n v="68288.577109637728"/>
    <n v="34144.288554818864"/>
    <n v="34144.288554818864"/>
    <n v="49.414696418656199"/>
    <n v="49.618410365753235"/>
    <n v="48.920549454469636"/>
    <n v="49.122226262095694"/>
    <n v="0"/>
    <n v="0"/>
    <n v="0"/>
    <n v="0"/>
    <n v="0"/>
    <n v="0"/>
    <n v="0"/>
    <e v="#REF!"/>
    <e v="#REF!"/>
    <e v="#REF!"/>
    <x v="8"/>
  </r>
  <r>
    <x v="32"/>
    <x v="32"/>
    <x v="3"/>
    <d v="2022-08-09T00:00:00"/>
    <n v="2027.8388238841978"/>
    <n v="330"/>
    <n v="1697.8388238841978"/>
    <n v="46.808714565796599"/>
    <n v="47.303480369233505"/>
    <n v="95760.561282441529"/>
    <n v="15446.875806712878"/>
    <n v="80313.685475728649"/>
    <n v="251"/>
    <n v="2027.8388238841978"/>
    <n v="330"/>
    <n v="1697.8388238841978"/>
    <n v="848.91941194209892"/>
    <n v="848.91941194209892"/>
    <n v="93845.350056792697"/>
    <n v="15137.938290578621"/>
    <n v="78707.411766214078"/>
    <n v="39353.705883107039"/>
    <n v="39353.705883107039"/>
    <n v="90"/>
    <n v="0"/>
    <n v="90"/>
    <n v="90"/>
    <n v="0"/>
    <n v="2027.8388238841978"/>
    <n v="330"/>
    <n v="1697.8388238841978"/>
    <n v="848.91941194209892"/>
    <n v="848.91941194209892"/>
    <n v="94802.955669617106"/>
    <n v="15292.407048645749"/>
    <n v="79510.548620971356"/>
    <n v="39755.274310485678"/>
    <n v="39755.274310485678"/>
    <n v="46.808714565796599"/>
    <n v="47.303480369233505"/>
    <n v="46.340627420138638"/>
    <n v="46.830445565541162"/>
    <n v="0"/>
    <n v="0"/>
    <n v="0"/>
    <n v="0"/>
    <n v="0"/>
    <n v="0"/>
    <n v="0"/>
    <e v="#REF!"/>
    <e v="#REF!"/>
    <e v="#REF!"/>
    <x v="8"/>
  </r>
  <r>
    <x v="32"/>
    <x v="32"/>
    <x v="4"/>
    <d v="2022-08-10T00:00:00"/>
    <n v="1906.6796924004827"/>
    <n v="300"/>
    <n v="1606.6796924004827"/>
    <n v="49.465425962246847"/>
    <n v="48.292218776682859"/>
    <n v="92429.754998131684"/>
    <n v="14839.627788674054"/>
    <n v="77590.127209457627"/>
    <n v="252"/>
    <n v="1906.6796924004827"/>
    <n v="300"/>
    <n v="1606.6796924004827"/>
    <n v="803.33984620024137"/>
    <n v="803.33984620024137"/>
    <n v="90581.159898169048"/>
    <n v="14542.835232900572"/>
    <n v="76038.324665268476"/>
    <n v="38019.162332634238"/>
    <n v="38019.162332634238"/>
    <n v="90"/>
    <n v="0"/>
    <n v="90"/>
    <n v="90"/>
    <n v="0"/>
    <n v="1906.6796924004827"/>
    <n v="300"/>
    <n v="1606.6796924004827"/>
    <n v="803.33984620024137"/>
    <n v="803.33984620024137"/>
    <n v="91505.457448150366"/>
    <n v="14691.231510787313"/>
    <n v="76814.225937363051"/>
    <n v="38407.112968681526"/>
    <n v="38407.112968681526"/>
    <n v="49.465425962246847"/>
    <n v="48.292218776682859"/>
    <n v="48.970771702624376"/>
    <n v="47.809296588916027"/>
    <n v="0"/>
    <n v="0"/>
    <n v="0"/>
    <n v="0"/>
    <n v="0"/>
    <n v="0"/>
    <n v="0"/>
    <e v="#REF!"/>
    <e v="#REF!"/>
    <e v="#REF!"/>
    <x v="8"/>
  </r>
  <r>
    <x v="32"/>
    <x v="32"/>
    <x v="5"/>
    <d v="2022-08-11T00:00:00"/>
    <n v="1988.1579692109767"/>
    <n v="420.17399214780204"/>
    <n v="1567.9839770631747"/>
    <n v="50.60168033970966"/>
    <n v="48.795077006041247"/>
    <n v="97771.408942759168"/>
    <n v="21261.510037722754"/>
    <n v="76509.898905036418"/>
    <n v="253"/>
    <n v="1988.1579692109767"/>
    <n v="420.17399214780204"/>
    <n v="1567.9839770631747"/>
    <n v="783.99198853158737"/>
    <n v="783.99198853158737"/>
    <n v="95815.980763903994"/>
    <n v="20836.279836968297"/>
    <n v="74979.700926935693"/>
    <n v="37489.850463467847"/>
    <n v="37489.850463467847"/>
    <n v="90"/>
    <n v="0"/>
    <n v="90"/>
    <n v="90"/>
    <n v="0"/>
    <n v="1988.1579692109767"/>
    <n v="420.17399214780204"/>
    <n v="1567.9839770631747"/>
    <n v="783.99198853158737"/>
    <n v="783.99198853158737"/>
    <n v="96793.694853331574"/>
    <n v="21048.894937345525"/>
    <n v="75744.799915986048"/>
    <n v="37872.399957993024"/>
    <n v="37872.399957993024"/>
    <n v="50.60168033970966"/>
    <n v="48.795077006041247"/>
    <n v="50.095663536312557"/>
    <n v="48.307126235980824"/>
    <n v="0"/>
    <n v="0"/>
    <n v="0"/>
    <n v="0"/>
    <n v="0"/>
    <n v="0"/>
    <n v="0"/>
    <e v="#REF!"/>
    <e v="#REF!"/>
    <e v="#REF!"/>
    <x v="8"/>
  </r>
  <r>
    <x v="32"/>
    <x v="32"/>
    <x v="0"/>
    <d v="2022-08-12T00:00:00"/>
    <n v="2347.9386475625074"/>
    <n v="586.60091137277379"/>
    <n v="1761.3377361897337"/>
    <n v="52.18659311665732"/>
    <n v="50.167888431856831"/>
    <n v="118975.29812365715"/>
    <n v="30612.703083671309"/>
    <n v="88362.595039985841"/>
    <n v="254"/>
    <n v="2347.9386475625074"/>
    <n v="586.60091137277379"/>
    <n v="1761.3377361897337"/>
    <n v="880.66886809486687"/>
    <n v="880.66886809486687"/>
    <n v="116595.79216118401"/>
    <n v="30000.449021997883"/>
    <n v="86595.343139186123"/>
    <n v="43297.671569593062"/>
    <n v="43297.671569593062"/>
    <n v="90"/>
    <n v="0"/>
    <n v="90"/>
    <n v="90"/>
    <n v="0"/>
    <n v="2347.9386475625074"/>
    <n v="586.60091137277379"/>
    <n v="1761.3377361897337"/>
    <n v="880.66886809486687"/>
    <n v="880.66886809486687"/>
    <n v="117785.54514242058"/>
    <n v="30306.576052834596"/>
    <n v="87478.969089585982"/>
    <n v="43739.484544792991"/>
    <n v="43739.484544792991"/>
    <n v="52.18659311665732"/>
    <n v="50.167888431856831"/>
    <n v="51.664727185490747"/>
    <n v="49.666209547538259"/>
    <n v="0"/>
    <n v="0"/>
    <n v="0"/>
    <n v="0"/>
    <n v="0"/>
    <n v="0"/>
    <n v="0"/>
    <e v="#REF!"/>
    <e v="#REF!"/>
    <e v="#REF!"/>
    <x v="8"/>
  </r>
  <r>
    <x v="32"/>
    <x v="32"/>
    <x v="1"/>
    <d v="2022-08-13T00:00:00"/>
    <n v="2150.8730553537644"/>
    <n v="615.18369818005704"/>
    <n v="1535.6893571737073"/>
    <n v="51.660102961215216"/>
    <n v="50.29753090370167"/>
    <n v="109021.83608897318"/>
    <n v="31780.453188042891"/>
    <n v="77241.382900930301"/>
    <n v="255"/>
    <n v="2150.8730553537644"/>
    <n v="615.18369818005704"/>
    <n v="1535.6893571737073"/>
    <n v="767.84467858685366"/>
    <n v="767.84467858685366"/>
    <n v="106841.39936719372"/>
    <n v="31144.844124282034"/>
    <n v="75696.555242911694"/>
    <n v="37848.277621455847"/>
    <n v="37848.277621455847"/>
    <n v="90"/>
    <n v="0"/>
    <n v="90"/>
    <n v="90"/>
    <n v="0"/>
    <n v="2150.8730553537644"/>
    <n v="615.18369818005704"/>
    <n v="1535.6893571737073"/>
    <n v="767.84467858685366"/>
    <n v="767.84467858685366"/>
    <n v="107931.61772808345"/>
    <n v="31462.648656162462"/>
    <n v="76468.96907192099"/>
    <n v="38234.484535960495"/>
    <n v="38234.484535960495"/>
    <n v="51.660102961215216"/>
    <n v="50.29753090370167"/>
    <n v="51.143501931603062"/>
    <n v="49.794555594664651"/>
    <n v="0"/>
    <n v="0"/>
    <n v="0"/>
    <n v="0"/>
    <n v="0"/>
    <n v="0"/>
    <n v="0"/>
    <e v="#REF!"/>
    <e v="#REF!"/>
    <e v="#REF!"/>
    <x v="8"/>
  </r>
  <r>
    <x v="32"/>
    <x v="32"/>
    <x v="6"/>
    <d v="2022-08-14T00:00:00"/>
    <n v="200"/>
    <n v="0"/>
    <n v="200"/>
    <n v="0"/>
    <n v="57.467310558264195"/>
    <n v="11493.46211165284"/>
    <n v="0"/>
    <n v="11493.46211165284"/>
    <n v="256"/>
    <n v="180"/>
    <n v="0"/>
    <n v="180"/>
    <n v="180"/>
    <n v="0"/>
    <n v="10137.233582477804"/>
    <n v="0"/>
    <n v="10137.233582477804"/>
    <n v="10137.233582477804"/>
    <n v="0"/>
    <n v="90"/>
    <n v="0"/>
    <n v="90"/>
    <n v="90"/>
    <n v="0"/>
    <n v="180"/>
    <n v="0"/>
    <n v="180"/>
    <n v="180"/>
    <n v="0"/>
    <n v="10240.67474148268"/>
    <n v="0"/>
    <n v="10240.67474148268"/>
    <n v="10240.67474148268"/>
    <n v="0"/>
    <n v="0"/>
    <n v="57.467310558264195"/>
    <s v="-"/>
    <n v="56.892637452681555"/>
    <n v="0"/>
    <n v="0"/>
    <n v="0"/>
    <n v="0"/>
    <n v="0"/>
    <n v="0"/>
    <n v="0"/>
    <e v="#REF!"/>
    <e v="#REF!"/>
    <e v="#REF!"/>
    <x v="8"/>
  </r>
  <r>
    <x v="33"/>
    <x v="33"/>
    <x v="2"/>
    <d v="2022-08-15T00:00:00"/>
    <n v="0"/>
    <n v="0"/>
    <n v="0"/>
    <n v="0"/>
    <n v="0"/>
    <n v="0"/>
    <n v="0"/>
    <n v="0"/>
    <n v="25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3"/>
    <x v="33"/>
    <x v="3"/>
    <d v="2022-08-16T00:00:00"/>
    <n v="1178.8957296831468"/>
    <n v="385.78633760450828"/>
    <n v="793.10939207863851"/>
    <n v="46.181644012166984"/>
    <n v="47.66952250959649"/>
    <n v="55623.393326274119"/>
    <n v="17816.247308009071"/>
    <n v="37807.146018265048"/>
    <n v="259"/>
    <n v="1178.8957296831468"/>
    <n v="385.78633760450828"/>
    <n v="793.10939207863851"/>
    <n v="396.55469603931925"/>
    <n v="396.55469603931925"/>
    <n v="54510.925459748636"/>
    <n v="17459.92236184889"/>
    <n v="37051.003097899746"/>
    <n v="18525.501548949873"/>
    <n v="18525.501548949873"/>
    <n v="90"/>
    <n v="0"/>
    <n v="90"/>
    <n v="90"/>
    <n v="0"/>
    <n v="1178.8957296831468"/>
    <n v="385.78633760450828"/>
    <n v="793.10939207863851"/>
    <n v="396.55469603931925"/>
    <n v="396.55469603931925"/>
    <n v="55067.159393011381"/>
    <n v="17638.084834928981"/>
    <n v="37429.0745580824"/>
    <n v="18714.5372790412"/>
    <n v="18714.5372790412"/>
    <n v="46.181644012166984"/>
    <n v="47.66952250959649"/>
    <n v="45.719827572045318"/>
    <n v="47.192827284500531"/>
    <n v="0"/>
    <n v="0"/>
    <n v="0"/>
    <n v="0"/>
    <n v="0"/>
    <n v="0"/>
    <n v="0"/>
    <e v="#REF!"/>
    <e v="#REF!"/>
    <e v="#REF!"/>
    <x v="8"/>
  </r>
  <r>
    <x v="33"/>
    <x v="33"/>
    <x v="4"/>
    <d v="2022-08-17T00:00:00"/>
    <n v="1698.3775436674437"/>
    <n v="328.11440737881628"/>
    <n v="1370.2631362886275"/>
    <n v="49.571077017973771"/>
    <n v="48.664552991739818"/>
    <n v="82948.227567427632"/>
    <n v="16264.984558882123"/>
    <n v="66683.243008545513"/>
    <n v="260"/>
    <n v="1698.3775436674437"/>
    <n v="328.11440737881628"/>
    <n v="1370.2631362886275"/>
    <n v="685.13156814431375"/>
    <n v="685.13156814431375"/>
    <n v="81289.263016079087"/>
    <n v="15939.68486770448"/>
    <n v="65349.578148374603"/>
    <n v="32674.789074187302"/>
    <n v="32674.789074187302"/>
    <n v="90"/>
    <n v="0"/>
    <n v="90"/>
    <n v="90"/>
    <n v="0"/>
    <n v="1698.3775436674437"/>
    <n v="328.11440737881628"/>
    <n v="1370.2631362886275"/>
    <n v="685.13156814431375"/>
    <n v="685.13156814431375"/>
    <n v="82118.745291753352"/>
    <n v="16102.334713293301"/>
    <n v="66016.410578460054"/>
    <n v="33008.205289230027"/>
    <n v="33008.205289230027"/>
    <n v="49.571077017973771"/>
    <n v="48.664552991739818"/>
    <n v="49.07536624779403"/>
    <n v="48.177907461822414"/>
    <n v="0"/>
    <n v="0"/>
    <n v="0"/>
    <n v="0"/>
    <n v="0"/>
    <n v="0"/>
    <n v="0"/>
    <e v="#REF!"/>
    <e v="#REF!"/>
    <e v="#REF!"/>
    <x v="8"/>
  </r>
  <r>
    <x v="33"/>
    <x v="33"/>
    <x v="5"/>
    <d v="2022-08-18T00:00:00"/>
    <n v="2024.0252202643173"/>
    <n v="370"/>
    <n v="1654.0252202643173"/>
    <n v="48.691312632932622"/>
    <n v="48.760303865983438"/>
    <n v="98666.558016273368"/>
    <n v="18015.78567418507"/>
    <n v="80650.772342088298"/>
    <n v="261"/>
    <n v="2024.0252202643173"/>
    <n v="370"/>
    <n v="1654.0252202643173"/>
    <n v="827.01261013215867"/>
    <n v="827.01261013215867"/>
    <n v="96693.226855947898"/>
    <n v="17655.469960701368"/>
    <n v="79037.756895246537"/>
    <n v="39518.878447623269"/>
    <n v="39518.878447623269"/>
    <n v="90"/>
    <n v="0"/>
    <n v="90"/>
    <n v="90"/>
    <n v="0"/>
    <n v="2024.0252202643173"/>
    <n v="370"/>
    <n v="1654.0252202643173"/>
    <n v="827.01261013215867"/>
    <n v="827.01261013215867"/>
    <n v="97679.892436110633"/>
    <n v="17835.627817443219"/>
    <n v="79844.26461866741"/>
    <n v="39922.132309333705"/>
    <n v="39922.132309333705"/>
    <n v="48.691312632932622"/>
    <n v="48.760303865983438"/>
    <n v="48.204399506603295"/>
    <n v="48.272700827323597"/>
    <n v="0"/>
    <n v="0"/>
    <n v="0"/>
    <n v="0"/>
    <n v="0"/>
    <n v="0"/>
    <n v="0"/>
    <e v="#REF!"/>
    <e v="#REF!"/>
    <e v="#REF!"/>
    <x v="8"/>
  </r>
  <r>
    <x v="33"/>
    <x v="33"/>
    <x v="0"/>
    <d v="2022-08-19T00:00:00"/>
    <n v="2677.9454185022028"/>
    <n v="830"/>
    <n v="1847.9454185022028"/>
    <n v="50.216390120482522"/>
    <n v="50.134088778706911"/>
    <n v="134324.66346939461"/>
    <n v="41679.603800000492"/>
    <n v="92645.059669394133"/>
    <n v="262"/>
    <n v="2677.9454185022028"/>
    <n v="830"/>
    <n v="1847.9454185022028"/>
    <n v="923.97270925110138"/>
    <n v="923.97270925110138"/>
    <n v="131638.17020000675"/>
    <n v="40846.011724000484"/>
    <n v="90792.158476006254"/>
    <n v="45396.079238003127"/>
    <n v="45396.079238003127"/>
    <n v="90"/>
    <n v="0"/>
    <n v="90"/>
    <n v="90"/>
    <n v="0"/>
    <n v="2677.9454185022028"/>
    <n v="830"/>
    <n v="1847.9454185022028"/>
    <n v="923.97270925110138"/>
    <n v="923.97270925110138"/>
    <n v="132981.41683470068"/>
    <n v="41262.807762000484"/>
    <n v="91718.609072700187"/>
    <n v="45859.304536350093"/>
    <n v="45859.304536350093"/>
    <n v="50.216390120482522"/>
    <n v="50.134088778706911"/>
    <n v="49.714226219277691"/>
    <n v="49.632747890919838"/>
    <n v="0"/>
    <n v="0"/>
    <n v="0"/>
    <n v="0"/>
    <n v="0"/>
    <n v="0"/>
    <n v="0"/>
    <e v="#REF!"/>
    <e v="#REF!"/>
    <e v="#REF!"/>
    <x v="8"/>
  </r>
  <r>
    <x v="33"/>
    <x v="33"/>
    <x v="1"/>
    <d v="2022-08-20T00:00:00"/>
    <n v="2429.6535022026433"/>
    <n v="730"/>
    <n v="1699.6535022026433"/>
    <n v="49.709776573566856"/>
    <n v="50.263823182514642"/>
    <n v="121719.22000495924"/>
    <n v="36288.136898703808"/>
    <n v="85431.083106255421"/>
    <n v="263"/>
    <n v="2429.6535022026433"/>
    <n v="730"/>
    <n v="1699.6535022026433"/>
    <n v="849.82675110132163"/>
    <n v="849.82675110132163"/>
    <n v="119284.83560486004"/>
    <n v="35562.374160729734"/>
    <n v="83722.461444130313"/>
    <n v="41861.230722065156"/>
    <n v="41861.230722065156"/>
    <n v="90"/>
    <n v="0"/>
    <n v="90"/>
    <n v="90"/>
    <n v="0"/>
    <n v="2429.6535022026433"/>
    <n v="730"/>
    <n v="1699.6535022026433"/>
    <n v="849.82675110132163"/>
    <n v="849.82675110132163"/>
    <n v="120502.02780490964"/>
    <n v="35925.255529716771"/>
    <n v="84576.772275192867"/>
    <n v="42288.386137596433"/>
    <n v="42288.386137596433"/>
    <n v="49.709776573566856"/>
    <n v="50.263823182514642"/>
    <n v="49.212678807831196"/>
    <n v="49.761184950689497"/>
    <n v="0"/>
    <n v="0"/>
    <n v="0"/>
    <n v="0"/>
    <n v="0"/>
    <n v="0"/>
    <n v="0"/>
    <e v="#REF!"/>
    <e v="#REF!"/>
    <e v="#REF!"/>
    <x v="8"/>
  </r>
  <r>
    <x v="33"/>
    <x v="33"/>
    <x v="6"/>
    <d v="2022-08-21T00:00:00"/>
    <n v="200"/>
    <n v="0"/>
    <n v="200"/>
    <n v="0"/>
    <n v="57.307410738789265"/>
    <n v="11461.482147757853"/>
    <n v="0"/>
    <n v="11461.482147757853"/>
    <n v="264"/>
    <n v="180"/>
    <n v="0"/>
    <n v="180"/>
    <n v="180"/>
    <n v="0"/>
    <n v="10109.027254322427"/>
    <n v="0"/>
    <n v="10109.027254322427"/>
    <n v="10109.027254322427"/>
    <n v="0"/>
    <n v="90"/>
    <n v="0"/>
    <n v="90"/>
    <n v="90"/>
    <n v="0"/>
    <n v="180"/>
    <n v="0"/>
    <n v="180"/>
    <n v="180"/>
    <n v="0"/>
    <n v="10212.180593652247"/>
    <n v="0"/>
    <n v="10212.180593652247"/>
    <n v="10212.180593652247"/>
    <n v="0"/>
    <n v="0"/>
    <n v="57.307410738789265"/>
    <s v="-"/>
    <n v="56.734336631401369"/>
    <n v="0"/>
    <n v="0"/>
    <n v="0"/>
    <n v="0"/>
    <n v="0"/>
    <n v="0"/>
    <n v="0"/>
    <e v="#REF!"/>
    <e v="#REF!"/>
    <e v="#REF!"/>
    <x v="8"/>
  </r>
  <r>
    <x v="34"/>
    <x v="34"/>
    <x v="2"/>
    <d v="2022-08-22T00:00:00"/>
    <n v="2128.5474449339208"/>
    <n v="600"/>
    <n v="1528.5474449339208"/>
    <n v="47.6506991195822"/>
    <n v="49.965264835386172"/>
    <n v="104964.69737132554"/>
    <n v="28590.419471749319"/>
    <n v="76374.27789957622"/>
    <n v="266"/>
    <n v="2128.5474449339208"/>
    <n v="600"/>
    <n v="1528.5474449339208"/>
    <n v="764.27372246696041"/>
    <n v="764.27372246696041"/>
    <n v="102865.40342389903"/>
    <n v="28018.611082314332"/>
    <n v="74846.792341584689"/>
    <n v="37423.396170792344"/>
    <n v="37423.396170792344"/>
    <n v="90"/>
    <n v="0"/>
    <n v="90"/>
    <n v="90"/>
    <n v="0"/>
    <n v="2128.5474449339208"/>
    <n v="600"/>
    <n v="1528.5474449339208"/>
    <n v="764.27372246696041"/>
    <n v="764.27372246696041"/>
    <n v="103915.05039761229"/>
    <n v="28304.515277031827"/>
    <n v="75610.535120580462"/>
    <n v="37805.267560290231"/>
    <n v="37805.267560290231"/>
    <n v="47.6506991195822"/>
    <n v="49.965264835386172"/>
    <n v="47.17419212838638"/>
    <n v="49.465612187032313"/>
    <n v="0"/>
    <n v="0"/>
    <n v="0"/>
    <n v="0"/>
    <n v="0"/>
    <n v="0"/>
    <n v="0"/>
    <e v="#REF!"/>
    <e v="#REF!"/>
    <e v="#REF!"/>
    <x v="8"/>
  </r>
  <r>
    <x v="34"/>
    <x v="34"/>
    <x v="3"/>
    <d v="2022-08-23T00:00:00"/>
    <n v="2259.352488986784"/>
    <n v="400"/>
    <n v="1859.352488986784"/>
    <n v="46.513538898619146"/>
    <n v="47.633951217260943"/>
    <n v="107173.72131553685"/>
    <n v="18605.415559447658"/>
    <n v="88568.30575608919"/>
    <n v="267"/>
    <n v="2259.352488986784"/>
    <n v="400"/>
    <n v="1859.352488986784"/>
    <n v="929.67624449339201"/>
    <n v="929.67624449339201"/>
    <n v="105030.24688922611"/>
    <n v="18233.307248258705"/>
    <n v="86796.939640967408"/>
    <n v="43398.469820483704"/>
    <n v="43398.469820483704"/>
    <n v="90"/>
    <n v="0"/>
    <n v="90"/>
    <n v="90"/>
    <n v="0"/>
    <n v="2259.352488986784"/>
    <n v="400"/>
    <n v="1859.352488986784"/>
    <n v="929.67624449339201"/>
    <n v="929.67624449339201"/>
    <n v="106101.98410238148"/>
    <n v="18419.361403853181"/>
    <n v="87682.622698528299"/>
    <n v="43841.31134926415"/>
    <n v="43841.31134926415"/>
    <n v="46.513538898619146"/>
    <n v="47.633951217260943"/>
    <n v="46.048403509632955"/>
    <n v="47.157611705088335"/>
    <n v="0"/>
    <n v="0"/>
    <n v="0"/>
    <n v="0"/>
    <n v="0"/>
    <n v="0"/>
    <n v="0"/>
    <e v="#REF!"/>
    <e v="#REF!"/>
    <e v="#REF!"/>
    <x v="8"/>
  </r>
  <r>
    <x v="34"/>
    <x v="34"/>
    <x v="4"/>
    <d v="2022-08-24T00:00:00"/>
    <n v="2128.0959251101322"/>
    <n v="360"/>
    <n v="1768.0959251101322"/>
    <n v="47.699617728686505"/>
    <n v="48.629687294600458"/>
    <n v="103153.81432729017"/>
    <n v="17171.862382327141"/>
    <n v="85981.951944963032"/>
    <n v="268"/>
    <n v="2128.0959251101322"/>
    <n v="360"/>
    <n v="1768.0959251101322"/>
    <n v="884.04796255506608"/>
    <n v="884.04796255506608"/>
    <n v="101090.73804074437"/>
    <n v="16828.425134680598"/>
    <n v="84262.312906063773"/>
    <n v="42131.156453031886"/>
    <n v="42131.156453031886"/>
    <n v="90"/>
    <n v="0"/>
    <n v="90"/>
    <n v="90"/>
    <n v="0"/>
    <n v="2128.0959251101322"/>
    <n v="360"/>
    <n v="1768.0959251101322"/>
    <n v="884.04796255506608"/>
    <n v="884.04796255506608"/>
    <n v="102122.27618401726"/>
    <n v="17000.143758503869"/>
    <n v="85122.132425513395"/>
    <n v="42561.066212756697"/>
    <n v="42561.066212756697"/>
    <n v="47.699617728686505"/>
    <n v="48.629687294600458"/>
    <n v="47.222621551399634"/>
    <n v="48.143390421654445"/>
    <n v="0"/>
    <n v="0"/>
    <n v="0"/>
    <n v="0"/>
    <n v="0"/>
    <n v="0"/>
    <n v="0"/>
    <e v="#REF!"/>
    <e v="#REF!"/>
    <e v="#REF!"/>
    <x v="8"/>
  </r>
  <r>
    <x v="34"/>
    <x v="34"/>
    <x v="5"/>
    <d v="2022-08-25T00:00:00"/>
    <n v="2340.9902681992339"/>
    <n v="450"/>
    <n v="1890.9902681992339"/>
    <n v="48.871252869466808"/>
    <n v="48.579683927986608"/>
    <n v="113855.77333127748"/>
    <n v="21992.063791260065"/>
    <n v="91863.709540017415"/>
    <n v="269"/>
    <n v="2340.9902681992339"/>
    <n v="450"/>
    <n v="1890.9902681992339"/>
    <n v="945.49513409961696"/>
    <n v="945.49513409961696"/>
    <n v="111578.65786465193"/>
    <n v="21552.222515434863"/>
    <n v="90026.435349217063"/>
    <n v="45013.217674608532"/>
    <n v="45013.217674608532"/>
    <n v="90"/>
    <n v="0"/>
    <n v="90"/>
    <n v="90"/>
    <n v="0"/>
    <n v="2340.9902681992339"/>
    <n v="450"/>
    <n v="1890.9902681992339"/>
    <n v="945.49513409961696"/>
    <n v="945.49513409961696"/>
    <n v="112717.21559796471"/>
    <n v="21772.143153347464"/>
    <n v="90945.072444617239"/>
    <n v="45472.536222308619"/>
    <n v="45472.536222308619"/>
    <n v="48.871252869466808"/>
    <n v="48.579683927986608"/>
    <n v="48.382540340772145"/>
    <n v="48.093887088706744"/>
    <n v="0"/>
    <n v="0"/>
    <n v="0"/>
    <n v="0"/>
    <n v="0"/>
    <n v="0"/>
    <n v="0"/>
    <e v="#REF!"/>
    <e v="#REF!"/>
    <e v="#REF!"/>
    <x v="8"/>
  </r>
  <r>
    <x v="34"/>
    <x v="34"/>
    <x v="0"/>
    <d v="2022-08-26T00:00:00"/>
    <n v="3106.1328735632183"/>
    <n v="1000"/>
    <n v="2106.1328735632183"/>
    <n v="50.401966327562654"/>
    <n v="49.94879391245945"/>
    <n v="155600.76318142784"/>
    <n v="50401.966327562652"/>
    <n v="105198.79685386521"/>
    <n v="270"/>
    <n v="3106.1328735632183"/>
    <n v="1000"/>
    <n v="2106.1328735632183"/>
    <n v="1053.0664367816091"/>
    <n v="1053.0664367816091"/>
    <n v="152488.74791779928"/>
    <n v="49393.927001011398"/>
    <n v="103094.8209167879"/>
    <n v="51547.410458393948"/>
    <n v="51547.410458393948"/>
    <n v="90"/>
    <n v="0"/>
    <n v="90"/>
    <n v="90"/>
    <n v="0"/>
    <n v="3106.1328735632183"/>
    <n v="1000"/>
    <n v="2106.1328735632183"/>
    <n v="1053.0664367816091"/>
    <n v="1053.0664367816091"/>
    <n v="154044.75554961356"/>
    <n v="49897.946664287025"/>
    <n v="104146.80888532655"/>
    <n v="52073.404442663275"/>
    <n v="52073.404442663275"/>
    <n v="50.401966327562654"/>
    <n v="49.94879391245945"/>
    <n v="49.897946664287026"/>
    <n v="49.449305973334852"/>
    <n v="0"/>
    <n v="0"/>
    <n v="0"/>
    <n v="0"/>
    <n v="0"/>
    <n v="0"/>
    <n v="0"/>
    <e v="#REF!"/>
    <e v="#REF!"/>
    <e v="#REF!"/>
    <x v="8"/>
  </r>
  <r>
    <x v="34"/>
    <x v="34"/>
    <x v="1"/>
    <d v="2022-08-27T00:00:00"/>
    <n v="2827.6067432950194"/>
    <n v="880"/>
    <n v="1947.6067432950192"/>
    <n v="49.893480574774237"/>
    <n v="50.078086835927841"/>
    <n v="141438.68251876792"/>
    <n v="43906.262905801326"/>
    <n v="97532.419612966594"/>
    <n v="271"/>
    <n v="2827.6067432950194"/>
    <n v="880"/>
    <n v="1947.6067432950192"/>
    <n v="973.80337164750961"/>
    <n v="973.80337164750961"/>
    <n v="138609.90886839255"/>
    <n v="43028.137647685297"/>
    <n v="95581.771220707262"/>
    <n v="47790.885610353631"/>
    <n v="47790.885610353631"/>
    <n v="90"/>
    <n v="0"/>
    <n v="90"/>
    <n v="90"/>
    <n v="0"/>
    <n v="2827.6067432950194"/>
    <n v="880"/>
    <n v="1947.6067432950192"/>
    <n v="973.80337164750961"/>
    <n v="973.80337164750961"/>
    <n v="140024.29569358024"/>
    <n v="43467.200276743315"/>
    <n v="96557.095416836921"/>
    <n v="48278.54770841846"/>
    <n v="48278.54770841846"/>
    <n v="49.893480574774237"/>
    <n v="50.078086835927841"/>
    <n v="49.394545769026493"/>
    <n v="49.577305967568556"/>
    <n v="0"/>
    <n v="0"/>
    <n v="0"/>
    <n v="0"/>
    <n v="0"/>
    <n v="0"/>
    <n v="0"/>
    <e v="#REF!"/>
    <e v="#REF!"/>
    <e v="#REF!"/>
    <x v="8"/>
  </r>
  <r>
    <x v="34"/>
    <x v="34"/>
    <x v="6"/>
    <d v="2022-08-28T00:00:00"/>
    <n v="200"/>
    <n v="0"/>
    <n v="200"/>
    <n v="0"/>
    <n v="57.068523271619227"/>
    <n v="11413.704654323845"/>
    <n v="0"/>
    <n v="11413.704654323845"/>
    <n v="272"/>
    <n v="180"/>
    <n v="0"/>
    <n v="180"/>
    <n v="180"/>
    <n v="0"/>
    <n v="10066.887505113631"/>
    <n v="0"/>
    <n v="10066.887505113631"/>
    <n v="10066.887505113631"/>
    <n v="0"/>
    <n v="90"/>
    <n v="0"/>
    <n v="90"/>
    <n v="90"/>
    <n v="0"/>
    <n v="180"/>
    <n v="0"/>
    <n v="180"/>
    <n v="180"/>
    <n v="0"/>
    <n v="10169.610847002545"/>
    <n v="0"/>
    <n v="10169.610847002545"/>
    <n v="10169.610847002545"/>
    <n v="0"/>
    <n v="0"/>
    <n v="57.068523271619227"/>
    <s v="-"/>
    <n v="56.497838038903026"/>
    <n v="0"/>
    <n v="0"/>
    <n v="0"/>
    <n v="0"/>
    <n v="0"/>
    <n v="0"/>
    <n v="0"/>
    <e v="#REF!"/>
    <e v="#REF!"/>
    <e v="#REF!"/>
    <x v="8"/>
  </r>
  <r>
    <x v="35"/>
    <x v="35"/>
    <x v="2"/>
    <d v="2022-08-29T00:00:00"/>
    <n v="2463.7874329501915"/>
    <n v="720"/>
    <n v="1743.7874329501915"/>
    <n v="47.826793737019095"/>
    <n v="49.780544469422352"/>
    <n v="121241.9793418506"/>
    <n v="34435.291490653748"/>
    <n v="86806.687851196853"/>
    <n v="274"/>
    <n v="2463.7874329501915"/>
    <n v="720"/>
    <n v="1743.7874329501915"/>
    <n v="871.89371647509574"/>
    <n v="871.89371647509574"/>
    <n v="118817.13975501359"/>
    <n v="33746.585660840676"/>
    <n v="85070.554094172912"/>
    <n v="42535.277047086456"/>
    <n v="42535.277047086456"/>
    <n v="90"/>
    <n v="0"/>
    <n v="90"/>
    <n v="90"/>
    <n v="0"/>
    <n v="2463.7874329501915"/>
    <n v="720"/>
    <n v="1743.7874329501915"/>
    <n v="871.89371647509574"/>
    <n v="871.89371647509574"/>
    <n v="120029.55954843209"/>
    <n v="34090.938575747212"/>
    <n v="85938.62097268489"/>
    <n v="42969.310486342445"/>
    <n v="42969.310486342445"/>
    <n v="47.826793737019095"/>
    <n v="49.780544469422352"/>
    <n v="47.348525799648904"/>
    <n v="49.28273902472813"/>
    <n v="0"/>
    <n v="0"/>
    <n v="0"/>
    <n v="0"/>
    <n v="0"/>
    <n v="0"/>
    <n v="0"/>
    <e v="#REF!"/>
    <e v="#REF!"/>
    <e v="#REF!"/>
    <x v="8"/>
  </r>
  <r>
    <x v="35"/>
    <x v="35"/>
    <x v="3"/>
    <d v="2022-08-30T00:00:00"/>
    <n v="2597.4561685823755"/>
    <n v="480"/>
    <n v="2117.4561685823755"/>
    <n v="46.058717296102472"/>
    <n v="47.4571642066525"/>
    <n v="122596.64939493225"/>
    <n v="22108.184302129186"/>
    <n v="100488.46509280306"/>
    <n v="275"/>
    <n v="2597.4561685823755"/>
    <n v="480"/>
    <n v="2117.4561685823755"/>
    <n v="1058.7280842911878"/>
    <n v="1058.7280842911878"/>
    <n v="120144.7164070336"/>
    <n v="21666.020616086604"/>
    <n v="98478.695790946993"/>
    <n v="49239.347895473496"/>
    <n v="49239.347895473496"/>
    <n v="90"/>
    <n v="0"/>
    <n v="90"/>
    <n v="90"/>
    <n v="0"/>
    <n v="2597.4561685823755"/>
    <n v="480"/>
    <n v="2117.4561685823755"/>
    <n v="1058.7280842911878"/>
    <n v="1058.7280842911878"/>
    <n v="121370.68290098292"/>
    <n v="21887.102459107893"/>
    <n v="99483.580441875034"/>
    <n v="49741.790220937517"/>
    <n v="49741.790220937517"/>
    <n v="46.058717296102472"/>
    <n v="47.4571642066525"/>
    <n v="45.598130123141445"/>
    <n v="46.982592564585978"/>
    <n v="0"/>
    <n v="0"/>
    <n v="0"/>
    <n v="0"/>
    <n v="0"/>
    <n v="0"/>
    <n v="0"/>
    <e v="#REF!"/>
    <e v="#REF!"/>
    <e v="#REF!"/>
    <x v="8"/>
  </r>
  <r>
    <x v="35"/>
    <x v="35"/>
    <x v="4"/>
    <d v="2022-08-31T00:00:00"/>
    <n v="2455.5465134099618"/>
    <n v="440"/>
    <n v="2015.5465134099618"/>
    <n v="47.875893126341005"/>
    <n v="48.449511838919541"/>
    <n v="118717.63763893899"/>
    <n v="21065.392975590043"/>
    <n v="97652.244663348945"/>
    <n v="276"/>
    <n v="2455.5465134099618"/>
    <n v="440"/>
    <n v="2015.5465134099618"/>
    <n v="1007.7732567049809"/>
    <n v="1007.7732567049809"/>
    <n v="116343.2848861602"/>
    <n v="20644.08511607824"/>
    <n v="95699.199770081963"/>
    <n v="47849.599885040981"/>
    <n v="47849.599885040981"/>
    <n v="90"/>
    <n v="0"/>
    <n v="90"/>
    <n v="90"/>
    <n v="0"/>
    <n v="2455.5465134099618"/>
    <n v="440"/>
    <n v="2015.5465134099618"/>
    <n v="1007.7732567049809"/>
    <n v="1007.7732567049809"/>
    <n v="117530.46126254959"/>
    <n v="20854.739045834143"/>
    <n v="96675.722216715454"/>
    <n v="48337.861108357727"/>
    <n v="48337.861108357727"/>
    <n v="47.875893126341005"/>
    <n v="48.449511838919541"/>
    <n v="47.397134195077598"/>
    <n v="47.965016720530343"/>
    <n v="0"/>
    <n v="0"/>
    <n v="0"/>
    <n v="0"/>
    <n v="0"/>
    <n v="0"/>
    <n v="0"/>
    <e v="#REF!"/>
    <e v="#REF!"/>
    <e v="#REF!"/>
    <x v="8"/>
  </r>
  <r>
    <x v="35"/>
    <x v="35"/>
    <x v="5"/>
    <d v="2022-09-01T00:00:00"/>
    <n v="2392.51730450782"/>
    <n v="420"/>
    <n v="1972.5173045078197"/>
    <n v="49.351019754115143"/>
    <n v="48.6632964652025"/>
    <n v="116716.62266873452"/>
    <n v="20727.428296728362"/>
    <n v="95989.194372006154"/>
    <n v="277"/>
    <n v="2392.51730450782"/>
    <n v="420"/>
    <n v="1972.5173045078197"/>
    <n v="986.25865225390987"/>
    <n v="986.25865225390987"/>
    <n v="114382.29021535983"/>
    <n v="20312.879730793793"/>
    <n v="94069.410484566033"/>
    <n v="47034.705242283017"/>
    <n v="47034.705242283017"/>
    <n v="90"/>
    <n v="0"/>
    <n v="90"/>
    <n v="90"/>
    <n v="0"/>
    <n v="2392.51730450782"/>
    <n v="420"/>
    <n v="1972.5173045078197"/>
    <n v="986.25865225390987"/>
    <n v="986.25865225390987"/>
    <n v="115549.45644204717"/>
    <n v="20520.154013761079"/>
    <n v="95029.302428286086"/>
    <n v="47514.651214143043"/>
    <n v="47514.651214143043"/>
    <n v="49.351019754115143"/>
    <n v="48.6632964652025"/>
    <n v="48.857509556574001"/>
    <n v="48.176663500550475"/>
    <n v="0"/>
    <n v="0"/>
    <n v="0"/>
    <n v="0"/>
    <n v="0"/>
    <n v="0"/>
    <n v="0"/>
    <e v="#REF!"/>
    <e v="#REF!"/>
    <e v="#REF!"/>
    <x v="9"/>
  </r>
  <r>
    <x v="35"/>
    <x v="35"/>
    <x v="0"/>
    <d v="2022-09-02T00:00:00"/>
    <n v="3139.2434314627417"/>
    <n v="940"/>
    <n v="2199.2434314627417"/>
    <n v="50.896760157172722"/>
    <n v="50.034803611500749"/>
    <n v="157881.66773486364"/>
    <n v="47842.95454774236"/>
    <n v="110038.71318712129"/>
    <n v="278"/>
    <n v="3139.2434314627417"/>
    <n v="940"/>
    <n v="2199.2434314627417"/>
    <n v="1099.6217157313708"/>
    <n v="1099.6217157313708"/>
    <n v="154724.03438016638"/>
    <n v="46886.095456787509"/>
    <n v="107837.93892337887"/>
    <n v="53918.969461689434"/>
    <n v="53918.969461689434"/>
    <n v="90"/>
    <n v="0"/>
    <n v="90"/>
    <n v="90"/>
    <n v="0"/>
    <n v="3139.2434314627417"/>
    <n v="940"/>
    <n v="2199.2434314627417"/>
    <n v="1099.6217157313708"/>
    <n v="1099.6217157313708"/>
    <n v="156302.85105751501"/>
    <n v="47364.525002264934"/>
    <n v="108938.32605525007"/>
    <n v="54469.163027625036"/>
    <n v="54469.163027625036"/>
    <n v="50.896760157172722"/>
    <n v="50.034803611500749"/>
    <n v="50.387792555600996"/>
    <n v="49.534455575385742"/>
    <n v="0"/>
    <n v="0"/>
    <n v="0"/>
    <n v="0"/>
    <n v="0"/>
    <n v="0"/>
    <n v="0"/>
    <e v="#REF!"/>
    <e v="#REF!"/>
    <e v="#REF!"/>
    <x v="9"/>
  </r>
  <r>
    <x v="35"/>
    <x v="35"/>
    <x v="1"/>
    <d v="2022-09-03T00:00:00"/>
    <n v="2859.1988362465499"/>
    <n v="830"/>
    <n v="2029.1988362465502"/>
    <n v="50.383282622688938"/>
    <n v="50.164322912735678"/>
    <n v="143611.5102524512"/>
    <n v="41818.124576831819"/>
    <n v="101793.38567561939"/>
    <n v="279"/>
    <n v="2859.1988362465499"/>
    <n v="830"/>
    <n v="2029.1988362465502"/>
    <n v="1014.5994181232751"/>
    <n v="1014.5994181232751"/>
    <n v="140739.28004740219"/>
    <n v="40981.76208529518"/>
    <n v="99757.517962106998"/>
    <n v="49878.758981053499"/>
    <n v="49878.758981053499"/>
    <n v="90"/>
    <n v="0"/>
    <n v="90"/>
    <n v="90"/>
    <n v="0"/>
    <n v="2859.1988362465499"/>
    <n v="830"/>
    <n v="2029.1988362465502"/>
    <n v="1014.5994181232751"/>
    <n v="1014.5994181232751"/>
    <n v="142175.39514992668"/>
    <n v="41399.943331063499"/>
    <n v="100775.45181886319"/>
    <n v="50387.725909431596"/>
    <n v="50387.725909431596"/>
    <n v="50.383282622688938"/>
    <n v="50.164322912735678"/>
    <n v="49.879449796462048"/>
    <n v="49.662679683608317"/>
    <n v="0"/>
    <n v="0"/>
    <n v="0"/>
    <n v="0"/>
    <n v="0"/>
    <n v="0"/>
    <n v="0"/>
    <e v="#REF!"/>
    <e v="#REF!"/>
    <e v="#REF!"/>
    <x v="9"/>
  </r>
  <r>
    <x v="35"/>
    <x v="35"/>
    <x v="6"/>
    <d v="2022-09-04T00:00:00"/>
    <n v="300"/>
    <n v="0"/>
    <n v="300"/>
    <n v="0"/>
    <n v="57.165033019526149"/>
    <n v="17149.509905857845"/>
    <n v="0"/>
    <n v="17149.509905857845"/>
    <n v="280"/>
    <n v="180"/>
    <n v="0"/>
    <n v="180"/>
    <n v="180"/>
    <n v="0"/>
    <n v="10083.911824644414"/>
    <n v="0"/>
    <n v="10083.911824644414"/>
    <n v="10083.911824644414"/>
    <n v="0"/>
    <n v="90"/>
    <n v="0"/>
    <n v="90"/>
    <n v="90"/>
    <n v="0"/>
    <n v="180"/>
    <n v="0"/>
    <n v="180"/>
    <n v="180"/>
    <n v="0"/>
    <n v="10186.808884079561"/>
    <n v="0"/>
    <n v="10186.808884079561"/>
    <n v="10186.808884079561"/>
    <n v="0"/>
    <n v="0"/>
    <n v="57.165033019526149"/>
    <s v="-"/>
    <n v="56.593382689330895"/>
    <n v="0"/>
    <n v="0"/>
    <n v="0"/>
    <n v="0"/>
    <n v="0"/>
    <n v="0"/>
    <n v="0"/>
    <e v="#REF!"/>
    <e v="#REF!"/>
    <e v="#REF!"/>
    <x v="9"/>
  </r>
  <r>
    <x v="36"/>
    <x v="36"/>
    <x v="2"/>
    <d v="2022-09-05T00:00:00"/>
    <n v="2493.8090156393746"/>
    <n v="680"/>
    <n v="1813.8090156393744"/>
    <n v="48.296307213483779"/>
    <n v="49.866259582092518"/>
    <n v="123289.36011138171"/>
    <n v="32841.488905168968"/>
    <n v="90447.871206212745"/>
    <n v="282"/>
    <n v="2493.8090156393746"/>
    <n v="680"/>
    <n v="1813.8090156393744"/>
    <n v="906.90450781968718"/>
    <n v="906.90450781968718"/>
    <n v="120823.57290915409"/>
    <n v="32184.659127065588"/>
    <n v="88638.913782088493"/>
    <n v="44319.456891044247"/>
    <n v="44319.456891044247"/>
    <n v="90"/>
    <n v="0"/>
    <n v="90"/>
    <n v="90"/>
    <n v="0"/>
    <n v="2493.8090156393746"/>
    <n v="680"/>
    <n v="1813.8090156393744"/>
    <n v="906.90450781968718"/>
    <n v="906.90450781968718"/>
    <n v="122056.46651026788"/>
    <n v="32513.074016117276"/>
    <n v="89543.392494150612"/>
    <n v="44771.696247075306"/>
    <n v="44771.696247075306"/>
    <n v="48.296307213483779"/>
    <n v="49.866259582092518"/>
    <n v="47.813344141348935"/>
    <n v="49.367596986271586"/>
    <n v="0"/>
    <n v="0"/>
    <n v="0"/>
    <n v="0"/>
    <n v="0"/>
    <n v="0"/>
    <n v="0"/>
    <e v="#REF!"/>
    <e v="#REF!"/>
    <e v="#REF!"/>
    <x v="9"/>
  </r>
  <r>
    <x v="36"/>
    <x v="36"/>
    <x v="3"/>
    <d v="2022-09-06T00:00:00"/>
    <n v="2660.5797378104876"/>
    <n v="450"/>
    <n v="2210.5797378104876"/>
    <n v="46.228376987996739"/>
    <n v="47.538811334620959"/>
    <n v="125891.10274050717"/>
    <n v="20802.769644598531"/>
    <n v="105088.33309590863"/>
    <n v="283"/>
    <n v="2660.5797378104876"/>
    <n v="450"/>
    <n v="2210.5797378104876"/>
    <n v="1105.2898689052438"/>
    <n v="1105.2898689052438"/>
    <n v="123373.28068569701"/>
    <n v="20386.714251706559"/>
    <n v="102986.56643399046"/>
    <n v="51493.283216995231"/>
    <n v="51493.283216995231"/>
    <n v="90"/>
    <n v="0"/>
    <n v="90"/>
    <n v="90"/>
    <n v="0"/>
    <n v="2660.5797378104876"/>
    <n v="450"/>
    <n v="2210.5797378104876"/>
    <n v="1105.2898689052438"/>
    <n v="1105.2898689052438"/>
    <n v="124632.19171310209"/>
    <n v="20594.741948152547"/>
    <n v="104037.44976494955"/>
    <n v="52018.724882474773"/>
    <n v="52018.724882474773"/>
    <n v="46.228376987996739"/>
    <n v="47.538811334620959"/>
    <n v="45.766093218116772"/>
    <n v="47.063423221274746"/>
    <n v="0"/>
    <n v="0"/>
    <n v="0"/>
    <n v="0"/>
    <n v="0"/>
    <n v="0"/>
    <n v="0"/>
    <e v="#REF!"/>
    <e v="#REF!"/>
    <e v="#REF!"/>
    <x v="9"/>
  </r>
  <r>
    <x v="36"/>
    <x v="36"/>
    <x v="4"/>
    <d v="2022-09-07T00:00:00"/>
    <n v="2507.2166743330267"/>
    <n v="410"/>
    <n v="2097.2166743330267"/>
    <n v="48.345888609295592"/>
    <n v="48.532896459046107"/>
    <n v="121605.814037401"/>
    <n v="19821.814329811194"/>
    <n v="101783.9997075898"/>
    <n v="284"/>
    <n v="2507.2166743330267"/>
    <n v="410"/>
    <n v="2097.2166743330267"/>
    <n v="1048.6083371665134"/>
    <n v="1048.6083371665134"/>
    <n v="119173.69775665297"/>
    <n v="19425.378043214969"/>
    <n v="99748.319713438003"/>
    <n v="49874.159856719001"/>
    <n v="49874.159856719001"/>
    <n v="90"/>
    <n v="0"/>
    <n v="90"/>
    <n v="90"/>
    <n v="0"/>
    <n v="2507.2166743330267"/>
    <n v="410"/>
    <n v="2097.2166743330267"/>
    <n v="1048.6083371665134"/>
    <n v="1048.6083371665134"/>
    <n v="120389.75589702697"/>
    <n v="19623.596186513081"/>
    <n v="100766.15971051389"/>
    <n v="50383.079855256947"/>
    <n v="50383.079855256947"/>
    <n v="48.345888609295592"/>
    <n v="48.532896459046107"/>
    <n v="47.862429723202638"/>
    <n v="48.047567494455642"/>
    <n v="0"/>
    <n v="0"/>
    <n v="0"/>
    <n v="0"/>
    <n v="0"/>
    <n v="0"/>
    <n v="0"/>
    <e v="#REF!"/>
    <e v="#REF!"/>
    <e v="#REF!"/>
    <x v="9"/>
  </r>
  <r>
    <x v="36"/>
    <x v="36"/>
    <x v="5"/>
    <d v="2022-09-08T00:00:00"/>
    <n v="2409.2479999999996"/>
    <n v="450"/>
    <n v="1959.2479999999998"/>
    <n v="50.125287173759617"/>
    <n v="48.434419365248615"/>
    <n v="117451.41850071643"/>
    <n v="22556.379228191829"/>
    <n v="94895.039272524606"/>
    <n v="285"/>
    <n v="2409.2479999999996"/>
    <n v="450"/>
    <n v="1959.2479999999998"/>
    <n v="979.62399999999991"/>
    <n v="979.62399999999991"/>
    <n v="115102.39013070212"/>
    <n v="22105.251643627991"/>
    <n v="92997.138487074117"/>
    <n v="46498.569243537058"/>
    <n v="46498.569243537058"/>
    <n v="90"/>
    <n v="0"/>
    <n v="90"/>
    <n v="90"/>
    <n v="0"/>
    <n v="2409.2479999999996"/>
    <n v="450"/>
    <n v="1959.2479999999998"/>
    <n v="979.62399999999991"/>
    <n v="979.62399999999991"/>
    <n v="116276.90431570927"/>
    <n v="22330.81543590991"/>
    <n v="93946.088879799354"/>
    <n v="46973.044439899677"/>
    <n v="46973.044439899677"/>
    <n v="50.125287173759617"/>
    <n v="48.434419365248615"/>
    <n v="49.624034302022025"/>
    <n v="47.950075171596126"/>
    <n v="0"/>
    <n v="0"/>
    <n v="0"/>
    <n v="0"/>
    <n v="0"/>
    <n v="0"/>
    <n v="0"/>
    <e v="#REF!"/>
    <e v="#REF!"/>
    <e v="#REF!"/>
    <x v="9"/>
  </r>
  <r>
    <x v="36"/>
    <x v="36"/>
    <x v="0"/>
    <d v="2022-09-09T00:00:00"/>
    <n v="3177.0675348837208"/>
    <n v="990"/>
    <n v="2187.0675348837208"/>
    <n v="51.695278675158782"/>
    <n v="49.799291431435101"/>
    <n v="160092.73943831195"/>
    <n v="51178.325888407191"/>
    <n v="108914.41354990477"/>
    <n v="286"/>
    <n v="3177.0675348837208"/>
    <n v="990"/>
    <n v="2187.0675348837208"/>
    <n v="1093.5337674418604"/>
    <n v="1093.5337674418604"/>
    <n v="156890.88464954571"/>
    <n v="50154.759370639047"/>
    <n v="106736.12527890668"/>
    <n v="53368.062639453339"/>
    <n v="53368.062639453339"/>
    <n v="90"/>
    <n v="0"/>
    <n v="90"/>
    <n v="90"/>
    <n v="0"/>
    <n v="3177.0675348837208"/>
    <n v="990"/>
    <n v="2187.0675348837208"/>
    <n v="1093.5337674418604"/>
    <n v="1093.5337674418604"/>
    <n v="158491.81204392883"/>
    <n v="50666.542629523115"/>
    <n v="107825.26941440572"/>
    <n v="53912.634707202858"/>
    <n v="53912.634707202858"/>
    <n v="51.695278675158782"/>
    <n v="49.799291431435101"/>
    <n v="51.178325888407187"/>
    <n v="49.301298517120749"/>
    <n v="0"/>
    <n v="0"/>
    <n v="0"/>
    <n v="0"/>
    <n v="0"/>
    <n v="0"/>
    <n v="0"/>
    <e v="#REF!"/>
    <e v="#REF!"/>
    <e v="#REF!"/>
    <x v="9"/>
  </r>
  <r>
    <x v="36"/>
    <x v="36"/>
    <x v="1"/>
    <d v="2022-09-10T00:00:00"/>
    <n v="2896.2028837209305"/>
    <n v="880"/>
    <n v="2016.2028837209305"/>
    <n v="51.173745199224335"/>
    <n v="49.928184143926373"/>
    <n v="145698.24462525139"/>
    <n v="45032.895775317418"/>
    <n v="100665.34884993399"/>
    <n v="287"/>
    <n v="2896.2028837209305"/>
    <n v="880"/>
    <n v="2016.2028837209305"/>
    <n v="1008.1014418604652"/>
    <n v="1008.1014418604652"/>
    <n v="142784.27973274636"/>
    <n v="44132.237859811066"/>
    <n v="98652.041872935311"/>
    <n v="49326.020936467656"/>
    <n v="49326.020936467656"/>
    <n v="90"/>
    <n v="0"/>
    <n v="90"/>
    <n v="90"/>
    <n v="0"/>
    <n v="2896.2028837209305"/>
    <n v="880"/>
    <n v="2016.2028837209305"/>
    <n v="1008.1014418604652"/>
    <n v="1008.1014418604652"/>
    <n v="144241.26217899888"/>
    <n v="44582.566817564242"/>
    <n v="99658.695361434642"/>
    <n v="49829.347680717321"/>
    <n v="49829.347680717321"/>
    <n v="51.173745199224335"/>
    <n v="49.928184143926373"/>
    <n v="50.662007747232096"/>
    <n v="49.428902302487103"/>
    <n v="0"/>
    <n v="0"/>
    <n v="0"/>
    <n v="0"/>
    <n v="0"/>
    <n v="0"/>
    <n v="0"/>
    <e v="#REF!"/>
    <e v="#REF!"/>
    <e v="#REF!"/>
    <x v="9"/>
  </r>
  <r>
    <x v="36"/>
    <x v="36"/>
    <x v="6"/>
    <d v="2022-09-11T00:00:00"/>
    <n v="300"/>
    <n v="0"/>
    <n v="300"/>
    <n v="0"/>
    <n v="56.905196252260367"/>
    <n v="17071.558875678111"/>
    <n v="0"/>
    <n v="17071.558875678111"/>
    <n v="288"/>
    <n v="180"/>
    <n v="0"/>
    <n v="180"/>
    <n v="180"/>
    <n v="0"/>
    <n v="10038.076618898729"/>
    <n v="0"/>
    <n v="10038.076618898729"/>
    <n v="10038.076618898729"/>
    <n v="0"/>
    <n v="90"/>
    <n v="0"/>
    <n v="90"/>
    <n v="90"/>
    <n v="0"/>
    <n v="180"/>
    <n v="0"/>
    <n v="180"/>
    <n v="180"/>
    <n v="0"/>
    <n v="10140.505972152798"/>
    <n v="0"/>
    <n v="10140.505972152798"/>
    <n v="10140.505972152798"/>
    <n v="0"/>
    <n v="0"/>
    <n v="56.905196252260367"/>
    <s v="-"/>
    <n v="56.336144289737767"/>
    <n v="0"/>
    <n v="0"/>
    <n v="0"/>
    <n v="0"/>
    <n v="0"/>
    <n v="0"/>
    <n v="0"/>
    <e v="#REF!"/>
    <e v="#REF!"/>
    <e v="#REF!"/>
    <x v="9"/>
  </r>
  <r>
    <x v="37"/>
    <x v="37"/>
    <x v="2"/>
    <d v="2022-09-12T00:00:00"/>
    <n v="2519.7743255813957"/>
    <n v="720"/>
    <n v="1799.7743255813955"/>
    <n v="49.054027263664146"/>
    <n v="49.631562784681272"/>
    <n v="124644.5120681886"/>
    <n v="35318.899629838183"/>
    <n v="89325.612438350421"/>
    <n v="290"/>
    <n v="2519.7743255813957"/>
    <n v="720"/>
    <n v="1799.7743255813955"/>
    <n v="899.88716279069774"/>
    <n v="899.88716279069774"/>
    <n v="122151.62182682482"/>
    <n v="34612.521637241422"/>
    <n v="87539.100189583405"/>
    <n v="43769.550094791703"/>
    <n v="43769.550094791703"/>
    <n v="90"/>
    <n v="0"/>
    <n v="90"/>
    <n v="90"/>
    <n v="0"/>
    <n v="2519.7743255813957"/>
    <n v="720"/>
    <n v="1799.7743255813955"/>
    <n v="899.88716279069774"/>
    <n v="899.88716279069774"/>
    <n v="123398.06694750671"/>
    <n v="34965.710633539798"/>
    <n v="88432.356313966913"/>
    <n v="44216.178156983457"/>
    <n v="44216.178156983457"/>
    <n v="49.054027263664146"/>
    <n v="49.631562784681272"/>
    <n v="48.563486991027496"/>
    <n v="49.135247156834453"/>
    <n v="0"/>
    <n v="0"/>
    <n v="0"/>
    <n v="0"/>
    <n v="0"/>
    <n v="0"/>
    <n v="0"/>
    <e v="#REF!"/>
    <e v="#REF!"/>
    <e v="#REF!"/>
    <x v="9"/>
  </r>
  <r>
    <x v="37"/>
    <x v="37"/>
    <x v="3"/>
    <d v="2022-09-13T00:00:00"/>
    <n v="2678.4585116279072"/>
    <n v="480"/>
    <n v="2198.4585116279072"/>
    <n v="46.668919742153513"/>
    <n v="47.315374271159762"/>
    <n v="126421.96877352495"/>
    <n v="22401.081476233685"/>
    <n v="104020.88729729126"/>
    <n v="291"/>
    <n v="2678.4585116279072"/>
    <n v="480"/>
    <n v="2198.4585116279072"/>
    <n v="1099.2292558139536"/>
    <n v="1099.2292558139536"/>
    <n v="123893.52939805444"/>
    <n v="21953.059846709009"/>
    <n v="101940.46955134544"/>
    <n v="50970.234775672718"/>
    <n v="50970.234775672718"/>
    <n v="90"/>
    <n v="0"/>
    <n v="90"/>
    <n v="90"/>
    <n v="0"/>
    <n v="2678.4585116279072"/>
    <n v="480"/>
    <n v="2198.4585116279072"/>
    <n v="1099.2292558139536"/>
    <n v="1099.2292558139536"/>
    <n v="125157.74908578969"/>
    <n v="22177.070661471349"/>
    <n v="102980.67842431835"/>
    <n v="51490.339212159175"/>
    <n v="51490.339212159175"/>
    <n v="46.668919742153513"/>
    <n v="47.315374271159762"/>
    <n v="46.202230544731975"/>
    <n v="46.842220528448166"/>
    <n v="0"/>
    <n v="0"/>
    <n v="0"/>
    <n v="0"/>
    <n v="0"/>
    <n v="0"/>
    <n v="0"/>
    <e v="#REF!"/>
    <e v="#REF!"/>
    <e v="#REF!"/>
    <x v="9"/>
  </r>
  <r>
    <x v="37"/>
    <x v="37"/>
    <x v="4"/>
    <d v="2022-09-14T00:00:00"/>
    <n v="2524.5487441860464"/>
    <n v="440"/>
    <n v="2084.5487441860464"/>
    <n v="49.10438654126218"/>
    <n v="48.304650208511944"/>
    <n v="122299.32800865518"/>
    <n v="21605.930078155357"/>
    <n v="100693.39793049982"/>
    <n v="292"/>
    <n v="2524.5487441860464"/>
    <n v="440"/>
    <n v="2084.5487441860464"/>
    <n v="1042.2743720930232"/>
    <n v="1042.2743720930232"/>
    <n v="119853.34144848207"/>
    <n v="21173.811476592251"/>
    <n v="98679.529971889817"/>
    <n v="49339.764985944908"/>
    <n v="49339.764985944908"/>
    <n v="90"/>
    <n v="0"/>
    <n v="90"/>
    <n v="90"/>
    <n v="0"/>
    <n v="2524.5487441860464"/>
    <n v="440"/>
    <n v="2084.5487441860464"/>
    <n v="1042.2743720930232"/>
    <n v="1042.2743720930232"/>
    <n v="121076.33472856862"/>
    <n v="21389.870777373802"/>
    <n v="99686.463951194819"/>
    <n v="49843.231975597409"/>
    <n v="49843.231975597409"/>
    <n v="49.10438654126218"/>
    <n v="48.304650208511944"/>
    <n v="48.613342675849552"/>
    <n v="47.821603706426828"/>
    <n v="0"/>
    <n v="0"/>
    <n v="0"/>
    <n v="0"/>
    <n v="0"/>
    <n v="0"/>
    <n v="0"/>
    <e v="#REF!"/>
    <e v="#REF!"/>
    <e v="#REF!"/>
    <x v="9"/>
  </r>
  <r>
    <x v="37"/>
    <x v="37"/>
    <x v="5"/>
    <d v="2022-09-15T00:00:00"/>
    <n v="2356.8912757973735"/>
    <n v="400"/>
    <n v="1956.8912757973735"/>
    <n v="48.196710537947027"/>
    <n v="47.704350468454635"/>
    <n v="112630.91146447803"/>
    <n v="19278.684215178811"/>
    <n v="93352.22724929922"/>
    <n v="293"/>
    <n v="2356.8912757973735"/>
    <n v="400"/>
    <n v="1956.8912757973735"/>
    <n v="978.44563789868675"/>
    <n v="978.44563789868675"/>
    <n v="110378.29323518847"/>
    <n v="18893.110530875234"/>
    <n v="91485.182704313236"/>
    <n v="45742.591352156618"/>
    <n v="45742.591352156618"/>
    <n v="90"/>
    <n v="0"/>
    <n v="90"/>
    <n v="90"/>
    <n v="0"/>
    <n v="2356.8912757973735"/>
    <n v="400"/>
    <n v="1956.8912757973735"/>
    <n v="978.44563789868675"/>
    <n v="978.44563789868675"/>
    <n v="111504.60234983325"/>
    <n v="19085.897373027023"/>
    <n v="92418.704976806228"/>
    <n v="46209.352488403114"/>
    <n v="46209.352488403114"/>
    <n v="48.196710537947027"/>
    <n v="47.704350468454635"/>
    <n v="47.714743432567559"/>
    <n v="47.22730696377009"/>
    <n v="0"/>
    <n v="0"/>
    <n v="0"/>
    <n v="0"/>
    <n v="0"/>
    <n v="0"/>
    <n v="0"/>
    <e v="#REF!"/>
    <e v="#REF!"/>
    <e v="#REF!"/>
    <x v="9"/>
  </r>
  <r>
    <x v="37"/>
    <x v="37"/>
    <x v="0"/>
    <d v="2022-09-16T00:00:00"/>
    <n v="3074.3236397748592"/>
    <n v="900"/>
    <n v="2174.3236397748592"/>
    <n v="49.70629642176786"/>
    <n v="49.048428444285328"/>
    <n v="151382.82423980627"/>
    <n v="44735.666779591076"/>
    <n v="106647.15746021521"/>
    <n v="294"/>
    <n v="3074.3236397748592"/>
    <n v="900"/>
    <n v="2174.3236397748592"/>
    <n v="1087.1618198874296"/>
    <n v="1087.1618198874296"/>
    <n v="148355.16775501016"/>
    <n v="43840.953443999257"/>
    <n v="104514.2143110109"/>
    <n v="52257.107155505451"/>
    <n v="52257.107155505451"/>
    <n v="90"/>
    <n v="0"/>
    <n v="90"/>
    <n v="90"/>
    <n v="0"/>
    <n v="3074.3236397748592"/>
    <n v="900"/>
    <n v="2174.3236397748592"/>
    <n v="1087.1618198874296"/>
    <n v="1087.1618198874296"/>
    <n v="149868.99599740823"/>
    <n v="44288.310111795166"/>
    <n v="105580.68588561306"/>
    <n v="52790.342942806528"/>
    <n v="52790.342942806528"/>
    <n v="49.70629642176786"/>
    <n v="49.048428444285328"/>
    <n v="49.209233457550184"/>
    <n v="48.557944159842478"/>
    <n v="0"/>
    <n v="0"/>
    <n v="0"/>
    <n v="0"/>
    <n v="0"/>
    <n v="0"/>
    <n v="0"/>
    <e v="#REF!"/>
    <e v="#REF!"/>
    <e v="#REF!"/>
    <x v="9"/>
  </r>
  <r>
    <x v="37"/>
    <x v="37"/>
    <x v="1"/>
    <d v="2022-09-17T00:00:00"/>
    <n v="2802.6665103189493"/>
    <n v="800"/>
    <n v="2002.6665103189493"/>
    <n v="49.204829010951286"/>
    <n v="49.175357451330385"/>
    <n v="137845.7047095038"/>
    <n v="39363.863208761031"/>
    <n v="98481.841500742768"/>
    <n v="295"/>
    <n v="2802.6665103189493"/>
    <n v="800"/>
    <n v="2002.6665103189493"/>
    <n v="1001.3332551594747"/>
    <n v="1001.3332551594747"/>
    <n v="135088.79061531372"/>
    <n v="38576.585944585808"/>
    <n v="96512.204670727908"/>
    <n v="48256.102335363954"/>
    <n v="48256.102335363954"/>
    <n v="90"/>
    <n v="0"/>
    <n v="90"/>
    <n v="90"/>
    <n v="0"/>
    <n v="2802.6665103189493"/>
    <n v="800"/>
    <n v="2002.6665103189493"/>
    <n v="1001.3332551594747"/>
    <n v="1001.3332551594747"/>
    <n v="136467.24766240877"/>
    <n v="38970.22457667342"/>
    <n v="97497.023085735345"/>
    <n v="48748.511542867673"/>
    <n v="48748.511542867673"/>
    <n v="49.204829010951286"/>
    <n v="49.175357451330385"/>
    <n v="48.712780720841778"/>
    <n v="48.683603876817088"/>
    <n v="0"/>
    <n v="0"/>
    <n v="0"/>
    <n v="0"/>
    <n v="0"/>
    <n v="0"/>
    <n v="0"/>
    <e v="#REF!"/>
    <e v="#REF!"/>
    <e v="#REF!"/>
    <x v="9"/>
  </r>
  <r>
    <x v="37"/>
    <x v="37"/>
    <x v="6"/>
    <d v="2022-09-18T00:00:00"/>
    <n v="300"/>
    <n v="0"/>
    <n v="300"/>
    <n v="0"/>
    <n v="56.05376812159232"/>
    <n v="16816.130436477695"/>
    <n v="0"/>
    <n v="16816.130436477695"/>
    <n v="296"/>
    <n v="180"/>
    <n v="0"/>
    <n v="180"/>
    <n v="180"/>
    <n v="0"/>
    <n v="9887.8846966488854"/>
    <n v="0"/>
    <n v="9887.8846966488854"/>
    <n v="9887.8846966488854"/>
    <n v="0"/>
    <n v="90"/>
    <n v="0"/>
    <n v="90"/>
    <n v="90"/>
    <n v="0"/>
    <n v="180"/>
    <n v="0"/>
    <n v="180"/>
    <n v="180"/>
    <n v="0"/>
    <n v="9988.7814792677527"/>
    <n v="0"/>
    <n v="9988.7814792677527"/>
    <n v="9988.7814792677527"/>
    <n v="0"/>
    <n v="0"/>
    <n v="56.05376812159232"/>
    <s v="-"/>
    <n v="55.493230440376401"/>
    <n v="0"/>
    <n v="0"/>
    <n v="0"/>
    <n v="0"/>
    <n v="0"/>
    <n v="0"/>
    <n v="0"/>
    <e v="#REF!"/>
    <e v="#REF!"/>
    <e v="#REF!"/>
    <x v="9"/>
  </r>
  <r>
    <x v="38"/>
    <x v="38"/>
    <x v="2"/>
    <d v="2022-09-19T00:00:00"/>
    <n v="2446.6779549718576"/>
    <n v="650"/>
    <n v="1796.6779549718574"/>
    <n v="47.166667485648922"/>
    <n v="48.883255175960194"/>
    <n v="118485.80080758342"/>
    <n v="30658.333865671801"/>
    <n v="87827.466941911625"/>
    <n v="298"/>
    <n v="2446.6779549718576"/>
    <n v="650"/>
    <n v="1796.6779549718574"/>
    <n v="898.33897748592869"/>
    <n v="898.33897748592869"/>
    <n v="116116.08479143176"/>
    <n v="30045.167188358366"/>
    <n v="86070.917603073394"/>
    <n v="43035.458801536697"/>
    <n v="43035.458801536697"/>
    <n v="90"/>
    <n v="0"/>
    <n v="90"/>
    <n v="90"/>
    <n v="0"/>
    <n v="2446.6779549718576"/>
    <n v="650"/>
    <n v="1796.6779549718574"/>
    <n v="898.33897748592869"/>
    <n v="898.33897748592869"/>
    <n v="117300.9427995076"/>
    <n v="30351.750527015083"/>
    <n v="86949.19227249251"/>
    <n v="43474.596136246255"/>
    <n v="43474.596136246255"/>
    <n v="47.166667485648922"/>
    <n v="48.883255175960194"/>
    <n v="46.695000810792436"/>
    <n v="48.394422624200594"/>
    <n v="0"/>
    <n v="0"/>
    <n v="0"/>
    <n v="0"/>
    <n v="0"/>
    <n v="0"/>
    <n v="0"/>
    <e v="#REF!"/>
    <e v="#REF!"/>
    <e v="#REF!"/>
    <x v="9"/>
  </r>
  <r>
    <x v="38"/>
    <x v="38"/>
    <x v="3"/>
    <d v="2022-09-20T00:00:00"/>
    <n v="2615.7674484052536"/>
    <n v="430"/>
    <n v="2185.7674484052536"/>
    <n v="46.768597861657753"/>
    <n v="46.602354243175682"/>
    <n v="121972.40600429667"/>
    <n v="20110.497080512832"/>
    <n v="101861.90892378385"/>
    <n v="299"/>
    <n v="2615.7674484052536"/>
    <n v="430"/>
    <n v="2185.7674484052536"/>
    <n v="1092.8837242026268"/>
    <n v="1092.8837242026268"/>
    <n v="119532.95788421074"/>
    <n v="19708.287138902575"/>
    <n v="99824.670745308176"/>
    <n v="49912.335372654088"/>
    <n v="49912.335372654088"/>
    <n v="90"/>
    <n v="0"/>
    <n v="90"/>
    <n v="90"/>
    <n v="0"/>
    <n v="2615.7674484052536"/>
    <n v="430"/>
    <n v="2185.7674484052536"/>
    <n v="1092.8837242026268"/>
    <n v="1092.8837242026268"/>
    <n v="120752.68194425371"/>
    <n v="19909.392109707704"/>
    <n v="100843.28983454601"/>
    <n v="50421.644917273006"/>
    <n v="50421.644917273006"/>
    <n v="46.768597861657753"/>
    <n v="46.602354243175682"/>
    <n v="46.300911883041174"/>
    <n v="46.136330700743926"/>
    <n v="0"/>
    <n v="0"/>
    <n v="0"/>
    <n v="0"/>
    <n v="0"/>
    <n v="0"/>
    <n v="0"/>
    <e v="#REF!"/>
    <e v="#REF!"/>
    <e v="#REF!"/>
    <x v="9"/>
  </r>
  <r>
    <x v="38"/>
    <x v="38"/>
    <x v="4"/>
    <d v="2022-09-21T00:00:00"/>
    <n v="2482.7731707317075"/>
    <n v="400"/>
    <n v="2082.7731707317075"/>
    <n v="47.215089183800565"/>
    <n v="47.576558369962051"/>
    <n v="117977.21500222824"/>
    <n v="18886.035673520226"/>
    <n v="99091.179328708022"/>
    <n v="300"/>
    <n v="2482.7731707317075"/>
    <n v="400"/>
    <n v="2082.7731707317075"/>
    <n v="1041.3865853658538"/>
    <n v="1041.3865853658538"/>
    <n v="115617.67070218368"/>
    <n v="18508.314960049822"/>
    <n v="97109.355742133863"/>
    <n v="48554.677871066931"/>
    <n v="48554.677871066931"/>
    <n v="90"/>
    <n v="0"/>
    <n v="90"/>
    <n v="90"/>
    <n v="0"/>
    <n v="2482.7731707317075"/>
    <n v="400"/>
    <n v="2082.7731707317075"/>
    <n v="1041.3865853658538"/>
    <n v="1041.3865853658538"/>
    <n v="116797.44285220596"/>
    <n v="18697.175316785022"/>
    <n v="98100.267535420935"/>
    <n v="49050.133767710468"/>
    <n v="49050.133767710468"/>
    <n v="47.215089183800565"/>
    <n v="47.576558369962051"/>
    <n v="46.742938291962552"/>
    <n v="47.100792786262431"/>
    <n v="0"/>
    <n v="0"/>
    <n v="0"/>
    <n v="0"/>
    <n v="0"/>
    <n v="0"/>
    <n v="0"/>
    <e v="#REF!"/>
    <e v="#REF!"/>
    <e v="#REF!"/>
    <x v="9"/>
  </r>
  <r>
    <x v="38"/>
    <x v="38"/>
    <x v="5"/>
    <d v="2022-09-22T00:00:00"/>
    <n v="2293.3638388625595"/>
    <n v="350"/>
    <n v="1943.3638388625595"/>
    <n v="56.740604505150095"/>
    <n v="49.802913369348701"/>
    <n v="116644.39248879952"/>
    <n v="19859.211576802532"/>
    <n v="96785.180911996984"/>
    <n v="301"/>
    <n v="2293.3638388625595"/>
    <n v="350"/>
    <n v="1943.3638388625595"/>
    <n v="971.68191943127977"/>
    <n v="971.68191943127977"/>
    <n v="114311.50463902352"/>
    <n v="19462.027345266481"/>
    <n v="94849.477293757038"/>
    <n v="47424.738646878519"/>
    <n v="47424.738646878519"/>
    <n v="90"/>
    <n v="0"/>
    <n v="90"/>
    <n v="90"/>
    <n v="0"/>
    <n v="2293.3638388625595"/>
    <n v="350"/>
    <n v="1943.3638388625595"/>
    <n v="971.68191943127977"/>
    <n v="971.68191943127977"/>
    <n v="115477.94856391153"/>
    <n v="19660.619461034508"/>
    <n v="95817.329102877018"/>
    <n v="47908.664551438509"/>
    <n v="47908.664551438509"/>
    <n v="56.740604505150095"/>
    <n v="49.802913369348701"/>
    <n v="56.173198460098597"/>
    <n v="49.304884235655216"/>
    <n v="0"/>
    <n v="0"/>
    <n v="0"/>
    <n v="0"/>
    <n v="0"/>
    <n v="0"/>
    <n v="0"/>
    <e v="#REF!"/>
    <e v="#REF!"/>
    <e v="#REF!"/>
    <x v="9"/>
  </r>
  <r>
    <x v="38"/>
    <x v="38"/>
    <x v="0"/>
    <d v="2022-09-23T00:00:00"/>
    <n v="2931.848530805687"/>
    <n v="770"/>
    <n v="2161.848530805687"/>
    <n v="58.517796654664032"/>
    <n v="51.206151661727269"/>
    <n v="155758.64716220959"/>
    <n v="45058.703424091305"/>
    <n v="110699.94373811828"/>
    <n v="302"/>
    <n v="2931.848530805687"/>
    <n v="770"/>
    <n v="2161.848530805687"/>
    <n v="1080.9242654028435"/>
    <n v="1080.9242654028435"/>
    <n v="152643.47421896539"/>
    <n v="44157.529355609477"/>
    <n v="108485.94486335591"/>
    <n v="54242.972431677954"/>
    <n v="54242.972431677954"/>
    <n v="90"/>
    <n v="0"/>
    <n v="90"/>
    <n v="90"/>
    <n v="0"/>
    <n v="2931.848530805687"/>
    <n v="770"/>
    <n v="2161.848530805687"/>
    <n v="1080.9242654028435"/>
    <n v="1080.9242654028435"/>
    <n v="154201.0606905875"/>
    <n v="44608.116389850395"/>
    <n v="109592.9443007371"/>
    <n v="54796.472150368551"/>
    <n v="54796.472150368551"/>
    <n v="58.517796654664032"/>
    <n v="51.206151661727269"/>
    <n v="57.932618688117394"/>
    <n v="50.694090145109996"/>
    <n v="0"/>
    <n v="0"/>
    <n v="0"/>
    <n v="0"/>
    <n v="0"/>
    <n v="0"/>
    <n v="0"/>
    <e v="#REF!"/>
    <e v="#REF!"/>
    <e v="#REF!"/>
    <x v="9"/>
  </r>
  <r>
    <x v="38"/>
    <x v="38"/>
    <x v="1"/>
    <d v="2022-09-24T00:00:00"/>
    <n v="2680.8598104265402"/>
    <n v="680"/>
    <n v="2000.8598104265404"/>
    <n v="57.927433459504435"/>
    <n v="51.338667517430608"/>
    <n v="142112.13130894041"/>
    <n v="39390.654752463015"/>
    <n v="102721.4765564774"/>
    <n v="303"/>
    <n v="2680.8598104265402"/>
    <n v="680"/>
    <n v="2000.8598104265404"/>
    <n v="1000.4299052132702"/>
    <n v="1000.4299052132702"/>
    <n v="139269.88868276161"/>
    <n v="38602.841657413752"/>
    <n v="100667.04702534786"/>
    <n v="50333.523512673928"/>
    <n v="50333.523512673928"/>
    <n v="90"/>
    <n v="0"/>
    <n v="90"/>
    <n v="90"/>
    <n v="0"/>
    <n v="2680.8598104265402"/>
    <n v="680"/>
    <n v="2000.8598104265404"/>
    <n v="1000.4299052132702"/>
    <n v="1000.4299052132702"/>
    <n v="140691.00999585103"/>
    <n v="38996.748204938383"/>
    <n v="101694.26179091263"/>
    <n v="50847.130895456314"/>
    <n v="50847.130895456314"/>
    <n v="57.927433459504435"/>
    <n v="51.338667517430608"/>
    <n v="57.348159124909387"/>
    <n v="50.825280842256305"/>
    <n v="0"/>
    <n v="0"/>
    <n v="0"/>
    <n v="0"/>
    <n v="0"/>
    <n v="0"/>
    <n v="0"/>
    <e v="#REF!"/>
    <e v="#REF!"/>
    <e v="#REF!"/>
    <x v="9"/>
  </r>
  <r>
    <x v="38"/>
    <x v="38"/>
    <x v="6"/>
    <d v="2022-09-25T00:00:00"/>
    <n v="300"/>
    <n v="0"/>
    <n v="300"/>
    <n v="0"/>
    <n v="58.53820533320399"/>
    <n v="17561.461599961196"/>
    <n v="0"/>
    <n v="17561.461599961196"/>
    <n v="304"/>
    <n v="180"/>
    <n v="0"/>
    <n v="180"/>
    <n v="180"/>
    <n v="0"/>
    <n v="10326.139420777185"/>
    <n v="0"/>
    <n v="10326.139420777185"/>
    <n v="10326.139420777185"/>
    <n v="0"/>
    <n v="90"/>
    <n v="0"/>
    <n v="90"/>
    <n v="90"/>
    <n v="0"/>
    <n v="180"/>
    <n v="0"/>
    <n v="180"/>
    <n v="180"/>
    <n v="0"/>
    <n v="10431.508190376951"/>
    <n v="0"/>
    <n v="10431.508190376951"/>
    <n v="10431.508190376951"/>
    <n v="0"/>
    <n v="0"/>
    <n v="58.53820533320399"/>
    <s v="-"/>
    <n v="57.95282327987195"/>
    <n v="0"/>
    <n v="0"/>
    <n v="0"/>
    <n v="0"/>
    <n v="0"/>
    <n v="0"/>
    <n v="0"/>
    <e v="#REF!"/>
    <e v="#REF!"/>
    <e v="#REF!"/>
    <x v="9"/>
  </r>
  <r>
    <x v="39"/>
    <x v="39"/>
    <x v="2"/>
    <d v="2022-09-26T00:00:00"/>
    <n v="2342.3751184834127"/>
    <n v="560"/>
    <n v="1782.3751184834125"/>
    <n v="55.527964372630926"/>
    <n v="51.033708202970423"/>
    <n v="122056.87175359063"/>
    <n v="31095.660048673319"/>
    <n v="90961.21170491731"/>
    <n v="306"/>
    <n v="2342.3751184834127"/>
    <n v="560"/>
    <n v="1782.3751184834125"/>
    <n v="891.18755924170625"/>
    <n v="891.18755924170625"/>
    <n v="119615.73431851881"/>
    <n v="30473.746847699851"/>
    <n v="89141.98747081896"/>
    <n v="44570.99373540948"/>
    <n v="44570.99373540948"/>
    <n v="90"/>
    <n v="0"/>
    <n v="90"/>
    <n v="90"/>
    <n v="0"/>
    <n v="2342.3751184834127"/>
    <n v="560"/>
    <n v="1782.3751184834125"/>
    <n v="891.18755924170625"/>
    <n v="891.18755924170625"/>
    <n v="120836.30303605473"/>
    <n v="30784.703448186585"/>
    <n v="90051.599587868142"/>
    <n v="45025.799793934071"/>
    <n v="45025.799793934071"/>
    <n v="55.527964372630926"/>
    <n v="51.033708202970423"/>
    <n v="54.972684728904618"/>
    <n v="50.523371120940723"/>
    <n v="0"/>
    <n v="0"/>
    <n v="0"/>
    <n v="0"/>
    <n v="0"/>
    <n v="0"/>
    <n v="0"/>
    <e v="#REF!"/>
    <e v="#REF!"/>
    <e v="#REF!"/>
    <x v="9"/>
  </r>
  <r>
    <x v="39"/>
    <x v="39"/>
    <x v="3"/>
    <d v="2022-09-27T00:00:00"/>
    <n v="2543.3477251184836"/>
    <n v="370"/>
    <n v="2173.3477251184836"/>
    <n v="45.002940704694943"/>
    <n v="48.652412186251524"/>
    <n v="122389.69740725367"/>
    <n v="16651.088060737129"/>
    <n v="105738.60934651655"/>
    <n v="307"/>
    <n v="2543.3477251184836"/>
    <n v="370"/>
    <n v="2173.3477251184836"/>
    <n v="1086.6738625592418"/>
    <n v="1086.6738625592418"/>
    <n v="119941.90345910859"/>
    <n v="16318.066299522387"/>
    <n v="103623.83715958621"/>
    <n v="51811.918579793106"/>
    <n v="51811.918579793106"/>
    <n v="90"/>
    <n v="0"/>
    <n v="90"/>
    <n v="90"/>
    <n v="0"/>
    <n v="2543.3477251184836"/>
    <n v="370"/>
    <n v="2173.3477251184836"/>
    <n v="1086.6738625592418"/>
    <n v="1086.6738625592418"/>
    <n v="121165.80043318114"/>
    <n v="16484.577180129756"/>
    <n v="104681.22325305139"/>
    <n v="52340.611626525693"/>
    <n v="52340.611626525693"/>
    <n v="45.002940704694943"/>
    <n v="48.652412186251524"/>
    <n v="44.552911297647988"/>
    <n v="48.165888064389016"/>
    <n v="0"/>
    <n v="0"/>
    <n v="0"/>
    <n v="0"/>
    <n v="0"/>
    <n v="0"/>
    <n v="0"/>
    <e v="#REF!"/>
    <e v="#REF!"/>
    <e v="#REF!"/>
    <x v="9"/>
  </r>
  <r>
    <x v="39"/>
    <x v="39"/>
    <x v="4"/>
    <d v="2022-09-28T00:00:00"/>
    <n v="2409.8549763033179"/>
    <n v="340"/>
    <n v="2069.8549763033179"/>
    <n v="55.584969848598561"/>
    <n v="49.669496432762585"/>
    <n v="121707.54411035705"/>
    <n v="18898.88974852351"/>
    <n v="102808.65436183354"/>
    <n v="308"/>
    <n v="2409.8549763033179"/>
    <n v="340"/>
    <n v="2069.8549763033179"/>
    <n v="1034.927488151659"/>
    <n v="1034.927488151659"/>
    <n v="119273.39322814991"/>
    <n v="18520.911953553041"/>
    <n v="100752.48127459687"/>
    <n v="50376.240637298433"/>
    <n v="50376.240637298433"/>
    <n v="90"/>
    <n v="0"/>
    <n v="90"/>
    <n v="90"/>
    <n v="0"/>
    <n v="2409.8549763033179"/>
    <n v="340"/>
    <n v="2069.8549763033179"/>
    <n v="1034.927488151659"/>
    <n v="1034.927488151659"/>
    <n v="120490.46866925347"/>
    <n v="18709.900851038274"/>
    <n v="101780.5678182152"/>
    <n v="50890.283909107602"/>
    <n v="50890.283909107602"/>
    <n v="55.584969848598561"/>
    <n v="49.669496432762585"/>
    <n v="55.029120150112568"/>
    <n v="49.172801468434962"/>
    <n v="0"/>
    <n v="0"/>
    <n v="0"/>
    <n v="0"/>
    <n v="0"/>
    <n v="0"/>
    <n v="0"/>
    <e v="#REF!"/>
    <e v="#REF!"/>
    <e v="#REF!"/>
    <x v="9"/>
  </r>
  <r>
    <x v="39"/>
    <x v="39"/>
    <x v="5"/>
    <d v="2022-09-29T00:00:00"/>
    <n v="2539.5618573868487"/>
    <n v="400"/>
    <n v="2139.5618573868487"/>
    <n v="58.306187188951455"/>
    <n v="49.864102732031277"/>
    <n v="130009.80713385406"/>
    <n v="23322.474875580581"/>
    <n v="106687.33225827348"/>
    <n v="309"/>
    <n v="2539.5618573868487"/>
    <n v="400"/>
    <n v="2139.5618573868487"/>
    <n v="1069.7809286934244"/>
    <n v="1069.7809286934244"/>
    <n v="127409.61099117697"/>
    <n v="22856.025378068971"/>
    <n v="104553.58561310801"/>
    <n v="52276.792806554004"/>
    <n v="52276.792806554004"/>
    <n v="90"/>
    <n v="0"/>
    <n v="90"/>
    <n v="90"/>
    <n v="0"/>
    <n v="2539.5618573868487"/>
    <n v="400"/>
    <n v="2139.5618573868487"/>
    <n v="1069.7809286934244"/>
    <n v="1069.7809286934244"/>
    <n v="128709.70906251553"/>
    <n v="23089.250126824776"/>
    <n v="105620.45893569075"/>
    <n v="52810.229467845376"/>
    <n v="52810.229467845376"/>
    <n v="58.306187188951455"/>
    <n v="49.864102732031277"/>
    <n v="57.723125317061942"/>
    <n v="49.365461704710967"/>
    <n v="0"/>
    <n v="0"/>
    <n v="0"/>
    <n v="0"/>
    <n v="0"/>
    <n v="0"/>
    <n v="0"/>
    <e v="#REF!"/>
    <e v="#REF!"/>
    <e v="#REF!"/>
    <x v="9"/>
  </r>
  <r>
    <x v="39"/>
    <x v="39"/>
    <x v="0"/>
    <d v="2022-09-30T00:00:00"/>
    <n v="3271.2750170794193"/>
    <n v="880"/>
    <n v="2391.2750170794193"/>
    <n v="60.13241549659822"/>
    <n v="51.269384709173984"/>
    <n v="175515.72443308777"/>
    <n v="52916.525637006431"/>
    <n v="122599.19879608134"/>
    <n v="310"/>
    <n v="3271.2750170794193"/>
    <n v="880"/>
    <n v="2391.2750170794193"/>
    <n v="1195.6375085397096"/>
    <n v="1195.6375085397096"/>
    <n v="172005.40994442601"/>
    <n v="51858.195124266298"/>
    <n v="120147.21482015972"/>
    <n v="60073.607410079858"/>
    <n v="60073.607410079858"/>
    <n v="90"/>
    <n v="0"/>
    <n v="90"/>
    <n v="90"/>
    <n v="0"/>
    <n v="3271.2750170794193"/>
    <n v="880"/>
    <n v="2391.2750170794193"/>
    <n v="1195.6375085397096"/>
    <n v="1195.6375085397096"/>
    <n v="173760.56718875689"/>
    <n v="52387.360380636368"/>
    <n v="121373.20680812052"/>
    <n v="60686.603404060261"/>
    <n v="60686.603404060261"/>
    <n v="60.13241549659822"/>
    <n v="51.269384709173984"/>
    <n v="59.531091341632234"/>
    <n v="50.756690862082245"/>
    <n v="0"/>
    <n v="0"/>
    <n v="0"/>
    <n v="0"/>
    <n v="0"/>
    <n v="0"/>
    <n v="0"/>
    <e v="#REF!"/>
    <e v="#REF!"/>
    <e v="#REF!"/>
    <x v="9"/>
  </r>
  <r>
    <x v="39"/>
    <x v="39"/>
    <x v="1"/>
    <d v="2022-10-01T00:00:00"/>
    <n v="2988.210900939368"/>
    <n v="780"/>
    <n v="2208.210900939368"/>
    <n v="59.525763042563852"/>
    <n v="51.402093561773718"/>
    <n v="159936.75850741385"/>
    <n v="46430.095173199807"/>
    <n v="113506.66333421403"/>
    <n v="311"/>
    <n v="2988.210900939368"/>
    <n v="780"/>
    <n v="2208.210900939368"/>
    <n v="1104.105450469684"/>
    <n v="1104.105450469684"/>
    <n v="156738.02333726556"/>
    <n v="45501.493269735809"/>
    <n v="111236.53006752975"/>
    <n v="55618.265033764874"/>
    <n v="55618.265033764874"/>
    <n v="90"/>
    <n v="0"/>
    <n v="90"/>
    <n v="90"/>
    <n v="0"/>
    <n v="2988.210900939368"/>
    <n v="780"/>
    <n v="2208.210900939368"/>
    <n v="1104.105450469684"/>
    <n v="1104.105450469684"/>
    <n v="158337.39092233969"/>
    <n v="45965.794221467811"/>
    <n v="112371.59670087189"/>
    <n v="56185.798350435944"/>
    <n v="56185.798350435944"/>
    <n v="59.525763042563852"/>
    <n v="51.402093561773718"/>
    <n v="58.930505412138217"/>
    <n v="50.888072626155981"/>
    <n v="0"/>
    <n v="0"/>
    <n v="0"/>
    <n v="0"/>
    <n v="0"/>
    <n v="0"/>
    <n v="0"/>
    <e v="#REF!"/>
    <e v="#REF!"/>
    <e v="#REF!"/>
    <x v="10"/>
  </r>
  <r>
    <x v="39"/>
    <x v="39"/>
    <x v="6"/>
    <d v="2022-10-02T00:00:00"/>
    <n v="300"/>
    <n v="0"/>
    <n v="300"/>
    <n v="0"/>
    <n v="58.590661413018111"/>
    <n v="17577.198423905433"/>
    <n v="0"/>
    <n v="17577.198423905433"/>
    <n v="312"/>
    <n v="180"/>
    <n v="0"/>
    <n v="180"/>
    <n v="180"/>
    <n v="0"/>
    <n v="10335.392673256394"/>
    <n v="0"/>
    <n v="10335.392673256394"/>
    <n v="10335.392673256394"/>
    <n v="0"/>
    <n v="90"/>
    <n v="0"/>
    <n v="90"/>
    <n v="90"/>
    <n v="0"/>
    <n v="180"/>
    <n v="0"/>
    <n v="180"/>
    <n v="180"/>
    <n v="0"/>
    <n v="10440.855863799827"/>
    <n v="0"/>
    <n v="10440.855863799827"/>
    <n v="10440.855863799827"/>
    <n v="0"/>
    <n v="0"/>
    <n v="58.590661413018111"/>
    <s v="-"/>
    <n v="58.004754798887923"/>
    <n v="0"/>
    <n v="0"/>
    <n v="0"/>
    <n v="0"/>
    <n v="0"/>
    <n v="0"/>
    <n v="0"/>
    <e v="#REF!"/>
    <e v="#REF!"/>
    <e v="#REF!"/>
    <x v="10"/>
  </r>
  <r>
    <x v="40"/>
    <x v="40"/>
    <x v="2"/>
    <d v="2022-10-03T00:00:00"/>
    <n v="2607.9392485055509"/>
    <n v="640"/>
    <n v="1967.9392485055509"/>
    <n v="57.060087977000336"/>
    <n v="51.096690102717389"/>
    <n v="137073.63822714289"/>
    <n v="36518.456305280211"/>
    <n v="100555.18192186268"/>
    <n v="314"/>
    <n v="2607.9392485055509"/>
    <n v="640"/>
    <n v="1967.9392485055509"/>
    <n v="983.96962425277547"/>
    <n v="983.96962425277547"/>
    <n v="134332.16546260001"/>
    <n v="35788.087179174603"/>
    <n v="98544.078283425421"/>
    <n v="49272.03914171271"/>
    <n v="49272.03914171271"/>
    <n v="90"/>
    <n v="0"/>
    <n v="90"/>
    <n v="90"/>
    <n v="0"/>
    <n v="2607.9392485055509"/>
    <n v="640"/>
    <n v="1967.9392485055509"/>
    <n v="983.96962425277547"/>
    <n v="983.96962425277547"/>
    <n v="135702.90184487146"/>
    <n v="36153.271742227407"/>
    <n v="99549.630102644049"/>
    <n v="49774.815051322024"/>
    <n v="49774.815051322024"/>
    <n v="57.060087977000336"/>
    <n v="51.096690102717389"/>
    <n v="56.489487097230324"/>
    <n v="50.585723201690215"/>
    <n v="0"/>
    <n v="0"/>
    <n v="0"/>
    <n v="0"/>
    <n v="0"/>
    <n v="0"/>
    <n v="0"/>
    <e v="#REF!"/>
    <e v="#REF!"/>
    <e v="#REF!"/>
    <x v="10"/>
  </r>
  <r>
    <x v="40"/>
    <x v="40"/>
    <x v="3"/>
    <d v="2022-10-04T00:00:00"/>
    <n v="2832.7165243381723"/>
    <n v="430"/>
    <n v="2402.7165243381723"/>
    <n v="45.169250449847709"/>
    <n v="48.711925952029581"/>
    <n v="136463.72711071343"/>
    <n v="19422.777693434517"/>
    <n v="117040.94941727893"/>
    <n v="315"/>
    <n v="2832.7165243381723"/>
    <n v="430"/>
    <n v="2402.7165243381723"/>
    <n v="1201.3582621690862"/>
    <n v="1201.3582621690862"/>
    <n v="133734.45256849917"/>
    <n v="19034.322139565826"/>
    <n v="114700.13042893335"/>
    <n v="57350.065214466675"/>
    <n v="57350.065214466675"/>
    <n v="90"/>
    <n v="0"/>
    <n v="90"/>
    <n v="90"/>
    <n v="0"/>
    <n v="2832.7165243381723"/>
    <n v="430"/>
    <n v="2402.7165243381723"/>
    <n v="1201.3582621690862"/>
    <n v="1201.3582621690862"/>
    <n v="135099.08983960631"/>
    <n v="19228.549916500171"/>
    <n v="115870.53992310613"/>
    <n v="57935.269961553066"/>
    <n v="57935.269961553066"/>
    <n v="45.169250449847709"/>
    <n v="48.711925952029581"/>
    <n v="44.717557945349235"/>
    <n v="48.224806692509283"/>
    <n v="0"/>
    <n v="0"/>
    <n v="0"/>
    <n v="0"/>
    <n v="0"/>
    <n v="0"/>
    <n v="0"/>
    <e v="#REF!"/>
    <e v="#REF!"/>
    <e v="#REF!"/>
    <x v="10"/>
  </r>
  <r>
    <x v="40"/>
    <x v="40"/>
    <x v="4"/>
    <d v="2022-10-05T00:00:00"/>
    <n v="2678.3014517506404"/>
    <n v="390"/>
    <n v="2288.3014517506404"/>
    <n v="57.118666343966147"/>
    <n v="49.730491486209125"/>
    <n v="136074.635738312"/>
    <n v="22276.279874146796"/>
    <n v="113798.35586416521"/>
    <n v="316"/>
    <n v="2678.3014517506404"/>
    <n v="390"/>
    <n v="2288.3014517506404"/>
    <n v="1144.1507258753202"/>
    <n v="1144.1507258753202"/>
    <n v="133353.14302354577"/>
    <n v="21830.754276663858"/>
    <n v="111522.3887468819"/>
    <n v="55761.194373440951"/>
    <n v="55761.194373440951"/>
    <n v="90"/>
    <n v="0"/>
    <n v="90"/>
    <n v="90"/>
    <n v="0"/>
    <n v="2678.3014517506404"/>
    <n v="390"/>
    <n v="2288.3014517506404"/>
    <n v="1144.1507258753202"/>
    <n v="1144.1507258753202"/>
    <n v="134713.88938092889"/>
    <n v="22053.517075405329"/>
    <n v="112660.37230552355"/>
    <n v="56330.186152761773"/>
    <n v="56330.186152761773"/>
    <n v="57.118666343966147"/>
    <n v="49.730491486209125"/>
    <n v="56.547479680526486"/>
    <n v="49.233186571347034"/>
    <n v="0"/>
    <n v="0"/>
    <n v="0"/>
    <n v="0"/>
    <n v="0"/>
    <n v="0"/>
    <n v="0"/>
    <e v="#REF!"/>
    <e v="#REF!"/>
    <e v="#REF!"/>
    <x v="10"/>
  </r>
  <r>
    <x v="40"/>
    <x v="40"/>
    <x v="5"/>
    <d v="2022-10-06T00:00:00"/>
    <n v="2546.4131592689296"/>
    <n v="430"/>
    <n v="2116.4131592689296"/>
    <n v="54.821085689078707"/>
    <n v="50.822167819446655"/>
    <n v="131133.77160195465"/>
    <n v="23573.066846303846"/>
    <n v="107560.70475565082"/>
    <n v="317"/>
    <n v="2546.4131592689296"/>
    <n v="430"/>
    <n v="2116.4131592689296"/>
    <n v="1058.2065796344648"/>
    <n v="1058.2065796344648"/>
    <n v="128511.09616991557"/>
    <n v="23101.605509377769"/>
    <n v="105409.49066053781"/>
    <n v="52704.745330268903"/>
    <n v="52704.745330268903"/>
    <n v="90"/>
    <n v="0"/>
    <n v="90"/>
    <n v="90"/>
    <n v="0"/>
    <n v="2546.4131592689296"/>
    <n v="430"/>
    <n v="2116.4131592689296"/>
    <n v="1058.2065796344648"/>
    <n v="1058.2065796344648"/>
    <n v="129822.43388593511"/>
    <n v="23337.336177840807"/>
    <n v="106485.09770809431"/>
    <n v="53242.548854047156"/>
    <n v="53242.548854047156"/>
    <n v="54.821085689078707"/>
    <n v="50.822167819446655"/>
    <n v="54.272874832187924"/>
    <n v="50.313946141252188"/>
    <n v="0"/>
    <n v="0"/>
    <n v="0"/>
    <n v="0"/>
    <n v="0"/>
    <n v="0"/>
    <n v="0"/>
    <e v="#REF!"/>
    <e v="#REF!"/>
    <e v="#REF!"/>
    <x v="10"/>
  </r>
  <r>
    <x v="40"/>
    <x v="40"/>
    <x v="0"/>
    <d v="2022-10-07T00:00:00"/>
    <n v="3317.9603133159267"/>
    <n v="960"/>
    <n v="2357.9603133159267"/>
    <n v="56.538155924127366"/>
    <n v="52.254345553667939"/>
    <n v="177490.30270100781"/>
    <n v="54276.629687162269"/>
    <n v="123213.67301384555"/>
    <n v="318"/>
    <n v="3317.9603133159267"/>
    <n v="960"/>
    <n v="2357.9603133159267"/>
    <n v="1178.9801566579633"/>
    <n v="1178.9801566579633"/>
    <n v="173940.49664698765"/>
    <n v="53191.097093419019"/>
    <n v="120749.39955356863"/>
    <n v="60374.699776784313"/>
    <n v="60374.699776784313"/>
    <n v="90"/>
    <n v="0"/>
    <n v="90"/>
    <n v="90"/>
    <n v="0"/>
    <n v="3317.9603133159267"/>
    <n v="960"/>
    <n v="2357.9603133159267"/>
    <n v="1178.9801566579633"/>
    <n v="1178.9801566579633"/>
    <n v="175715.39967399772"/>
    <n v="53733.863390290644"/>
    <n v="121981.53628370709"/>
    <n v="60990.768141853543"/>
    <n v="60990.768141853543"/>
    <n v="56.538155924127366"/>
    <n v="52.254345553667939"/>
    <n v="55.972774364886085"/>
    <n v="51.731802098131254"/>
    <n v="0"/>
    <n v="0"/>
    <n v="0"/>
    <n v="0"/>
    <n v="0"/>
    <n v="0"/>
    <n v="0"/>
    <e v="#REF!"/>
    <e v="#REF!"/>
    <e v="#REF!"/>
    <x v="10"/>
  </r>
  <r>
    <x v="40"/>
    <x v="40"/>
    <x v="1"/>
    <d v="2022-10-08T00:00:00"/>
    <n v="3023.9243864229766"/>
    <n v="850"/>
    <n v="2173.9243864229766"/>
    <n v="55.967764551110108"/>
    <n v="52.389594327165923"/>
    <n v="161463.61657107642"/>
    <n v="47572.599868443591"/>
    <n v="113891.01670263283"/>
    <n v="319"/>
    <n v="3023.9243864229766"/>
    <n v="850"/>
    <n v="2173.9243864229766"/>
    <n v="1086.9621932114883"/>
    <n v="1086.9621932114883"/>
    <n v="158234.34423965489"/>
    <n v="46621.147871074718"/>
    <n v="111613.19636858017"/>
    <n v="55806.598184290087"/>
    <n v="55806.598184290087"/>
    <n v="90"/>
    <n v="0"/>
    <n v="90"/>
    <n v="90"/>
    <n v="0"/>
    <n v="3023.9243864229766"/>
    <n v="850"/>
    <n v="2173.9243864229766"/>
    <n v="1086.9621932114883"/>
    <n v="1086.9621932114883"/>
    <n v="159848.98040536564"/>
    <n v="47096.873869759154"/>
    <n v="112752.10653560649"/>
    <n v="56376.053267803247"/>
    <n v="56376.053267803247"/>
    <n v="55.967764551110108"/>
    <n v="52.389594327165923"/>
    <n v="55.408086905599006"/>
    <n v="51.865698383894262"/>
    <n v="0"/>
    <n v="0"/>
    <n v="0"/>
    <n v="0"/>
    <n v="0"/>
    <n v="0"/>
    <n v="0"/>
    <e v="#REF!"/>
    <e v="#REF!"/>
    <e v="#REF!"/>
    <x v="10"/>
  </r>
  <r>
    <x v="40"/>
    <x v="40"/>
    <x v="6"/>
    <d v="2022-10-09T00:00:00"/>
    <n v="300"/>
    <n v="0"/>
    <n v="300"/>
    <n v="0"/>
    <n v="59.732064897944767"/>
    <n v="17919.61946938343"/>
    <n v="0"/>
    <n v="17919.61946938343"/>
    <n v="320"/>
    <n v="180"/>
    <n v="0"/>
    <n v="180"/>
    <n v="180"/>
    <n v="0"/>
    <n v="10536.736247997456"/>
    <n v="0"/>
    <n v="10536.736247997456"/>
    <n v="10536.736247997456"/>
    <n v="0"/>
    <n v="90"/>
    <n v="0"/>
    <n v="90"/>
    <n v="90"/>
    <n v="0"/>
    <n v="180"/>
    <n v="0"/>
    <n v="180"/>
    <n v="180"/>
    <n v="0"/>
    <n v="10644.253964813757"/>
    <n v="0"/>
    <n v="10644.253964813757"/>
    <n v="10644.253964813757"/>
    <n v="0"/>
    <n v="0"/>
    <n v="59.732064897944767"/>
    <s v="-"/>
    <n v="59.134744248965319"/>
    <n v="0"/>
    <n v="0"/>
    <n v="0"/>
    <n v="0"/>
    <n v="0"/>
    <n v="0"/>
    <n v="0"/>
    <e v="#REF!"/>
    <e v="#REF!"/>
    <e v="#REF!"/>
    <x v="10"/>
  </r>
  <r>
    <x v="41"/>
    <x v="41"/>
    <x v="2"/>
    <d v="2022-10-10T00:00:00"/>
    <n v="2643.8794778067886"/>
    <n v="700"/>
    <n v="1943.8794778067886"/>
    <n v="53.649468833836799"/>
    <n v="52.078345737111455"/>
    <n v="138788.65570018336"/>
    <n v="37554.62818368576"/>
    <n v="101234.0275164976"/>
    <n v="322"/>
    <n v="2643.8794778067886"/>
    <n v="700"/>
    <n v="1943.8794778067886"/>
    <n v="971.9397389033943"/>
    <n v="971.9397389033943"/>
    <n v="136012.88258617971"/>
    <n v="36803.535620012044"/>
    <n v="99209.34696616765"/>
    <n v="49604.673483083825"/>
    <n v="49604.673483083825"/>
    <n v="90"/>
    <n v="0"/>
    <n v="90"/>
    <n v="90"/>
    <n v="0"/>
    <n v="2643.8794778067886"/>
    <n v="700"/>
    <n v="1943.8794778067886"/>
    <n v="971.9397389033943"/>
    <n v="971.9397389033943"/>
    <n v="137400.76914318153"/>
    <n v="37179.081901848898"/>
    <n v="100221.68724133263"/>
    <n v="50110.843620666317"/>
    <n v="50110.843620666317"/>
    <n v="53.649468833836799"/>
    <n v="52.078345737111455"/>
    <n v="53.112974145498427"/>
    <n v="51.557562279740338"/>
    <n v="0"/>
    <n v="0"/>
    <n v="0"/>
    <n v="0"/>
    <n v="0"/>
    <n v="0"/>
    <n v="0"/>
    <e v="#REF!"/>
    <e v="#REF!"/>
    <e v="#REF!"/>
    <x v="10"/>
  </r>
  <r>
    <x v="41"/>
    <x v="41"/>
    <x v="3"/>
    <d v="2022-10-11T00:00:00"/>
    <n v="2829.4625587467362"/>
    <n v="460"/>
    <n v="2369.4625587467362"/>
    <n v="45.612674943754293"/>
    <n v="49.647939474498884"/>
    <n v="138620.7641778762"/>
    <n v="20981.830474126975"/>
    <n v="117638.93370374922"/>
    <n v="323"/>
    <n v="2829.4625587467362"/>
    <n v="460"/>
    <n v="2369.4625587467362"/>
    <n v="1184.7312793733681"/>
    <n v="1184.7312793733681"/>
    <n v="135848.34889431868"/>
    <n v="20562.193864644436"/>
    <n v="115286.15502967424"/>
    <n v="57643.077514837118"/>
    <n v="57643.077514837118"/>
    <n v="90"/>
    <n v="0"/>
    <n v="90"/>
    <n v="90"/>
    <n v="0"/>
    <n v="2829.4625587467362"/>
    <n v="460"/>
    <n v="2369.4625587467362"/>
    <n v="1184.7312793733681"/>
    <n v="1184.7312793733681"/>
    <n v="137234.55653609743"/>
    <n v="20772.012169385704"/>
    <n v="116462.54436671174"/>
    <n v="58231.272183355868"/>
    <n v="58231.272183355868"/>
    <n v="45.612674943754293"/>
    <n v="49.647939474498884"/>
    <n v="45.156548194316748"/>
    <n v="49.151460079753903"/>
    <n v="0"/>
    <n v="0"/>
    <n v="0"/>
    <n v="0"/>
    <n v="0"/>
    <n v="0"/>
    <n v="0"/>
    <e v="#REF!"/>
    <e v="#REF!"/>
    <e v="#REF!"/>
    <x v="10"/>
  </r>
  <r>
    <x v="41"/>
    <x v="41"/>
    <x v="4"/>
    <d v="2022-10-12T00:00:00"/>
    <n v="2674.4401044386423"/>
    <n v="420"/>
    <n v="2254.4401044386423"/>
    <n v="53.704545830460695"/>
    <n v="50.685999381780412"/>
    <n v="136824.45898863149"/>
    <n v="22555.90924879349"/>
    <n v="114268.549739838"/>
    <n v="324"/>
    <n v="2674.4401044386423"/>
    <n v="420"/>
    <n v="2254.4401044386423"/>
    <n v="1127.2200522193211"/>
    <n v="1127.2200522193211"/>
    <n v="134087.96980885885"/>
    <n v="22104.791063817622"/>
    <n v="111983.17874504124"/>
    <n v="55991.589372520619"/>
    <n v="55991.589372520619"/>
    <n v="90"/>
    <n v="0"/>
    <n v="90"/>
    <n v="90"/>
    <n v="0"/>
    <n v="2674.4401044386423"/>
    <n v="420"/>
    <n v="2254.4401044386423"/>
    <n v="1127.2200522193211"/>
    <n v="1127.2200522193211"/>
    <n v="135456.21439874516"/>
    <n v="22330.350156305554"/>
    <n v="113125.86424243961"/>
    <n v="56562.932121219805"/>
    <n v="56562.932121219805"/>
    <n v="53.704545830460695"/>
    <n v="50.685999381780412"/>
    <n v="53.167500372156084"/>
    <n v="50.179139387962607"/>
    <n v="0"/>
    <n v="0"/>
    <n v="0"/>
    <n v="0"/>
    <n v="0"/>
    <n v="0"/>
    <n v="0"/>
    <e v="#REF!"/>
    <e v="#REF!"/>
    <e v="#REF!"/>
    <x v="10"/>
  </r>
  <r>
    <x v="41"/>
    <x v="41"/>
    <x v="5"/>
    <d v="2022-10-13T00:00:00"/>
    <n v="2522.2361915269198"/>
    <n v="430"/>
    <n v="2092.2361915269198"/>
    <n v="54.812358592606721"/>
    <n v="51.306528998456827"/>
    <n v="130914.69102701767"/>
    <n v="23569.31419482089"/>
    <n v="107345.37683219678"/>
    <n v="325"/>
    <n v="2522.2361915269198"/>
    <n v="430"/>
    <n v="2092.2361915269198"/>
    <n v="1046.1180957634599"/>
    <n v="1046.1180957634599"/>
    <n v="128296.39720647731"/>
    <n v="23097.927910924471"/>
    <n v="105198.46929555284"/>
    <n v="52599.234647776422"/>
    <n v="52599.234647776422"/>
    <n v="90"/>
    <n v="0"/>
    <n v="90"/>
    <n v="90"/>
    <n v="0"/>
    <n v="2522.2361915269198"/>
    <n v="430"/>
    <n v="2092.2361915269198"/>
    <n v="1046.1180957634599"/>
    <n v="1046.1180957634599"/>
    <n v="129605.54411674749"/>
    <n v="23333.621052872681"/>
    <n v="106271.92306387481"/>
    <n v="53135.961531937406"/>
    <n v="53135.961531937406"/>
    <n v="54.812358592606721"/>
    <n v="51.306528998456827"/>
    <n v="54.26423500668065"/>
    <n v="50.79346370847226"/>
    <n v="0"/>
    <n v="0"/>
    <n v="0"/>
    <n v="0"/>
    <n v="0"/>
    <n v="0"/>
    <n v="0"/>
    <e v="#REF!"/>
    <e v="#REF!"/>
    <e v="#REF!"/>
    <x v="10"/>
  </r>
  <r>
    <x v="41"/>
    <x v="41"/>
    <x v="0"/>
    <d v="2022-10-14T00:00:00"/>
    <n v="3284.9818270079436"/>
    <n v="950"/>
    <n v="2334.9818270079436"/>
    <n v="56.529155483240515"/>
    <n v="52.752228490866763"/>
    <n v="176878.19256942306"/>
    <n v="53702.697709078493"/>
    <n v="123175.49486034457"/>
    <n v="326"/>
    <n v="3284.9818270079436"/>
    <n v="950"/>
    <n v="2334.9818270079436"/>
    <n v="1167.4909135039718"/>
    <n v="1167.4909135039718"/>
    <n v="173340.6287180346"/>
    <n v="52628.643754896919"/>
    <n v="120711.98496313767"/>
    <n v="60355.992481568836"/>
    <n v="60355.992481568836"/>
    <n v="90"/>
    <n v="0"/>
    <n v="90"/>
    <n v="90"/>
    <n v="0"/>
    <n v="3284.9818270079436"/>
    <n v="950"/>
    <n v="2334.9818270079436"/>
    <n v="1167.4909135039718"/>
    <n v="1167.4909135039718"/>
    <n v="175109.41064372883"/>
    <n v="53165.67073198771"/>
    <n v="121943.73991174113"/>
    <n v="60971.869955870563"/>
    <n v="60971.869955870563"/>
    <n v="56.529155483240515"/>
    <n v="52.752228490866763"/>
    <n v="55.963863928408117"/>
    <n v="52.2247062059581"/>
    <n v="0"/>
    <n v="0"/>
    <n v="0"/>
    <n v="0"/>
    <n v="0"/>
    <n v="0"/>
    <n v="0"/>
    <e v="#REF!"/>
    <e v="#REF!"/>
    <e v="#REF!"/>
    <x v="10"/>
  </r>
  <r>
    <x v="41"/>
    <x v="41"/>
    <x v="1"/>
    <d v="2022-10-15T00:00:00"/>
    <n v="3001.5920873786408"/>
    <n v="840"/>
    <n v="2161.5920873786408"/>
    <n v="55.958854912156049"/>
    <n v="52.888754201693729"/>
    <n v="161329.3507199061"/>
    <n v="47005.438126211084"/>
    <n v="114323.91259369501"/>
    <n v="327"/>
    <n v="3001.5920873786408"/>
    <n v="840"/>
    <n v="2161.5920873786408"/>
    <n v="1080.7960436893204"/>
    <n v="1080.7960436893204"/>
    <n v="158102.76370550797"/>
    <n v="46065.329363686862"/>
    <n v="112037.43434182111"/>
    <n v="56018.717170910553"/>
    <n v="56018.717170910553"/>
    <n v="90"/>
    <n v="0"/>
    <n v="90"/>
    <n v="90"/>
    <n v="0"/>
    <n v="3001.5920873786408"/>
    <n v="840"/>
    <n v="2161.5920873786408"/>
    <n v="1080.7960436893204"/>
    <n v="1080.7960436893204"/>
    <n v="159716.05721270703"/>
    <n v="46535.383744948973"/>
    <n v="113180.67346775807"/>
    <n v="56590.336733879034"/>
    <n v="56590.336733879034"/>
    <n v="55.958854912156049"/>
    <n v="52.888754201693729"/>
    <n v="55.399266363034492"/>
    <n v="52.359866659676797"/>
    <n v="0"/>
    <n v="0"/>
    <n v="0"/>
    <n v="0"/>
    <n v="0"/>
    <n v="0"/>
    <n v="0"/>
    <e v="#REF!"/>
    <e v="#REF!"/>
    <e v="#REF!"/>
    <x v="10"/>
  </r>
  <r>
    <x v="41"/>
    <x v="41"/>
    <x v="6"/>
    <d v="2022-10-16T00:00:00"/>
    <n v="300"/>
    <n v="0"/>
    <n v="300"/>
    <n v="0"/>
    <n v="60.314391669648586"/>
    <n v="18094.317500894576"/>
    <n v="0"/>
    <n v="18094.317500894576"/>
    <n v="328"/>
    <n v="180"/>
    <n v="0"/>
    <n v="180"/>
    <n v="180"/>
    <n v="0"/>
    <n v="10639.458690526011"/>
    <n v="0"/>
    <n v="10639.458690526011"/>
    <n v="10639.458690526011"/>
    <n v="0"/>
    <n v="90"/>
    <n v="0"/>
    <n v="90"/>
    <n v="90"/>
    <n v="0"/>
    <n v="180"/>
    <n v="0"/>
    <n v="180"/>
    <n v="180"/>
    <n v="0"/>
    <n v="10748.024595531379"/>
    <n v="0"/>
    <n v="10748.024595531379"/>
    <n v="10748.024595531379"/>
    <n v="0"/>
    <n v="0"/>
    <n v="60.314391669648586"/>
    <s v="-"/>
    <n v="59.711247752952104"/>
    <n v="0"/>
    <n v="0"/>
    <n v="0"/>
    <n v="0"/>
    <n v="0"/>
    <n v="0"/>
    <n v="0"/>
    <e v="#REF!"/>
    <e v="#REF!"/>
    <e v="#REF!"/>
    <x v="10"/>
  </r>
  <r>
    <x v="42"/>
    <x v="42"/>
    <x v="2"/>
    <d v="2022-10-17T00:00:00"/>
    <n v="2620.4057678729037"/>
    <n v="690"/>
    <n v="1930.4057678729037"/>
    <n v="53.640928249784167"/>
    <n v="52.574566990216283"/>
    <n v="138502.48785368496"/>
    <n v="37012.240492351077"/>
    <n v="101490.24736133388"/>
    <n v="330"/>
    <n v="2620.4057678729037"/>
    <n v="690"/>
    <n v="1930.4057678729037"/>
    <n v="965.20288393645183"/>
    <n v="965.20288393645183"/>
    <n v="135732.43809661124"/>
    <n v="36271.995682504057"/>
    <n v="99460.442414107194"/>
    <n v="49730.221207053597"/>
    <n v="49730.221207053597"/>
    <n v="90"/>
    <n v="0"/>
    <n v="90"/>
    <n v="90"/>
    <n v="0"/>
    <n v="2620.4057678729037"/>
    <n v="690"/>
    <n v="1930.4057678729037"/>
    <n v="965.20288393645183"/>
    <n v="965.20288393645183"/>
    <n v="137117.46297514811"/>
    <n v="36642.118087427567"/>
    <n v="100475.34488772054"/>
    <n v="50237.672443860269"/>
    <n v="50237.672443860269"/>
    <n v="53.640928249784167"/>
    <n v="52.574566990216283"/>
    <n v="53.104518967286332"/>
    <n v="52.048821320314119"/>
    <n v="0"/>
    <n v="0"/>
    <n v="0"/>
    <n v="0"/>
    <n v="0"/>
    <n v="0"/>
    <n v="0"/>
    <e v="#REF!"/>
    <e v="#REF!"/>
    <e v="#REF!"/>
    <x v="10"/>
  </r>
  <r>
    <x v="42"/>
    <x v="42"/>
    <x v="3"/>
    <d v="2022-10-18T00:00:00"/>
    <n v="2806.5411429832307"/>
    <n v="460"/>
    <n v="2346.5411429832307"/>
    <n v="46.328291526911876"/>
    <n v="50.121214297842947"/>
    <n v="138922.5055885473"/>
    <n v="21311.014102379464"/>
    <n v="117611.49148616783"/>
    <n v="331"/>
    <n v="2806.5411429832307"/>
    <n v="460"/>
    <n v="2346.5411429832307"/>
    <n v="1173.2705714916153"/>
    <n v="1173.2705714916153"/>
    <n v="136144.05547677632"/>
    <n v="20884.793820331874"/>
    <n v="115259.26165644446"/>
    <n v="57629.630828222231"/>
    <n v="57629.630828222231"/>
    <n v="90"/>
    <n v="0"/>
    <n v="90"/>
    <n v="90"/>
    <n v="0"/>
    <n v="2806.5411429832307"/>
    <n v="460"/>
    <n v="2346.5411429832307"/>
    <n v="1173.2705714916153"/>
    <n v="1173.2705714916153"/>
    <n v="137533.28053266183"/>
    <n v="21097.903961355671"/>
    <n v="116435.37657130614"/>
    <n v="58217.688285653072"/>
    <n v="58217.688285653072"/>
    <n v="46.328291526911876"/>
    <n v="50.121214297842947"/>
    <n v="45.865008611642764"/>
    <n v="49.620002154864515"/>
    <n v="0"/>
    <n v="0"/>
    <n v="0"/>
    <n v="0"/>
    <n v="0"/>
    <n v="0"/>
    <n v="0"/>
    <e v="#REF!"/>
    <e v="#REF!"/>
    <e v="#REF!"/>
    <x v="10"/>
  </r>
  <r>
    <x v="42"/>
    <x v="42"/>
    <x v="4"/>
    <d v="2022-10-19T00:00:00"/>
    <n v="2650.9479832303618"/>
    <n v="420"/>
    <n v="2230.9479832303618"/>
    <n v="53.695996478572539"/>
    <n v="51.169074940547318"/>
    <n v="136707.86306337776"/>
    <n v="22552.318521000467"/>
    <n v="114155.54454237729"/>
    <n v="332"/>
    <n v="2650.9479832303618"/>
    <n v="420"/>
    <n v="2230.9479832303618"/>
    <n v="1115.4739916151809"/>
    <n v="1115.4739916151809"/>
    <n v="133973.7058021102"/>
    <n v="22101.272150580458"/>
    <n v="111872.43365152975"/>
    <n v="55936.216825764874"/>
    <n v="55936.216825764874"/>
    <n v="90"/>
    <n v="0"/>
    <n v="90"/>
    <n v="90"/>
    <n v="0"/>
    <n v="2650.9479832303618"/>
    <n v="420"/>
    <n v="2230.9479832303618"/>
    <n v="1115.4739916151809"/>
    <n v="1115.4739916151809"/>
    <n v="135340.78443274397"/>
    <n v="22326.795335790463"/>
    <n v="113013.98909695352"/>
    <n v="56506.99454847676"/>
    <n v="56506.99454847676"/>
    <n v="53.695996478572539"/>
    <n v="51.169074940547318"/>
    <n v="53.159036513786816"/>
    <n v="50.657384191141844"/>
    <n v="0"/>
    <n v="0"/>
    <n v="0"/>
    <n v="0"/>
    <n v="0"/>
    <n v="0"/>
    <n v="0"/>
    <e v="#REF!"/>
    <e v="#REF!"/>
    <e v="#REF!"/>
    <x v="10"/>
  </r>
  <r>
    <x v="42"/>
    <x v="42"/>
    <x v="5"/>
    <d v="2022-10-20T00:00:00"/>
    <n v="2257.990263691684"/>
    <n v="400"/>
    <n v="1857.9902636916838"/>
    <n v="54.131825375552843"/>
    <n v="52.079106191516651"/>
    <n v="118415.20239582437"/>
    <n v="21652.730150221138"/>
    <n v="96762.472245603232"/>
    <n v="333"/>
    <n v="2257.990263691684"/>
    <n v="400"/>
    <n v="1857.9902636916838"/>
    <n v="928.99513184584191"/>
    <n v="928.99513184584191"/>
    <n v="116046.89834790787"/>
    <n v="21219.675547216713"/>
    <n v="94827.222800691161"/>
    <n v="47413.61140034558"/>
    <n v="47413.61140034558"/>
    <n v="90"/>
    <n v="0"/>
    <n v="90"/>
    <n v="90"/>
    <n v="0"/>
    <n v="2257.990263691684"/>
    <n v="400"/>
    <n v="1857.9902636916838"/>
    <n v="928.99513184584191"/>
    <n v="928.99513184584191"/>
    <n v="117231.05037186612"/>
    <n v="21436.202848718927"/>
    <n v="95794.847523147197"/>
    <n v="47897.423761573598"/>
    <n v="47897.423761573598"/>
    <n v="54.131825375552843"/>
    <n v="52.079106191516651"/>
    <n v="53.590507121797316"/>
    <n v="51.558315129601489"/>
    <n v="0"/>
    <n v="0"/>
    <n v="0"/>
    <n v="0"/>
    <n v="0"/>
    <n v="0"/>
    <n v="0"/>
    <e v="#REF!"/>
    <e v="#REF!"/>
    <e v="#REF!"/>
    <x v="10"/>
  </r>
  <r>
    <x v="42"/>
    <x v="42"/>
    <x v="0"/>
    <d v="2022-10-21T00:00:00"/>
    <n v="2959.6600405679515"/>
    <n v="890"/>
    <n v="2069.6600405679515"/>
    <n v="55.827307049308359"/>
    <n v="53.545890171587651"/>
    <n v="160508.09249865962"/>
    <n v="49686.303273884441"/>
    <n v="110821.78922477517"/>
    <n v="334"/>
    <n v="2959.6600405679515"/>
    <n v="890"/>
    <n v="2069.6600405679515"/>
    <n v="1034.8300202839757"/>
    <n v="1034.8300202839757"/>
    <n v="157297.93064868642"/>
    <n v="48692.57720840675"/>
    <n v="108605.35344027966"/>
    <n v="54302.676720139832"/>
    <n v="54302.676720139832"/>
    <n v="90"/>
    <n v="0"/>
    <n v="90"/>
    <n v="90"/>
    <n v="0"/>
    <n v="2959.6600405679515"/>
    <n v="890"/>
    <n v="2069.6600405679515"/>
    <n v="1034.8300202839757"/>
    <n v="1034.8300202839757"/>
    <n v="158903.01157367302"/>
    <n v="49189.440241145596"/>
    <n v="109713.57133252743"/>
    <n v="54856.785666263713"/>
    <n v="54856.785666263713"/>
    <n v="55.827307049308359"/>
    <n v="53.545890171587651"/>
    <n v="55.269033978815273"/>
    <n v="53.010431269871781"/>
    <n v="0"/>
    <n v="0"/>
    <n v="0"/>
    <n v="0"/>
    <n v="0"/>
    <n v="0"/>
    <n v="0"/>
    <e v="#REF!"/>
    <e v="#REF!"/>
    <e v="#REF!"/>
    <x v="10"/>
  </r>
  <r>
    <x v="42"/>
    <x v="42"/>
    <x v="1"/>
    <d v="2022-10-22T00:00:00"/>
    <n v="2695.0279918864098"/>
    <n v="790"/>
    <n v="1905.0279918864096"/>
    <n v="55.264087152952975"/>
    <n v="53.68440701174714"/>
    <n v="145928.9269360342"/>
    <n v="43658.628850832851"/>
    <n v="102270.29808520134"/>
    <n v="335"/>
    <n v="2695.0279918864098"/>
    <n v="790"/>
    <n v="1905.0279918864096"/>
    <n v="952.5139959432048"/>
    <n v="952.5139959432048"/>
    <n v="143010.3483973135"/>
    <n v="42785.456273816191"/>
    <n v="100224.89212349731"/>
    <n v="50112.446061748655"/>
    <n v="50112.446061748655"/>
    <n v="90"/>
    <n v="0"/>
    <n v="90"/>
    <n v="90"/>
    <n v="0"/>
    <n v="2695.0279918864098"/>
    <n v="790"/>
    <n v="1905.0279918864096"/>
    <n v="952.5139959432048"/>
    <n v="952.5139959432048"/>
    <n v="144469.63766667387"/>
    <n v="43222.042562324525"/>
    <n v="101247.59510434933"/>
    <n v="50623.797552174663"/>
    <n v="50623.797552174663"/>
    <n v="55.264087152952975"/>
    <n v="53.68440701174714"/>
    <n v="54.711446281423449"/>
    <n v="53.147562941629666"/>
    <n v="0"/>
    <n v="0"/>
    <n v="0"/>
    <n v="0"/>
    <n v="0"/>
    <n v="0"/>
    <n v="0"/>
    <e v="#REF!"/>
    <e v="#REF!"/>
    <e v="#REF!"/>
    <x v="10"/>
  </r>
  <r>
    <x v="42"/>
    <x v="42"/>
    <x v="6"/>
    <d v="2022-10-23T00:00:00"/>
    <n v="300"/>
    <n v="0"/>
    <n v="300"/>
    <n v="0"/>
    <n v="61.276635691504936"/>
    <n v="18382.990707451481"/>
    <n v="0"/>
    <n v="18382.990707451481"/>
    <n v="336"/>
    <n v="180"/>
    <n v="0"/>
    <n v="180"/>
    <n v="180"/>
    <n v="0"/>
    <n v="10809.198535981472"/>
    <n v="0"/>
    <n v="10809.198535981472"/>
    <n v="10809.198535981472"/>
    <n v="0"/>
    <n v="90"/>
    <n v="0"/>
    <n v="90"/>
    <n v="90"/>
    <n v="0"/>
    <n v="180"/>
    <n v="0"/>
    <n v="180"/>
    <n v="180"/>
    <n v="0"/>
    <n v="10919.49648022618"/>
    <n v="0"/>
    <n v="10919.49648022618"/>
    <n v="10919.49648022618"/>
    <n v="0"/>
    <n v="0"/>
    <n v="61.276635691504936"/>
    <s v="-"/>
    <n v="60.66386933458989"/>
    <n v="0"/>
    <n v="0"/>
    <n v="0"/>
    <n v="0"/>
    <n v="0"/>
    <n v="0"/>
    <n v="0"/>
    <e v="#REF!"/>
    <e v="#REF!"/>
    <e v="#REF!"/>
    <x v="10"/>
  </r>
  <r>
    <x v="43"/>
    <x v="43"/>
    <x v="2"/>
    <d v="2022-10-24T00:00:00"/>
    <n v="2355.1176470588234"/>
    <n v="650"/>
    <n v="1705.1176470588236"/>
    <n v="52.974939147966793"/>
    <n v="53.365637605686089"/>
    <n v="125428.40087417976"/>
    <n v="34433.710446178418"/>
    <n v="90994.69042800134"/>
    <n v="338"/>
    <n v="2355.1176470588234"/>
    <n v="650"/>
    <n v="1705.1176470588236"/>
    <n v="852.55882352941182"/>
    <n v="852.55882352941182"/>
    <n v="122919.83285669616"/>
    <n v="33745.036237254848"/>
    <n v="89174.796619441317"/>
    <n v="44587.398309720658"/>
    <n v="44587.398309720658"/>
    <n v="90"/>
    <n v="0"/>
    <n v="90"/>
    <n v="90"/>
    <n v="0"/>
    <n v="2355.1176470588234"/>
    <n v="650"/>
    <n v="1705.1176470588236"/>
    <n v="852.55882352941182"/>
    <n v="852.55882352941182"/>
    <n v="124174.11686543796"/>
    <n v="34089.373341716637"/>
    <n v="90084.743523721321"/>
    <n v="45042.371761860661"/>
    <n v="45042.371761860661"/>
    <n v="52.974939147966793"/>
    <n v="53.365637605686089"/>
    <n v="52.445189756487132"/>
    <n v="52.831981229629228"/>
    <n v="0"/>
    <n v="0"/>
    <n v="0"/>
    <n v="0"/>
    <n v="0"/>
    <n v="0"/>
    <n v="0"/>
    <e v="#REF!"/>
    <e v="#REF!"/>
    <e v="#REF!"/>
    <x v="10"/>
  </r>
  <r>
    <x v="43"/>
    <x v="43"/>
    <x v="3"/>
    <d v="2022-10-25T00:00:00"/>
    <n v="2511.4194726166329"/>
    <n v="430"/>
    <n v="2081.4194726166329"/>
    <n v="44.545804769156412"/>
    <n v="50.876504528217403"/>
    <n v="125050.04327443727"/>
    <n v="19154.696050737257"/>
    <n v="105895.34722370001"/>
    <n v="339"/>
    <n v="2511.4194726166329"/>
    <n v="430"/>
    <n v="2081.4194726166329"/>
    <n v="1040.7097363083165"/>
    <n v="1040.7097363083165"/>
    <n v="122549.04240894852"/>
    <n v="18771.602129722512"/>
    <n v="103777.44027922601"/>
    <n v="51888.720139613004"/>
    <n v="51888.720139613004"/>
    <n v="90"/>
    <n v="0"/>
    <n v="90"/>
    <n v="90"/>
    <n v="0"/>
    <n v="2511.4194726166329"/>
    <n v="430"/>
    <n v="2081.4194726166329"/>
    <n v="1040.7097363083165"/>
    <n v="1040.7097363083165"/>
    <n v="123799.54284169289"/>
    <n v="18963.149090229883"/>
    <n v="104836.39375146301"/>
    <n v="52418.196875731504"/>
    <n v="52418.196875731504"/>
    <n v="44.545804769156412"/>
    <n v="50.876504528217403"/>
    <n v="44.100346721464845"/>
    <n v="50.367739482935235"/>
    <n v="0"/>
    <n v="0"/>
    <n v="0"/>
    <n v="0"/>
    <n v="0"/>
    <n v="0"/>
    <n v="0"/>
    <e v="#REF!"/>
    <e v="#REF!"/>
    <e v="#REF!"/>
    <x v="10"/>
  </r>
  <r>
    <x v="43"/>
    <x v="43"/>
    <x v="4"/>
    <d v="2022-10-26T00:00:00"/>
    <n v="2365.5845841784994"/>
    <n v="390"/>
    <n v="1975.5845841784992"/>
    <n v="53.029323666733241"/>
    <n v="51.939647464999901"/>
    <n v="123292.60306954564"/>
    <n v="20681.436230025964"/>
    <n v="102611.16683951968"/>
    <n v="340"/>
    <n v="2365.5845841784994"/>
    <n v="390"/>
    <n v="1975.5845841784992"/>
    <n v="987.7922920892496"/>
    <n v="987.7922920892496"/>
    <n v="120826.75100815472"/>
    <n v="20267.807505425444"/>
    <n v="100558.94350272928"/>
    <n v="50279.471751364639"/>
    <n v="50279.471751364639"/>
    <n v="90"/>
    <n v="0"/>
    <n v="90"/>
    <n v="90"/>
    <n v="0"/>
    <n v="2365.5845841784994"/>
    <n v="390"/>
    <n v="1975.5845841784992"/>
    <n v="987.7922920892496"/>
    <n v="987.7922920892496"/>
    <n v="122059.67703885018"/>
    <n v="20474.621867725702"/>
    <n v="101585.05517112448"/>
    <n v="50792.527585562239"/>
    <n v="50792.527585562239"/>
    <n v="53.029323666733241"/>
    <n v="51.939647464999901"/>
    <n v="52.499030430065901"/>
    <n v="51.420250990349906"/>
    <n v="0"/>
    <n v="0"/>
    <n v="0"/>
    <n v="0"/>
    <n v="0"/>
    <n v="0"/>
    <n v="0"/>
    <e v="#REF!"/>
    <e v="#REF!"/>
    <e v="#REF!"/>
    <x v="10"/>
  </r>
  <r>
    <x v="43"/>
    <x v="43"/>
    <x v="5"/>
    <d v="2022-10-27T00:00:00"/>
    <n v="3539.0242504887228"/>
    <n v="676.61870021632217"/>
    <n v="2862.4055502724004"/>
    <n v="52.599403358035921"/>
    <n v="49.807873253972836"/>
    <n v="178160.07278170442"/>
    <n v="35589.73993226832"/>
    <n v="142570.33284943609"/>
    <n v="341"/>
    <n v="3539.0242504887228"/>
    <n v="676.61870021632217"/>
    <n v="2862.4055502724004"/>
    <n v="1431.2027751362002"/>
    <n v="1431.2027751362002"/>
    <n v="174596.87132607034"/>
    <n v="34877.945133622954"/>
    <n v="139718.92619244737"/>
    <n v="69859.463096223684"/>
    <n v="69859.463096223684"/>
    <n v="90"/>
    <n v="0"/>
    <n v="90"/>
    <n v="90"/>
    <n v="0"/>
    <n v="3539.0242504887228"/>
    <n v="676.61870021632217"/>
    <n v="2862.4055502724004"/>
    <n v="1431.2027751362002"/>
    <n v="1431.2027751362002"/>
    <n v="176378.47205388738"/>
    <n v="35233.842532945637"/>
    <n v="141144.62952094173"/>
    <n v="70572.314760470865"/>
    <n v="70572.314760470865"/>
    <n v="52.599403358035921"/>
    <n v="49.807873253972836"/>
    <n v="52.073409324455568"/>
    <n v="49.309794521433105"/>
    <n v="0"/>
    <n v="0"/>
    <n v="0"/>
    <n v="0"/>
    <n v="0"/>
    <n v="0"/>
    <n v="0"/>
    <e v="#REF!"/>
    <e v="#REF!"/>
    <e v="#REF!"/>
    <x v="10"/>
  </r>
  <r>
    <x v="43"/>
    <x v="43"/>
    <x v="0"/>
    <d v="2022-10-28T00:00:00"/>
    <n v="3274.7321019590145"/>
    <n v="958.49675612116494"/>
    <n v="2316.2353458378498"/>
    <n v="54.246887510386358"/>
    <n v="51.209789937551704"/>
    <n v="170609.39121466377"/>
    <n v="51995.465708375064"/>
    <n v="118613.92550628871"/>
    <n v="342"/>
    <n v="3274.7321019590145"/>
    <n v="958.49675612116494"/>
    <n v="2316.2353458378498"/>
    <n v="1158.1176729189249"/>
    <n v="1158.1176729189249"/>
    <n v="167197.2033903705"/>
    <n v="50955.556394207561"/>
    <n v="116241.64699616293"/>
    <n v="58120.823498081467"/>
    <n v="58120.823498081467"/>
    <n v="90"/>
    <n v="0"/>
    <n v="90"/>
    <n v="90"/>
    <n v="0"/>
    <n v="3274.7321019590145"/>
    <n v="958.49675612116494"/>
    <n v="2316.2353458378498"/>
    <n v="1158.1176729189249"/>
    <n v="1158.1176729189249"/>
    <n v="168903.29730251714"/>
    <n v="51475.511051291316"/>
    <n v="117427.78625122581"/>
    <n v="58713.893125612907"/>
    <n v="58713.893125612907"/>
    <n v="54.246887510386358"/>
    <n v="51.209789937551704"/>
    <n v="53.704418635282501"/>
    <n v="50.697692038176186"/>
    <n v="0"/>
    <n v="0"/>
    <n v="0"/>
    <n v="0"/>
    <n v="0"/>
    <n v="0"/>
    <n v="0"/>
    <e v="#REF!"/>
    <e v="#REF!"/>
    <e v="#REF!"/>
    <x v="10"/>
  </r>
  <r>
    <x v="43"/>
    <x v="43"/>
    <x v="1"/>
    <d v="2022-10-29T00:00:00"/>
    <n v="3296.43214168446"/>
    <n v="990.56824074302801"/>
    <n v="2305.8639009414319"/>
    <n v="53.699611849494872"/>
    <n v="51.342180986141436"/>
    <n v="171581.21176988271"/>
    <n v="53193.130038337593"/>
    <n v="118388.0817315451"/>
    <n v="343"/>
    <n v="3296.43214168446"/>
    <n v="990.56824074302801"/>
    <n v="2305.8639009414319"/>
    <n v="1152.9319504707159"/>
    <n v="1152.9319504707159"/>
    <n v="168149.58753448504"/>
    <n v="52129.267437570838"/>
    <n v="116020.32009691419"/>
    <n v="58010.160048457095"/>
    <n v="58010.160048457095"/>
    <n v="90"/>
    <n v="0"/>
    <n v="90"/>
    <n v="90"/>
    <n v="0"/>
    <n v="3296.43214168446"/>
    <n v="990.56824074302801"/>
    <n v="2305.8639009414319"/>
    <n v="1152.9319504707159"/>
    <n v="1152.9319504707159"/>
    <n v="169865.39965218387"/>
    <n v="52661.198737954219"/>
    <n v="117204.20091422964"/>
    <n v="58602.100457114822"/>
    <n v="58602.100457114822"/>
    <n v="53.699611849494872"/>
    <n v="51.342180986141436"/>
    <n v="53.162615730999924"/>
    <n v="50.828759176280016"/>
    <n v="0"/>
    <n v="0"/>
    <n v="0"/>
    <n v="0"/>
    <n v="0"/>
    <n v="0"/>
    <n v="0"/>
    <e v="#REF!"/>
    <e v="#REF!"/>
    <e v="#REF!"/>
    <x v="10"/>
  </r>
  <r>
    <x v="43"/>
    <x v="43"/>
    <x v="6"/>
    <d v="2022-10-30T00:00:00"/>
    <n v="300"/>
    <n v="0"/>
    <n v="300"/>
    <n v="0"/>
    <n v="58.635936811661061"/>
    <n v="17590.781043498318"/>
    <n v="0"/>
    <n v="17590.781043498318"/>
    <n v="344"/>
    <n v="180"/>
    <n v="0"/>
    <n v="180"/>
    <n v="180"/>
    <n v="0"/>
    <n v="10343.379253577012"/>
    <n v="0"/>
    <n v="10343.379253577012"/>
    <n v="10343.379253577012"/>
    <n v="0"/>
    <n v="90"/>
    <n v="0"/>
    <n v="90"/>
    <n v="90"/>
    <n v="0"/>
    <n v="180"/>
    <n v="0"/>
    <n v="180"/>
    <n v="180"/>
    <n v="0"/>
    <n v="10448.923939838001"/>
    <n v="0"/>
    <n v="10448.923939838001"/>
    <n v="10448.923939838001"/>
    <n v="0"/>
    <n v="0"/>
    <n v="58.635936811661061"/>
    <s v="-"/>
    <n v="58.04957744354445"/>
    <n v="0"/>
    <n v="0"/>
    <n v="0"/>
    <n v="0"/>
    <n v="0"/>
    <n v="0"/>
    <n v="0"/>
    <e v="#REF!"/>
    <e v="#REF!"/>
    <e v="#REF!"/>
    <x v="10"/>
  </r>
  <r>
    <x v="44"/>
    <x v="44"/>
    <x v="2"/>
    <d v="2022-10-31T00:00:00"/>
    <n v="2054.5245941932849"/>
    <n v="445.37562685207888"/>
    <n v="1609.1489673412061"/>
    <n v="51.475267511849644"/>
    <n v="51.037508890834047"/>
    <n v="105052.78426282172"/>
    <n v="22925.829535468485"/>
    <n v="82126.954727353237"/>
    <n v="346"/>
    <n v="2054.5245941932849"/>
    <n v="445.37562685207888"/>
    <n v="1609.1489673412061"/>
    <n v="804.57448367060306"/>
    <n v="804.57448367060306"/>
    <n v="102951.72857756529"/>
    <n v="22467.312944759116"/>
    <n v="80484.415632806165"/>
    <n v="40242.207816403083"/>
    <n v="40242.207816403083"/>
    <n v="90"/>
    <n v="0"/>
    <n v="90"/>
    <n v="90"/>
    <n v="0"/>
    <n v="2054.5245941932849"/>
    <n v="445.37562685207888"/>
    <n v="1609.1489673412061"/>
    <n v="804.57448367060306"/>
    <n v="804.57448367060306"/>
    <n v="104002.2564201935"/>
    <n v="22696.571240113801"/>
    <n v="81305.685180079701"/>
    <n v="40652.842590039851"/>
    <n v="40652.842590039851"/>
    <n v="51.475267511849644"/>
    <n v="51.037508890834047"/>
    <n v="50.96051483673115"/>
    <n v="50.527133801925707"/>
    <n v="0"/>
    <n v="0"/>
    <n v="0"/>
    <n v="0"/>
    <n v="0"/>
    <n v="0"/>
    <n v="0"/>
    <e v="#REF!"/>
    <e v="#REF!"/>
    <e v="#REF!"/>
    <x v="10"/>
  </r>
  <r>
    <x v="44"/>
    <x v="44"/>
    <x v="3"/>
    <d v="2022-11-01T00:00:00"/>
    <n v="0"/>
    <n v="0"/>
    <n v="0"/>
    <n v="0"/>
    <n v="0"/>
    <n v="0"/>
    <n v="0"/>
    <n v="0"/>
    <n v="347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4"/>
    <x v="44"/>
    <x v="4"/>
    <d v="2022-11-02T00:00:00"/>
    <n v="1727.4552065403773"/>
    <n v="200.90869068217594"/>
    <n v="1526.5465158582012"/>
    <n v="51.528112455081903"/>
    <n v="49.674581973163356"/>
    <n v="86183.005644519566"/>
    <n v="10352.445606674428"/>
    <n v="75830.560037845135"/>
    <n v="348"/>
    <n v="1727.4552065403773"/>
    <n v="200.90869068217594"/>
    <n v="1526.5465158582012"/>
    <n v="763.27325792910062"/>
    <n v="763.27325792910062"/>
    <n v="84459.345531629166"/>
    <n v="10145.396694540939"/>
    <n v="74313.948837088232"/>
    <n v="37156.974418544116"/>
    <n v="37156.974418544116"/>
    <n v="90"/>
    <n v="0"/>
    <n v="90"/>
    <n v="90"/>
    <n v="0"/>
    <n v="1727.4552065403773"/>
    <n v="200.90869068217594"/>
    <n v="1526.5465158582012"/>
    <n v="763.27325792910062"/>
    <n v="763.27325792910062"/>
    <n v="85321.175588074359"/>
    <n v="10248.921150607683"/>
    <n v="75072.254437466676"/>
    <n v="37536.127218733338"/>
    <n v="37536.127218733338"/>
    <n v="51.528112455081903"/>
    <n v="49.674581973163356"/>
    <n v="51.012831330531078"/>
    <n v="49.17783615343172"/>
    <n v="0"/>
    <n v="0"/>
    <n v="0"/>
    <n v="0"/>
    <n v="0"/>
    <n v="0"/>
    <n v="0"/>
    <e v="#REF!"/>
    <e v="#REF!"/>
    <e v="#REF!"/>
    <x v="11"/>
  </r>
  <r>
    <x v="44"/>
    <x v="44"/>
    <x v="5"/>
    <d v="2022-11-03T00:00:00"/>
    <n v="2429.5294449670746"/>
    <n v="430"/>
    <n v="1999.5294449670746"/>
    <n v="58.71918975261395"/>
    <n v="50.804172014881999"/>
    <n v="126833.68946455278"/>
    <n v="25249.251593623998"/>
    <n v="101584.43787092878"/>
    <n v="349"/>
    <n v="2429.5294449670746"/>
    <n v="430"/>
    <n v="1999.5294449670746"/>
    <n v="999.7647224835373"/>
    <n v="999.7647224835373"/>
    <n v="124297.01567526172"/>
    <n v="24744.266561751516"/>
    <n v="99552.749113510203"/>
    <n v="49776.374556755101"/>
    <n v="49776.374556755101"/>
    <n v="90"/>
    <n v="0"/>
    <n v="90"/>
    <n v="90"/>
    <n v="0"/>
    <n v="2429.5294449670746"/>
    <n v="430"/>
    <n v="1999.5294449670746"/>
    <n v="999.7647224835373"/>
    <n v="999.7647224835373"/>
    <n v="125565.35256990726"/>
    <n v="24996.759077687759"/>
    <n v="100568.5934922195"/>
    <n v="50284.296746109751"/>
    <n v="50284.296746109751"/>
    <n v="58.71918975261395"/>
    <n v="50.804172014881999"/>
    <n v="58.13199785508781"/>
    <n v="50.296130294733182"/>
    <n v="0"/>
    <n v="0"/>
    <n v="0"/>
    <n v="0"/>
    <n v="0"/>
    <n v="0"/>
    <n v="0"/>
    <e v="#REF!"/>
    <e v="#REF!"/>
    <e v="#REF!"/>
    <x v="11"/>
  </r>
  <r>
    <x v="44"/>
    <x v="44"/>
    <x v="0"/>
    <d v="2022-11-04T00:00:00"/>
    <n v="3194.7682031984946"/>
    <n v="960"/>
    <n v="2234.7682031984946"/>
    <n v="60.558353856773131"/>
    <n v="52.235039723445396"/>
    <n v="174869.22556926828"/>
    <n v="58136.019702502206"/>
    <n v="116733.20586676606"/>
    <n v="350"/>
    <n v="3194.7682031984946"/>
    <n v="960"/>
    <n v="2234.7682031984946"/>
    <n v="1117.3841015992473"/>
    <n v="1117.3841015992473"/>
    <n v="171371.84105788288"/>
    <n v="56973.299308452159"/>
    <n v="114398.54174943073"/>
    <n v="57199.270874715367"/>
    <n v="57199.270874715367"/>
    <n v="90"/>
    <n v="0"/>
    <n v="90"/>
    <n v="90"/>
    <n v="0"/>
    <n v="3194.7682031984946"/>
    <n v="960"/>
    <n v="2234.7682031984946"/>
    <n v="1117.3841015992473"/>
    <n v="1117.3841015992473"/>
    <n v="173120.53331357558"/>
    <n v="57554.659505477182"/>
    <n v="115565.8738080984"/>
    <n v="57782.936904049202"/>
    <n v="57782.936904049202"/>
    <n v="60.558353856773131"/>
    <n v="52.235039723445396"/>
    <n v="59.952770318205395"/>
    <n v="51.712689326210949"/>
    <n v="0"/>
    <n v="0"/>
    <n v="0"/>
    <n v="0"/>
    <n v="0"/>
    <n v="0"/>
    <n v="0"/>
    <e v="#REF!"/>
    <e v="#REF!"/>
    <e v="#REF!"/>
    <x v="11"/>
  </r>
  <r>
    <x v="44"/>
    <x v="44"/>
    <x v="1"/>
    <d v="2022-11-05T00:00:00"/>
    <n v="2908.3391345249297"/>
    <n v="850"/>
    <n v="2058.3391345249297"/>
    <n v="59.947404276981658"/>
    <n v="52.370164783692395"/>
    <n v="158750.85329122777"/>
    <n v="50955.293635434406"/>
    <n v="107795.55965579336"/>
    <n v="351"/>
    <n v="2908.3391345249297"/>
    <n v="850"/>
    <n v="2058.3391345249297"/>
    <n v="1029.1695672624649"/>
    <n v="1029.1695672624649"/>
    <n v="155575.83622540321"/>
    <n v="49936.18776272572"/>
    <n v="105639.64846267749"/>
    <n v="52819.824231338745"/>
    <n v="52819.824231338745"/>
    <n v="90"/>
    <n v="0"/>
    <n v="90"/>
    <n v="90"/>
    <n v="0"/>
    <n v="2908.3391345249297"/>
    <n v="850"/>
    <n v="2058.3391345249297"/>
    <n v="1029.1695672624649"/>
    <n v="1029.1695672624649"/>
    <n v="157163.34475831548"/>
    <n v="50445.740699080059"/>
    <n v="106717.60405923543"/>
    <n v="53358.802029617713"/>
    <n v="53358.802029617713"/>
    <n v="59.947404276981658"/>
    <n v="52.370164783692395"/>
    <n v="59.347930234211837"/>
    <n v="51.846463135855473"/>
    <n v="0"/>
    <n v="0"/>
    <n v="0"/>
    <n v="0"/>
    <n v="0"/>
    <n v="0"/>
    <n v="0"/>
    <e v="#REF!"/>
    <e v="#REF!"/>
    <e v="#REF!"/>
    <x v="11"/>
  </r>
  <r>
    <x v="44"/>
    <x v="44"/>
    <x v="6"/>
    <d v="2022-11-06T00:00:00"/>
    <n v="300"/>
    <n v="0"/>
    <n v="300"/>
    <n v="0"/>
    <n v="59.762810975153187"/>
    <n v="17928.843292545957"/>
    <n v="0"/>
    <n v="17928.843292545957"/>
    <n v="352"/>
    <n v="180"/>
    <n v="0"/>
    <n v="180"/>
    <n v="180"/>
    <n v="0"/>
    <n v="10542.159856017022"/>
    <n v="0"/>
    <n v="10542.159856017022"/>
    <n v="10542.159856017022"/>
    <n v="0"/>
    <n v="90"/>
    <n v="0"/>
    <n v="90"/>
    <n v="90"/>
    <n v="0"/>
    <n v="180"/>
    <n v="0"/>
    <n v="180"/>
    <n v="180"/>
    <n v="0"/>
    <n v="10649.732915772298"/>
    <n v="0"/>
    <n v="10649.732915772298"/>
    <n v="10649.732915772298"/>
    <n v="0"/>
    <n v="0"/>
    <n v="59.762810975153187"/>
    <s v="-"/>
    <n v="59.165182865401654"/>
    <n v="0"/>
    <n v="0"/>
    <n v="0"/>
    <n v="0"/>
    <n v="0"/>
    <n v="0"/>
    <n v="0"/>
    <e v="#REF!"/>
    <e v="#REF!"/>
    <e v="#REF!"/>
    <x v="11"/>
  </r>
  <r>
    <x v="45"/>
    <x v="45"/>
    <x v="2"/>
    <d v="2022-11-07T00:00:00"/>
    <n v="2534.8623142050801"/>
    <n v="700"/>
    <n v="1834.8623142050799"/>
    <n v="57.464263995935326"/>
    <n v="52.059200895479883"/>
    <n v="135746.45062790212"/>
    <n v="40224.984797154728"/>
    <n v="95521.465830747387"/>
    <n v="354"/>
    <n v="2534.8623142050801"/>
    <n v="700"/>
    <n v="1834.8623142050799"/>
    <n v="917.43115710253994"/>
    <n v="917.43115710253994"/>
    <n v="133031.52161534407"/>
    <n v="39420.485101211634"/>
    <n v="93611.036514132444"/>
    <n v="46805.518257066222"/>
    <n v="46805.518257066222"/>
    <n v="90"/>
    <n v="0"/>
    <n v="90"/>
    <n v="90"/>
    <n v="0"/>
    <n v="2534.8623142050801"/>
    <n v="700"/>
    <n v="1834.8623142050799"/>
    <n v="917.43115710253994"/>
    <n v="917.43115710253994"/>
    <n v="134388.98612162308"/>
    <n v="39822.734949183177"/>
    <n v="94566.251172439908"/>
    <n v="47283.125586219954"/>
    <n v="47283.125586219954"/>
    <n v="57.464263995935326"/>
    <n v="52.059200895479883"/>
    <n v="56.889621355975969"/>
    <n v="51.538608886525083"/>
    <n v="0"/>
    <n v="0"/>
    <n v="0"/>
    <n v="0"/>
    <n v="0"/>
    <n v="0"/>
    <n v="0"/>
    <e v="#REF!"/>
    <e v="#REF!"/>
    <e v="#REF!"/>
    <x v="11"/>
  </r>
  <r>
    <x v="45"/>
    <x v="45"/>
    <x v="3"/>
    <d v="2022-11-08T00:00:00"/>
    <n v="2706.5301411100659"/>
    <n v="460"/>
    <n v="2246.5301411100659"/>
    <n v="53.889487526497767"/>
    <n v="49.631017747001188"/>
    <n v="136286.74156479572"/>
    <n v="24789.164262188973"/>
    <n v="111497.57730260676"/>
    <n v="355"/>
    <n v="2706.5301411100659"/>
    <n v="460"/>
    <n v="2246.5301411100659"/>
    <n v="1123.2650705550329"/>
    <n v="1123.2650705550329"/>
    <n v="133561.00673349982"/>
    <n v="24293.380976945195"/>
    <n v="109267.62575655463"/>
    <n v="54633.812878277313"/>
    <n v="54633.812878277313"/>
    <n v="90"/>
    <n v="0"/>
    <n v="90"/>
    <n v="90"/>
    <n v="0"/>
    <n v="2706.5301411100659"/>
    <n v="460"/>
    <n v="2246.5301411100659"/>
    <n v="1123.2650705550329"/>
    <n v="1123.2650705550329"/>
    <n v="134923.87414914777"/>
    <n v="24541.272619567084"/>
    <n v="110382.60152958069"/>
    <n v="55191.300764790343"/>
    <n v="55191.300764790343"/>
    <n v="53.889487526497767"/>
    <n v="49.631017747001188"/>
    <n v="53.350592651232795"/>
    <n v="49.134707569531173"/>
    <n v="0"/>
    <n v="0"/>
    <n v="0"/>
    <n v="0"/>
    <n v="0"/>
    <n v="0"/>
    <n v="0"/>
    <e v="#REF!"/>
    <e v="#REF!"/>
    <e v="#REF!"/>
    <x v="11"/>
  </r>
  <r>
    <x v="45"/>
    <x v="45"/>
    <x v="4"/>
    <d v="2022-11-09T00:00:00"/>
    <n v="2548.9107619943557"/>
    <n v="420"/>
    <n v="2128.9107619943557"/>
    <n v="57.523257293406772"/>
    <n v="50.668128131691695"/>
    <n v="132027.69133289825"/>
    <n v="24159.768063230844"/>
    <n v="107867.92326966742"/>
    <n v="356"/>
    <n v="2548.9107619943557"/>
    <n v="420"/>
    <n v="2128.9107619943557"/>
    <n v="1064.4553809971778"/>
    <n v="1064.4553809971778"/>
    <n v="129387.13750624029"/>
    <n v="23676.572701966226"/>
    <n v="105710.56480427406"/>
    <n v="52855.282402137032"/>
    <n v="52855.282402137032"/>
    <n v="90"/>
    <n v="0"/>
    <n v="90"/>
    <n v="90"/>
    <n v="0"/>
    <n v="2548.9107619943557"/>
    <n v="420"/>
    <n v="2128.9107619943557"/>
    <n v="1064.4553809971778"/>
    <n v="1064.4553809971778"/>
    <n v="130707.41441956928"/>
    <n v="23918.170382598535"/>
    <n v="106789.24403697075"/>
    <n v="53394.622018485374"/>
    <n v="53394.622018485374"/>
    <n v="57.523257293406772"/>
    <n v="50.668128131691695"/>
    <n v="56.948024720472702"/>
    <n v="50.16144685037478"/>
    <n v="0"/>
    <n v="0"/>
    <n v="0"/>
    <n v="0"/>
    <n v="0"/>
    <n v="0"/>
    <n v="0"/>
    <e v="#REF!"/>
    <e v="#REF!"/>
    <e v="#REF!"/>
    <x v="11"/>
  </r>
  <r>
    <x v="45"/>
    <x v="45"/>
    <x v="5"/>
    <d v="2022-11-10T00:00:00"/>
    <n v="2847.9020233153788"/>
    <n v="384.13483072737273"/>
    <n v="2463.7671925880059"/>
    <n v="58.952392431775372"/>
    <n v="47.87039909771849"/>
    <n v="140587.18608080698"/>
    <n v="22645.66728775368"/>
    <n v="117941.5187930533"/>
    <n v="357"/>
    <n v="2847.9020233153788"/>
    <n v="384.13483072737273"/>
    <n v="2463.7671925880059"/>
    <n v="1231.8835962940029"/>
    <n v="1231.8835962940029"/>
    <n v="137775.44235919084"/>
    <n v="22192.753941998606"/>
    <n v="115582.68841719223"/>
    <n v="57791.344208596114"/>
    <n v="57791.344208596114"/>
    <n v="90"/>
    <n v="0"/>
    <n v="90"/>
    <n v="90"/>
    <n v="0"/>
    <n v="2847.9020233153788"/>
    <n v="384.13483072737273"/>
    <n v="2463.7671925880059"/>
    <n v="1231.8835962940029"/>
    <n v="1231.8835962940029"/>
    <n v="139181.31421999892"/>
    <n v="22419.210614876145"/>
    <n v="116762.10360512277"/>
    <n v="58381.051802561386"/>
    <n v="58381.051802561386"/>
    <n v="58.952392431775372"/>
    <n v="47.87039909771849"/>
    <n v="58.36286850745762"/>
    <n v="47.391695106741309"/>
    <n v="0"/>
    <n v="0"/>
    <n v="0"/>
    <n v="0"/>
    <n v="0"/>
    <n v="0"/>
    <n v="0"/>
    <e v="#REF!"/>
    <e v="#REF!"/>
    <e v="#REF!"/>
    <x v="11"/>
  </r>
  <r>
    <x v="45"/>
    <x v="45"/>
    <x v="0"/>
    <d v="2022-11-11T00:00:00"/>
    <n v="0"/>
    <n v="0"/>
    <n v="0"/>
    <n v="0"/>
    <n v="0"/>
    <n v="0"/>
    <n v="0"/>
    <n v="0"/>
    <n v="35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5"/>
    <x v="45"/>
    <x v="1"/>
    <d v="2022-11-12T00:00:00"/>
    <n v="3369.8906506785929"/>
    <n v="906.12345809058706"/>
    <n v="2463.7671925880059"/>
    <n v="60.185484797933377"/>
    <n v="49.344771046344171"/>
    <n v="176109.50764171116"/>
    <n v="54535.479611961848"/>
    <n v="121574.0280297493"/>
    <n v="359"/>
    <n v="3369.8906506785929"/>
    <n v="906.12345809058706"/>
    <n v="2463.7671925880059"/>
    <n v="1231.8835962940029"/>
    <n v="1231.8835962940029"/>
    <n v="172587.31748887693"/>
    <n v="53444.770019722608"/>
    <n v="119142.54746915431"/>
    <n v="59571.273734577153"/>
    <n v="59571.273734577153"/>
    <n v="90"/>
    <n v="0"/>
    <n v="90"/>
    <n v="90"/>
    <n v="0"/>
    <n v="3369.8906506785929"/>
    <n v="906.12345809058706"/>
    <n v="2463.7671925880059"/>
    <n v="1231.8835962940029"/>
    <n v="1231.8835962940029"/>
    <n v="174348.41256529404"/>
    <n v="53990.124815842231"/>
    <n v="120358.2877494518"/>
    <n v="60179.143874725902"/>
    <n v="60179.143874725902"/>
    <n v="60.185484797933377"/>
    <n v="49.344771046344171"/>
    <n v="59.583629949954044"/>
    <n v="48.851323335880728"/>
    <n v="0"/>
    <n v="0"/>
    <n v="0"/>
    <n v="0"/>
    <n v="0"/>
    <n v="0"/>
    <n v="0"/>
    <e v="#REF!"/>
    <e v="#REF!"/>
    <e v="#REF!"/>
    <x v="11"/>
  </r>
  <r>
    <x v="45"/>
    <x v="45"/>
    <x v="6"/>
    <d v="2022-11-13T00:00:00"/>
    <n v="300"/>
    <n v="0"/>
    <n v="300"/>
    <n v="0"/>
    <n v="56.344678405029114"/>
    <n v="16903.403521508735"/>
    <n v="0"/>
    <n v="16903.403521508735"/>
    <n v="360"/>
    <n v="180"/>
    <n v="0"/>
    <n v="180"/>
    <n v="180"/>
    <n v="0"/>
    <n v="9939.201270647136"/>
    <n v="0"/>
    <n v="9939.201270647136"/>
    <n v="9939.201270647136"/>
    <n v="0"/>
    <n v="90"/>
    <n v="0"/>
    <n v="90"/>
    <n v="90"/>
    <n v="0"/>
    <n v="180"/>
    <n v="0"/>
    <n v="180"/>
    <n v="180"/>
    <n v="0"/>
    <n v="10040.621691776189"/>
    <n v="0"/>
    <n v="10040.621691776189"/>
    <n v="10040.621691776189"/>
    <n v="0"/>
    <n v="0"/>
    <n v="56.344678405029114"/>
    <s v="-"/>
    <n v="55.781231620978822"/>
    <n v="0"/>
    <n v="0"/>
    <n v="0"/>
    <n v="0"/>
    <n v="0"/>
    <n v="0"/>
    <n v="0"/>
    <e v="#REF!"/>
    <e v="#REF!"/>
    <e v="#REF!"/>
    <x v="11"/>
  </r>
  <r>
    <x v="46"/>
    <x v="46"/>
    <x v="2"/>
    <d v="2022-11-14T00:00:00"/>
    <n v="2492.1028615734517"/>
    <n v="518.39636003586054"/>
    <n v="1973.7065015375913"/>
    <n v="57.692482749912514"/>
    <n v="49.05200057961693"/>
    <n v="126721.82551640195"/>
    <n v="29907.57305898632"/>
    <n v="96814.252457415627"/>
    <n v="362"/>
    <n v="2492.1028615734517"/>
    <n v="518.39636003586054"/>
    <n v="1973.7065015375913"/>
    <n v="986.85325076879565"/>
    <n v="986.85325076879565"/>
    <n v="124187.38900607391"/>
    <n v="29309.421597806591"/>
    <n v="94877.967408267315"/>
    <n v="47438.983704133658"/>
    <n v="47438.983704133658"/>
    <n v="90"/>
    <n v="0"/>
    <n v="90"/>
    <n v="90"/>
    <n v="0"/>
    <n v="2492.1028615734517"/>
    <n v="518.39636003586054"/>
    <n v="1973.7065015375913"/>
    <n v="986.85325076879565"/>
    <n v="986.85325076879565"/>
    <n v="125454.60726123792"/>
    <n v="29608.497328396457"/>
    <n v="95846.109932841471"/>
    <n v="47923.054966420736"/>
    <n v="47923.054966420736"/>
    <n v="57.692482749912514"/>
    <n v="49.05200057961693"/>
    <n v="57.115557922413387"/>
    <n v="48.561480573820759"/>
    <n v="0"/>
    <n v="0"/>
    <n v="0"/>
    <n v="0"/>
    <n v="0"/>
    <n v="0"/>
    <n v="0"/>
    <e v="#REF!"/>
    <e v="#REF!"/>
    <e v="#REF!"/>
    <x v="11"/>
  </r>
  <r>
    <x v="46"/>
    <x v="46"/>
    <x v="3"/>
    <d v="2022-11-15T00:00:00"/>
    <n v="2518.8710798773154"/>
    <n v="442.41946545677479"/>
    <n v="2076.4516144205409"/>
    <n v="50.668382822852188"/>
    <n v="46.765882028148653"/>
    <n v="119523.77008119533"/>
    <n v="22416.678844045495"/>
    <n v="97107.091237149827"/>
    <n v="363"/>
    <n v="2518.8710798773154"/>
    <n v="442.41946545677479"/>
    <n v="2076.4516144205409"/>
    <n v="1038.2258072102704"/>
    <n v="1038.2258072102704"/>
    <n v="117133.29467957141"/>
    <n v="21968.345267164583"/>
    <n v="95164.94941240683"/>
    <n v="47582.474706203415"/>
    <n v="47582.474706203415"/>
    <n v="90"/>
    <n v="0"/>
    <n v="90"/>
    <n v="90"/>
    <n v="0"/>
    <n v="2518.8710798773154"/>
    <n v="442.41946545677479"/>
    <n v="2076.4516144205409"/>
    <n v="1038.2258072102704"/>
    <n v="1038.2258072102704"/>
    <n v="118328.53238038336"/>
    <n v="22192.512055605039"/>
    <n v="96136.020324778321"/>
    <n v="48068.010162389161"/>
    <n v="48068.010162389161"/>
    <n v="50.668382822852188"/>
    <n v="46.765882028148653"/>
    <n v="50.161698994623663"/>
    <n v="46.29822320786716"/>
    <n v="0"/>
    <n v="0"/>
    <n v="0"/>
    <n v="0"/>
    <n v="0"/>
    <n v="0"/>
    <n v="0"/>
    <e v="#REF!"/>
    <e v="#REF!"/>
    <e v="#REF!"/>
    <x v="11"/>
  </r>
  <r>
    <x v="46"/>
    <x v="46"/>
    <x v="4"/>
    <d v="2022-11-16T00:00:00"/>
    <n v="2670.9327341824992"/>
    <n v="461.26877598420617"/>
    <n v="2209.6639581982931"/>
    <n v="57.751710338679196"/>
    <n v="47.742314671562248"/>
    <n v="132133.53274962967"/>
    <n v="26639.060738916978"/>
    <n v="105494.47201071268"/>
    <n v="364"/>
    <n v="2670.9327341824992"/>
    <n v="461.26877598420617"/>
    <n v="2209.6639581982931"/>
    <n v="1104.8319790991466"/>
    <n v="1104.8319790991466"/>
    <n v="129490.86209463705"/>
    <n v="26106.279524138637"/>
    <n v="103384.58257049842"/>
    <n v="51692.291285249208"/>
    <n v="51692.291285249208"/>
    <n v="90"/>
    <n v="0"/>
    <n v="90"/>
    <n v="90"/>
    <n v="0"/>
    <n v="2670.9327341824992"/>
    <n v="461.26877598420617"/>
    <n v="2209.6639581982931"/>
    <n v="1104.8319790991466"/>
    <n v="1104.8319790991466"/>
    <n v="130812.19742213335"/>
    <n v="26372.670131527808"/>
    <n v="104439.52729060555"/>
    <n v="52219.763645302774"/>
    <n v="52219.763645302774"/>
    <n v="57.751710338679196"/>
    <n v="47.742314671562248"/>
    <n v="57.174193235292407"/>
    <n v="47.264891524846625"/>
    <n v="0"/>
    <n v="0"/>
    <n v="0"/>
    <n v="0"/>
    <n v="0"/>
    <n v="0"/>
    <n v="0"/>
    <e v="#REF!"/>
    <e v="#REF!"/>
    <e v="#REF!"/>
    <x v="11"/>
  </r>
  <r>
    <x v="46"/>
    <x v="46"/>
    <x v="5"/>
    <d v="2022-11-17T00:00:00"/>
    <n v="2551.62"/>
    <n v="410"/>
    <n v="2141.62"/>
    <n v="52.272981683465183"/>
    <n v="48.949490286596003"/>
    <n v="126263.12987780044"/>
    <n v="21431.922490220724"/>
    <n v="104831.20738757972"/>
    <n v="365"/>
    <n v="2551.62"/>
    <n v="410"/>
    <n v="2141.62"/>
    <n v="1070.81"/>
    <n v="1070.81"/>
    <n v="123737.86728024443"/>
    <n v="21003.284040416311"/>
    <n v="102734.58323982812"/>
    <n v="51367.29161991406"/>
    <n v="51367.29161991406"/>
    <n v="90"/>
    <n v="0"/>
    <n v="90"/>
    <n v="90"/>
    <n v="0"/>
    <n v="2551.62"/>
    <n v="410"/>
    <n v="2141.62"/>
    <n v="1070.81"/>
    <n v="1070.81"/>
    <n v="125000.49857902245"/>
    <n v="21217.603265318518"/>
    <n v="103782.89531370392"/>
    <n v="51891.44765685196"/>
    <n v="51891.44765685196"/>
    <n v="52.272981683465183"/>
    <n v="48.949490286596003"/>
    <n v="51.750251866630528"/>
    <n v="48.459995383730039"/>
    <n v="0"/>
    <n v="0"/>
    <n v="0"/>
    <n v="0"/>
    <n v="0"/>
    <n v="0"/>
    <n v="0"/>
    <e v="#REF!"/>
    <e v="#REF!"/>
    <e v="#REF!"/>
    <x v="11"/>
  </r>
  <r>
    <x v="46"/>
    <x v="46"/>
    <x v="0"/>
    <d v="2022-11-18T00:00:00"/>
    <n v="3320.497142857143"/>
    <n v="920"/>
    <n v="2400.497142857143"/>
    <n v="53.910241869353911"/>
    <n v="50.328041557637547"/>
    <n v="170409.74248451009"/>
    <n v="49597.422519805601"/>
    <n v="120812.31996470448"/>
    <n v="366"/>
    <n v="3320.497142857143"/>
    <n v="920"/>
    <n v="2400.497142857143"/>
    <n v="1200.2485714285715"/>
    <n v="1200.2485714285715"/>
    <n v="167001.54763481987"/>
    <n v="48605.474069409487"/>
    <n v="118396.07356541039"/>
    <n v="59198.036782705196"/>
    <n v="59198.036782705196"/>
    <n v="90"/>
    <n v="0"/>
    <n v="90"/>
    <n v="90"/>
    <n v="0"/>
    <n v="3320.497142857143"/>
    <n v="920"/>
    <n v="2400.497142857143"/>
    <n v="1200.2485714285715"/>
    <n v="1200.2485714285715"/>
    <n v="168705.64505966497"/>
    <n v="49101.448294607544"/>
    <n v="119604.19676505744"/>
    <n v="59802.098382528719"/>
    <n v="59802.098382528719"/>
    <n v="53.910241869353911"/>
    <n v="50.328041557637547"/>
    <n v="53.371139450660372"/>
    <n v="49.82476114206117"/>
    <n v="0"/>
    <n v="0"/>
    <n v="0"/>
    <n v="0"/>
    <n v="0"/>
    <n v="0"/>
    <n v="0"/>
    <e v="#REF!"/>
    <e v="#REF!"/>
    <e v="#REF!"/>
    <x v="11"/>
  </r>
  <r>
    <x v="46"/>
    <x v="46"/>
    <x v="1"/>
    <d v="2022-11-19T00:00:00"/>
    <n v="3022.2228571428573"/>
    <n v="810"/>
    <n v="2212.2228571428573"/>
    <n v="53.366362494851145"/>
    <n v="50.458226076051275"/>
    <n v="154851.59467715179"/>
    <n v="43226.753620829426"/>
    <n v="111624.84105632237"/>
    <n v="367"/>
    <n v="3022.2228571428573"/>
    <n v="810"/>
    <n v="2212.2228571428573"/>
    <n v="1106.1114285714286"/>
    <n v="1106.1114285714286"/>
    <n v="151754.56278360877"/>
    <n v="42362.218548412835"/>
    <n v="109392.34423519592"/>
    <n v="54696.172117597962"/>
    <n v="54696.172117597962"/>
    <n v="90"/>
    <n v="0"/>
    <n v="90"/>
    <n v="90"/>
    <n v="0"/>
    <n v="3022.2228571428573"/>
    <n v="810"/>
    <n v="2212.2228571428573"/>
    <n v="1106.1114285714286"/>
    <n v="1106.1114285714286"/>
    <n v="153303.07873038028"/>
    <n v="42794.48608462113"/>
    <n v="110508.59264575916"/>
    <n v="55254.296322879578"/>
    <n v="55254.296322879578"/>
    <n v="53.366362494851145"/>
    <n v="50.458226076051275"/>
    <n v="52.832698869902629"/>
    <n v="49.953643815290768"/>
    <n v="0"/>
    <n v="0"/>
    <n v="0"/>
    <n v="0"/>
    <n v="0"/>
    <n v="0"/>
    <n v="0"/>
    <e v="#REF!"/>
    <e v="#REF!"/>
    <e v="#REF!"/>
    <x v="11"/>
  </r>
  <r>
    <x v="46"/>
    <x v="46"/>
    <x v="6"/>
    <d v="2022-11-20T00:00:00"/>
    <n v="300"/>
    <n v="0"/>
    <n v="300"/>
    <n v="0"/>
    <n v="57.565969411301531"/>
    <n v="17269.79082339046"/>
    <n v="0"/>
    <n v="17269.79082339046"/>
    <n v="368"/>
    <n v="180"/>
    <n v="0"/>
    <n v="180"/>
    <n v="180"/>
    <n v="0"/>
    <n v="10154.637004153588"/>
    <n v="0"/>
    <n v="10154.637004153588"/>
    <n v="10154.637004153588"/>
    <n v="0"/>
    <n v="90"/>
    <n v="0"/>
    <n v="90"/>
    <n v="90"/>
    <n v="0"/>
    <n v="180"/>
    <n v="0"/>
    <n v="180"/>
    <n v="180"/>
    <n v="0"/>
    <n v="10258.255749093933"/>
    <n v="0"/>
    <n v="10258.255749093933"/>
    <n v="10258.255749093933"/>
    <n v="0"/>
    <n v="0"/>
    <n v="57.565969411301531"/>
    <s v="-"/>
    <n v="56.990309717188516"/>
    <n v="0"/>
    <n v="0"/>
    <n v="0"/>
    <n v="0"/>
    <n v="0"/>
    <n v="0"/>
    <n v="0"/>
    <e v="#REF!"/>
    <e v="#REF!"/>
    <e v="#REF!"/>
    <x v="11"/>
  </r>
  <r>
    <x v="47"/>
    <x v="47"/>
    <x v="2"/>
    <d v="2022-11-21T00:00:00"/>
    <n v="2646.88"/>
    <n v="670"/>
    <n v="1976.88"/>
    <n v="51.155822005865069"/>
    <n v="50.158631878224433"/>
    <n v="133431.99693135393"/>
    <n v="34274.400743929597"/>
    <n v="99157.596187424322"/>
    <n v="370"/>
    <n v="2646.88"/>
    <n v="670"/>
    <n v="1976.88"/>
    <n v="988.44"/>
    <n v="988.44"/>
    <n v="130763.35699272683"/>
    <n v="33588.912729051"/>
    <n v="97174.444263675832"/>
    <n v="48587.222131837916"/>
    <n v="48587.222131837916"/>
    <n v="90"/>
    <n v="0"/>
    <n v="90"/>
    <n v="90"/>
    <n v="0"/>
    <n v="2646.88"/>
    <n v="670"/>
    <n v="1976.88"/>
    <n v="988.44"/>
    <n v="988.44"/>
    <n v="132097.67696204036"/>
    <n v="33931.656736490302"/>
    <n v="98166.020225550077"/>
    <n v="49083.010112775039"/>
    <n v="49083.010112775039"/>
    <n v="51.155822005865069"/>
    <n v="50.158631878224433"/>
    <n v="50.644263785806423"/>
    <n v="49.657045559442189"/>
    <n v="0"/>
    <n v="0"/>
    <n v="0"/>
    <n v="0"/>
    <n v="0"/>
    <n v="0"/>
    <n v="0"/>
    <e v="#REF!"/>
    <e v="#REF!"/>
    <e v="#REF!"/>
    <x v="11"/>
  </r>
  <r>
    <x v="47"/>
    <x v="47"/>
    <x v="3"/>
    <d v="2022-11-22T00:00:00"/>
    <n v="2852.264285714286"/>
    <n v="440"/>
    <n v="2412.264285714286"/>
    <n v="50.660316804833464"/>
    <n v="47.819229747878069"/>
    <n v="137643.15948529914"/>
    <n v="22290.539394126725"/>
    <n v="115352.62009117243"/>
    <n v="371"/>
    <n v="2852.264285714286"/>
    <n v="440"/>
    <n v="2412.264285714286"/>
    <n v="1206.132142857143"/>
    <n v="1206.132142857143"/>
    <n v="134890.29629559317"/>
    <n v="21844.728606244189"/>
    <n v="113045.56768934897"/>
    <n v="56522.783844674486"/>
    <n v="56522.783844674486"/>
    <n v="90"/>
    <n v="0"/>
    <n v="90"/>
    <n v="90"/>
    <n v="0"/>
    <n v="2852.264285714286"/>
    <n v="440"/>
    <n v="2412.264285714286"/>
    <n v="1206.132142857143"/>
    <n v="1206.132142857143"/>
    <n v="136266.72789044617"/>
    <n v="22067.634000185459"/>
    <n v="114199.0938902607"/>
    <n v="57099.546945130351"/>
    <n v="57099.546945130351"/>
    <n v="50.660316804833464"/>
    <n v="47.819229747878069"/>
    <n v="50.153713636785135"/>
    <n v="47.341037450399291"/>
    <n v="0"/>
    <n v="0"/>
    <n v="0"/>
    <n v="0"/>
    <n v="0"/>
    <n v="0"/>
    <n v="0"/>
    <e v="#REF!"/>
    <e v="#REF!"/>
    <e v="#REF!"/>
    <x v="11"/>
  </r>
  <r>
    <x v="47"/>
    <x v="47"/>
    <x v="4"/>
    <d v="2022-11-23T00:00:00"/>
    <n v="2682.8257142857146"/>
    <n v="400"/>
    <n v="2282.8257142857146"/>
    <n v="51.208339003650011"/>
    <n v="48.818420539919195"/>
    <n v="131927.28134080145"/>
    <n v="20483.335601460003"/>
    <n v="111443.94573934143"/>
    <n v="372"/>
    <n v="2682.8257142857146"/>
    <n v="400"/>
    <n v="2282.8257142857146"/>
    <n v="1141.4128571428573"/>
    <n v="1141.4128571428573"/>
    <n v="129288.7357139854"/>
    <n v="20073.668889430803"/>
    <n v="109215.0668245546"/>
    <n v="54607.533412277298"/>
    <n v="54607.533412277298"/>
    <n v="90"/>
    <n v="0"/>
    <n v="90"/>
    <n v="90"/>
    <n v="0"/>
    <n v="2682.8257142857146"/>
    <n v="400"/>
    <n v="2282.8257142857146"/>
    <n v="1141.4128571428573"/>
    <n v="1141.4128571428573"/>
    <n v="130608.00852739342"/>
    <n v="20278.502245445401"/>
    <n v="110329.50628194802"/>
    <n v="55164.753140974011"/>
    <n v="55164.753140974011"/>
    <n v="51.208339003650011"/>
    <n v="48.818420539919195"/>
    <n v="50.696255613613502"/>
    <n v="48.330236334520002"/>
    <n v="0"/>
    <n v="0"/>
    <n v="0"/>
    <n v="0"/>
    <n v="0"/>
    <n v="0"/>
    <n v="0"/>
    <e v="#REF!"/>
    <e v="#REF!"/>
    <e v="#REF!"/>
    <x v="11"/>
  </r>
  <r>
    <x v="47"/>
    <x v="47"/>
    <x v="5"/>
    <d v="2022-11-24T00:00:00"/>
    <n v="3165.6961979913917"/>
    <n v="580"/>
    <n v="2585.6961979913917"/>
    <n v="51.523151615674365"/>
    <n v="48.60781194645002"/>
    <n v="155568.46247970749"/>
    <n v="29883.427937091132"/>
    <n v="125685.03454261637"/>
    <n v="373"/>
    <n v="3165.6961979913917"/>
    <n v="580"/>
    <n v="2585.6961979913917"/>
    <n v="1292.8480989956959"/>
    <n v="1292.8480989956959"/>
    <n v="152457.09323011336"/>
    <n v="29285.75937834931"/>
    <n v="123171.33385176404"/>
    <n v="61585.666925882018"/>
    <n v="61585.666925882018"/>
    <n v="90"/>
    <n v="0"/>
    <n v="90"/>
    <n v="90"/>
    <n v="0"/>
    <n v="3165.6961979913917"/>
    <n v="580"/>
    <n v="2585.6961979913917"/>
    <n v="1292.8480989956959"/>
    <n v="1292.8480989956959"/>
    <n v="154012.77785491041"/>
    <n v="29584.593657720219"/>
    <n v="124428.1841971902"/>
    <n v="62214.092098595102"/>
    <n v="62214.092098595102"/>
    <n v="51.523151615674365"/>
    <n v="48.60781194645002"/>
    <n v="51.007920099517619"/>
    <n v="48.121733826985519"/>
    <n v="0"/>
    <n v="0"/>
    <n v="0"/>
    <n v="0"/>
    <n v="0"/>
    <n v="0"/>
    <n v="0"/>
    <e v="#REF!"/>
    <e v="#REF!"/>
    <e v="#REF!"/>
    <x v="11"/>
  </r>
  <r>
    <x v="47"/>
    <x v="47"/>
    <x v="0"/>
    <d v="2022-11-25T00:00:00"/>
    <n v="4187.1675035868011"/>
    <n v="1300"/>
    <n v="2887.1675035868006"/>
    <n v="53.13692611399297"/>
    <n v="49.977483498677977"/>
    <n v="213371.37021661949"/>
    <n v="69078.003948190861"/>
    <n v="144293.36626842862"/>
    <n v="374"/>
    <n v="4187.1675035868011"/>
    <n v="1300"/>
    <n v="2887.1675035868006"/>
    <n v="1443.5837517934003"/>
    <n v="1443.5837517934003"/>
    <n v="209103.9428122871"/>
    <n v="67696.443869227049"/>
    <n v="141407.49894306005"/>
    <n v="70703.749471530027"/>
    <n v="70703.749471530027"/>
    <n v="90"/>
    <n v="0"/>
    <n v="90"/>
    <n v="90"/>
    <n v="0"/>
    <n v="4187.1675035868011"/>
    <n v="1300"/>
    <n v="2887.1675035868006"/>
    <n v="1443.5837517934003"/>
    <n v="1443.5837517934003"/>
    <n v="211237.65651445329"/>
    <n v="68387.223908708955"/>
    <n v="142850.43260574434"/>
    <n v="71425.21630287217"/>
    <n v="71425.21630287217"/>
    <n v="53.13692611399297"/>
    <n v="49.977483498677977"/>
    <n v="52.605556852853042"/>
    <n v="49.477708663691203"/>
    <n v="0"/>
    <n v="0"/>
    <n v="0"/>
    <n v="0"/>
    <n v="0"/>
    <n v="0"/>
    <n v="0"/>
    <e v="#REF!"/>
    <e v="#REF!"/>
    <e v="#REF!"/>
    <x v="11"/>
  </r>
  <r>
    <x v="47"/>
    <x v="47"/>
    <x v="1"/>
    <d v="2022-11-26T00:00:00"/>
    <n v="3805.2664992826403"/>
    <n v="1150"/>
    <n v="2655.2664992826403"/>
    <n v="52.6008484201122"/>
    <n v="50.106829454216552"/>
    <n v="193537.96131817892"/>
    <n v="60490.975683129029"/>
    <n v="133046.98563504987"/>
    <n v="375"/>
    <n v="3805.2664992826403"/>
    <n v="1150"/>
    <n v="2655.2664992826403"/>
    <n v="1327.6332496413202"/>
    <n v="1327.6332496413202"/>
    <n v="189667.20209181533"/>
    <n v="59281.156169466449"/>
    <n v="130386.04592234887"/>
    <n v="65193.022961174436"/>
    <n v="65193.022961174436"/>
    <n v="90"/>
    <n v="0"/>
    <n v="90"/>
    <n v="90"/>
    <n v="0"/>
    <n v="3805.2664992826403"/>
    <n v="1150"/>
    <n v="2655.2664992826403"/>
    <n v="1327.6332496413202"/>
    <n v="1327.6332496413202"/>
    <n v="191602.58170499711"/>
    <n v="59886.065926297735"/>
    <n v="131716.51577869937"/>
    <n v="65858.257889349683"/>
    <n v="65858.257889349683"/>
    <n v="52.6008484201122"/>
    <n v="50.106829454216552"/>
    <n v="52.074839935911072"/>
    <n v="49.60576115967438"/>
    <n v="0"/>
    <n v="0"/>
    <n v="0"/>
    <n v="0"/>
    <n v="0"/>
    <n v="0"/>
    <n v="0"/>
    <e v="#REF!"/>
    <e v="#REF!"/>
    <e v="#REF!"/>
    <x v="11"/>
  </r>
  <r>
    <x v="47"/>
    <x v="47"/>
    <x v="6"/>
    <d v="2022-11-27T00:00:00"/>
    <n v="300"/>
    <n v="0"/>
    <n v="300"/>
    <n v="0"/>
    <n v="57.115705853209981"/>
    <n v="17134.711755962995"/>
    <n v="0"/>
    <n v="17134.711755962995"/>
    <n v="376"/>
    <n v="180"/>
    <n v="0"/>
    <n v="180"/>
    <n v="180"/>
    <n v="0"/>
    <n v="10075.210512506241"/>
    <n v="0"/>
    <n v="10075.210512506241"/>
    <n v="10075.210512506241"/>
    <n v="0"/>
    <n v="90"/>
    <n v="0"/>
    <n v="90"/>
    <n v="90"/>
    <n v="0"/>
    <n v="180"/>
    <n v="0"/>
    <n v="180"/>
    <n v="180"/>
    <n v="0"/>
    <n v="10178.01878304202"/>
    <n v="0"/>
    <n v="10178.01878304202"/>
    <n v="10178.01878304202"/>
    <n v="0"/>
    <n v="0"/>
    <n v="57.115705853209981"/>
    <s v="-"/>
    <n v="56.544548794677887"/>
    <n v="0"/>
    <n v="0"/>
    <n v="0"/>
    <n v="0"/>
    <n v="0"/>
    <n v="0"/>
    <n v="0"/>
    <e v="#REF!"/>
    <e v="#REF!"/>
    <e v="#REF!"/>
    <x v="11"/>
  </r>
  <r>
    <x v="48"/>
    <x v="48"/>
    <x v="2"/>
    <d v="2022-11-28T00:00:00"/>
    <n v="3326.9852941176473"/>
    <n v="950"/>
    <n v="2376.9852941176473"/>
    <n v="50.422017041097085"/>
    <n v="49.809165044777536"/>
    <n v="166296.56901275722"/>
    <n v="47900.916189042233"/>
    <n v="118395.65282371498"/>
    <n v="378"/>
    <n v="3326.9852941176473"/>
    <n v="950"/>
    <n v="2376.9852941176473"/>
    <n v="1188.4926470588236"/>
    <n v="1188.4926470588236"/>
    <n v="162970.63763250207"/>
    <n v="46942.897865261388"/>
    <n v="116027.73976724068"/>
    <n v="58013.86988362034"/>
    <n v="58013.86988362034"/>
    <n v="90"/>
    <n v="0"/>
    <n v="90"/>
    <n v="90"/>
    <n v="0"/>
    <n v="3326.9852941176473"/>
    <n v="950"/>
    <n v="2376.9852941176473"/>
    <n v="1188.4926470588236"/>
    <n v="1188.4926470588236"/>
    <n v="164633.60332262964"/>
    <n v="47421.907027151807"/>
    <n v="117211.69629547783"/>
    <n v="58605.848147738914"/>
    <n v="58605.848147738914"/>
    <n v="50.422017041097085"/>
    <n v="49.809165044777536"/>
    <n v="49.917796870686111"/>
    <n v="49.311073394329767"/>
    <n v="0"/>
    <n v="0"/>
    <n v="0"/>
    <n v="0"/>
    <n v="0"/>
    <n v="0"/>
    <n v="0"/>
    <e v="#REF!"/>
    <e v="#REF!"/>
    <e v="#REF!"/>
    <x v="11"/>
  </r>
  <r>
    <x v="48"/>
    <x v="48"/>
    <x v="3"/>
    <d v="2022-11-29T00:00:00"/>
    <n v="3528.7625538020088"/>
    <n v="630"/>
    <n v="2898.7625538020088"/>
    <n v="50.031334048802002"/>
    <n v="47.484831801273309"/>
    <n v="169166.99274986313"/>
    <n v="31519.740450745259"/>
    <n v="137647.25229911786"/>
    <n v="379"/>
    <n v="3528.7625538020088"/>
    <n v="630"/>
    <n v="2898.7625538020088"/>
    <n v="1449.3812769010044"/>
    <n v="1449.3812769010044"/>
    <n v="165783.65289486584"/>
    <n v="30889.345641730353"/>
    <n v="134894.30725313548"/>
    <n v="67447.153626567742"/>
    <n v="67447.153626567742"/>
    <n v="90"/>
    <n v="0"/>
    <n v="90"/>
    <n v="90"/>
    <n v="0"/>
    <n v="3528.7625538020088"/>
    <n v="630"/>
    <n v="2898.7625538020088"/>
    <n v="1449.3812769010044"/>
    <n v="1449.3812769010044"/>
    <n v="167475.32282236448"/>
    <n v="31204.543046237806"/>
    <n v="136270.77977612667"/>
    <n v="68135.389888063335"/>
    <n v="68135.389888063335"/>
    <n v="50.031334048802002"/>
    <n v="47.484831801273309"/>
    <n v="49.531020708313982"/>
    <n v="47.009983483260569"/>
    <n v="0"/>
    <n v="0"/>
    <n v="0"/>
    <n v="0"/>
    <n v="0"/>
    <n v="0"/>
    <n v="0"/>
    <e v="#REF!"/>
    <e v="#REF!"/>
    <e v="#REF!"/>
    <x v="11"/>
  </r>
  <r>
    <x v="48"/>
    <x v="48"/>
    <x v="4"/>
    <d v="2022-11-30T00:00:00"/>
    <n v="3329.6219512195121"/>
    <n v="570"/>
    <n v="2759.6219512195121"/>
    <n v="50.473780708523954"/>
    <n v="48.477586464705482"/>
    <n v="162549.86675400182"/>
    <n v="28770.055003858655"/>
    <n v="133779.81175014316"/>
    <n v="380"/>
    <n v="3329.6219512195121"/>
    <n v="570"/>
    <n v="2759.6219512195121"/>
    <n v="1379.810975609756"/>
    <n v="1379.810975609756"/>
    <n v="159298.86941892176"/>
    <n v="28194.65390378148"/>
    <n v="131104.2155151403"/>
    <n v="65552.107757570149"/>
    <n v="65552.107757570149"/>
    <n v="90"/>
    <n v="0"/>
    <n v="90"/>
    <n v="90"/>
    <n v="0"/>
    <n v="3329.6219512195121"/>
    <n v="570"/>
    <n v="2759.6219512195121"/>
    <n v="1379.810975609756"/>
    <n v="1379.810975609756"/>
    <n v="160924.36808646179"/>
    <n v="28482.354453820069"/>
    <n v="132442.01363264173"/>
    <n v="66221.006816320863"/>
    <n v="66221.006816320863"/>
    <n v="50.473780708523954"/>
    <n v="48.477586464705482"/>
    <n v="49.969042901438719"/>
    <n v="47.992810600058426"/>
    <n v="0"/>
    <n v="0"/>
    <n v="0"/>
    <n v="0"/>
    <n v="0"/>
    <n v="0"/>
    <n v="0"/>
    <e v="#REF!"/>
    <e v="#REF!"/>
    <e v="#REF!"/>
    <x v="11"/>
  </r>
  <r>
    <x v="48"/>
    <x v="48"/>
    <x v="5"/>
    <d v="2022-12-01T00:00:00"/>
    <n v="2520.1678269049862"/>
    <n v="490"/>
    <n v="2030.167826904986"/>
    <n v="47.886451425728239"/>
    <n v="51.758987875688945"/>
    <n v="128543.79313699578"/>
    <n v="23464.361198606839"/>
    <n v="105079.43193838894"/>
    <n v="381"/>
    <n v="2520.1678269049862"/>
    <n v="490"/>
    <n v="2030.167826904986"/>
    <n v="1015.083913452493"/>
    <n v="1015.083913452493"/>
    <n v="125972.91727425586"/>
    <n v="22995.073974634703"/>
    <n v="102977.84329962116"/>
    <n v="51488.921649810582"/>
    <n v="51488.921649810582"/>
    <n v="90"/>
    <n v="0"/>
    <n v="90"/>
    <n v="90"/>
    <n v="0"/>
    <n v="2520.1678269049862"/>
    <n v="490"/>
    <n v="2030.167826904986"/>
    <n v="1015.083913452493"/>
    <n v="1015.083913452493"/>
    <n v="127258.35520562582"/>
    <n v="23229.717586620769"/>
    <n v="104028.63761900505"/>
    <n v="52014.318809502525"/>
    <n v="52014.318809502525"/>
    <n v="47.886451425728239"/>
    <n v="51.758987875688945"/>
    <n v="47.407586911470958"/>
    <n v="51.241397996932051"/>
    <n v="0"/>
    <n v="0"/>
    <n v="0"/>
    <n v="0"/>
    <n v="0"/>
    <n v="0"/>
    <n v="0"/>
    <e v="#REF!"/>
    <e v="#REF!"/>
    <e v="#REF!"/>
    <x v="12"/>
  </r>
  <r>
    <x v="48"/>
    <x v="48"/>
    <x v="0"/>
    <d v="2022-12-02T00:00:00"/>
    <n v="3369.0111006585139"/>
    <n v="1100"/>
    <n v="2269.0111006585139"/>
    <n v="49.386319576307443"/>
    <n v="53.216393733630454"/>
    <n v="175073.53965255985"/>
    <n v="54324.951533938191"/>
    <n v="120748.58811862167"/>
    <n v="382"/>
    <n v="3369.0111006585139"/>
    <n v="1100"/>
    <n v="2269.0111006585139"/>
    <n v="1134.5055503292569"/>
    <n v="1134.5055503292569"/>
    <n v="171572.06885950867"/>
    <n v="53238.452503259425"/>
    <n v="118333.61635624923"/>
    <n v="59166.808178124615"/>
    <n v="59166.808178124615"/>
    <n v="90"/>
    <n v="0"/>
    <n v="90"/>
    <n v="90"/>
    <n v="0"/>
    <n v="3369.0111006585139"/>
    <n v="1100"/>
    <n v="2269.0111006585139"/>
    <n v="1134.5055503292569"/>
    <n v="1134.5055503292569"/>
    <n v="173322.80425603426"/>
    <n v="53781.702018598808"/>
    <n v="119541.10223743545"/>
    <n v="59770.551118717725"/>
    <n v="59770.551118717725"/>
    <n v="49.386319576307443"/>
    <n v="53.216393733630454"/>
    <n v="48.892456380544374"/>
    <n v="52.684229796294147"/>
    <n v="0"/>
    <n v="0"/>
    <n v="0"/>
    <n v="0"/>
    <n v="0"/>
    <n v="0"/>
    <n v="0"/>
    <e v="#REF!"/>
    <e v="#REF!"/>
    <e v="#REF!"/>
    <x v="12"/>
  </r>
  <r>
    <x v="48"/>
    <x v="48"/>
    <x v="1"/>
    <d v="2022-12-03T00:00:00"/>
    <n v="3059.8786453433677"/>
    <n v="970"/>
    <n v="2089.8786453433677"/>
    <n v="48.888080286911389"/>
    <n v="53.354024943825578"/>
    <n v="158924.87525152249"/>
    <n v="47421.437878304045"/>
    <n v="111503.43737321845"/>
    <n v="383"/>
    <n v="3059.8786453433677"/>
    <n v="970"/>
    <n v="2089.8786453433677"/>
    <n v="1044.9393226716838"/>
    <n v="1044.9393226716838"/>
    <n v="155746.37774649204"/>
    <n v="46473.009120737966"/>
    <n v="109273.36862575408"/>
    <n v="54636.684312877042"/>
    <n v="54636.684312877042"/>
    <n v="90"/>
    <n v="0"/>
    <n v="90"/>
    <n v="90"/>
    <n v="0"/>
    <n v="3059.8786453433677"/>
    <n v="970"/>
    <n v="2089.8786453433677"/>
    <n v="1044.9393226716838"/>
    <n v="1044.9393226716838"/>
    <n v="157335.62649900728"/>
    <n v="46947.223499521002"/>
    <n v="110388.40299948626"/>
    <n v="55194.201499743132"/>
    <n v="55194.201499743132"/>
    <n v="48.888080286911389"/>
    <n v="53.354024943825578"/>
    <n v="48.399199484042271"/>
    <n v="52.820484694387325"/>
    <n v="0"/>
    <n v="0"/>
    <n v="0"/>
    <n v="0"/>
    <n v="0"/>
    <n v="0"/>
    <n v="0"/>
    <e v="#REF!"/>
    <e v="#REF!"/>
    <e v="#REF!"/>
    <x v="12"/>
  </r>
  <r>
    <x v="48"/>
    <x v="48"/>
    <x v="6"/>
    <d v="2022-12-04T00:00:00"/>
    <n v="300"/>
    <n v="0"/>
    <n v="300"/>
    <n v="0"/>
    <n v="60.920602059487152"/>
    <n v="18276.180617846145"/>
    <n v="0"/>
    <n v="18276.180617846145"/>
    <n v="384"/>
    <n v="180"/>
    <n v="0"/>
    <n v="180"/>
    <n v="180"/>
    <n v="0"/>
    <n v="10746.394203293534"/>
    <n v="0"/>
    <n v="10746.394203293534"/>
    <n v="10746.394203293534"/>
    <n v="0"/>
    <n v="90"/>
    <n v="0"/>
    <n v="90"/>
    <n v="90"/>
    <n v="0"/>
    <n v="180"/>
    <n v="0"/>
    <n v="180"/>
    <n v="180"/>
    <n v="0"/>
    <n v="10856.05128700061"/>
    <n v="0"/>
    <n v="10856.05128700061"/>
    <n v="10856.05128700061"/>
    <n v="0"/>
    <n v="0"/>
    <n v="60.920602059487152"/>
    <s v="-"/>
    <n v="60.311396038892276"/>
    <n v="0"/>
    <n v="0"/>
    <n v="0"/>
    <n v="0"/>
    <n v="0"/>
    <n v="0"/>
    <n v="0"/>
    <e v="#REF!"/>
    <e v="#REF!"/>
    <e v="#REF!"/>
    <x v="12"/>
  </r>
  <r>
    <x v="49"/>
    <x v="49"/>
    <x v="2"/>
    <d v="2022-12-05T00:00:00"/>
    <n v="2662.9775352775168"/>
    <n v="800"/>
    <n v="1862.9775352775166"/>
    <n v="46.863039121449795"/>
    <n v="53.037293641849239"/>
    <n v="136297.71788384204"/>
    <n v="37490.431297159834"/>
    <n v="98807.286586682196"/>
    <n v="386"/>
    <n v="2662.9775352775168"/>
    <n v="800"/>
    <n v="1862.9775352775166"/>
    <n v="931.4887676387583"/>
    <n v="931.4887676387583"/>
    <n v="133571.76352616519"/>
    <n v="36740.622671216639"/>
    <n v="96831.14085494855"/>
    <n v="48415.570427474275"/>
    <n v="48415.570427474275"/>
    <n v="90"/>
    <n v="0"/>
    <n v="90"/>
    <n v="90"/>
    <n v="0"/>
    <n v="2662.9775352775168"/>
    <n v="800"/>
    <n v="1862.9775352775166"/>
    <n v="931.4887676387583"/>
    <n v="931.4887676387583"/>
    <n v="134934.74070500361"/>
    <n v="37115.526984188233"/>
    <n v="97819.213720815373"/>
    <n v="48909.606860407686"/>
    <n v="48909.606860407686"/>
    <n v="46.863039121449795"/>
    <n v="53.037293641849239"/>
    <n v="46.394408730235291"/>
    <n v="52.506920705430744"/>
    <n v="0"/>
    <n v="0"/>
    <n v="0"/>
    <n v="0"/>
    <n v="0"/>
    <n v="0"/>
    <n v="0"/>
    <e v="#REF!"/>
    <e v="#REF!"/>
    <e v="#REF!"/>
    <x v="12"/>
  </r>
  <r>
    <x v="49"/>
    <x v="49"/>
    <x v="3"/>
    <d v="2022-12-06T00:00:00"/>
    <n v="2810.9532643461898"/>
    <n v="530"/>
    <n v="2280.9532643461898"/>
    <n v="48.614993156356263"/>
    <n v="50.564075241875123"/>
    <n v="141100.23885447026"/>
    <n v="25765.946372868821"/>
    <n v="115334.29248160143"/>
    <n v="387"/>
    <n v="2810.9532643461898"/>
    <n v="530"/>
    <n v="2280.9532643461898"/>
    <n v="1140.4766321730949"/>
    <n v="1140.4766321730949"/>
    <n v="138278.23407738082"/>
    <n v="25250.627445411443"/>
    <n v="113027.60663196939"/>
    <n v="56513.803315984696"/>
    <n v="56513.803315984696"/>
    <n v="90"/>
    <n v="0"/>
    <n v="90"/>
    <n v="90"/>
    <n v="0"/>
    <n v="2810.9532643461898"/>
    <n v="530"/>
    <n v="2280.9532643461898"/>
    <n v="1140.4766321730949"/>
    <n v="1140.4766321730949"/>
    <n v="139689.23646592555"/>
    <n v="25508.286909140134"/>
    <n v="114180.94955678542"/>
    <n v="57090.474778392709"/>
    <n v="57090.474778392709"/>
    <n v="48.614993156356263"/>
    <n v="50.564075241875123"/>
    <n v="48.128843224792703"/>
    <n v="50.058434489456374"/>
    <n v="0"/>
    <n v="0"/>
    <n v="0"/>
    <n v="0"/>
    <n v="0"/>
    <n v="0"/>
    <n v="0"/>
    <e v="#REF!"/>
    <e v="#REF!"/>
    <e v="#REF!"/>
    <x v="12"/>
  </r>
  <r>
    <x v="49"/>
    <x v="49"/>
    <x v="4"/>
    <d v="2022-12-07T00:00:00"/>
    <n v="2641.5316274694264"/>
    <n v="480"/>
    <n v="2161.5316274694264"/>
    <n v="46.91114911216512"/>
    <n v="51.620420801240293"/>
    <n v="134096.52375900082"/>
    <n v="22517.351573839256"/>
    <n v="111579.17218516156"/>
    <n v="388"/>
    <n v="2641.5316274694264"/>
    <n v="480"/>
    <n v="2161.5316274694264"/>
    <n v="1080.7658137347132"/>
    <n v="1080.7658137347132"/>
    <n v="131414.59328382081"/>
    <n v="22067.004542362472"/>
    <n v="109347.58874145833"/>
    <n v="54673.794370729163"/>
    <n v="54673.794370729163"/>
    <n v="90"/>
    <n v="0"/>
    <n v="90"/>
    <n v="90"/>
    <n v="0"/>
    <n v="2641.5316274694264"/>
    <n v="480"/>
    <n v="2161.5316274694264"/>
    <n v="1080.7658137347132"/>
    <n v="1080.7658137347132"/>
    <n v="132755.5585214108"/>
    <n v="22292.178058100864"/>
    <n v="110463.38046330994"/>
    <n v="55231.690231654968"/>
    <n v="55231.690231654968"/>
    <n v="46.91114911216512"/>
    <n v="51.620420801240293"/>
    <n v="46.442037621043468"/>
    <n v="51.104216593227882"/>
    <n v="0"/>
    <n v="0"/>
    <n v="0"/>
    <n v="0"/>
    <n v="0"/>
    <n v="0"/>
    <n v="0"/>
    <e v="#REF!"/>
    <e v="#REF!"/>
    <e v="#REF!"/>
    <x v="12"/>
  </r>
  <r>
    <x v="49"/>
    <x v="49"/>
    <x v="5"/>
    <d v="2022-12-08T00:00:00"/>
    <n v="2363.2934102060844"/>
    <n v="400"/>
    <n v="1963.2934102060844"/>
    <n v="51.759874952725461"/>
    <n v="50.784228819800759"/>
    <n v="120408.29176540294"/>
    <n v="20703.949981090183"/>
    <n v="99704.341784312754"/>
    <n v="389"/>
    <n v="2363.2934102060844"/>
    <n v="400"/>
    <n v="1963.2934102060844"/>
    <n v="981.64670510304222"/>
    <n v="981.64670510304222"/>
    <n v="118000.12593009487"/>
    <n v="20289.870981468379"/>
    <n v="97710.254948626491"/>
    <n v="48855.127474313245"/>
    <n v="48855.127474313245"/>
    <n v="90"/>
    <n v="0"/>
    <n v="90"/>
    <n v="90"/>
    <n v="0"/>
    <n v="2363.2934102060844"/>
    <n v="400"/>
    <n v="1963.2934102060844"/>
    <n v="981.64670510304222"/>
    <n v="981.64670510304222"/>
    <n v="119204.2088477489"/>
    <n v="20496.910481279283"/>
    <n v="98707.298366469622"/>
    <n v="49353.649183234811"/>
    <n v="49353.649183234811"/>
    <n v="51.759874952725461"/>
    <n v="50.784228819800759"/>
    <n v="51.242276203198209"/>
    <n v="50.276386531602753"/>
    <n v="0"/>
    <n v="0"/>
    <n v="0"/>
    <n v="0"/>
    <n v="0"/>
    <n v="0"/>
    <n v="0"/>
    <e v="#REF!"/>
    <e v="#REF!"/>
    <e v="#REF!"/>
    <x v="12"/>
  </r>
  <r>
    <x v="49"/>
    <x v="49"/>
    <x v="0"/>
    <d v="2022-12-09T00:00:00"/>
    <n v="3082.1435623159964"/>
    <n v="890"/>
    <n v="2192.1435623159964"/>
    <n v="53.381063944771839"/>
    <n v="52.213742056137768"/>
    <n v="161969.16542363734"/>
    <n v="47509.146910846939"/>
    <n v="114460.01851279041"/>
    <n v="390"/>
    <n v="3082.1435623159964"/>
    <n v="890"/>
    <n v="2192.1435623159964"/>
    <n v="1096.0717811579982"/>
    <n v="1096.0717811579982"/>
    <n v="158729.78211516459"/>
    <n v="46558.963972630001"/>
    <n v="112170.8181425346"/>
    <n v="56085.409071267299"/>
    <n v="56085.409071267299"/>
    <n v="90"/>
    <n v="0"/>
    <n v="90"/>
    <n v="90"/>
    <n v="0"/>
    <n v="3082.1435623159964"/>
    <n v="890"/>
    <n v="2192.1435623159964"/>
    <n v="1096.0717811579982"/>
    <n v="1096.0717811579982"/>
    <n v="160349.47376940097"/>
    <n v="47034.05544173847"/>
    <n v="113315.41832766251"/>
    <n v="56657.709163831256"/>
    <n v="56657.709163831256"/>
    <n v="53.381063944771839"/>
    <n v="52.213742056137768"/>
    <n v="52.847253305324124"/>
    <n v="51.691604635576397"/>
    <n v="0"/>
    <n v="0"/>
    <n v="0"/>
    <n v="0"/>
    <n v="0"/>
    <n v="0"/>
    <n v="0"/>
    <e v="#REF!"/>
    <e v="#REF!"/>
    <e v="#REF!"/>
    <x v="12"/>
  </r>
  <r>
    <x v="49"/>
    <x v="49"/>
    <x v="1"/>
    <d v="2022-12-10T00:00:00"/>
    <n v="2801.4723895976449"/>
    <n v="790"/>
    <n v="2011.4723895976449"/>
    <n v="52.842523239669234"/>
    <n v="52.348739205788938"/>
    <n v="147043.63690203088"/>
    <n v="41745.593359338694"/>
    <n v="105298.04354269219"/>
    <n v="391"/>
    <n v="2801.4723895976449"/>
    <n v="790"/>
    <n v="2011.4723895976449"/>
    <n v="1005.7361947988225"/>
    <n v="1005.7361947988225"/>
    <n v="144102.76416399027"/>
    <n v="40910.681492151918"/>
    <n v="103192.08267183835"/>
    <n v="51596.041335919173"/>
    <n v="51596.041335919173"/>
    <n v="90"/>
    <n v="0"/>
    <n v="90"/>
    <n v="90"/>
    <n v="0"/>
    <n v="2801.4723895976449"/>
    <n v="790"/>
    <n v="2011.4723895976449"/>
    <n v="1005.7361947988225"/>
    <n v="1005.7361947988225"/>
    <n v="145573.20053301056"/>
    <n v="41328.137425745306"/>
    <n v="104245.06310726526"/>
    <n v="52122.531553632631"/>
    <n v="52122.531553632631"/>
    <n v="52.842523239669234"/>
    <n v="52.348739205788938"/>
    <n v="52.314098007272541"/>
    <n v="51.825251813731043"/>
    <n v="0"/>
    <n v="0"/>
    <n v="0"/>
    <n v="0"/>
    <n v="0"/>
    <n v="0"/>
    <n v="0"/>
    <e v="#REF!"/>
    <e v="#REF!"/>
    <e v="#REF!"/>
    <x v="12"/>
  </r>
  <r>
    <x v="49"/>
    <x v="49"/>
    <x v="6"/>
    <d v="2022-12-11T00:00:00"/>
    <n v="300"/>
    <n v="0"/>
    <n v="300"/>
    <n v="0"/>
    <n v="59.790652303522258"/>
    <n v="17937.195691056677"/>
    <n v="0"/>
    <n v="17937.195691056677"/>
    <n v="392"/>
    <n v="180"/>
    <n v="0"/>
    <n v="180"/>
    <n v="180"/>
    <n v="0"/>
    <n v="10547.071066341327"/>
    <n v="0"/>
    <n v="10547.071066341327"/>
    <n v="10547.071066341327"/>
    <n v="0"/>
    <n v="90"/>
    <n v="0"/>
    <n v="90"/>
    <n v="90"/>
    <n v="0"/>
    <n v="180"/>
    <n v="0"/>
    <n v="180"/>
    <n v="180"/>
    <n v="0"/>
    <n v="10654.694240487666"/>
    <n v="0"/>
    <n v="10654.694240487666"/>
    <n v="10654.694240487666"/>
    <n v="0"/>
    <n v="0"/>
    <n v="59.790652303522258"/>
    <s v="-"/>
    <n v="59.192745780487037"/>
    <n v="0"/>
    <n v="0"/>
    <n v="0"/>
    <n v="0"/>
    <n v="0"/>
    <n v="0"/>
    <n v="0"/>
    <e v="#REF!"/>
    <e v="#REF!"/>
    <e v="#REF!"/>
    <x v="12"/>
  </r>
  <r>
    <x v="50"/>
    <x v="50"/>
    <x v="2"/>
    <d v="2022-12-12T00:00:00"/>
    <n v="2456.7117271835132"/>
    <n v="650"/>
    <n v="1806.7117271835134"/>
    <n v="50.65368121070864"/>
    <n v="52.038069678786385"/>
    <n v="126942.68353561679"/>
    <n v="32924.89278696062"/>
    <n v="94017.790748656174"/>
    <n v="394"/>
    <n v="2456.7117271835132"/>
    <n v="650"/>
    <n v="1806.7117271835134"/>
    <n v="903.3558635917567"/>
    <n v="903.3558635917567"/>
    <n v="124403.82986490446"/>
    <n v="32266.394931221406"/>
    <n v="92137.434933683049"/>
    <n v="46068.717466841525"/>
    <n v="46068.717466841525"/>
    <n v="90"/>
    <n v="0"/>
    <n v="90"/>
    <n v="90"/>
    <n v="0"/>
    <n v="2456.7117271835132"/>
    <n v="650"/>
    <n v="1806.7117271835134"/>
    <n v="903.3558635917567"/>
    <n v="903.3558635917567"/>
    <n v="125673.25670026062"/>
    <n v="32595.643859091015"/>
    <n v="93077.612841169612"/>
    <n v="46538.806420584806"/>
    <n v="46538.806420584806"/>
    <n v="50.65368121070864"/>
    <n v="52.038069678786385"/>
    <n v="50.147144398601561"/>
    <n v="51.517688981998525"/>
    <n v="0"/>
    <n v="0"/>
    <n v="0"/>
    <n v="0"/>
    <n v="0"/>
    <n v="0"/>
    <n v="0"/>
    <e v="#REF!"/>
    <e v="#REF!"/>
    <e v="#REF!"/>
    <x v="12"/>
  </r>
  <r>
    <x v="50"/>
    <x v="50"/>
    <x v="3"/>
    <d v="2022-12-13T00:00:00"/>
    <n v="2634.1883071638863"/>
    <n v="430"/>
    <n v="2204.1883071638863"/>
    <n v="54.271205103583995"/>
    <n v="49.612185070288312"/>
    <n v="132691.21641932134"/>
    <n v="23336.618194541119"/>
    <n v="109354.59822478023"/>
    <n v="395"/>
    <n v="2634.1883071638863"/>
    <n v="430"/>
    <n v="2204.1883071638863"/>
    <n v="1102.0941535819431"/>
    <n v="1102.0941535819431"/>
    <n v="130037.39209093493"/>
    <n v="22869.885830650295"/>
    <n v="107167.50626028463"/>
    <n v="53583.753130142315"/>
    <n v="53583.753130142315"/>
    <n v="90"/>
    <n v="0"/>
    <n v="90"/>
    <n v="90"/>
    <n v="0"/>
    <n v="2634.1883071638863"/>
    <n v="430"/>
    <n v="2204.1883071638863"/>
    <n v="1102.0941535819431"/>
    <n v="1102.0941535819431"/>
    <n v="131364.30425512814"/>
    <n v="23103.252012595709"/>
    <n v="108261.05224253243"/>
    <n v="54130.526121266215"/>
    <n v="54130.526121266215"/>
    <n v="54.271205103583995"/>
    <n v="49.612185070288312"/>
    <n v="53.72849305254816"/>
    <n v="49.116063219585435"/>
    <n v="0"/>
    <n v="0"/>
    <n v="0"/>
    <n v="0"/>
    <n v="0"/>
    <n v="0"/>
    <n v="0"/>
    <e v="#REF!"/>
    <e v="#REF!"/>
    <e v="#REF!"/>
    <x v="12"/>
  </r>
  <r>
    <x v="50"/>
    <x v="50"/>
    <x v="4"/>
    <d v="2022-12-14T00:00:00"/>
    <n v="2485.7856035328755"/>
    <n v="390"/>
    <n v="2095.7856035328755"/>
    <n v="50.705682706523469"/>
    <n v="50.648313716972346"/>
    <n v="125923.22298679146"/>
    <n v="19775.216255544154"/>
    <n v="106148.00673124731"/>
    <n v="396"/>
    <n v="2485.7856035328755"/>
    <n v="390"/>
    <n v="2095.7856035328755"/>
    <n v="1047.8928017664377"/>
    <n v="1047.8928017664377"/>
    <n v="123404.75852705563"/>
    <n v="19379.71193043327"/>
    <n v="104025.04659662236"/>
    <n v="52012.523298311178"/>
    <n v="52012.523298311178"/>
    <n v="90"/>
    <n v="0"/>
    <n v="90"/>
    <n v="90"/>
    <n v="0"/>
    <n v="2485.7856035328755"/>
    <n v="390"/>
    <n v="2095.7856035328755"/>
    <n v="1047.8928017664377"/>
    <n v="1047.8928017664377"/>
    <n v="124663.99075692355"/>
    <n v="19577.464092988714"/>
    <n v="105086.52666393484"/>
    <n v="52543.263331967421"/>
    <n v="52543.263331967421"/>
    <n v="50.705682706523469"/>
    <n v="50.648313716972346"/>
    <n v="50.198625879458241"/>
    <n v="50.14183057980263"/>
    <n v="0"/>
    <n v="0"/>
    <n v="0"/>
    <n v="0"/>
    <n v="0"/>
    <n v="0"/>
    <n v="0"/>
    <e v="#REF!"/>
    <e v="#REF!"/>
    <e v="#REF!"/>
    <x v="12"/>
  </r>
  <r>
    <x v="50"/>
    <x v="50"/>
    <x v="5"/>
    <d v="2022-12-15T00:00:00"/>
    <n v="2312.829646985052"/>
    <n v="463.276907329479"/>
    <n v="1849.5527396555729"/>
    <n v="54.687638292561473"/>
    <n v="51.483393210006582"/>
    <n v="120556.77089566385"/>
    <n v="25335.519937331068"/>
    <n v="95221.250958332792"/>
    <n v="397"/>
    <n v="2312.829646985052"/>
    <n v="463.276907329479"/>
    <n v="1849.5527396555729"/>
    <n v="924.77636982778643"/>
    <n v="924.77636982778643"/>
    <n v="118145.63547775059"/>
    <n v="24828.809538584446"/>
    <n v="93316.825939166141"/>
    <n v="46658.412969583071"/>
    <n v="46658.412969583071"/>
    <n v="90"/>
    <n v="0"/>
    <n v="90"/>
    <n v="90"/>
    <n v="0"/>
    <n v="2312.829646985052"/>
    <n v="463.276907329479"/>
    <n v="1849.5527396555729"/>
    <n v="924.77636982778643"/>
    <n v="924.77636982778643"/>
    <n v="119351.20318670722"/>
    <n v="25082.164737957755"/>
    <n v="94269.038448749459"/>
    <n v="47134.51922437473"/>
    <n v="47134.51922437473"/>
    <n v="54.687638292561473"/>
    <n v="51.483393210006582"/>
    <n v="54.140761909635849"/>
    <n v="50.968559277906515"/>
    <n v="0"/>
    <n v="0"/>
    <n v="0"/>
    <n v="0"/>
    <n v="0"/>
    <n v="0"/>
    <n v="0"/>
    <e v="#REF!"/>
    <e v="#REF!"/>
    <e v="#REF!"/>
    <x v="12"/>
  </r>
  <r>
    <x v="50"/>
    <x v="50"/>
    <x v="0"/>
    <d v="2022-12-16T00:00:00"/>
    <n v="3098.5202727717597"/>
    <n v="872.38602480927796"/>
    <n v="2226.1342479624818"/>
    <n v="56.400528775428576"/>
    <n v="52.932703079729315"/>
    <n v="167038.33625855201"/>
    <n v="49203.03309553743"/>
    <n v="117835.30316301457"/>
    <n v="398"/>
    <n v="3098.5202727717597"/>
    <n v="872.38602480927796"/>
    <n v="2226.1342479624818"/>
    <n v="1113.0671239812409"/>
    <n v="1113.0671239812409"/>
    <n v="163697.56953338097"/>
    <n v="48218.972433626681"/>
    <n v="115478.59709975428"/>
    <n v="57739.298549877138"/>
    <n v="57739.298549877138"/>
    <n v="90"/>
    <n v="0"/>
    <n v="90"/>
    <n v="90"/>
    <n v="0"/>
    <n v="3098.5202727717597"/>
    <n v="872.38602480927796"/>
    <n v="2226.1342479624818"/>
    <n v="1113.0671239812409"/>
    <n v="1113.0671239812409"/>
    <n v="165367.95289596647"/>
    <n v="48711.002764582052"/>
    <n v="116656.95013138442"/>
    <n v="58328.475065692212"/>
    <n v="58328.475065692212"/>
    <n v="56.400528775428576"/>
    <n v="52.932703079729315"/>
    <n v="55.836523487674285"/>
    <n v="52.403376048932024"/>
    <n v="0"/>
    <n v="0"/>
    <n v="0"/>
    <n v="0"/>
    <n v="0"/>
    <n v="0"/>
    <n v="0"/>
    <e v="#REF!"/>
    <e v="#REF!"/>
    <e v="#REF!"/>
    <x v="12"/>
  </r>
  <r>
    <x v="50"/>
    <x v="50"/>
    <x v="1"/>
    <d v="2022-12-17T00:00:00"/>
    <n v="3401.6248887666293"/>
    <n v="1180.2341687223575"/>
    <n v="2221.3907200442718"/>
    <n v="55.831525868961506"/>
    <n v="53.069569739233081"/>
    <n v="183782.52425792924"/>
    <n v="65894.27452245458"/>
    <n v="117888.24973547467"/>
    <n v="399"/>
    <n v="3401.6248887666293"/>
    <n v="1180.2341687223575"/>
    <n v="2221.3907200442718"/>
    <n v="1110.6953600221359"/>
    <n v="1110.6953600221359"/>
    <n v="180106.87377277066"/>
    <n v="64576.389032005485"/>
    <n v="115530.48474076518"/>
    <n v="57765.242370382592"/>
    <n v="57765.242370382592"/>
    <n v="90"/>
    <n v="0"/>
    <n v="90"/>
    <n v="90"/>
    <n v="0"/>
    <n v="3401.6248887666293"/>
    <n v="1180.2341687223575"/>
    <n v="2221.3907200442718"/>
    <n v="1110.6953600221359"/>
    <n v="1110.6953600221359"/>
    <n v="181944.69901534996"/>
    <n v="65235.331777230036"/>
    <n v="116709.36723811993"/>
    <n v="58354.683619059964"/>
    <n v="58354.683619059964"/>
    <n v="55.831525868961506"/>
    <n v="53.069569739233081"/>
    <n v="55.273210610271889"/>
    <n v="52.538874041840749"/>
    <n v="0"/>
    <n v="0"/>
    <n v="0"/>
    <n v="0"/>
    <n v="0"/>
    <n v="0"/>
    <n v="0"/>
    <e v="#REF!"/>
    <e v="#REF!"/>
    <e v="#REF!"/>
    <x v="12"/>
  </r>
  <r>
    <x v="50"/>
    <x v="50"/>
    <x v="6"/>
    <d v="2022-12-18T00:00:00"/>
    <n v="300"/>
    <n v="0"/>
    <n v="300"/>
    <n v="0"/>
    <n v="60.615231204539498"/>
    <n v="18184.56936136185"/>
    <n v="0"/>
    <n v="18184.56936136185"/>
    <n v="400"/>
    <n v="180"/>
    <n v="0"/>
    <n v="180"/>
    <n v="180"/>
    <n v="0"/>
    <n v="10692.526784480768"/>
    <n v="0"/>
    <n v="10692.526784480768"/>
    <n v="10692.526784480768"/>
    <n v="0"/>
    <n v="90"/>
    <n v="0"/>
    <n v="90"/>
    <n v="90"/>
    <n v="0"/>
    <n v="180"/>
    <n v="0"/>
    <n v="180"/>
    <n v="180"/>
    <n v="0"/>
    <n v="10801.634200648938"/>
    <n v="0"/>
    <n v="10801.634200648938"/>
    <n v="10801.634200648938"/>
    <n v="0"/>
    <n v="0"/>
    <n v="60.615231204539498"/>
    <s v="-"/>
    <n v="60.009078892494095"/>
    <n v="0"/>
    <n v="0"/>
    <n v="0"/>
    <n v="0"/>
    <n v="0"/>
    <n v="0"/>
    <n v="0"/>
    <e v="#REF!"/>
    <e v="#REF!"/>
    <e v="#REF!"/>
    <x v="12"/>
  </r>
  <r>
    <x v="51"/>
    <x v="51"/>
    <x v="2"/>
    <d v="2022-12-19T00:00:00"/>
    <n v="2722.194113343096"/>
    <n v="755.34789514234023"/>
    <n v="1966.8462182007556"/>
    <n v="53.518873427882724"/>
    <n v="52.754597901084431"/>
    <n v="144185.54976858996"/>
    <n v="40425.36839414054"/>
    <n v="103760.18137444943"/>
    <n v="402"/>
    <n v="2722.194113343096"/>
    <n v="755.34789514234023"/>
    <n v="1966.8462182007556"/>
    <n v="983.42310910037781"/>
    <n v="983.42310910037781"/>
    <n v="141301.83877321816"/>
    <n v="39616.861026257728"/>
    <n v="101684.97774696045"/>
    <n v="50842.488873480223"/>
    <n v="50842.488873480223"/>
    <n v="90"/>
    <n v="0"/>
    <n v="90"/>
    <n v="90"/>
    <n v="0"/>
    <n v="2722.194113343096"/>
    <n v="755.34789514234023"/>
    <n v="1966.8462182007556"/>
    <n v="983.42310910037781"/>
    <n v="983.42310910037781"/>
    <n v="142743.69427090406"/>
    <n v="40021.114710199137"/>
    <n v="102722.57956070494"/>
    <n v="51361.289780352468"/>
    <n v="51361.289780352468"/>
    <n v="53.518873427882724"/>
    <n v="52.754597901084431"/>
    <n v="52.983684693603905"/>
    <n v="52.227051922073585"/>
    <n v="0"/>
    <n v="0"/>
    <n v="0"/>
    <n v="0"/>
    <n v="0"/>
    <n v="0"/>
    <n v="0"/>
    <e v="#REF!"/>
    <e v="#REF!"/>
    <e v="#REF!"/>
    <x v="12"/>
  </r>
  <r>
    <x v="51"/>
    <x v="51"/>
    <x v="3"/>
    <d v="2022-12-20T00:00:00"/>
    <n v="2849.9086091571239"/>
    <n v="744.22996953321797"/>
    <n v="2105.6786396239058"/>
    <n v="54.486742655869634"/>
    <n v="50.295118396778641"/>
    <n v="146456.02331219427"/>
    <n v="40550.666826742148"/>
    <n v="105905.35648545212"/>
    <n v="403"/>
    <n v="2849.9086091571239"/>
    <n v="744.22996953321797"/>
    <n v="2105.6786396239058"/>
    <n v="1052.8393198119529"/>
    <n v="1052.8393198119529"/>
    <n v="143526.90284595039"/>
    <n v="39739.653490207304"/>
    <n v="103787.24935574309"/>
    <n v="51893.624677871543"/>
    <n v="51893.624677871543"/>
    <n v="90"/>
    <n v="0"/>
    <n v="90"/>
    <n v="90"/>
    <n v="0"/>
    <n v="2849.9086091571239"/>
    <n v="744.22996953321797"/>
    <n v="2105.6786396239058"/>
    <n v="1052.8393198119529"/>
    <n v="1052.8393198119529"/>
    <n v="144991.46307907233"/>
    <n v="40145.160158474726"/>
    <n v="104846.30292059761"/>
    <n v="52423.151460298803"/>
    <n v="52423.151460298803"/>
    <n v="54.486742655869634"/>
    <n v="50.295118396778641"/>
    <n v="53.941875229310938"/>
    <n v="49.792167212810853"/>
    <n v="0"/>
    <n v="0"/>
    <n v="0"/>
    <n v="0"/>
    <n v="0"/>
    <n v="0"/>
    <n v="0"/>
    <e v="#REF!"/>
    <e v="#REF!"/>
    <e v="#REF!"/>
    <x v="12"/>
  </r>
  <r>
    <x v="51"/>
    <x v="51"/>
    <x v="4"/>
    <d v="2022-12-21T00:00:00"/>
    <n v="3152.5930941164256"/>
    <n v="906.53585459352291"/>
    <n v="2246.0572395229028"/>
    <n v="53.573816354162801"/>
    <n v="51.345595885038577"/>
    <n v="163891.73274766569"/>
    <n v="48566.585392457426"/>
    <n v="115325.14735520826"/>
    <n v="404"/>
    <n v="3152.5930941164256"/>
    <n v="906.53585459352291"/>
    <n v="2246.0572395229028"/>
    <n v="1123.0286197614514"/>
    <n v="1123.0286197614514"/>
    <n v="160613.89809271236"/>
    <n v="47595.253684608273"/>
    <n v="113018.6444081041"/>
    <n v="56509.322204052049"/>
    <n v="56509.322204052049"/>
    <n v="90"/>
    <n v="0"/>
    <n v="90"/>
    <n v="90"/>
    <n v="0"/>
    <n v="3152.5930941164256"/>
    <n v="906.53585459352291"/>
    <n v="2246.0572395229028"/>
    <n v="1123.0286197614514"/>
    <n v="1123.0286197614514"/>
    <n v="162252.81542018903"/>
    <n v="48080.919538532849"/>
    <n v="114171.89588165618"/>
    <n v="57085.947940828089"/>
    <n v="57085.947940828089"/>
    <n v="53.573816354162801"/>
    <n v="51.345595885038577"/>
    <n v="53.038078190621164"/>
    <n v="50.832139926188191"/>
    <n v="0"/>
    <n v="0"/>
    <n v="0"/>
    <n v="0"/>
    <n v="0"/>
    <n v="0"/>
    <n v="0"/>
    <e v="#REF!"/>
    <e v="#REF!"/>
    <e v="#REF!"/>
    <x v="12"/>
  </r>
  <r>
    <x v="51"/>
    <x v="51"/>
    <x v="5"/>
    <d v="2022-12-22T00:00:00"/>
    <n v="3795.5435972654655"/>
    <n v="1156.0002619072347"/>
    <n v="2639.5433353582307"/>
    <n v="50.91475971291441"/>
    <n v="50.747608352418723"/>
    <n v="192807.98697506951"/>
    <n v="58857.475563072985"/>
    <n v="133950.51141199653"/>
    <n v="405"/>
    <n v="3795.5435972654655"/>
    <n v="1156.0002619072347"/>
    <n v="2639.5433353582307"/>
    <n v="1319.7716676791154"/>
    <n v="1319.7716676791154"/>
    <n v="188951.82723556814"/>
    <n v="57680.326051811528"/>
    <n v="131271.5011837566"/>
    <n v="65635.750591878299"/>
    <n v="65635.750591878299"/>
    <n v="90"/>
    <n v="0"/>
    <n v="90"/>
    <n v="90"/>
    <n v="0"/>
    <n v="3795.5435972654655"/>
    <n v="1156.0002619072347"/>
    <n v="2639.5433353582307"/>
    <n v="1319.7716676791154"/>
    <n v="1319.7716676791154"/>
    <n v="190879.90710531882"/>
    <n v="58268.900807442253"/>
    <n v="132611.00629787656"/>
    <n v="66305.503148938282"/>
    <n v="66305.503148938282"/>
    <n v="50.91475971291441"/>
    <n v="50.747608352418723"/>
    <n v="50.405612115785267"/>
    <n v="50.240132268894541"/>
    <n v="0"/>
    <n v="0"/>
    <n v="0"/>
    <n v="0"/>
    <n v="0"/>
    <n v="0"/>
    <n v="0"/>
    <e v="#REF!"/>
    <e v="#REF!"/>
    <e v="#REF!"/>
    <x v="12"/>
  </r>
  <r>
    <x v="51"/>
    <x v="51"/>
    <x v="0"/>
    <d v="2022-12-23T00:00:00"/>
    <n v="3871.2778677945971"/>
    <n v="1162.2728790675753"/>
    <n v="2709.004988727022"/>
    <n v="52.509478557476015"/>
    <n v="52.175496587098756"/>
    <n v="202374.023365095"/>
    <n v="61030.342821334758"/>
    <n v="141343.68054376025"/>
    <n v="406"/>
    <n v="3871.2778677945971"/>
    <n v="1162.2728790675753"/>
    <n v="2709.004988727022"/>
    <n v="1354.502494363511"/>
    <n v="1354.502494363511"/>
    <n v="198326.54289779309"/>
    <n v="59809.735964908061"/>
    <n v="138516.80693288503"/>
    <n v="69258.403466442513"/>
    <n v="69258.403466442513"/>
    <n v="90"/>
    <n v="0"/>
    <n v="90"/>
    <n v="90"/>
    <n v="0"/>
    <n v="3871.2778677945971"/>
    <n v="1162.2728790675753"/>
    <n v="2709.004988727022"/>
    <n v="1354.502494363511"/>
    <n v="1354.502494363511"/>
    <n v="200350.28313144404"/>
    <n v="60420.039393121413"/>
    <n v="139930.24373832264"/>
    <n v="69965.121869161318"/>
    <n v="69965.121869161318"/>
    <n v="52.509478557476015"/>
    <n v="52.175496587098756"/>
    <n v="51.984383771901257"/>
    <n v="51.653741621227766"/>
    <n v="0"/>
    <n v="0"/>
    <n v="0"/>
    <n v="0"/>
    <n v="0"/>
    <n v="0"/>
    <n v="0"/>
    <e v="#REF!"/>
    <e v="#REF!"/>
    <e v="#REF!"/>
    <x v="12"/>
  </r>
  <r>
    <x v="51"/>
    <x v="51"/>
    <x v="1"/>
    <d v="2022-12-24T00:00:00"/>
    <n v="1935.638959264506"/>
    <n v="581.13643953378767"/>
    <n v="1354.5025197307182"/>
    <n v="51.979730936930821"/>
    <n v="52.310340278505322"/>
    <n v="101061.80347981898"/>
    <n v="30207.315764612249"/>
    <n v="70854.487715206735"/>
    <n v="407"/>
    <n v="1935.638959264506"/>
    <n v="581.13643953378767"/>
    <n v="1354.5025197307182"/>
    <n v="677.25125986535909"/>
    <n v="677.25125986535909"/>
    <n v="99040.567410222604"/>
    <n v="29603.169449320005"/>
    <n v="69437.397960902599"/>
    <n v="34718.6989804513"/>
    <n v="34718.6989804513"/>
    <n v="90"/>
    <n v="0"/>
    <n v="90"/>
    <n v="90"/>
    <n v="0"/>
    <n v="1935.638959264506"/>
    <n v="581.13643953378767"/>
    <n v="1354.5025197307182"/>
    <n v="677.25125986535909"/>
    <n v="677.25125986535909"/>
    <n v="100051.18544502079"/>
    <n v="29905.242606966127"/>
    <n v="70145.94283805466"/>
    <n v="35072.97141902733"/>
    <n v="35072.97141902733"/>
    <n v="51.979730936930821"/>
    <n v="52.310340278505322"/>
    <n v="51.459933627561512"/>
    <n v="51.787236875720261"/>
    <n v="0"/>
    <n v="0"/>
    <n v="0"/>
    <n v="0"/>
    <n v="0"/>
    <n v="0"/>
    <n v="0"/>
    <e v="#REF!"/>
    <e v="#REF!"/>
    <e v="#REF!"/>
    <x v="12"/>
  </r>
  <r>
    <x v="51"/>
    <x v="51"/>
    <x v="6"/>
    <d v="2022-12-25T00:00:00"/>
    <n v="0"/>
    <n v="0"/>
    <n v="0"/>
    <n v="0"/>
    <n v="0"/>
    <n v="0"/>
    <n v="0"/>
    <n v="0"/>
    <n v="408"/>
    <n v="180"/>
    <n v="0"/>
    <n v="180"/>
    <n v="180"/>
    <n v="0"/>
    <n v="0"/>
    <n v="0"/>
    <n v="0"/>
    <n v="0"/>
    <n v="0"/>
    <n v="90"/>
    <n v="0"/>
    <n v="90"/>
    <n v="90"/>
    <n v="0"/>
    <n v="180"/>
    <n v="0"/>
    <n v="180"/>
    <n v="180"/>
    <n v="0"/>
    <n v="0"/>
    <n v="0"/>
    <n v="0"/>
    <n v="0"/>
    <n v="0"/>
    <n v="0"/>
    <n v="0"/>
    <s v="-"/>
    <n v="0"/>
    <n v="0"/>
    <n v="0"/>
    <n v="0"/>
    <n v="0"/>
    <n v="0"/>
    <n v="0"/>
    <n v="0"/>
    <e v="#REF!"/>
    <e v="#REF!"/>
    <e v="#REF!"/>
    <x v="12"/>
  </r>
  <r>
    <x v="52"/>
    <x v="52"/>
    <x v="2"/>
    <d v="2022-12-26T00:00:00"/>
    <n v="2668.7632101249383"/>
    <n v="729.19411479708344"/>
    <n v="1939.5690953278549"/>
    <n v="49.826627474918133"/>
    <n v="52.000023905627771"/>
    <n v="137190.92283856226"/>
    <n v="36333.283514896968"/>
    <n v="100857.63932366528"/>
    <n v="410"/>
    <n v="2668.7632101249383"/>
    <n v="729.19411479708344"/>
    <n v="1939.5690953278549"/>
    <n v="969.78454766392747"/>
    <n v="969.78454766392747"/>
    <n v="134447.104381791"/>
    <n v="35606.61784459903"/>
    <n v="98840.486537191973"/>
    <n v="49420.243268595987"/>
    <n v="49420.243268595987"/>
    <n v="90"/>
    <n v="0"/>
    <n v="90"/>
    <n v="90"/>
    <n v="0"/>
    <n v="2668.7632101249383"/>
    <n v="729.19411479708344"/>
    <n v="1939.5690953278549"/>
    <n v="969.78454766392747"/>
    <n v="969.78454766392747"/>
    <n v="135819.01361017663"/>
    <n v="35969.950679747999"/>
    <n v="99849.062930428627"/>
    <n v="49924.531465214313"/>
    <n v="49924.531465214313"/>
    <n v="49.826627474918133"/>
    <n v="52.000023905627771"/>
    <n v="49.328361200168956"/>
    <n v="51.480023666571491"/>
    <n v="0"/>
    <n v="0"/>
    <n v="0"/>
    <n v="0"/>
    <n v="0"/>
    <n v="0"/>
    <n v="0"/>
    <e v="#REF!"/>
    <e v="#REF!"/>
    <e v="#REF!"/>
    <x v="12"/>
  </r>
  <r>
    <x v="52"/>
    <x v="52"/>
    <x v="3"/>
    <d v="2022-12-27T00:00:00"/>
    <n v="2290.7673810596684"/>
    <n v="922.69025999754274"/>
    <n v="1368.0771210621256"/>
    <n v="48.313297957128903"/>
    <n v="49.576896925676451"/>
    <n v="112403.2278706752"/>
    <n v="44578.209453402014"/>
    <n v="67825.018417273182"/>
    <n v="411"/>
    <n v="2290.7673810596684"/>
    <n v="922.69025999754274"/>
    <n v="1368.0771210621256"/>
    <n v="684.03856053106279"/>
    <n v="684.03856053106279"/>
    <n v="110155.16331326168"/>
    <n v="43686.645264333973"/>
    <n v="66468.518048927712"/>
    <n v="33234.259024463856"/>
    <n v="33234.259024463856"/>
    <n v="90"/>
    <n v="0"/>
    <n v="90"/>
    <n v="90"/>
    <n v="0"/>
    <n v="2290.7673810596684"/>
    <n v="922.69025999754274"/>
    <n v="1368.0771210621256"/>
    <n v="684.03856053106279"/>
    <n v="684.03856053106279"/>
    <n v="111279.19559196844"/>
    <n v="44132.427358867993"/>
    <n v="67146.768233100447"/>
    <n v="33573.384116550224"/>
    <n v="33573.384116550224"/>
    <n v="48.313297957128903"/>
    <n v="49.576896925676451"/>
    <n v="47.830164977557608"/>
    <n v="49.081127956419685"/>
    <n v="0"/>
    <n v="0"/>
    <n v="0"/>
    <n v="0"/>
    <n v="0"/>
    <n v="0"/>
    <n v="0"/>
    <e v="#REF!"/>
    <e v="#REF!"/>
    <e v="#REF!"/>
    <x v="12"/>
  </r>
  <r>
    <x v="52"/>
    <x v="52"/>
    <x v="4"/>
    <d v="2022-12-28T00:00:00"/>
    <n v="2329.1908857085209"/>
    <n v="638.94292873909308"/>
    <n v="1690.2479569694278"/>
    <n v="49.877779910401081"/>
    <n v="50.611847751319793"/>
    <n v="117415.62703507158"/>
    <n v="31869.054774955566"/>
    <n v="85546.572260116009"/>
    <n v="412"/>
    <n v="2329.1908857085209"/>
    <n v="638.94292873909308"/>
    <n v="1690.2479569694278"/>
    <n v="845.12397848471392"/>
    <n v="845.12397848471392"/>
    <n v="115067.31449437013"/>
    <n v="31231.673679456453"/>
    <n v="83835.640814913684"/>
    <n v="41917.820407456842"/>
    <n v="41917.820407456842"/>
    <n v="90"/>
    <n v="0"/>
    <n v="90"/>
    <n v="90"/>
    <n v="0"/>
    <n v="2329.1908857085209"/>
    <n v="638.94292873909308"/>
    <n v="1690.2479569694278"/>
    <n v="845.12397848471392"/>
    <n v="845.12397848471392"/>
    <n v="116241.47076472086"/>
    <n v="31550.36422720601"/>
    <n v="84691.106537514846"/>
    <n v="42345.553268757423"/>
    <n v="42345.553268757423"/>
    <n v="49.877779910401081"/>
    <n v="50.611847751319793"/>
    <n v="49.379002111297069"/>
    <n v="50.105729273806595"/>
    <n v="0"/>
    <n v="0"/>
    <n v="0"/>
    <n v="0"/>
    <n v="0"/>
    <n v="0"/>
    <n v="0"/>
    <e v="#REF!"/>
    <e v="#REF!"/>
    <e v="#REF!"/>
    <x v="12"/>
  </r>
  <r>
    <x v="52"/>
    <x v="52"/>
    <x v="5"/>
    <d v="2022-12-29T00:00:00"/>
    <n v="3348.449159658232"/>
    <n v="945.26551175719476"/>
    <n v="2403.1836479010371"/>
    <n v="45.604662680120036"/>
    <n v="47.314979942001628"/>
    <n v="156815.10090422176"/>
    <n v="43108.514806837906"/>
    <n v="113706.58609738387"/>
    <n v="413"/>
    <n v="3348.449159658232"/>
    <n v="945.26551175719476"/>
    <n v="2403.1836479010371"/>
    <n v="1201.5918239505186"/>
    <n v="1201.5918239505186"/>
    <n v="153678.79888613735"/>
    <n v="42246.34451070115"/>
    <n v="111432.45437543619"/>
    <n v="55716.227187718097"/>
    <n v="55716.227187718097"/>
    <n v="90"/>
    <n v="0"/>
    <n v="90"/>
    <n v="90"/>
    <n v="0"/>
    <n v="3348.449159658232"/>
    <n v="945.26551175719476"/>
    <n v="2403.1836479010371"/>
    <n v="1201.5918239505186"/>
    <n v="1201.5918239505186"/>
    <n v="155246.94989517954"/>
    <n v="42677.429658769528"/>
    <n v="112569.52023641003"/>
    <n v="56284.760118205013"/>
    <n v="56284.760118205013"/>
    <n v="45.604662680120036"/>
    <n v="47.314979942001628"/>
    <n v="45.148616053318833"/>
    <n v="46.841830142581607"/>
    <n v="0"/>
    <n v="0"/>
    <n v="0"/>
    <n v="0"/>
    <n v="0"/>
    <n v="0"/>
    <n v="0"/>
    <e v="#REF!"/>
    <e v="#REF!"/>
    <e v="#REF!"/>
    <x v="12"/>
  </r>
  <r>
    <x v="52"/>
    <x v="52"/>
    <x v="0"/>
    <d v="2022-12-30T00:00:00"/>
    <n v="2674.1472078502202"/>
    <n v="811.61209814094832"/>
    <n v="1862.5351097092716"/>
    <n v="47.033062134147436"/>
    <n v="48.637097877604965"/>
    <n v="128760.90467209453"/>
    <n v="38172.60224068899"/>
    <n v="90588.302431405551"/>
    <n v="414"/>
    <n v="2674.1472078502202"/>
    <n v="811.61209814094832"/>
    <n v="1862.5351097092716"/>
    <n v="931.26755485463582"/>
    <n v="931.26755485463582"/>
    <n v="126185.68657865265"/>
    <n v="37409.150195875212"/>
    <n v="88776.536382777442"/>
    <n v="44388.268191388721"/>
    <n v="44388.268191388721"/>
    <n v="90"/>
    <n v="0"/>
    <n v="90"/>
    <n v="90"/>
    <n v="0"/>
    <n v="2674.1472078502202"/>
    <n v="811.61209814094832"/>
    <n v="1862.5351097092716"/>
    <n v="931.26755485463582"/>
    <n v="931.26755485463582"/>
    <n v="127473.2956253736"/>
    <n v="37790.876218282101"/>
    <n v="89682.419407091496"/>
    <n v="44841.209703545748"/>
    <n v="44841.209703545748"/>
    <n v="47.033062134147436"/>
    <n v="48.637097877604965"/>
    <n v="46.562731512805961"/>
    <n v="48.150726898828921"/>
    <n v="0"/>
    <n v="0"/>
    <n v="0"/>
    <n v="0"/>
    <n v="0"/>
    <n v="0"/>
    <n v="0"/>
    <e v="#REF!"/>
    <e v="#REF!"/>
    <e v="#REF!"/>
    <x v="12"/>
  </r>
  <r>
    <x v="52"/>
    <x v="52"/>
    <x v="1"/>
    <d v="2022-12-31T00:00:00"/>
    <n v="1594.7750684093553"/>
    <n v="663.50754035420016"/>
    <n v="931.26752805515525"/>
    <n v="46.558563939973851"/>
    <n v="48.761953071857285"/>
    <n v="76302.381742605823"/>
    <n v="30891.958242235807"/>
    <n v="45410.423500370016"/>
    <n v="415"/>
    <n v="1594.7750684093553"/>
    <n v="663.50754035420016"/>
    <n v="931.26752805515525"/>
    <n v="465.63376402757763"/>
    <n v="465.63376402757763"/>
    <n v="74776.334107753704"/>
    <n v="30274.119077391089"/>
    <n v="44502.215030362611"/>
    <n v="22251.107515181306"/>
    <n v="22251.107515181306"/>
    <n v="90"/>
    <n v="0"/>
    <n v="90"/>
    <n v="90"/>
    <n v="0"/>
    <n v="1594.7750684093553"/>
    <n v="663.50754035420016"/>
    <n v="931.26752805515525"/>
    <n v="465.63376402757763"/>
    <n v="465.63376402757763"/>
    <n v="75539.357925179764"/>
    <n v="30583.03865981345"/>
    <n v="44956.319265366314"/>
    <n v="22478.159632683157"/>
    <n v="22478.159632683157"/>
    <n v="46.558563939973851"/>
    <n v="48.761953071857285"/>
    <n v="46.09297830057411"/>
    <n v="48.274333541138709"/>
    <n v="0"/>
    <n v="0"/>
    <n v="0"/>
    <n v="0"/>
    <n v="0"/>
    <n v="0"/>
    <n v="0"/>
    <e v="#REF!"/>
    <e v="#REF!"/>
    <e v="#REF!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">
  <r>
    <x v="0"/>
    <s v="Wk 0"/>
    <x v="0"/>
    <d v="2022-01-01T00:00:00"/>
    <m/>
    <m/>
    <m/>
    <m/>
    <m/>
    <m/>
    <m/>
    <m/>
    <s v=""/>
    <n v="0"/>
    <s v=""/>
    <s v=""/>
    <s v=""/>
    <s v=""/>
    <n v="0"/>
    <s v=""/>
    <s v=""/>
    <s v=""/>
    <s v="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s v=""/>
    <s v=""/>
    <s v=""/>
    <s v=""/>
    <s v=""/>
    <m/>
    <e v="#REF!"/>
    <e v="#REF!"/>
    <e v="#REF!"/>
    <x v="0"/>
  </r>
  <r>
    <x v="0"/>
    <s v="Wk 0"/>
    <x v="1"/>
    <d v="2022-01-02T00:00:00"/>
    <m/>
    <m/>
    <m/>
    <m/>
    <m/>
    <m/>
    <m/>
    <m/>
    <s v=""/>
    <n v="0"/>
    <s v=""/>
    <s v=""/>
    <s v=""/>
    <s v=""/>
    <n v="0"/>
    <s v=""/>
    <s v=""/>
    <s v=""/>
    <s v="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s v=""/>
    <s v=""/>
    <s v=""/>
    <s v=""/>
    <s v=""/>
    <m/>
    <e v="#REF!"/>
    <e v="#REF!"/>
    <e v="#REF!"/>
    <x v="0"/>
  </r>
  <r>
    <x v="1"/>
    <s v="Wk 1"/>
    <x v="2"/>
    <d v="2022-01-03T00:00:00"/>
    <n v="1600"/>
    <n v="700"/>
    <n v="900"/>
    <n v="43.656842866525146"/>
    <n v="49.512369851021816"/>
    <n v="75120.922872487237"/>
    <n v="30559.790006567604"/>
    <n v="44561.132865919637"/>
    <n v="2"/>
    <n v="1600"/>
    <n v="700"/>
    <n v="900"/>
    <n v="200"/>
    <n v="700"/>
    <n v="73618.504415037489"/>
    <n v="29948.59420643625"/>
    <n v="43669.910208601235"/>
    <n v="9704.4244908002747"/>
    <n v="33965.485717800962"/>
    <n v="90"/>
    <n v="0"/>
    <n v="90"/>
    <n v="90"/>
    <n v="0"/>
    <n v="1517"/>
    <n v="615"/>
    <n v="902"/>
    <n v="201"/>
    <n v="701"/>
    <n v="74567.888999999996"/>
    <n v="26972.055"/>
    <n v="47595.833999999995"/>
    <n v="10606.166999999999"/>
    <n v="36989.666999999994"/>
    <n v="44.3"/>
    <n v="53.3"/>
    <n v="43.856999999999999"/>
    <n v="52.766999999999996"/>
    <n v="202575"/>
    <n v="85794.442754002535"/>
    <n v="60969.286306877912"/>
    <n v="49273.053738034767"/>
    <n v="6538.2172010847999"/>
    <n v="0"/>
    <m/>
    <e v="#REF!"/>
    <e v="#REF!"/>
    <e v="#REF!"/>
    <x v="1"/>
  </r>
  <r>
    <x v="1"/>
    <s v="Wk 1"/>
    <x v="3"/>
    <d v="2022-01-04T00:00:00"/>
    <n v="2850"/>
    <n v="750"/>
    <n v="2100"/>
    <n v="41.534592037673136"/>
    <n v="49.145396519071276"/>
    <n v="134356.27671830452"/>
    <n v="31150.944028254853"/>
    <n v="103205.33269004968"/>
    <n v="3"/>
    <n v="2850"/>
    <n v="750"/>
    <n v="2100"/>
    <n v="1100"/>
    <n v="1000"/>
    <n v="131669.15118393843"/>
    <n v="30527.925147689755"/>
    <n v="101141.22603624868"/>
    <n v="52978.737447558837"/>
    <n v="48162.488588689848"/>
    <n v="90"/>
    <n v="0"/>
    <n v="90"/>
    <n v="90"/>
    <n v="0"/>
    <n v="2847"/>
    <n v="676"/>
    <n v="2171"/>
    <n v="1131"/>
    <n v="1040"/>
    <n v="131848.00199999998"/>
    <n v="29111.94"/>
    <n v="102736.06199999999"/>
    <n v="53521.181999999993"/>
    <n v="49214.879999999997"/>
    <n v="43.5"/>
    <n v="47.8"/>
    <n v="43.064999999999998"/>
    <n v="47.321999999999996"/>
    <n v="147576.00000000009"/>
    <n v="65323.939111411899"/>
    <n v="68517.000793053478"/>
    <n v="6447.0457431537743"/>
    <n v="7288.0143523809411"/>
    <n v="0"/>
    <n v="147576.00000000009"/>
    <e v="#REF!"/>
    <e v="#REF!"/>
    <e v="#REF!"/>
    <x v="1"/>
  </r>
  <r>
    <x v="1"/>
    <s v="Wk 1"/>
    <x v="4"/>
    <d v="2022-01-05T00:00:00"/>
    <n v="2750"/>
    <n v="650"/>
    <n v="2100"/>
    <n v="44.275547038122347"/>
    <n v="49.947849611078091"/>
    <n v="133669.58975804353"/>
    <n v="28779.105574779525"/>
    <n v="104890.48418326399"/>
    <n v="4"/>
    <n v="2750"/>
    <n v="650"/>
    <n v="2100"/>
    <n v="1100"/>
    <n v="1000"/>
    <n v="130996.19796288264"/>
    <n v="28203.523463283935"/>
    <n v="102792.67449959871"/>
    <n v="53843.781880742186"/>
    <n v="48948.892618856531"/>
    <n v="90"/>
    <n v="0"/>
    <n v="90"/>
    <n v="90"/>
    <n v="0"/>
    <n v="2725"/>
    <n v="577"/>
    <n v="2148"/>
    <n v="1105"/>
    <n v="1043"/>
    <n v="127975.122"/>
    <n v="25476.858"/>
    <n v="102498.264"/>
    <n v="52728.39"/>
    <n v="49769.874000000003"/>
    <n v="44.6"/>
    <n v="48.2"/>
    <n v="44.154000000000003"/>
    <n v="47.717999999999996"/>
    <n v="142350.00000000009"/>
    <n v="59060.496963457772"/>
    <n v="59891.490568967864"/>
    <n v="14752.884949626197"/>
    <n v="8645.1275179482418"/>
    <n v="0"/>
    <n v="142350.00000000009"/>
    <e v="#REF!"/>
    <e v="#REF!"/>
    <e v="#REF!"/>
    <x v="1"/>
  </r>
  <r>
    <x v="1"/>
    <s v="Wk 1"/>
    <x v="5"/>
    <d v="2022-01-06T00:00:00"/>
    <n v="2500"/>
    <n v="500"/>
    <n v="2000"/>
    <n v="49"/>
    <n v="50"/>
    <n v="124500"/>
    <n v="24500"/>
    <n v="100000"/>
    <n v="5"/>
    <n v="2400"/>
    <n v="500"/>
    <n v="1900"/>
    <n v="1000"/>
    <n v="900"/>
    <n v="117110"/>
    <n v="24010"/>
    <n v="93100"/>
    <n v="49000"/>
    <n v="44100"/>
    <n v="90"/>
    <n v="0"/>
    <n v="90"/>
    <n v="90"/>
    <n v="0"/>
    <n v="2556"/>
    <n v="515"/>
    <n v="2041"/>
    <n v="1069"/>
    <n v="972"/>
    <n v="122116.40099999998"/>
    <n v="24319.845000000001"/>
    <n v="97796.555999999982"/>
    <n v="51222.203999999998"/>
    <n v="46574.351999999992"/>
    <n v="47.7"/>
    <n v="48.4"/>
    <n v="47.222999999999999"/>
    <n v="47.91599999999999"/>
    <n v="128761.00000000007"/>
    <n v="54098.434314795879"/>
    <n v="54044.997867303784"/>
    <n v="11884.161805071839"/>
    <n v="8733.4060128285691"/>
    <n v="0"/>
    <n v="128761.00000000007"/>
    <e v="#REF!"/>
    <e v="#REF!"/>
    <e v="#REF!"/>
    <x v="1"/>
  </r>
  <r>
    <x v="1"/>
    <s v="Wk 1"/>
    <x v="0"/>
    <d v="2022-01-07T00:00:00"/>
    <n v="2750"/>
    <n v="900"/>
    <n v="1850"/>
    <n v="54"/>
    <n v="54"/>
    <n v="148500"/>
    <n v="48600"/>
    <n v="99900"/>
    <n v="6"/>
    <n v="2750"/>
    <n v="900"/>
    <n v="1850"/>
    <n v="1000"/>
    <n v="850"/>
    <n v="145530"/>
    <n v="47628"/>
    <n v="97902"/>
    <n v="52920"/>
    <n v="44982"/>
    <n v="90"/>
    <n v="0"/>
    <n v="90"/>
    <n v="90"/>
    <n v="0"/>
    <n v="3028"/>
    <n v="900"/>
    <n v="2128"/>
    <n v="1147"/>
    <n v="981"/>
    <n v="148452.084"/>
    <n v="43748.1"/>
    <n v="104703.984"/>
    <n v="56435.841"/>
    <n v="48268.143000000004"/>
    <n v="49.1"/>
    <n v="49.7"/>
    <n v="48.609000000000002"/>
    <n v="49.202999999999996"/>
    <n v="112393.00000000007"/>
    <n v="48633.525709944879"/>
    <n v="48691.064871575494"/>
    <n v="7322.8110519346319"/>
    <n v="7745.5983665450649"/>
    <n v="0"/>
    <n v="112393.00000000007"/>
    <e v="#REF!"/>
    <e v="#REF!"/>
    <e v="#REF!"/>
    <x v="1"/>
  </r>
  <r>
    <x v="1"/>
    <s v="Wk 1"/>
    <x v="1"/>
    <d v="2022-01-08T00:00:00"/>
    <n v="2700"/>
    <n v="900"/>
    <n v="1800"/>
    <n v="53.000000000000007"/>
    <n v="53"/>
    <n v="143100"/>
    <n v="47700.000000000007"/>
    <n v="95400"/>
    <n v="7"/>
    <n v="2700"/>
    <n v="900"/>
    <n v="1800"/>
    <n v="1000"/>
    <n v="800"/>
    <n v="140238"/>
    <n v="46746.000000000007"/>
    <n v="93492"/>
    <n v="51940"/>
    <n v="41552"/>
    <n v="90"/>
    <n v="0"/>
    <n v="90"/>
    <n v="90"/>
    <n v="0"/>
    <n v="2910"/>
    <n v="1040"/>
    <n v="1870"/>
    <n v="1035"/>
    <n v="835"/>
    <n v="145360.71"/>
    <n v="50759.28"/>
    <n v="94601.43"/>
    <n v="52359.614999999998"/>
    <n v="42241.815000000002"/>
    <n v="49.3"/>
    <n v="51.1"/>
    <n v="48.807000000000002"/>
    <n v="50.588999999999999"/>
    <n v="109177"/>
    <n v="56996.072926556611"/>
    <n v="40199.441700744937"/>
    <n v="6248.8999477880679"/>
    <n v="5732.5854249103895"/>
    <n v="0"/>
    <n v="109177"/>
    <e v="#REF!"/>
    <e v="#REF!"/>
    <e v="#REF!"/>
    <x v="1"/>
  </r>
  <r>
    <x v="1"/>
    <s v="Wk 1"/>
    <x v="6"/>
    <d v="2022-01-09T00:00:00"/>
    <n v="90"/>
    <n v="0"/>
    <n v="90"/>
    <n v="0"/>
    <n v="57"/>
    <n v="5130"/>
    <n v="0"/>
    <n v="5130"/>
    <n v="8"/>
    <n v="180"/>
    <n v="0"/>
    <n v="180"/>
    <n v="180"/>
    <n v="0"/>
    <n v="10054.799999999999"/>
    <n v="0"/>
    <n v="10054.799999999999"/>
    <n v="10054.799999999999"/>
    <n v="0"/>
    <n v="90"/>
    <n v="0"/>
    <n v="90"/>
    <n v="90"/>
    <n v="0"/>
    <n v="172"/>
    <n v="0"/>
    <n v="172"/>
    <n v="172"/>
    <n v="0"/>
    <n v="9688.9319999999989"/>
    <n v="0"/>
    <n v="9688.9319999999989"/>
    <n v="9688.9319999999989"/>
    <n v="0"/>
    <n v="0"/>
    <n v="57"/>
    <s v="-"/>
    <n v="56.330999999999996"/>
    <n v="0"/>
    <n v="0"/>
    <n v="0"/>
    <n v="0"/>
    <n v="0"/>
    <n v="0"/>
    <n v="0"/>
    <e v="#REF!"/>
    <e v="#REF!"/>
    <e v="#REF!"/>
    <x v="1"/>
  </r>
  <r>
    <x v="2"/>
    <s v="Wk 2"/>
    <x v="2"/>
    <d v="2022-01-10T00:00:00"/>
    <n v="2200"/>
    <n v="650"/>
    <n v="1550"/>
    <n v="46.14149263250934"/>
    <n v="52.405512237002895"/>
    <n v="111220.51417848557"/>
    <n v="29991.970211131073"/>
    <n v="81228.54396735449"/>
    <n v="10"/>
    <n v="2150"/>
    <n v="650"/>
    <n v="1500"/>
    <n v="700"/>
    <n v="800"/>
    <n v="106428.2337953027"/>
    <n v="29392.130806908452"/>
    <n v="77036.102988394254"/>
    <n v="35950.181394583982"/>
    <n v="41085.921593810272"/>
    <n v="90"/>
    <n v="0"/>
    <n v="90"/>
    <n v="90"/>
    <n v="0"/>
    <n v="2145"/>
    <n v="650"/>
    <n v="1495"/>
    <n v="650"/>
    <n v="845"/>
    <n v="107573.89499999999"/>
    <n v="30759.299999999996"/>
    <n v="76814.595000000001"/>
    <n v="33397.65"/>
    <n v="43416.945"/>
    <n v="47.8"/>
    <n v="51.9"/>
    <n v="47.321999999999996"/>
    <n v="51.381"/>
    <n v="194044"/>
    <n v="87580.677408080795"/>
    <n v="62238.662836870972"/>
    <n v="37550.31730195901"/>
    <n v="6674.3424530892298"/>
    <n v="0"/>
    <n v="194044"/>
    <e v="#REF!"/>
    <e v="#REF!"/>
    <e v="#REF!"/>
    <x v="1"/>
  </r>
  <r>
    <x v="2"/>
    <s v="Wk 2"/>
    <x v="3"/>
    <d v="2022-01-11T00:00:00"/>
    <n v="2550"/>
    <n v="550"/>
    <n v="2000"/>
    <n v="46.282425776354415"/>
    <n v="50.501999368071964"/>
    <n v="126459.33291313886"/>
    <n v="25455.334176994929"/>
    <n v="101003.99873614393"/>
    <n v="11"/>
    <n v="2600"/>
    <n v="550"/>
    <n v="2050"/>
    <n v="1050"/>
    <n v="1000"/>
    <n v="126404.74422391161"/>
    <n v="24946.22749345503"/>
    <n v="101458.51673045658"/>
    <n v="51966.55734974605"/>
    <n v="49491.959380710527"/>
    <n v="90"/>
    <n v="0"/>
    <n v="90"/>
    <n v="90"/>
    <n v="0"/>
    <n v="2332"/>
    <n v="400"/>
    <n v="1932"/>
    <n v="1044"/>
    <n v="888"/>
    <n v="112075.52399999998"/>
    <n v="17780.400000000001"/>
    <n v="94295.123999999982"/>
    <n v="50954.507999999994"/>
    <n v="43340.615999999995"/>
    <n v="44.9"/>
    <n v="49.3"/>
    <n v="44.451000000000001"/>
    <n v="48.806999999999988"/>
    <n v="149207.00000000009"/>
    <n v="66045.894881257351"/>
    <n v="69274.246065275729"/>
    <n v="6518.2980579412997"/>
    <n v="7368.560995525716"/>
    <n v="0"/>
    <n v="149207.00000000009"/>
    <e v="#REF!"/>
    <e v="#REF!"/>
    <e v="#REF!"/>
    <x v="1"/>
  </r>
  <r>
    <x v="2"/>
    <s v="Wk 2"/>
    <x v="4"/>
    <d v="2022-01-12T00:00:00"/>
    <n v="2450"/>
    <n v="550"/>
    <n v="1900"/>
    <n v="46.623011865462168"/>
    <n v="51.829743068840898"/>
    <n v="124119.16835680191"/>
    <n v="25642.656526004193"/>
    <n v="98476.51183079771"/>
    <n v="12"/>
    <n v="2450"/>
    <n v="550"/>
    <n v="1900"/>
    <n v="1000"/>
    <n v="900"/>
    <n v="121636.78498966586"/>
    <n v="25129.803395484108"/>
    <n v="96506.981594181751"/>
    <n v="50793.148207464081"/>
    <n v="45713.83338671767"/>
    <n v="90"/>
    <n v="0"/>
    <n v="90"/>
    <n v="90"/>
    <n v="0"/>
    <n v="2698"/>
    <n v="660"/>
    <n v="2038"/>
    <n v="1028"/>
    <n v="1010"/>
    <n v="136225.584"/>
    <n v="30905.819999999996"/>
    <n v="105319.764"/>
    <n v="53124.984000000004"/>
    <n v="52194.78"/>
    <n v="47.3"/>
    <n v="52.2"/>
    <n v="46.826999999999991"/>
    <n v="51.677999999999997"/>
    <n v="142203.00000000009"/>
    <n v="60290.167796462476"/>
    <n v="61138.463129043055"/>
    <n v="11949.245422023341"/>
    <n v="8825.1236524712003"/>
    <n v="0"/>
    <n v="142203.00000000009"/>
    <e v="#REF!"/>
    <e v="#REF!"/>
    <e v="#REF!"/>
    <x v="1"/>
  </r>
  <r>
    <x v="2"/>
    <s v="Wk 2"/>
    <x v="5"/>
    <d v="2022-01-13T00:00:00"/>
    <n v="2675"/>
    <n v="600"/>
    <n v="2075"/>
    <n v="50.999999999999993"/>
    <n v="55"/>
    <n v="144725"/>
    <n v="30599.999999999996"/>
    <n v="114125"/>
    <n v="13"/>
    <n v="2500"/>
    <n v="600"/>
    <n v="1900"/>
    <n v="1000"/>
    <n v="900"/>
    <n v="132398"/>
    <n v="29987.999999999996"/>
    <n v="102410"/>
    <n v="53900"/>
    <n v="48510"/>
    <n v="90"/>
    <n v="0"/>
    <n v="90"/>
    <n v="90"/>
    <n v="0"/>
    <n v="2675"/>
    <n v="600"/>
    <n v="2075"/>
    <n v="1075"/>
    <n v="1000"/>
    <n v="138122.32499999998"/>
    <n v="28630.799999999999"/>
    <n v="109491.52499999999"/>
    <n v="56724.525000000001"/>
    <n v="52767"/>
    <n v="48.2"/>
    <n v="53.3"/>
    <n v="47.717999999999996"/>
    <n v="52.766999999999996"/>
    <n v="129376.00000000007"/>
    <n v="54515.406929875229"/>
    <n v="54461.558612140798"/>
    <n v="11598.314276273462"/>
    <n v="8800.7201817105852"/>
    <n v="0"/>
    <n v="129376.00000000007"/>
    <e v="#REF!"/>
    <e v="#REF!"/>
    <e v="#REF!"/>
    <x v="1"/>
  </r>
  <r>
    <x v="2"/>
    <s v="Wk 2"/>
    <x v="0"/>
    <d v="2022-01-14T00:00:00"/>
    <n v="2800"/>
    <n v="900"/>
    <n v="1900"/>
    <n v="51.999999999999993"/>
    <n v="59"/>
    <n v="158900"/>
    <n v="46799.999999999993"/>
    <n v="112100"/>
    <n v="14"/>
    <n v="2800"/>
    <n v="900"/>
    <n v="1900"/>
    <n v="1050"/>
    <n v="850"/>
    <n v="155722"/>
    <n v="45863.999999999993"/>
    <n v="109858"/>
    <n v="60711"/>
    <n v="49147"/>
    <n v="90"/>
    <n v="0"/>
    <n v="90"/>
    <n v="90"/>
    <n v="0"/>
    <n v="3084"/>
    <n v="1011"/>
    <n v="2073"/>
    <n v="1113"/>
    <n v="960"/>
    <n v="157427.82"/>
    <n v="52146.368999999999"/>
    <n v="105281.451"/>
    <n v="56525.930999999997"/>
    <n v="48755.519999999997"/>
    <n v="52.1"/>
    <n v="51.3"/>
    <n v="51.579000000000001"/>
    <n v="50.786999999999999"/>
    <n v="117482.00000000009"/>
    <n v="49645.857313646018"/>
    <n v="49704.594182227105"/>
    <n v="10224.721563227748"/>
    <n v="7906.8269408991982"/>
    <n v="0"/>
    <n v="117482.00000000009"/>
    <e v="#REF!"/>
    <e v="#REF!"/>
    <e v="#REF!"/>
    <x v="1"/>
  </r>
  <r>
    <x v="2"/>
    <s v="Wk 2"/>
    <x v="1"/>
    <d v="2022-01-15T00:00:00"/>
    <n v="2750"/>
    <n v="900"/>
    <n v="1850"/>
    <n v="53.000000000000007"/>
    <n v="59"/>
    <n v="156850"/>
    <n v="47700.000000000007"/>
    <n v="109150"/>
    <n v="15"/>
    <n v="2750"/>
    <n v="900"/>
    <n v="1850"/>
    <n v="950"/>
    <n v="900"/>
    <n v="153713"/>
    <n v="46746.000000000007"/>
    <n v="106967"/>
    <n v="54929"/>
    <n v="52038"/>
    <n v="90"/>
    <n v="0"/>
    <n v="90"/>
    <n v="90"/>
    <n v="0"/>
    <n v="2912"/>
    <n v="1010"/>
    <n v="1902"/>
    <n v="947"/>
    <n v="955"/>
    <n v="146915.20800000001"/>
    <n v="50694.93"/>
    <n v="96220.278000000006"/>
    <n v="47907.783000000003"/>
    <n v="48312.495000000003"/>
    <n v="50.7"/>
    <n v="51.1"/>
    <n v="50.192999999999998"/>
    <n v="50.589000000000006"/>
    <n v="115034"/>
    <n v="59782.893276829345"/>
    <n v="42164.991543899829"/>
    <n v="7073.2352550814667"/>
    <n v="6012.8799241893648"/>
    <n v="0"/>
    <n v="115034"/>
    <e v="#REF!"/>
    <e v="#REF!"/>
    <e v="#REF!"/>
    <x v="1"/>
  </r>
  <r>
    <x v="2"/>
    <s v="Wk 2"/>
    <x v="6"/>
    <d v="2022-01-16T00:00:00"/>
    <n v="90"/>
    <n v="0"/>
    <n v="90"/>
    <n v="0"/>
    <n v="57"/>
    <n v="5130"/>
    <n v="0"/>
    <n v="5130"/>
    <n v="16"/>
    <n v="90"/>
    <n v="0"/>
    <n v="90"/>
    <n v="90"/>
    <n v="0"/>
    <n v="5027.3999999999996"/>
    <n v="0"/>
    <n v="5027.3999999999996"/>
    <n v="5027.3999999999996"/>
    <n v="0"/>
    <n v="90"/>
    <n v="0"/>
    <n v="90"/>
    <n v="90"/>
    <n v="0"/>
    <n v="90"/>
    <n v="0"/>
    <n v="90"/>
    <n v="90"/>
    <n v="0"/>
    <n v="5034.1499999999996"/>
    <n v="0"/>
    <n v="5034.1499999999996"/>
    <n v="5034.1499999999996"/>
    <n v="0"/>
    <n v="0"/>
    <n v="57"/>
    <s v="-"/>
    <n v="55.934999999999995"/>
    <n v="0"/>
    <n v="0"/>
    <n v="0"/>
    <n v="0"/>
    <n v="0"/>
    <n v="0"/>
    <n v="0"/>
    <e v="#REF!"/>
    <e v="#REF!"/>
    <e v="#REF!"/>
    <x v="1"/>
  </r>
  <r>
    <x v="3"/>
    <s v="Wk 3"/>
    <x v="2"/>
    <d v="2022-01-17T00:00:00"/>
    <n v="2250"/>
    <n v="700"/>
    <n v="1550"/>
    <n v="47.174250863939186"/>
    <n v="52.094859755414575"/>
    <n v="113769.00822565003"/>
    <n v="33021.975604757426"/>
    <n v="80747.032620892598"/>
    <n v="18"/>
    <n v="2250"/>
    <n v="700"/>
    <n v="1550"/>
    <n v="700"/>
    <n v="850"/>
    <n v="111493.62806113702"/>
    <n v="32361.536092662278"/>
    <n v="79132.091968474735"/>
    <n v="35737.073792214396"/>
    <n v="43395.018176260339"/>
    <n v="90"/>
    <n v="0"/>
    <n v="90"/>
    <n v="90"/>
    <n v="0"/>
    <n v="2305"/>
    <n v="675"/>
    <n v="1630"/>
    <n v="650"/>
    <n v="980"/>
    <n v="111959.09999999999"/>
    <n v="31274.099999999995"/>
    <n v="80685"/>
    <n v="32175"/>
    <n v="48510"/>
    <n v="46.8"/>
    <n v="50"/>
    <n v="46.331999999999994"/>
    <n v="49.5"/>
    <n v="200814"/>
    <n v="89206.629164396814"/>
    <n v="63394.135324013827"/>
    <n v="41414.982634933884"/>
    <n v="6798.252876655486"/>
    <n v="0"/>
    <n v="200814"/>
    <e v="#REF!"/>
    <e v="#REF!"/>
    <e v="#REF!"/>
    <x v="1"/>
  </r>
  <r>
    <x v="3"/>
    <s v="Wk 3"/>
    <x v="3"/>
    <d v="2022-01-18T00:00:00"/>
    <n v="2600"/>
    <n v="600"/>
    <n v="2000"/>
    <n v="45.470676054522073"/>
    <n v="50.202618348304917"/>
    <n v="127687.64232932308"/>
    <n v="27282.405632713242"/>
    <n v="100405.23669660983"/>
    <n v="19"/>
    <n v="2600"/>
    <n v="600"/>
    <n v="2000"/>
    <n v="1050"/>
    <n v="950"/>
    <n v="125133.88948273662"/>
    <n v="26736.757520058978"/>
    <n v="98397.131962677639"/>
    <n v="51658.494280405765"/>
    <n v="46738.637682271874"/>
    <n v="90"/>
    <n v="0"/>
    <n v="90"/>
    <n v="90"/>
    <n v="0"/>
    <n v="2787"/>
    <n v="615"/>
    <n v="2172"/>
    <n v="1132"/>
    <n v="1040"/>
    <n v="126562.39199999999"/>
    <n v="26789.4"/>
    <n v="99772.991999999998"/>
    <n v="51999.551999999996"/>
    <n v="47773.440000000002"/>
    <n v="44"/>
    <n v="46.4"/>
    <n v="43.56"/>
    <n v="45.936"/>
    <n v="150497.00000000009"/>
    <n v="66616.908335028435"/>
    <n v="69873.170897382835"/>
    <n v="6574.6533528989376"/>
    <n v="7432.2674146898853"/>
    <n v="0"/>
    <n v="150497.00000000009"/>
    <e v="#REF!"/>
    <e v="#REF!"/>
    <e v="#REF!"/>
    <x v="1"/>
  </r>
  <r>
    <x v="3"/>
    <s v="Wk 3"/>
    <x v="4"/>
    <d v="2022-01-19T00:00:00"/>
    <n v="2650"/>
    <n v="650"/>
    <n v="2000"/>
    <n v="47.452303161863135"/>
    <n v="51.522469358321835"/>
    <n v="133888.93577185471"/>
    <n v="30843.997055211039"/>
    <n v="103044.93871664366"/>
    <n v="20"/>
    <n v="2650"/>
    <n v="650"/>
    <n v="2000"/>
    <n v="1050"/>
    <n v="950"/>
    <n v="131211.15705641761"/>
    <n v="30227.117114106819"/>
    <n v="100984.03994231079"/>
    <n v="53016.620969713164"/>
    <n v="47967.418972597625"/>
    <n v="90"/>
    <n v="0"/>
    <n v="90"/>
    <n v="90"/>
    <n v="0"/>
    <n v="2757"/>
    <n v="585"/>
    <n v="2172"/>
    <n v="1128"/>
    <n v="1044"/>
    <n v="130309.641"/>
    <n v="27741.285"/>
    <n v="102568.356"/>
    <n v="53267.544000000002"/>
    <n v="49300.812000000005"/>
    <n v="47.9"/>
    <n v="47.7"/>
    <n v="47.420999999999999"/>
    <n v="47.222999999999999"/>
    <n v="156512.00000000009"/>
    <n v="64106.219722788454"/>
    <n v="65008.207708023707"/>
    <n v="18013.864800185976"/>
    <n v="9383.7077690019487"/>
    <n v="0"/>
    <n v="156512.00000000009"/>
    <e v="#REF!"/>
    <e v="#REF!"/>
    <e v="#REF!"/>
    <x v="1"/>
  </r>
  <r>
    <x v="3"/>
    <s v="Wk 3"/>
    <x v="5"/>
    <d v="2022-01-20T00:00:00"/>
    <n v="2750"/>
    <n v="600"/>
    <n v="2150"/>
    <n v="48.000000000000007"/>
    <n v="48"/>
    <n v="132000"/>
    <n v="28800.000000000004"/>
    <n v="103200"/>
    <n v="21"/>
    <n v="2550"/>
    <n v="600"/>
    <n v="1950"/>
    <n v="1000"/>
    <n v="950"/>
    <n v="119952"/>
    <n v="28224.000000000004"/>
    <n v="91728"/>
    <n v="47040"/>
    <n v="44688"/>
    <n v="90"/>
    <n v="0"/>
    <n v="90"/>
    <n v="90"/>
    <n v="0"/>
    <n v="2605"/>
    <n v="505"/>
    <n v="2100"/>
    <n v="1060"/>
    <n v="1040"/>
    <n v="121634.37000000001"/>
    <n v="23297.67"/>
    <n v="98336.700000000012"/>
    <n v="49636.62"/>
    <n v="48700.08"/>
    <n v="46.6"/>
    <n v="47.3"/>
    <n v="46.133999999999993"/>
    <n v="46.827000000000005"/>
    <n v="141629.00000000009"/>
    <n v="61336.583148954604"/>
    <n v="61275.997123752626"/>
    <n v="9114.5197765038502"/>
    <n v="9901.8999507890057"/>
    <n v="0"/>
    <n v="141629.00000000009"/>
    <e v="#REF!"/>
    <e v="#REF!"/>
    <e v="#REF!"/>
    <x v="1"/>
  </r>
  <r>
    <x v="3"/>
    <s v="Wk 3"/>
    <x v="0"/>
    <d v="2022-01-21T00:00:00"/>
    <n v="2950"/>
    <n v="950"/>
    <n v="2000"/>
    <n v="53"/>
    <n v="53"/>
    <n v="156350"/>
    <n v="50350"/>
    <n v="106000"/>
    <n v="22"/>
    <n v="2950"/>
    <n v="950"/>
    <n v="2000"/>
    <n v="1050"/>
    <n v="950"/>
    <n v="153223"/>
    <n v="49343"/>
    <n v="103880"/>
    <n v="54537"/>
    <n v="49343"/>
    <n v="90"/>
    <n v="0"/>
    <n v="90"/>
    <n v="90"/>
    <n v="0"/>
    <n v="3201"/>
    <n v="1060"/>
    <n v="2141"/>
    <n v="1141"/>
    <n v="1000"/>
    <n v="158661.459"/>
    <n v="52470"/>
    <n v="106191.459"/>
    <n v="56592.458999999995"/>
    <n v="49599"/>
    <n v="50"/>
    <n v="50.1"/>
    <n v="49.5"/>
    <n v="49.599000000000004"/>
    <n v="118726.00000000009"/>
    <n v="52553.599466996595"/>
    <n v="52615.776535384284"/>
    <n v="5186.6967047600901"/>
    <n v="8369.9272928591017"/>
    <n v="0"/>
    <n v="118726.00000000009"/>
    <e v="#REF!"/>
    <e v="#REF!"/>
    <e v="#REF!"/>
    <x v="1"/>
  </r>
  <r>
    <x v="3"/>
    <s v="Wk 3"/>
    <x v="1"/>
    <d v="2022-01-22T00:00:00"/>
    <n v="2800"/>
    <n v="950"/>
    <n v="1850"/>
    <n v="52"/>
    <n v="54"/>
    <n v="149300"/>
    <n v="49400"/>
    <n v="99900"/>
    <n v="23"/>
    <n v="2800"/>
    <n v="950"/>
    <n v="1850"/>
    <n v="950"/>
    <n v="900"/>
    <n v="146314"/>
    <n v="48412"/>
    <n v="97902"/>
    <n v="50274"/>
    <n v="47628"/>
    <n v="90"/>
    <n v="0"/>
    <n v="90"/>
    <n v="90"/>
    <n v="0"/>
    <n v="2962"/>
    <n v="990"/>
    <n v="1972"/>
    <n v="1062"/>
    <n v="910"/>
    <n v="146226.16800000001"/>
    <n v="48416.94"/>
    <n v="97809.228000000003"/>
    <n v="52674.138000000006"/>
    <n v="45135.09"/>
    <n v="49.4"/>
    <n v="50.1"/>
    <n v="48.905999999999999"/>
    <n v="49.599000000000004"/>
    <n v="113748.00000000001"/>
    <n v="59776.58706445837"/>
    <n v="42160.543759981701"/>
    <n v="5798.6235214047701"/>
    <n v="6012.2456541551674"/>
    <n v="0"/>
    <n v="113748.00000000001"/>
    <e v="#REF!"/>
    <e v="#REF!"/>
    <e v="#REF!"/>
    <x v="1"/>
  </r>
  <r>
    <x v="3"/>
    <s v="Wk 3"/>
    <x v="6"/>
    <d v="2022-01-23T00:00:00"/>
    <n v="90"/>
    <n v="0"/>
    <n v="90"/>
    <n v="0"/>
    <n v="56"/>
    <n v="5040"/>
    <n v="0"/>
    <n v="5040"/>
    <n v="24"/>
    <n v="90"/>
    <n v="0"/>
    <n v="90"/>
    <n v="90"/>
    <n v="0"/>
    <n v="4939.2"/>
    <n v="0"/>
    <n v="4939.2"/>
    <n v="4939.2"/>
    <n v="0"/>
    <n v="90"/>
    <n v="0"/>
    <n v="90"/>
    <n v="90"/>
    <n v="0"/>
    <n v="177"/>
    <n v="0"/>
    <n v="177"/>
    <n v="177"/>
    <n v="0"/>
    <n v="9707.7419999999984"/>
    <n v="0"/>
    <n v="9707.7419999999984"/>
    <n v="9707.7419999999984"/>
    <n v="0"/>
    <n v="0"/>
    <n v="56"/>
    <s v="-"/>
    <n v="54.845999999999989"/>
    <n v="0"/>
    <n v="0"/>
    <n v="0"/>
    <n v="0"/>
    <n v="0"/>
    <n v="0"/>
    <n v="0"/>
    <e v="#REF!"/>
    <e v="#REF!"/>
    <e v="#REF!"/>
    <x v="1"/>
  </r>
  <r>
    <x v="4"/>
    <s v="Wk 4"/>
    <x v="2"/>
    <d v="2022-01-24T00:00:00"/>
    <n v="2250"/>
    <n v="650"/>
    <n v="1600"/>
    <n v="47.429850746268656"/>
    <n v="50.398886827458256"/>
    <n v="111467.62190900784"/>
    <n v="30829.402985074626"/>
    <n v="80638.218923933207"/>
    <n v="26"/>
    <n v="2250"/>
    <n v="650"/>
    <n v="1600"/>
    <n v="700"/>
    <n v="900"/>
    <n v="109238.26947082768"/>
    <n v="30212.814925373132"/>
    <n v="79025.454545454544"/>
    <n v="34573.63636363636"/>
    <n v="44451.818181818184"/>
    <n v="90"/>
    <n v="0"/>
    <n v="90"/>
    <n v="90"/>
    <n v="0"/>
    <n v="2402"/>
    <n v="750"/>
    <n v="1652"/>
    <n v="675"/>
    <n v="977"/>
    <n v="114471.126"/>
    <n v="34823.25"/>
    <n v="79647.876000000004"/>
    <n v="32543.775000000001"/>
    <n v="47104.101000000002"/>
    <n v="46.9"/>
    <n v="48.7"/>
    <n v="46.430999999999997"/>
    <n v="48.213000000000001"/>
    <n v="224325"/>
    <n v="89714.804777957761"/>
    <n v="63755.267158230745"/>
    <n v="64017.948173714336"/>
    <n v="6836.97989009717"/>
    <n v="0"/>
    <n v="224325"/>
    <e v="#REF!"/>
    <e v="#REF!"/>
    <e v="#REF!"/>
    <x v="1"/>
  </r>
  <r>
    <x v="4"/>
    <s v="Wk 4"/>
    <x v="3"/>
    <d v="2022-01-25T00:00:00"/>
    <n v="2650"/>
    <n v="600"/>
    <n v="2050"/>
    <n v="44.639534883720934"/>
    <n v="47.027683341427874"/>
    <n v="123190.4717801597"/>
    <n v="26783.720930232561"/>
    <n v="96406.750849927135"/>
    <n v="27"/>
    <n v="2650"/>
    <n v="600"/>
    <n v="2050"/>
    <n v="1050"/>
    <n v="1000"/>
    <n v="120726.66234455651"/>
    <n v="26248.046511627908"/>
    <n v="94478.615832928597"/>
    <n v="48391.48615832928"/>
    <n v="46087.129674599317"/>
    <n v="90"/>
    <n v="0"/>
    <n v="90"/>
    <n v="90"/>
    <n v="0"/>
    <n v="2683"/>
    <n v="545"/>
    <n v="2138"/>
    <n v="1102"/>
    <n v="1036"/>
    <n v="124130.25900000001"/>
    <n v="24225.794999999998"/>
    <n v="99904.464000000007"/>
    <n v="51494.256000000001"/>
    <n v="48410.208000000006"/>
    <n v="44.9"/>
    <n v="47.2"/>
    <n v="44.450999999999993"/>
    <n v="46.728000000000002"/>
    <n v="151355.00000000006"/>
    <n v="66996.698678699438"/>
    <n v="70271.525553156389"/>
    <n v="6612.1361769870409"/>
    <n v="7474.6395911572163"/>
    <n v="0"/>
    <n v="151355.00000000006"/>
    <e v="#REF!"/>
    <e v="#REF!"/>
    <e v="#REF!"/>
    <x v="1"/>
  </r>
  <r>
    <x v="4"/>
    <s v="Wk 4"/>
    <x v="4"/>
    <d v="2022-01-26T00:00:00"/>
    <n v="2750"/>
    <n v="600"/>
    <n v="2150"/>
    <n v="48.000000000000007"/>
    <n v="48"/>
    <n v="132000"/>
    <n v="28800.000000000004"/>
    <n v="103200"/>
    <n v="28"/>
    <n v="2750"/>
    <n v="600"/>
    <n v="2150"/>
    <n v="1150"/>
    <n v="1000"/>
    <n v="129360"/>
    <n v="28224.000000000004"/>
    <n v="101136"/>
    <n v="54096"/>
    <n v="47040"/>
    <n v="90"/>
    <n v="0"/>
    <n v="90"/>
    <n v="90"/>
    <n v="0"/>
    <n v="2688"/>
    <n v="610"/>
    <n v="2078"/>
    <n v="1135"/>
    <n v="943"/>
    <n v="125832.26699999999"/>
    <n v="28020.959999999999"/>
    <n v="97811.307000000001"/>
    <n v="53373.375"/>
    <n v="44437.932000000001"/>
    <n v="46.4"/>
    <n v="47.6"/>
    <n v="45.936"/>
    <n v="47.069926371511066"/>
    <n v="155180.00000000009"/>
    <n v="64471.402745549029"/>
    <n v="65378.52893266808"/>
    <n v="15892.905977193766"/>
    <n v="9437.1623445892219"/>
    <n v="0"/>
    <n v="155180.00000000009"/>
    <e v="#REF!"/>
    <e v="#REF!"/>
    <e v="#REF!"/>
    <x v="1"/>
  </r>
  <r>
    <x v="4"/>
    <s v="Wk 4"/>
    <x v="5"/>
    <d v="2022-01-27T00:00:00"/>
    <n v="2614"/>
    <n v="550"/>
    <n v="2064"/>
    <n v="46.958076019058964"/>
    <n v="48.815579409219417"/>
    <n v="126582.2977111113"/>
    <n v="25826.941810482429"/>
    <n v="100755.35590062887"/>
    <n v="29"/>
    <n v="2700"/>
    <n v="550"/>
    <n v="2150"/>
    <n v="1150"/>
    <n v="1000"/>
    <n v="128164.8287894981"/>
    <n v="25310.40297427278"/>
    <n v="102854.42581522532"/>
    <n v="55015.157994190282"/>
    <n v="47839.267821035028"/>
    <n v="90"/>
    <n v="0"/>
    <n v="90"/>
    <n v="90"/>
    <n v="0"/>
    <n v="2646"/>
    <n v="515"/>
    <n v="2131"/>
    <n v="1066"/>
    <n v="1065"/>
    <n v="126959.77800000001"/>
    <n v="24217.875"/>
    <n v="102741.90300000001"/>
    <n v="51395.058000000005"/>
    <n v="51346.845000000001"/>
    <n v="47.5"/>
    <n v="48.7"/>
    <n v="47.024999999999999"/>
    <n v="48.213000000000001"/>
    <n v="143747.00000000009"/>
    <n v="61685.830912540172"/>
    <n v="61624.899913218018"/>
    <n v="10477.988247605848"/>
    <n v="9958.2809266360437"/>
    <n v="0"/>
    <n v="143747.00000000009"/>
    <e v="#REF!"/>
    <e v="#REF!"/>
    <e v="#REF!"/>
    <x v="1"/>
  </r>
  <r>
    <x v="4"/>
    <s v="Wk 4"/>
    <x v="0"/>
    <d v="2022-01-28T00:00:00"/>
    <n v="2800"/>
    <n v="900"/>
    <n v="1900"/>
    <n v="49.05513414333091"/>
    <n v="50.593866020328271"/>
    <n v="140277.96616762155"/>
    <n v="44149.620728997819"/>
    <n v="96128.345438623714"/>
    <n v="30"/>
    <n v="3000"/>
    <n v="900"/>
    <n v="2100"/>
    <n v="1100"/>
    <n v="1000"/>
    <n v="147388.80458425346"/>
    <n v="43266.62831441786"/>
    <n v="104122.17626983559"/>
    <n v="54540.187569913876"/>
    <n v="49581.988699921705"/>
    <n v="90"/>
    <n v="0"/>
    <n v="90"/>
    <n v="90"/>
    <n v="0"/>
    <n v="3109"/>
    <n v="1010"/>
    <n v="2099"/>
    <n v="1109"/>
    <n v="990"/>
    <n v="155818.77299999999"/>
    <n v="51294.87"/>
    <n v="104523.90299999999"/>
    <n v="55224.873"/>
    <n v="49299.03"/>
    <n v="51.3"/>
    <n v="50.3"/>
    <n v="50.787000000000006"/>
    <n v="49.796999999999997"/>
    <n v="121442.00000000007"/>
    <n v="52852.828222616168"/>
    <n v="52915.359313696696"/>
    <n v="7256.2286267688987"/>
    <n v="8417.583836918302"/>
    <n v="0"/>
    <n v="121442.00000000007"/>
    <e v="#REF!"/>
    <e v="#REF!"/>
    <e v="#REF!"/>
    <x v="1"/>
  </r>
  <r>
    <x v="4"/>
    <s v="Wk 4"/>
    <x v="1"/>
    <d v="2022-01-29T00:00:00"/>
    <n v="2950"/>
    <n v="1050"/>
    <n v="1900"/>
    <n v="49.376894381945597"/>
    <n v="50.760162999161963"/>
    <n v="148290.0487994506"/>
    <n v="51845.739101042876"/>
    <n v="96444.309698407727"/>
    <n v="31"/>
    <n v="2950"/>
    <n v="1050"/>
    <n v="1900"/>
    <n v="1000"/>
    <n v="900"/>
    <n v="145324.2478234616"/>
    <n v="50808.824319022016"/>
    <n v="94515.423504439575"/>
    <n v="49744.959739178725"/>
    <n v="44770.463765260851"/>
    <n v="90"/>
    <n v="0"/>
    <n v="90"/>
    <n v="90"/>
    <n v="0"/>
    <n v="3050"/>
    <n v="1050"/>
    <n v="2000"/>
    <n v="1050"/>
    <n v="950"/>
    <n v="157652.54999999999"/>
    <n v="52910.55"/>
    <n v="104742"/>
    <n v="54989.55"/>
    <n v="49752.45"/>
    <n v="50.9"/>
    <n v="52.9"/>
    <n v="50.391000000000005"/>
    <n v="52.371000000000002"/>
    <n v="114396"/>
    <n v="60117.122532490946"/>
    <n v="42400.724091560871"/>
    <n v="5831.6571399463737"/>
    <n v="6046.4962360018162"/>
    <n v="0"/>
    <n v="114396"/>
    <e v="#REF!"/>
    <e v="#REF!"/>
    <e v="#REF!"/>
    <x v="1"/>
  </r>
  <r>
    <x v="4"/>
    <s v="Wk 4"/>
    <x v="6"/>
    <d v="2022-01-30T00:00:00"/>
    <n v="180"/>
    <n v="0"/>
    <n v="180"/>
    <n v="0"/>
    <n v="56.032863716438641"/>
    <n v="10085.915468958956"/>
    <n v="0"/>
    <n v="10085.915468958956"/>
    <n v="32"/>
    <n v="90"/>
    <n v="0"/>
    <n v="90"/>
    <n v="90"/>
    <n v="0"/>
    <n v="4942.0985797898884"/>
    <n v="0"/>
    <n v="4942.0985797898884"/>
    <n v="4942.0985797898884"/>
    <n v="0"/>
    <n v="90"/>
    <n v="0"/>
    <n v="90"/>
    <n v="90"/>
    <n v="0"/>
    <n v="198"/>
    <n v="0"/>
    <n v="198"/>
    <n v="198"/>
    <n v="0"/>
    <n v="10624.284"/>
    <n v="0"/>
    <n v="10624.284"/>
    <n v="10624.284"/>
    <n v="0"/>
    <n v="0"/>
    <n v="56.032863716438641"/>
    <s v="-"/>
    <n v="53.658000000000001"/>
    <n v="0"/>
    <n v="0"/>
    <n v="0"/>
    <n v="0"/>
    <n v="0"/>
    <n v="0"/>
    <n v="0"/>
    <e v="#REF!"/>
    <e v="#REF!"/>
    <e v="#REF!"/>
    <x v="1"/>
  </r>
  <r>
    <x v="5"/>
    <s v="Wk 5"/>
    <x v="2"/>
    <d v="2022-01-31T00:00:00"/>
    <n v="2350"/>
    <n v="750"/>
    <n v="1600"/>
    <n v="47.268702387492368"/>
    <n v="49.807324860859879"/>
    <n v="115143.24656799508"/>
    <n v="35451.526790619275"/>
    <n v="79691.719777375809"/>
    <n v="34"/>
    <n v="2350"/>
    <n v="750"/>
    <n v="1600"/>
    <n v="700"/>
    <n v="900"/>
    <n v="112840.38163663518"/>
    <n v="34742.496254806887"/>
    <n v="78097.885381828295"/>
    <n v="34167.824854549879"/>
    <n v="43930.060527278416"/>
    <n v="90"/>
    <n v="0"/>
    <n v="90"/>
    <n v="90"/>
    <n v="0"/>
    <n v="2403"/>
    <n v="760"/>
    <n v="1643"/>
    <n v="693"/>
    <n v="950"/>
    <n v="117053.145"/>
    <n v="34911.360000000001"/>
    <n v="82141.785000000003"/>
    <n v="34646.534999999996"/>
    <n v="47495.25"/>
    <n v="46.4"/>
    <n v="50.5"/>
    <n v="45.936"/>
    <n v="49.995000000000005"/>
    <n v="209865.00000000003"/>
    <n v="91280.847516749534"/>
    <n v="64868.165675259086"/>
    <n v="46759.662036760594"/>
    <n v="6956.3247712307984"/>
    <n v="0"/>
    <n v="209865.00000000003"/>
    <e v="#REF!"/>
    <e v="#REF!"/>
    <e v="#REF!"/>
    <x v="1"/>
  </r>
  <r>
    <x v="5"/>
    <s v="Wk 5"/>
    <x v="3"/>
    <d v="2022-02-01T00:00:00"/>
    <n v="2700"/>
    <n v="600"/>
    <n v="2100"/>
    <n v="44.711875188364395"/>
    <n v="47.764897719016751"/>
    <n v="127133.4103229538"/>
    <n v="26827.125113018636"/>
    <n v="100306.28520993517"/>
    <n v="35"/>
    <n v="2700"/>
    <n v="600"/>
    <n v="2100"/>
    <n v="1100"/>
    <n v="1000"/>
    <n v="124590.74211649472"/>
    <n v="26290.582610758262"/>
    <n v="98300.159505736461"/>
    <n v="51490.559741100056"/>
    <n v="46809.599764636412"/>
    <n v="90"/>
    <n v="0"/>
    <n v="90"/>
    <n v="90"/>
    <n v="0"/>
    <n v="2784"/>
    <n v="647"/>
    <n v="2137"/>
    <n v="1090"/>
    <n v="1047"/>
    <n v="132637.23000000001"/>
    <n v="28759.796999999999"/>
    <n v="103877.433"/>
    <n v="52983.81"/>
    <n v="50893.623000000007"/>
    <n v="44.9"/>
    <n v="49.1"/>
    <n v="44.451000000000001"/>
    <n v="48.609000000000002"/>
    <n v="153996.00000000006"/>
    <n v="68165.726997621474"/>
    <n v="71497.696469121409"/>
    <n v="6727.5116296871347"/>
    <n v="7605.0649035700617"/>
    <n v="0"/>
    <n v="153996.00000000006"/>
    <e v="#REF!"/>
    <e v="#REF!"/>
    <e v="#REF!"/>
    <x v="2"/>
  </r>
  <r>
    <x v="5"/>
    <s v="Wk 5"/>
    <x v="4"/>
    <d v="2022-02-02T00:00:00"/>
    <n v="2800"/>
    <n v="600"/>
    <n v="2200"/>
    <n v="46.137204238530686"/>
    <n v="48.47282624605829"/>
    <n v="134322.54028444664"/>
    <n v="27682.322543118411"/>
    <n v="106640.21774132823"/>
    <n v="36"/>
    <n v="2800"/>
    <n v="600"/>
    <n v="2200"/>
    <n v="1150"/>
    <n v="1050"/>
    <n v="131636.08947875773"/>
    <n v="27128.676092256042"/>
    <n v="104507.41338650168"/>
    <n v="54628.875179307695"/>
    <n v="49878.538207193982"/>
    <n v="90"/>
    <n v="0"/>
    <n v="90"/>
    <n v="90"/>
    <n v="0"/>
    <n v="2797"/>
    <n v="610"/>
    <n v="2187"/>
    <n v="1142"/>
    <n v="1045"/>
    <n v="138447.04500000001"/>
    <n v="29107.98"/>
    <n v="109339.065"/>
    <n v="57094.29"/>
    <n v="52244.775000000001"/>
    <n v="48.2"/>
    <n v="50.5"/>
    <n v="47.717999999999996"/>
    <n v="49.995000000000005"/>
    <n v="162088.00000000006"/>
    <n v="65596.609101739799"/>
    <n v="66519.567178784389"/>
    <n v="20369.956488652926"/>
    <n v="9601.8672308229725"/>
    <n v="0"/>
    <n v="162088.00000000006"/>
    <e v="#REF!"/>
    <e v="#REF!"/>
    <e v="#REF!"/>
    <x v="2"/>
  </r>
  <r>
    <x v="5"/>
    <s v="Wk 5"/>
    <x v="5"/>
    <d v="2022-02-03T00:00:00"/>
    <n v="2675"/>
    <n v="500"/>
    <n v="2175"/>
    <n v="48.096622134424223"/>
    <n v="48.790838934936389"/>
    <n v="130168.38575069876"/>
    <n v="24048.311067212111"/>
    <n v="106120.07468348664"/>
    <n v="37"/>
    <n v="2650"/>
    <n v="500"/>
    <n v="2150"/>
    <n v="1100"/>
    <n v="1050"/>
    <n v="126369.64248177884"/>
    <n v="23567.344845867869"/>
    <n v="102802.29763591097"/>
    <n v="52596.524371861422"/>
    <n v="50205.773264049545"/>
    <n v="90"/>
    <n v="0"/>
    <n v="90"/>
    <n v="90"/>
    <n v="0"/>
    <n v="2646"/>
    <n v="510"/>
    <n v="2136"/>
    <n v="1104"/>
    <n v="1032"/>
    <n v="128900.37599999999"/>
    <n v="24437.16"/>
    <n v="104463.21599999999"/>
    <n v="53992.223999999995"/>
    <n v="50470.991999999998"/>
    <n v="48.4"/>
    <n v="49.4"/>
    <n v="47.915999999999997"/>
    <n v="48.905999999999992"/>
    <n v="151781.00000000009"/>
    <n v="62762.346199029533"/>
    <n v="62700.351857425667"/>
    <n v="16186.233268797301"/>
    <n v="10132.068674747577"/>
    <n v="0"/>
    <n v="151781.00000000009"/>
    <e v="#REF!"/>
    <e v="#REF!"/>
    <e v="#REF!"/>
    <x v="2"/>
  </r>
  <r>
    <x v="5"/>
    <s v="Wk 5"/>
    <x v="0"/>
    <d v="2022-02-04T00:00:00"/>
    <n v="2850"/>
    <n v="950"/>
    <n v="1900"/>
    <n v="50.794562823884732"/>
    <n v="50.720626866603361"/>
    <n v="144624.02572923689"/>
    <n v="48254.834682690496"/>
    <n v="96369.191046546388"/>
    <n v="38"/>
    <n v="3050"/>
    <n v="950"/>
    <n v="2100"/>
    <n v="1100"/>
    <n v="1000"/>
    <n v="151672.78808050641"/>
    <n v="47289.737989036686"/>
    <n v="104383.05009146972"/>
    <n v="54676.835762198425"/>
    <n v="49706.214329271286"/>
    <n v="90"/>
    <n v="0"/>
    <n v="90"/>
    <n v="90"/>
    <n v="0"/>
    <n v="3075"/>
    <n v="1023"/>
    <n v="2052"/>
    <n v="1103"/>
    <n v="949"/>
    <n v="156577.50899999999"/>
    <n v="51549.992999999995"/>
    <n v="105027.516"/>
    <n v="56454.849000000002"/>
    <n v="48572.667000000001"/>
    <n v="50.9"/>
    <n v="51.7"/>
    <n v="50.390999999999998"/>
    <n v="51.183"/>
    <n v="124647.00000000007"/>
    <n v="53775.302670413796"/>
    <n v="53838.925156896512"/>
    <n v="8468.2708242043373"/>
    <n v="8564.5013484854262"/>
    <n v="0"/>
    <n v="124647.00000000007"/>
    <e v="#REF!"/>
    <e v="#REF!"/>
    <e v="#REF!"/>
    <x v="2"/>
  </r>
  <r>
    <x v="5"/>
    <s v="Wk 5"/>
    <x v="1"/>
    <d v="2022-02-05T00:00:00"/>
    <n v="3050"/>
    <n v="1050"/>
    <n v="2000"/>
    <n v="50.507182544130124"/>
    <n v="51.320092572030788"/>
    <n v="155672.7268153982"/>
    <n v="53032.541671336628"/>
    <n v="102640.18514406157"/>
    <n v="39"/>
    <n v="3050"/>
    <n v="1050"/>
    <n v="2000"/>
    <n v="1050"/>
    <n v="950"/>
    <n v="152559.27227909025"/>
    <n v="51971.890837909894"/>
    <n v="100587.38144118035"/>
    <n v="52808.375256619678"/>
    <n v="47779.006184560669"/>
    <n v="90"/>
    <n v="0"/>
    <n v="90"/>
    <n v="90"/>
    <n v="0"/>
    <n v="3047"/>
    <n v="1060"/>
    <n v="1987"/>
    <n v="1009"/>
    <n v="978"/>
    <n v="151233.09299999999"/>
    <n v="52679.88"/>
    <n v="98553.213000000003"/>
    <n v="50045.391000000003"/>
    <n v="48507.822"/>
    <n v="50.2"/>
    <n v="50.1"/>
    <n v="49.698"/>
    <n v="49.599000000000004"/>
    <n v="116393.00000000001"/>
    <n v="61166.581374560461"/>
    <n v="43140.909465270161"/>
    <n v="5933.4598193099255"/>
    <n v="6152.0493408594648"/>
    <n v="0"/>
    <n v="116393.00000000001"/>
    <e v="#REF!"/>
    <e v="#REF!"/>
    <e v="#REF!"/>
    <x v="2"/>
  </r>
  <r>
    <x v="5"/>
    <s v="Wk 5"/>
    <x v="6"/>
    <d v="2022-02-06T00:00:00"/>
    <n v="200"/>
    <n v="0"/>
    <n v="200"/>
    <n v="0"/>
    <n v="55.799674437386301"/>
    <n v="11159.93488747726"/>
    <n v="0"/>
    <n v="11159.93488747726"/>
    <n v="40"/>
    <n v="180"/>
    <n v="0"/>
    <n v="180"/>
    <n v="180"/>
    <n v="0"/>
    <n v="9843.0625707549425"/>
    <n v="0"/>
    <n v="9843.0625707549425"/>
    <n v="9843.0625707549425"/>
    <n v="0"/>
    <n v="90"/>
    <n v="0"/>
    <n v="90"/>
    <n v="90"/>
    <n v="0"/>
    <n v="125"/>
    <n v="0"/>
    <n v="125"/>
    <n v="125"/>
    <n v="0"/>
    <n v="6447.375"/>
    <n v="0"/>
    <n v="6447.375"/>
    <n v="6447.375"/>
    <n v="0"/>
    <n v="0"/>
    <n v="55.799674437386301"/>
    <s v="-"/>
    <n v="51.579000000000001"/>
    <n v="0"/>
    <n v="0"/>
    <n v="0"/>
    <n v="0"/>
    <n v="0"/>
    <n v="0"/>
    <n v="0"/>
    <e v="#REF!"/>
    <e v="#REF!"/>
    <e v="#REF!"/>
    <x v="2"/>
  </r>
  <r>
    <x v="6"/>
    <s v="Wk 6"/>
    <x v="2"/>
    <d v="2022-02-07T00:00:00"/>
    <n v="2400"/>
    <n v="750"/>
    <n v="1650"/>
    <n v="47.986398881341046"/>
    <n v="50.118564914448925"/>
    <n v="118685.43126984651"/>
    <n v="35989.799161005787"/>
    <n v="82695.632108840728"/>
    <n v="42"/>
    <n v="2400"/>
    <n v="750"/>
    <n v="1650"/>
    <n v="700"/>
    <n v="950"/>
    <n v="116311.72264444959"/>
    <n v="35270.003177785671"/>
    <n v="81041.719466663912"/>
    <n v="34381.335531311961"/>
    <n v="46660.383935351951"/>
    <n v="90"/>
    <n v="0"/>
    <n v="90"/>
    <n v="90"/>
    <n v="0"/>
    <n v="2396"/>
    <n v="755"/>
    <n v="1641"/>
    <n v="613"/>
    <n v="1028"/>
    <n v="115696.845"/>
    <n v="35279.64"/>
    <n v="80417.205000000002"/>
    <n v="30040.064999999999"/>
    <n v="50377.14"/>
    <n v="47.2"/>
    <n v="49.5"/>
    <n v="46.728000000000002"/>
    <n v="49.005000000000003"/>
    <n v="211502"/>
    <n v="91808.992802818568"/>
    <n v="65243.488832847499"/>
    <n v="47452.944732183918"/>
    <n v="6996.5736321500253"/>
    <n v="0"/>
    <n v="211502"/>
    <e v="#REF!"/>
    <e v="#REF!"/>
    <e v="#REF!"/>
    <x v="2"/>
  </r>
  <r>
    <x v="6"/>
    <s v="Wk 6"/>
    <x v="3"/>
    <d v="2022-02-08T00:00:00"/>
    <n v="2700"/>
    <n v="550"/>
    <n v="2150"/>
    <n v="45.968880828393679"/>
    <n v="48.371326132089855"/>
    <n v="129281.23563960972"/>
    <n v="25282.884455616524"/>
    <n v="103998.35118399319"/>
    <n v="43"/>
    <n v="2700"/>
    <n v="550"/>
    <n v="2150"/>
    <n v="1150"/>
    <n v="1000"/>
    <n v="126695.61092681752"/>
    <n v="24777.226766504195"/>
    <n v="101918.38416031332"/>
    <n v="54514.484550865265"/>
    <n v="47403.899609448054"/>
    <n v="90"/>
    <n v="0"/>
    <n v="90"/>
    <n v="90"/>
    <n v="0"/>
    <n v="2455"/>
    <n v="475"/>
    <n v="1980"/>
    <n v="950"/>
    <n v="1030"/>
    <n v="114003.94500000001"/>
    <n v="21678.525000000001"/>
    <n v="92325.420000000013"/>
    <n v="44297.55"/>
    <n v="48027.87"/>
    <n v="46.1"/>
    <n v="47.1"/>
    <n v="45.639000000000003"/>
    <n v="46.629000000000005"/>
    <n v="154887.00000000009"/>
    <n v="68560.124662202899"/>
    <n v="71911.372457809353"/>
    <n v="6766.4361008555497"/>
    <n v="7649.0667791322903"/>
    <n v="0"/>
    <n v="154887.00000000009"/>
    <e v="#REF!"/>
    <e v="#REF!"/>
    <e v="#REF!"/>
    <x v="2"/>
  </r>
  <r>
    <x v="6"/>
    <s v="Wk 6"/>
    <x v="4"/>
    <d v="2022-02-09T00:00:00"/>
    <n v="2800"/>
    <n v="600"/>
    <n v="2200"/>
    <n v="47.366626495783322"/>
    <n v="49.080688751709658"/>
    <n v="136397.49115123122"/>
    <n v="28419.975897469994"/>
    <n v="107977.51525376124"/>
    <n v="44"/>
    <n v="2800"/>
    <n v="600"/>
    <n v="2200"/>
    <n v="1150"/>
    <n v="1050"/>
    <n v="133669.5413282066"/>
    <n v="27851.576379520593"/>
    <n v="105817.96494868601"/>
    <n v="55313.936223176781"/>
    <n v="50504.028725509233"/>
    <n v="90"/>
    <n v="0"/>
    <n v="90"/>
    <n v="90"/>
    <n v="0"/>
    <n v="2386"/>
    <n v="465"/>
    <n v="1921"/>
    <n v="921"/>
    <n v="1000"/>
    <n v="116002.95300000001"/>
    <n v="23385.78"/>
    <n v="92617.17300000001"/>
    <n v="44404.173000000003"/>
    <n v="48213"/>
    <n v="50.8"/>
    <n v="48.7"/>
    <n v="50.291999999999994"/>
    <n v="48.213000000000008"/>
    <n v="156379.00000000009"/>
    <n v="65976.399445410803"/>
    <n v="66904.701252414525"/>
    <n v="13840.439312741029"/>
    <n v="9657.4599894337352"/>
    <n v="0"/>
    <n v="156379.00000000009"/>
    <e v="#REF!"/>
    <e v="#REF!"/>
    <e v="#REF!"/>
    <x v="2"/>
  </r>
  <r>
    <x v="6"/>
    <s v="Wk 6"/>
    <x v="5"/>
    <d v="2022-02-10T00:00:00"/>
    <n v="2350"/>
    <n v="450"/>
    <n v="1900"/>
    <n v="47.963250099108983"/>
    <n v="48.305614420574699"/>
    <n v="113364.12994369096"/>
    <n v="21583.462544599042"/>
    <n v="91780.667399091923"/>
    <n v="45"/>
    <n v="2600"/>
    <n v="450"/>
    <n v="2150"/>
    <n v="1150"/>
    <n v="1000"/>
    <n v="122931.72287785794"/>
    <n v="21151.793293707062"/>
    <n v="101779.92958415089"/>
    <n v="54440.427451987685"/>
    <n v="47339.502132163201"/>
    <n v="90"/>
    <n v="0"/>
    <n v="90"/>
    <n v="90"/>
    <n v="0"/>
    <n v="2217"/>
    <n v="460"/>
    <n v="1757"/>
    <n v="810"/>
    <n v="947"/>
    <n v="107919.20699999999"/>
    <n v="22861.079999999998"/>
    <n v="85058.126999999993"/>
    <n v="39212.909999999996"/>
    <n v="45845.216999999997"/>
    <n v="50.2"/>
    <n v="48.9"/>
    <n v="49.697999999999993"/>
    <n v="48.410999999999994"/>
    <n v="147455.00000000009"/>
    <n v="63125.758637437328"/>
    <n v="63063.405330367481"/>
    <n v="11075.09970070445"/>
    <n v="10190.736331490822"/>
    <n v="0"/>
    <n v="147455.00000000009"/>
    <e v="#REF!"/>
    <e v="#REF!"/>
    <e v="#REF!"/>
    <x v="2"/>
  </r>
  <r>
    <x v="6"/>
    <s v="Wk 6"/>
    <x v="0"/>
    <d v="2022-02-11T00:00:00"/>
    <n v="3000"/>
    <n v="1000"/>
    <n v="2000"/>
    <n v="51.194292961819038"/>
    <n v="50.543030329140635"/>
    <n v="152280.3536201003"/>
    <n v="51194.292961819039"/>
    <n v="101086.06065828128"/>
    <n v="46"/>
    <n v="3100"/>
    <n v="1000"/>
    <n v="2100"/>
    <n v="1100"/>
    <n v="1000"/>
    <n v="154187.96351995409"/>
    <n v="50170.407102582656"/>
    <n v="104017.55641737144"/>
    <n v="54485.386694813606"/>
    <n v="49532.169722557825"/>
    <n v="90"/>
    <n v="0"/>
    <n v="90"/>
    <n v="90"/>
    <n v="0"/>
    <n v="3026"/>
    <n v="1125"/>
    <n v="1901"/>
    <n v="987"/>
    <n v="914"/>
    <n v="151284.87"/>
    <n v="56244.375"/>
    <n v="95040.494999999995"/>
    <n v="49345.065000000002"/>
    <n v="45695.43"/>
    <n v="50.5"/>
    <n v="50.5"/>
    <n v="49.994999999999997"/>
    <n v="49.994999999999997"/>
    <n v="123413.00000000009"/>
    <n v="54086.482870414628"/>
    <n v="54150.473519549807"/>
    <n v="6561.9822756424928"/>
    <n v="8614.0613343931454"/>
    <n v="0"/>
    <n v="123413.00000000009"/>
    <e v="#REF!"/>
    <e v="#REF!"/>
    <e v="#REF!"/>
    <x v="2"/>
  </r>
  <r>
    <x v="6"/>
    <s v="Wk 6"/>
    <x v="1"/>
    <d v="2022-02-12T00:00:00"/>
    <n v="2850"/>
    <n v="1000"/>
    <n v="1850"/>
    <n v="50.40409999994187"/>
    <n v="50.424296425099875"/>
    <n v="143689.04838637664"/>
    <n v="50404.099999941871"/>
    <n v="93284.948386434771"/>
    <n v="47"/>
    <n v="2950"/>
    <n v="1000"/>
    <n v="1950"/>
    <n v="1000"/>
    <n v="950"/>
    <n v="145756.84846830889"/>
    <n v="49396.017999943033"/>
    <n v="96360.830468365864"/>
    <n v="49415.810496597878"/>
    <n v="46945.019971767986"/>
    <n v="90"/>
    <n v="0"/>
    <n v="90"/>
    <n v="90"/>
    <n v="0"/>
    <n v="2656"/>
    <n v="960"/>
    <n v="1696"/>
    <n v="938"/>
    <n v="758"/>
    <n v="129602.87999999999"/>
    <n v="47329.919999999998"/>
    <n v="82272.959999999992"/>
    <n v="45502.38"/>
    <n v="36770.58"/>
    <n v="49.8"/>
    <n v="49"/>
    <n v="49.302"/>
    <n v="48.51"/>
    <n v="117066.00000000001"/>
    <n v="61520.254785032565"/>
    <n v="43390.356013345445"/>
    <n v="5967.7678830113127"/>
    <n v="6187.6213186106907"/>
    <n v="0"/>
    <n v="117066.00000000001"/>
    <e v="#REF!"/>
    <e v="#REF!"/>
    <e v="#REF!"/>
    <x v="2"/>
  </r>
  <r>
    <x v="6"/>
    <s v="Wk 6"/>
    <x v="6"/>
    <d v="2022-02-13T00:00:00"/>
    <n v="200"/>
    <n v="0"/>
    <n v="200"/>
    <n v="0"/>
    <n v="53.52513125092981"/>
    <n v="10705.026250185962"/>
    <n v="0"/>
    <n v="10705.026250185962"/>
    <n v="48"/>
    <n v="200"/>
    <n v="0"/>
    <n v="200"/>
    <n v="200"/>
    <n v="0"/>
    <n v="10490.925725182242"/>
    <n v="0"/>
    <n v="10490.925725182242"/>
    <n v="10490.925725182242"/>
    <n v="0"/>
    <n v="90"/>
    <n v="0"/>
    <n v="90"/>
    <n v="90"/>
    <n v="0"/>
    <n v="100"/>
    <n v="0"/>
    <n v="100"/>
    <n v="100"/>
    <n v="0"/>
    <n v="5068.8"/>
    <n v="0"/>
    <n v="5068.8"/>
    <n v="5068.8"/>
    <n v="0"/>
    <n v="0"/>
    <n v="53.52513125092981"/>
    <s v="-"/>
    <n v="50.688000000000002"/>
    <n v="0"/>
    <n v="0"/>
    <n v="0"/>
    <n v="0"/>
    <n v="0"/>
    <n v="0"/>
    <n v="0"/>
    <e v="#REF!"/>
    <e v="#REF!"/>
    <e v="#REF!"/>
    <x v="2"/>
  </r>
  <r>
    <x v="7"/>
    <s v="Wk 7"/>
    <x v="2"/>
    <d v="2022-02-14T00:00:00"/>
    <n v="2300"/>
    <n v="750"/>
    <n v="1550"/>
    <n v="47.804943632674814"/>
    <n v="49.323862767677412"/>
    <n v="112305.6950144061"/>
    <n v="35853.707724506108"/>
    <n v="76451.987289899989"/>
    <n v="50"/>
    <n v="2300"/>
    <n v="750"/>
    <n v="1550"/>
    <n v="650"/>
    <n v="900"/>
    <n v="110059.58111411797"/>
    <n v="35136.633570015983"/>
    <n v="74922.947544101989"/>
    <n v="31419.30058301051"/>
    <n v="43503.646961091479"/>
    <n v="90"/>
    <n v="0"/>
    <n v="90"/>
    <n v="90"/>
    <n v="0"/>
    <n v="2230"/>
    <n v="755"/>
    <n v="1475"/>
    <n v="546"/>
    <n v="929"/>
    <n v="105293.43"/>
    <n v="35055.404999999999"/>
    <n v="70238.024999999994"/>
    <n v="25999.974000000002"/>
    <n v="44238.050999999999"/>
    <n v="46.9"/>
    <n v="48.1"/>
    <n v="46.430999999999997"/>
    <n v="47.618999999999993"/>
    <n v="342987.99999999971"/>
    <n v="147902.29841560099"/>
    <n v="67739.7527781549"/>
    <n v="120979.8186029417"/>
    <n v="6366.1302033021602"/>
    <n v="0"/>
    <n v="342987.99999999971"/>
    <e v="#REF!"/>
    <e v="#REF!"/>
    <e v="#REF!"/>
    <x v="2"/>
  </r>
  <r>
    <x v="7"/>
    <s v="Wk 7"/>
    <x v="3"/>
    <d v="2022-02-15T00:00:00"/>
    <n v="2600"/>
    <n v="550"/>
    <n v="2050"/>
    <n v="49.412713909918601"/>
    <n v="50.484437646418584"/>
    <n v="130670.08982561332"/>
    <n v="27176.992650455231"/>
    <n v="103493.09717515809"/>
    <n v="51"/>
    <n v="2600"/>
    <n v="500"/>
    <n v="2100"/>
    <n v="1100"/>
    <n v="1000"/>
    <n v="128109.20249218956"/>
    <n v="24212.229815860115"/>
    <n v="103896.97267632945"/>
    <n v="54422.223782839232"/>
    <n v="49474.748893490214"/>
    <n v="90"/>
    <n v="0"/>
    <n v="90"/>
    <n v="90"/>
    <n v="0"/>
    <n v="2410"/>
    <n v="500"/>
    <n v="1910"/>
    <n v="870"/>
    <n v="1040"/>
    <n v="114595.47"/>
    <n v="23265"/>
    <n v="91330.47"/>
    <n v="41600.79"/>
    <n v="49729.68"/>
    <n v="47"/>
    <n v="48.3"/>
    <n v="46.53"/>
    <n v="47.817"/>
    <n v="147310.00000000006"/>
    <n v="65206.195251952129"/>
    <n v="68393.501564107355"/>
    <n v="6435.4251939609594"/>
    <n v="7274.8779899796473"/>
    <n v="0"/>
    <n v="147310.00000000006"/>
    <e v="#REF!"/>
    <e v="#REF!"/>
    <e v="#REF!"/>
    <x v="2"/>
  </r>
  <r>
    <x v="7"/>
    <s v="Wk 7"/>
    <x v="4"/>
    <d v="2022-02-16T00:00:00"/>
    <n v="2600"/>
    <n v="550"/>
    <n v="2050"/>
    <n v="50.656071559667367"/>
    <n v="50.6252081971842"/>
    <n v="131642.51616204466"/>
    <n v="27860.839357817051"/>
    <n v="103781.67680422761"/>
    <n v="52"/>
    <n v="2600"/>
    <n v="500"/>
    <n v="2100"/>
    <n v="1100"/>
    <n v="1000"/>
    <n v="129008.15353404208"/>
    <n v="24821.475064237009"/>
    <n v="104186.67846980508"/>
    <n v="54573.974436564567"/>
    <n v="49612.704033240516"/>
    <n v="90"/>
    <n v="0"/>
    <n v="90"/>
    <n v="90"/>
    <n v="0"/>
    <n v="2226"/>
    <n v="450"/>
    <n v="1776"/>
    <n v="866"/>
    <n v="910"/>
    <n v="106351.542"/>
    <n v="21428.55"/>
    <n v="84922.991999999998"/>
    <n v="41409.521999999997"/>
    <n v="43513.47"/>
    <n v="48.1"/>
    <n v="48.3"/>
    <n v="47.619"/>
    <n v="47.817"/>
    <n v="151304.00000000009"/>
    <n v="60536.279021498696"/>
    <n v="61388.037190742783"/>
    <n v="20518.534991012835"/>
    <n v="8861.1487967457724"/>
    <n v="0"/>
    <n v="151304.00000000009"/>
    <e v="#REF!"/>
    <e v="#REF!"/>
    <e v="#REF!"/>
    <x v="2"/>
  </r>
  <r>
    <x v="7"/>
    <s v="Wk 7"/>
    <x v="5"/>
    <d v="2022-02-17T00:00:00"/>
    <n v="2500"/>
    <n v="500"/>
    <n v="2000"/>
    <n v="49.60583546338934"/>
    <n v="50.297197327742794"/>
    <n v="125397.31238718027"/>
    <n v="24802.91773169467"/>
    <n v="100594.39465548559"/>
    <n v="53"/>
    <n v="2500"/>
    <n v="500"/>
    <n v="2000"/>
    <n v="1050"/>
    <n v="950"/>
    <n v="122889.36613943666"/>
    <n v="24306.859377060777"/>
    <n v="98582.50676237588"/>
    <n v="51755.816050247333"/>
    <n v="46826.69071212854"/>
    <n v="90"/>
    <n v="0"/>
    <n v="90"/>
    <n v="90"/>
    <n v="0"/>
    <n v="2150"/>
    <n v="480"/>
    <n v="1670"/>
    <n v="725"/>
    <n v="945"/>
    <n v="104788.53000000001"/>
    <n v="22619.52"/>
    <n v="82169.010000000009"/>
    <n v="35672.175000000003"/>
    <n v="46496.834999999999"/>
    <n v="47.6"/>
    <n v="49.7"/>
    <n v="47.124000000000002"/>
    <n v="49.203000000000003"/>
    <n v="134488.00000000009"/>
    <n v="57180.579026895146"/>
    <n v="57124.098150000296"/>
    <n v="10952.349339017601"/>
    <n v="9230.9734840870406"/>
    <n v="0"/>
    <n v="134488.00000000009"/>
    <e v="#REF!"/>
    <e v="#REF!"/>
    <e v="#REF!"/>
    <x v="2"/>
  </r>
  <r>
    <x v="7"/>
    <s v="Wk 7"/>
    <x v="0"/>
    <d v="2022-02-18T00:00:00"/>
    <n v="3050"/>
    <n v="1000"/>
    <n v="2050"/>
    <n v="52.296486312906282"/>
    <n v="52.844192173725169"/>
    <n v="160627.08026904287"/>
    <n v="52296.48631290628"/>
    <n v="108330.5939561366"/>
    <n v="54"/>
    <n v="3050"/>
    <n v="1000"/>
    <n v="2050"/>
    <n v="1050"/>
    <n v="1000"/>
    <n v="157414.53866366201"/>
    <n v="51250.556586648156"/>
    <n v="106163.98207701386"/>
    <n v="54376.673746763197"/>
    <n v="51787.308330250664"/>
    <n v="90"/>
    <n v="0"/>
    <n v="90"/>
    <n v="90"/>
    <n v="0"/>
    <n v="2920"/>
    <n v="1120"/>
    <n v="1800"/>
    <n v="925"/>
    <n v="875"/>
    <n v="144231.12"/>
    <n v="54774.720000000001"/>
    <n v="89456.4"/>
    <n v="45970.65"/>
    <n v="43485.75"/>
    <n v="49.4"/>
    <n v="50.2"/>
    <n v="48.905999999999999"/>
    <n v="49.697999999999993"/>
    <n v="129418.00000000007"/>
    <n v="57286.371441973664"/>
    <n v="57354.147934372944"/>
    <n v="5653.7903587810697"/>
    <n v="9123.6902648723881"/>
    <n v="0"/>
    <n v="129418.00000000007"/>
    <e v="#REF!"/>
    <e v="#REF!"/>
    <e v="#REF!"/>
    <x v="2"/>
  </r>
  <r>
    <x v="7"/>
    <s v="Wk 7"/>
    <x v="1"/>
    <d v="2022-02-19T00:00:00"/>
    <n v="2900"/>
    <n v="1000"/>
    <n v="1900"/>
    <n v="50.873471249806904"/>
    <n v="52.265285018238252"/>
    <n v="150177.5127844596"/>
    <n v="50873.471249806906"/>
    <n v="99304.041534652686"/>
    <n v="55"/>
    <n v="2900"/>
    <n v="1000"/>
    <n v="1900"/>
    <n v="1000"/>
    <n v="900"/>
    <n v="147173.96252877038"/>
    <n v="49856.001824810766"/>
    <n v="97317.96070395963"/>
    <n v="51219.979317873491"/>
    <n v="46097.98138608614"/>
    <n v="90"/>
    <n v="0"/>
    <n v="90"/>
    <n v="90"/>
    <n v="0"/>
    <n v="2670"/>
    <n v="970"/>
    <n v="1700"/>
    <n v="925"/>
    <n v="775"/>
    <n v="129523.68"/>
    <n v="45710.28"/>
    <n v="83813.399999999994"/>
    <n v="45604.35"/>
    <n v="38209.050000000003"/>
    <n v="47.6"/>
    <n v="49.8"/>
    <n v="47.124000000000002"/>
    <n v="49.302"/>
    <n v="116030.00000000001"/>
    <n v="60975.818450338513"/>
    <n v="43006.364001746639"/>
    <n v="5914.9548755898604"/>
    <n v="6132.8626723249999"/>
    <n v="0"/>
    <n v="116030.00000000001"/>
    <e v="#REF!"/>
    <e v="#REF!"/>
    <e v="#REF!"/>
    <x v="2"/>
  </r>
  <r>
    <x v="7"/>
    <s v="Wk 7"/>
    <x v="6"/>
    <d v="2022-02-20T00:00:00"/>
    <n v="100"/>
    <n v="0"/>
    <n v="100"/>
    <n v="0"/>
    <n v="54.714699446368876"/>
    <n v="5471.4699446368877"/>
    <n v="0"/>
    <n v="5471.4699446368877"/>
    <n v="56"/>
    <n v="200"/>
    <n v="0"/>
    <n v="200"/>
    <n v="200"/>
    <n v="0"/>
    <n v="10724.0810914883"/>
    <n v="0"/>
    <n v="10724.0810914883"/>
    <n v="10724.0810914883"/>
    <n v="0"/>
    <n v="90"/>
    <n v="0"/>
    <n v="90"/>
    <n v="90"/>
    <n v="0"/>
    <n v="85"/>
    <n v="0"/>
    <n v="85"/>
    <n v="85"/>
    <n v="0"/>
    <n v="4586.1750000000002"/>
    <n v="0"/>
    <n v="4586.1750000000002"/>
    <n v="4586.1750000000002"/>
    <n v="0"/>
    <n v="0"/>
    <n v="54.714699446368876"/>
    <s v="-"/>
    <n v="53.955000000000005"/>
    <n v="0"/>
    <n v="0"/>
    <n v="0"/>
    <n v="0"/>
    <n v="0"/>
    <n v="0"/>
    <n v="0"/>
    <e v="#REF!"/>
    <e v="#REF!"/>
    <e v="#REF!"/>
    <x v="2"/>
  </r>
  <r>
    <x v="8"/>
    <s v="Wk 8"/>
    <x v="2"/>
    <d v="2022-02-21T00:00:00"/>
    <n v="2350"/>
    <n v="750"/>
    <n v="1600"/>
    <n v="48.627944905628581"/>
    <n v="50.909683743797316"/>
    <n v="117926.45266929714"/>
    <n v="36470.95867922144"/>
    <n v="81455.493990075702"/>
    <n v="58"/>
    <n v="2300"/>
    <n v="700"/>
    <n v="1600"/>
    <n v="700"/>
    <n v="900"/>
    <n v="113185.15431553542"/>
    <n v="33358.770205261208"/>
    <n v="79826.384110274201"/>
    <n v="34924.043048244959"/>
    <n v="44902.341062029234"/>
    <n v="90"/>
    <n v="0"/>
    <n v="90"/>
    <n v="90"/>
    <n v="0"/>
    <n v="2433"/>
    <n v="800"/>
    <n v="1633"/>
    <n v="640"/>
    <n v="993"/>
    <n v="110989.89000000001"/>
    <n v="35006.400000000001"/>
    <n v="75983.490000000005"/>
    <n v="29779.200000000001"/>
    <n v="46204.29"/>
    <n v="44.2"/>
    <n v="47"/>
    <n v="43.758000000000003"/>
    <n v="46.53"/>
    <n v="220237"/>
    <n v="91629"/>
    <n v="65115"/>
    <n v="56510"/>
    <n v="6983"/>
    <n v="0"/>
    <n v="220237"/>
    <e v="#REF!"/>
    <e v="#REF!"/>
    <e v="#REF!"/>
    <x v="2"/>
  </r>
  <r>
    <x v="8"/>
    <s v="Wk 8"/>
    <x v="3"/>
    <d v="2022-02-22T00:00:00"/>
    <n v="2550"/>
    <n v="550"/>
    <n v="2000"/>
    <n v="45.749039422813475"/>
    <n v="49.008794889752131"/>
    <n v="123179.56146205167"/>
    <n v="25161.97168254741"/>
    <n v="98017.589779504269"/>
    <n v="59"/>
    <n v="2550"/>
    <n v="550"/>
    <n v="2000"/>
    <n v="1050"/>
    <n v="950"/>
    <n v="120715.97023281064"/>
    <n v="24658.73224889646"/>
    <n v="96057.237983914179"/>
    <n v="50430.049941554942"/>
    <n v="45627.188042359237"/>
    <n v="90"/>
    <n v="0"/>
    <n v="90"/>
    <n v="90"/>
    <n v="0"/>
    <n v="2450"/>
    <n v="475"/>
    <n v="1975"/>
    <n v="925"/>
    <n v="1050"/>
    <n v="111303.22500000001"/>
    <n v="19797.525000000001"/>
    <n v="91505.7"/>
    <n v="42857.1"/>
    <n v="48648.6"/>
    <n v="42.1"/>
    <n v="46.8"/>
    <n v="41.679000000000002"/>
    <n v="46.332000000000001"/>
    <n v="147366"/>
    <n v="65231"/>
    <n v="68419"/>
    <n v="6438"/>
    <n v="7278"/>
    <n v="0"/>
    <n v="147366"/>
    <e v="#REF!"/>
    <e v="#REF!"/>
    <e v="#REF!"/>
    <x v="2"/>
  </r>
  <r>
    <x v="8"/>
    <s v="Wk 8"/>
    <x v="4"/>
    <d v="2022-02-23T00:00:00"/>
    <n v="2500"/>
    <n v="500"/>
    <n v="2000"/>
    <n v="47.958344728403056"/>
    <n v="49.877765520034295"/>
    <n v="123734.70340427011"/>
    <n v="23979.172364201528"/>
    <n v="99755.531040068585"/>
    <n v="60"/>
    <n v="2500"/>
    <n v="500"/>
    <n v="2000"/>
    <n v="1050"/>
    <n v="950"/>
    <n v="121260.0093361847"/>
    <n v="23499.588916917495"/>
    <n v="97760.420419267204"/>
    <n v="51324.220720115285"/>
    <n v="46436.199699151926"/>
    <n v="90"/>
    <n v="0"/>
    <n v="90"/>
    <n v="90"/>
    <n v="0"/>
    <n v="2225"/>
    <n v="500"/>
    <n v="1725"/>
    <n v="800"/>
    <n v="925"/>
    <n v="102908.02499999999"/>
    <n v="22473"/>
    <n v="80435.024999999994"/>
    <n v="37303.199999999997"/>
    <n v="43131.824999999997"/>
    <n v="45.4"/>
    <n v="47.1"/>
    <n v="44.945999999999998"/>
    <n v="46.628999999999998"/>
    <n v="150658"/>
    <n v="59137"/>
    <n v="59969"/>
    <n v="22896"/>
    <n v="8656"/>
    <n v="0"/>
    <n v="150658"/>
    <e v="#REF!"/>
    <e v="#REF!"/>
    <e v="#REF!"/>
    <x v="2"/>
  </r>
  <r>
    <x v="8"/>
    <s v="Wk 8"/>
    <x v="5"/>
    <d v="2022-02-24T00:00:00"/>
    <n v="2275"/>
    <n v="500"/>
    <n v="1775"/>
    <n v="49.228120184975303"/>
    <n v="50.84082878899401"/>
    <n v="114856.53119295201"/>
    <n v="24614.060092487653"/>
    <n v="90242.471100464361"/>
    <n v="61"/>
    <n v="2500"/>
    <n v="500"/>
    <n v="2000"/>
    <n v="1050"/>
    <n v="950"/>
    <n v="123769.80331706615"/>
    <n v="24121.778890637899"/>
    <n v="99648.024426428252"/>
    <n v="52315.212823874834"/>
    <n v="47332.811602553425"/>
    <n v="90"/>
    <n v="0"/>
    <n v="90"/>
    <n v="90"/>
    <n v="0"/>
    <n v="2130"/>
    <n v="460"/>
    <n v="1670"/>
    <n v="730"/>
    <n v="940"/>
    <n v="103508.46"/>
    <n v="22496.76"/>
    <n v="81011.700000000012"/>
    <n v="35412.300000000003"/>
    <n v="45599.4"/>
    <n v="49.4"/>
    <n v="49"/>
    <n v="48.905999999999999"/>
    <n v="48.510000000000005"/>
    <n v="131296"/>
    <n v="56059"/>
    <n v="56004"/>
    <n v="10183"/>
    <n v="9050"/>
    <n v="0"/>
    <n v="131296"/>
    <e v="#REF!"/>
    <e v="#REF!"/>
    <e v="#REF!"/>
    <x v="2"/>
  </r>
  <r>
    <x v="8"/>
    <s v="Wk 8"/>
    <x v="0"/>
    <d v="2022-02-25T00:00:00"/>
    <n v="3150"/>
    <n v="1100"/>
    <n v="2050"/>
    <n v="51.589574892283395"/>
    <n v="52.889608435368629"/>
    <n v="165172.22967401744"/>
    <n v="56748.532381511737"/>
    <n v="108423.69729250569"/>
    <n v="62"/>
    <n v="3050"/>
    <n v="1000"/>
    <n v="2050"/>
    <n v="1050"/>
    <n v="1000"/>
    <n v="156813.0067410933"/>
    <n v="50557.783394437727"/>
    <n v="106255.22334665558"/>
    <n v="54423.407079994315"/>
    <n v="51831.816266661255"/>
    <n v="90"/>
    <n v="0"/>
    <n v="90"/>
    <n v="90"/>
    <n v="0"/>
    <n v="3030"/>
    <n v="1090"/>
    <n v="1940"/>
    <n v="1020"/>
    <n v="920"/>
    <n v="156633.84"/>
    <n v="55034.1"/>
    <n v="101599.73999999999"/>
    <n v="53418.42"/>
    <n v="48181.32"/>
    <n v="51"/>
    <n v="52.9"/>
    <n v="50.49"/>
    <n v="52.370999999999995"/>
    <n v="121062"/>
    <n v="52533"/>
    <n v="52595"/>
    <n v="7567"/>
    <n v="8367"/>
    <n v="0"/>
    <n v="121062"/>
    <e v="#REF!"/>
    <e v="#REF!"/>
    <e v="#REF!"/>
    <x v="2"/>
  </r>
  <r>
    <x v="8"/>
    <s v="Wk 8"/>
    <x v="1"/>
    <d v="2022-02-26T00:00:00"/>
    <n v="3000"/>
    <n v="1000"/>
    <n v="2000"/>
    <n v="49.835195994840348"/>
    <n v="52.015748789611045"/>
    <n v="153866.69357406243"/>
    <n v="49835.195994840346"/>
    <n v="104031.49757922209"/>
    <n v="63"/>
    <n v="3000"/>
    <n v="1000"/>
    <n v="2000"/>
    <n v="1050"/>
    <n v="950"/>
    <n v="150789.35970258119"/>
    <n v="48838.492074943541"/>
    <n v="101950.86762763764"/>
    <n v="53524.205504509759"/>
    <n v="48426.662123127884"/>
    <n v="90"/>
    <n v="0"/>
    <n v="90"/>
    <n v="90"/>
    <n v="0"/>
    <n v="2796"/>
    <n v="1050"/>
    <n v="1746"/>
    <n v="971"/>
    <n v="775"/>
    <n v="144832.644"/>
    <n v="52182.9"/>
    <n v="92649.744000000006"/>
    <n v="51525.144"/>
    <n v="41124.6"/>
    <n v="50.2"/>
    <n v="53.6"/>
    <n v="49.698"/>
    <n v="53.064"/>
    <n v="118680"/>
    <n v="62368"/>
    <n v="43989"/>
    <n v="6050"/>
    <n v="6273"/>
    <n v="0"/>
    <n v="118680"/>
    <e v="#REF!"/>
    <e v="#REF!"/>
    <e v="#REF!"/>
    <x v="2"/>
  </r>
  <r>
    <x v="8"/>
    <s v="Wk 8"/>
    <x v="6"/>
    <d v="2022-02-27T00:00:00"/>
    <n v="100"/>
    <n v="0"/>
    <n v="100"/>
    <n v="0"/>
    <n v="54.513742556911666"/>
    <n v="5451.3742556911666"/>
    <n v="0"/>
    <n v="5451.3742556911666"/>
    <n v="64"/>
    <n v="100"/>
    <n v="0"/>
    <n v="100"/>
    <n v="100"/>
    <n v="0"/>
    <n v="5342.3467705773428"/>
    <n v="0"/>
    <n v="5342.3467705773428"/>
    <n v="5342.3467705773428"/>
    <n v="0"/>
    <n v="90"/>
    <n v="0"/>
    <n v="90"/>
    <n v="90"/>
    <n v="0"/>
    <n v="90"/>
    <n v="0"/>
    <n v="90"/>
    <n v="90"/>
    <n v="0"/>
    <n v="5550.93"/>
    <n v="0"/>
    <n v="5550.93"/>
    <n v="5550.93"/>
    <n v="0"/>
    <n v="0"/>
    <n v="54.513742556911666"/>
    <s v="-"/>
    <n v="61.677000000000007"/>
    <n v="0"/>
    <n v="0"/>
    <n v="0"/>
    <n v="0"/>
    <n v="0"/>
    <n v="0"/>
    <n v="0"/>
    <e v="#REF!"/>
    <e v="#REF!"/>
    <e v="#REF!"/>
    <x v="2"/>
  </r>
  <r>
    <x v="9"/>
    <s v="Wk 9"/>
    <x v="2"/>
    <d v="2022-02-28T00:00:00"/>
    <n v="2450"/>
    <n v="800"/>
    <n v="1650"/>
    <n v="47.451199931484496"/>
    <n v="50.332263027690772"/>
    <n v="121009.19394087738"/>
    <n v="37960.959945187598"/>
    <n v="83048.233995689778"/>
    <n v="66"/>
    <n v="2450"/>
    <n v="800"/>
    <n v="1650"/>
    <n v="700"/>
    <n v="950"/>
    <n v="118589.01006205982"/>
    <n v="37201.740746283846"/>
    <n v="81387.269315775979"/>
    <n v="34527.932436995863"/>
    <n v="46859.336878780108"/>
    <n v="90"/>
    <n v="0"/>
    <n v="90"/>
    <n v="90"/>
    <n v="0"/>
    <n v="2365"/>
    <n v="765"/>
    <n v="1600"/>
    <n v="690"/>
    <n v="910"/>
    <n v="121076.00999999998"/>
    <n v="36807.21"/>
    <n v="84268.799999999988"/>
    <n v="36340.92"/>
    <n v="47927.88"/>
    <n v="48.6"/>
    <n v="53.2"/>
    <n v="48.113999999999997"/>
    <n v="52.667999999999992"/>
    <n v="202124.00000000003"/>
    <n v="87292.693709806335"/>
    <n v="62034.009015618787"/>
    <n v="46144.901464056544"/>
    <n v="6652.3958105183474"/>
    <n v="0"/>
    <n v="202124.00000000003"/>
    <e v="#REF!"/>
    <e v="#REF!"/>
    <e v="#REF!"/>
    <x v="2"/>
  </r>
  <r>
    <x v="9"/>
    <s v="Wk 9"/>
    <x v="3"/>
    <d v="2022-03-01T00:00:00"/>
    <n v="2568.8402625820568"/>
    <n v="500"/>
    <n v="2068.8402625820568"/>
    <n v="45.284946988980224"/>
    <n v="48.833005283226392"/>
    <n v="123670.16096731117"/>
    <n v="22642.47349449011"/>
    <n v="101027.68747282105"/>
    <n v="67"/>
    <n v="2450"/>
    <n v="500"/>
    <n v="1950"/>
    <n v="950"/>
    <n v="1000"/>
    <n v="115509.49712084595"/>
    <n v="22189.624024600307"/>
    <n v="93319.873096245632"/>
    <n v="45463.527918683772"/>
    <n v="47856.34517756186"/>
    <n v="90"/>
    <n v="0"/>
    <n v="90"/>
    <n v="90"/>
    <n v="0"/>
    <n v="2392"/>
    <n v="475"/>
    <n v="1917"/>
    <n v="950"/>
    <n v="967"/>
    <n v="118506.46500000001"/>
    <n v="22666.05"/>
    <n v="95840.415000000008"/>
    <n v="47495.25"/>
    <n v="48345.165000000001"/>
    <n v="48.2"/>
    <n v="50.5"/>
    <n v="47.717999999999996"/>
    <n v="49.995000000000005"/>
    <n v="147268.00000000009"/>
    <n v="65187.604116247952"/>
    <n v="68374.001685852709"/>
    <n v="6433.5903704041984"/>
    <n v="7272.8038274952323"/>
    <n v="0"/>
    <n v="147268.00000000009"/>
    <e v="#REF!"/>
    <e v="#REF!"/>
    <e v="#REF!"/>
    <x v="3"/>
  </r>
  <r>
    <x v="9"/>
    <s v="Wk 9"/>
    <x v="4"/>
    <d v="2022-03-02T00:00:00"/>
    <n v="2467.4617067833697"/>
    <n v="550"/>
    <n v="1917.4617067833699"/>
    <n v="47.460910003845655"/>
    <n v="49.635866422797029"/>
    <n v="121278.37365084287"/>
    <n v="26103.500502115108"/>
    <n v="95174.873148727755"/>
    <n v="68"/>
    <n v="2450"/>
    <n v="500"/>
    <n v="1950"/>
    <n v="950"/>
    <n v="1000"/>
    <n v="118109.98663584949"/>
    <n v="23255.845901884368"/>
    <n v="94854.14073396512"/>
    <n v="46210.991639624037"/>
    <n v="48643.14909434109"/>
    <n v="90"/>
    <n v="0"/>
    <n v="90"/>
    <n v="90"/>
    <n v="0"/>
    <n v="2322"/>
    <n v="450"/>
    <n v="1872"/>
    <n v="952"/>
    <n v="920"/>
    <n v="122056.308"/>
    <n v="22720.5"/>
    <n v="99335.808000000005"/>
    <n v="50516.928000000007"/>
    <n v="48818.879999999997"/>
    <n v="51"/>
    <n v="53.6"/>
    <n v="50.49"/>
    <n v="53.064"/>
    <n v="149832.00000000012"/>
    <n v="62730.918326767714"/>
    <n v="63613.555532302467"/>
    <n v="14305.131543260874"/>
    <n v="9182.3945976690375"/>
    <n v="0"/>
    <n v="149832.00000000012"/>
    <e v="#REF!"/>
    <e v="#REF!"/>
    <e v="#REF!"/>
    <x v="3"/>
  </r>
  <r>
    <x v="9"/>
    <s v="Wk 9"/>
    <x v="5"/>
    <d v="2022-03-03T00:00:00"/>
    <n v="2325"/>
    <n v="450"/>
    <n v="1875"/>
    <n v="48.968819177924793"/>
    <n v="50.913196389697404"/>
    <n v="117498.21186074879"/>
    <n v="22035.968630066156"/>
    <n v="95462.243230682638"/>
    <n v="69"/>
    <n v="2400"/>
    <n v="450"/>
    <n v="1950"/>
    <n v="950"/>
    <n v="1000"/>
    <n v="118890.36755817657"/>
    <n v="21595.249257464831"/>
    <n v="97295.118300711736"/>
    <n v="47400.185838808284"/>
    <n v="49894.932461903452"/>
    <n v="90"/>
    <n v="0"/>
    <n v="90"/>
    <n v="90"/>
    <n v="0"/>
    <n v="2287"/>
    <n v="505"/>
    <n v="1782"/>
    <n v="777"/>
    <n v="1005"/>
    <n v="114697.143"/>
    <n v="24547.544999999998"/>
    <n v="90149.597999999998"/>
    <n v="39307.653000000006"/>
    <n v="50841.945"/>
    <n v="49.1"/>
    <n v="51.1"/>
    <n v="48.608999999999995"/>
    <n v="50.588999999999999"/>
    <n v="143171.00000000006"/>
    <n v="60020.153682663746"/>
    <n v="59960.867978163158"/>
    <n v="13500.596794175157"/>
    <n v="9689.3815449980102"/>
    <n v="0"/>
    <n v="143171.00000000006"/>
    <e v="#REF!"/>
    <e v="#REF!"/>
    <e v="#REF!"/>
    <x v="3"/>
  </r>
  <r>
    <x v="9"/>
    <s v="Wk 9"/>
    <x v="0"/>
    <d v="2022-03-04T00:00:00"/>
    <n v="3050"/>
    <n v="1100"/>
    <n v="1950"/>
    <n v="50.619953014848441"/>
    <n v="53.296415923921735"/>
    <n v="159609.95936798066"/>
    <n v="55681.948316333284"/>
    <n v="103928.01105164738"/>
    <n v="70"/>
    <n v="3050"/>
    <n v="1100"/>
    <n v="1950"/>
    <n v="950"/>
    <n v="1000"/>
    <n v="156417.76018062106"/>
    <n v="54568.309350006617"/>
    <n v="101849.45083061443"/>
    <n v="49618.96322517113"/>
    <n v="52230.487605443297"/>
    <n v="90"/>
    <n v="0"/>
    <n v="90"/>
    <n v="90"/>
    <n v="0"/>
    <n v="2955"/>
    <n v="960"/>
    <n v="1995"/>
    <n v="1085"/>
    <n v="910"/>
    <n v="150097.85999999999"/>
    <n v="48185.279999999999"/>
    <n v="101912.58"/>
    <n v="55426.14"/>
    <n v="46486.44"/>
    <n v="50.7"/>
    <n v="51.6"/>
    <n v="50.192999999999998"/>
    <n v="51.084000000000003"/>
    <n v="116258.00000000007"/>
    <n v="51425.737234276654"/>
    <n v="51486.579909437489"/>
    <n v="5155.3840756499649"/>
    <n v="8190.298780635957"/>
    <n v="0"/>
    <n v="116258.00000000007"/>
    <e v="#REF!"/>
    <e v="#REF!"/>
    <e v="#REF!"/>
    <x v="3"/>
  </r>
  <r>
    <x v="9"/>
    <s v="Wk 9"/>
    <x v="1"/>
    <d v="2022-03-05T00:00:00"/>
    <n v="2950"/>
    <n v="1000"/>
    <n v="1950"/>
    <n v="49.083264211340556"/>
    <n v="52.182291072020377"/>
    <n v="150838.73180178029"/>
    <n v="49083.264211340553"/>
    <n v="101755.46759043973"/>
    <n v="71"/>
    <n v="2950"/>
    <n v="1000"/>
    <n v="1950"/>
    <n v="950"/>
    <n v="1000"/>
    <n v="147821.95716574468"/>
    <n v="48101.598927113744"/>
    <n v="99720.358238630928"/>
    <n v="48581.712988050967"/>
    <n v="51138.645250579968"/>
    <n v="90"/>
    <n v="0"/>
    <n v="90"/>
    <n v="90"/>
    <n v="0"/>
    <n v="2800"/>
    <n v="900"/>
    <n v="1900"/>
    <n v="1050"/>
    <n v="850"/>
    <n v="141401.70000000001"/>
    <n v="43213.5"/>
    <n v="98188.200000000012"/>
    <n v="54261.9"/>
    <n v="43926.3"/>
    <n v="48.5"/>
    <n v="52.2"/>
    <n v="48.015000000000001"/>
    <n v="51.678000000000004"/>
    <n v="111308"/>
    <n v="58494.323882360419"/>
    <n v="41256.161029961346"/>
    <n v="5674.2376738098437"/>
    <n v="5883.2774138684053"/>
    <n v="0"/>
    <n v="111308"/>
    <e v="#REF!"/>
    <e v="#REF!"/>
    <e v="#REF!"/>
    <x v="3"/>
  </r>
  <r>
    <x v="9"/>
    <s v="Wk 9"/>
    <x v="6"/>
    <d v="2022-03-06T00:00:00"/>
    <n v="100"/>
    <n v="0"/>
    <n v="100"/>
    <n v="0"/>
    <n v="55.690427427293777"/>
    <n v="5569.042742729378"/>
    <n v="0"/>
    <n v="5569.042742729378"/>
    <n v="72"/>
    <n v="100"/>
    <n v="0"/>
    <n v="100"/>
    <n v="100"/>
    <n v="0"/>
    <n v="5457.6618878747904"/>
    <n v="0"/>
    <n v="5457.6618878747904"/>
    <n v="5457.6618878747904"/>
    <n v="0"/>
    <n v="90"/>
    <n v="0"/>
    <n v="90"/>
    <n v="90"/>
    <n v="0"/>
    <n v="105"/>
    <n v="0"/>
    <n v="105"/>
    <n v="105"/>
    <n v="0"/>
    <n v="6029.1"/>
    <n v="0"/>
    <n v="6029.1"/>
    <n v="6029.1"/>
    <n v="0"/>
    <n v="0"/>
    <n v="55.690427427293777"/>
    <s v="-"/>
    <n v="57.42"/>
    <n v="0"/>
    <n v="0"/>
    <n v="0"/>
    <n v="0"/>
    <n v="0"/>
    <n v="0"/>
    <n v="0"/>
    <e v="#REF!"/>
    <e v="#REF!"/>
    <e v="#REF!"/>
    <x v="3"/>
  </r>
  <r>
    <x v="10"/>
    <s v="Wk 10"/>
    <x v="2"/>
    <d v="2022-03-07T00:00:00"/>
    <n v="2300"/>
    <n v="750"/>
    <n v="1550"/>
    <n v="47.506718726138502"/>
    <n v="50.676062236534342"/>
    <n v="114177.93551123209"/>
    <n v="35630.039044603873"/>
    <n v="78547.896466628226"/>
    <n v="74"/>
    <n v="2300"/>
    <n v="750"/>
    <n v="1550"/>
    <n v="700"/>
    <n v="850"/>
    <n v="111894.37680100747"/>
    <n v="34917.438263711796"/>
    <n v="76976.938537295675"/>
    <n v="34763.778694262561"/>
    <n v="42213.159843033107"/>
    <n v="90"/>
    <n v="0"/>
    <n v="90"/>
    <n v="90"/>
    <n v="0"/>
    <n v="2307"/>
    <n v="750"/>
    <n v="1557"/>
    <n v="657"/>
    <n v="900"/>
    <n v="117707.04000000001"/>
    <n v="36011.25"/>
    <n v="81695.790000000008"/>
    <n v="34472.79"/>
    <n v="47223"/>
    <n v="48.5"/>
    <n v="53"/>
    <n v="48.015000000000001"/>
    <n v="52.470000000000006"/>
    <n v="222648.00000000003"/>
    <n v="92645.616977367725"/>
    <n v="65838.030590937808"/>
    <n v="57104.021399958961"/>
    <n v="7060.3310317355072"/>
    <n v="0"/>
    <n v="222648.00000000003"/>
    <e v="#REF!"/>
    <e v="#REF!"/>
    <e v="#REF!"/>
    <x v="3"/>
  </r>
  <r>
    <x v="10"/>
    <s v="Wk 10"/>
    <x v="3"/>
    <d v="2022-03-08T00:00:00"/>
    <n v="2400"/>
    <n v="500"/>
    <n v="1900"/>
    <n v="48.05691816081567"/>
    <n v="50.950802658366037"/>
    <n v="120834.9841313033"/>
    <n v="24028.459080407836"/>
    <n v="96806.525050895463"/>
    <n v="75"/>
    <n v="2400"/>
    <n v="500"/>
    <n v="1900"/>
    <n v="950"/>
    <n v="950"/>
    <n v="118418.28444867724"/>
    <n v="23547.88989879968"/>
    <n v="94870.394549877557"/>
    <n v="47435.197274938779"/>
    <n v="47435.197274938779"/>
    <n v="90"/>
    <n v="0"/>
    <n v="90"/>
    <n v="90"/>
    <n v="0"/>
    <n v="2452"/>
    <n v="520"/>
    <n v="1932"/>
    <n v="922"/>
    <n v="1010"/>
    <n v="121580.31600000001"/>
    <n v="24607.439999999999"/>
    <n v="96972.876000000004"/>
    <n v="46277.946000000004"/>
    <n v="50694.93"/>
    <n v="47.8"/>
    <n v="50.7"/>
    <n v="47.321999999999996"/>
    <n v="50.193000000000005"/>
    <n v="147977.00000000006"/>
    <n v="64396.595556644133"/>
    <n v="67544.328294398889"/>
    <n v="8851.5229966915649"/>
    <n v="7184.5531522654883"/>
    <n v="0"/>
    <n v="147977.00000000006"/>
    <e v="#REF!"/>
    <e v="#REF!"/>
    <e v="#REF!"/>
    <x v="3"/>
  </r>
  <r>
    <x v="10"/>
    <s v="Wk 10"/>
    <x v="4"/>
    <d v="2022-03-09T00:00:00"/>
    <n v="2350"/>
    <n v="500"/>
    <n v="1850"/>
    <n v="48.622742470437608"/>
    <n v="51.233513400073036"/>
    <n v="119093.37102535392"/>
    <n v="24311.371235218805"/>
    <n v="94781.999790135116"/>
    <n v="76"/>
    <n v="2350"/>
    <n v="500"/>
    <n v="1850"/>
    <n v="900"/>
    <n v="950"/>
    <n v="116711.50360484685"/>
    <n v="23825.14381051443"/>
    <n v="92886.359794332413"/>
    <n v="45187.958818864419"/>
    <n v="47698.400975467994"/>
    <n v="90"/>
    <n v="0"/>
    <n v="90"/>
    <n v="90"/>
    <n v="0"/>
    <n v="2411"/>
    <n v="477"/>
    <n v="1934"/>
    <n v="954"/>
    <n v="980"/>
    <n v="120403.99800000001"/>
    <n v="23139.27"/>
    <n v="97264.728000000003"/>
    <n v="47978.567999999999"/>
    <n v="49286.159999999996"/>
    <n v="49"/>
    <n v="50.8"/>
    <n v="48.51"/>
    <n v="50.292000000000002"/>
    <n v="135329.00000000006"/>
    <n v="55362.188896591571"/>
    <n v="56141.146530296792"/>
    <n v="15721.886120656378"/>
    <n v="8103.7784524553281"/>
    <n v="0"/>
    <n v="135329.00000000006"/>
    <e v="#REF!"/>
    <e v="#REF!"/>
    <e v="#REF!"/>
    <x v="3"/>
  </r>
  <r>
    <x v="10"/>
    <s v="Wk 10"/>
    <x v="5"/>
    <d v="2022-03-10T00:00:00"/>
    <n v="2216.7808219178082"/>
    <n v="450"/>
    <n v="1766.7808219178082"/>
    <n v="49.090899756043285"/>
    <n v="51.121604184200493"/>
    <n v="112411.57474853809"/>
    <n v="22090.904890219477"/>
    <n v="90320.669858318608"/>
    <n v="77"/>
    <n v="2200"/>
    <n v="450"/>
    <n v="1750"/>
    <n v="850"/>
    <n v="900"/>
    <n v="109322.63796831894"/>
    <n v="21649.086792415088"/>
    <n v="87673.551175903849"/>
    <n v="42584.296285439006"/>
    <n v="45089.254890464836"/>
    <n v="90"/>
    <n v="0"/>
    <n v="90"/>
    <n v="90"/>
    <n v="0"/>
    <n v="2225"/>
    <n v="425"/>
    <n v="1800"/>
    <n v="900"/>
    <n v="900"/>
    <n v="115384.5"/>
    <n v="22720.5"/>
    <n v="92664"/>
    <n v="46332"/>
    <n v="46332"/>
    <n v="54"/>
    <n v="52"/>
    <n v="53.46"/>
    <n v="51.48"/>
    <n v="118253.00000000007"/>
    <n v="50640.925719907566"/>
    <n v="50590.904472482238"/>
    <n v="8845.9283097895823"/>
    <n v="8175.2414978206816"/>
    <n v="0"/>
    <n v="118253.00000000007"/>
    <e v="#REF!"/>
    <e v="#REF!"/>
    <e v="#REF!"/>
    <x v="3"/>
  </r>
  <r>
    <x v="10"/>
    <s v="Wk 10"/>
    <x v="0"/>
    <d v="2022-03-11T00:00:00"/>
    <n v="3018.6986301369861"/>
    <n v="1050"/>
    <n v="1968.6986301369861"/>
    <n v="50.74614991385738"/>
    <n v="53.513732329026361"/>
    <n v="158635.86893922178"/>
    <n v="53283.457409550247"/>
    <n v="105352.41152967155"/>
    <n v="78"/>
    <n v="3050"/>
    <n v="1050"/>
    <n v="2000"/>
    <n v="950"/>
    <n v="1050"/>
    <n v="157104.70362625091"/>
    <n v="52217.788261359237"/>
    <n v="104886.91536489167"/>
    <n v="49821.284798323541"/>
    <n v="55065.630566568121"/>
    <n v="90"/>
    <n v="0"/>
    <n v="90"/>
    <n v="90"/>
    <n v="0"/>
    <n v="3049"/>
    <n v="1050"/>
    <n v="1999"/>
    <n v="1033"/>
    <n v="966"/>
    <n v="151737.10200000001"/>
    <n v="52390.8"/>
    <n v="99346.302000000011"/>
    <n v="51338.034000000007"/>
    <n v="48008.268000000004"/>
    <n v="50.4"/>
    <n v="50.2"/>
    <n v="49.896000000000001"/>
    <n v="49.698000000000008"/>
    <n v="113826.00000000006"/>
    <n v="50384.633634842867"/>
    <n v="50444.24456240968"/>
    <n v="4972.633956471388"/>
    <n v="8024.4878462761317"/>
    <n v="0"/>
    <n v="113826.00000000006"/>
    <e v="#REF!"/>
    <e v="#REF!"/>
    <e v="#REF!"/>
    <x v="3"/>
  </r>
  <r>
    <x v="10"/>
    <s v="Wk 10"/>
    <x v="1"/>
    <d v="2022-03-12T00:00:00"/>
    <n v="2968.2191780821918"/>
    <n v="1050"/>
    <n v="1918.2191780821918"/>
    <n v="49.205630103993414"/>
    <n v="52.395442814858448"/>
    <n v="152171.85486076333"/>
    <n v="51665.911609193085"/>
    <n v="100505.94325157025"/>
    <n v="79"/>
    <n v="2950"/>
    <n v="1050"/>
    <n v="1900"/>
    <n v="950"/>
    <n v="950"/>
    <n v="148192.90789827565"/>
    <n v="50632.593377009223"/>
    <n v="97560.314521266439"/>
    <n v="48780.157260633219"/>
    <n v="48780.157260633219"/>
    <n v="90"/>
    <n v="0"/>
    <n v="90"/>
    <n v="90"/>
    <n v="0"/>
    <n v="2636"/>
    <n v="805"/>
    <n v="1831"/>
    <n v="1008"/>
    <n v="823"/>
    <n v="132669.70199999999"/>
    <n v="42397.74"/>
    <n v="90271.961999999985"/>
    <n v="49696.41599999999"/>
    <n v="40575.545999999995"/>
    <n v="53.2"/>
    <n v="49.8"/>
    <n v="52.667999999999999"/>
    <n v="49.301999999999992"/>
    <n v="117778.00000000001"/>
    <n v="61894.423385710325"/>
    <n v="43654.257859154663"/>
    <n v="6004.0640811619633"/>
    <n v="6225.2546739730578"/>
    <n v="0"/>
    <n v="117778.00000000001"/>
    <e v="#REF!"/>
    <e v="#REF!"/>
    <e v="#REF!"/>
    <x v="3"/>
  </r>
  <r>
    <x v="10"/>
    <s v="Wk 10"/>
    <x v="6"/>
    <d v="2022-03-13T00:00:00"/>
    <n v="100"/>
    <n v="0"/>
    <n v="100"/>
    <n v="0"/>
    <n v="55.949211292628334"/>
    <n v="5594.9211292628333"/>
    <n v="0"/>
    <n v="5594.9211292628333"/>
    <n v="80"/>
    <n v="100"/>
    <n v="0"/>
    <n v="100"/>
    <n v="100"/>
    <n v="0"/>
    <n v="5483.0227066775769"/>
    <n v="0"/>
    <n v="5483.0227066775769"/>
    <n v="5483.0227066775769"/>
    <n v="0"/>
    <n v="90"/>
    <n v="0"/>
    <n v="90"/>
    <n v="90"/>
    <n v="0"/>
    <n v="92"/>
    <n v="0"/>
    <n v="92"/>
    <n v="92"/>
    <n v="0"/>
    <n v="5437.4760000000006"/>
    <n v="0"/>
    <n v="5437.4760000000006"/>
    <n v="5437.4760000000006"/>
    <n v="0"/>
    <n v="0"/>
    <n v="55.949211292628334"/>
    <s v="-"/>
    <n v="59.103000000000009"/>
    <n v="0"/>
    <n v="0"/>
    <n v="0"/>
    <n v="0"/>
    <n v="0"/>
    <n v="0"/>
    <n v="0"/>
    <e v="#REF!"/>
    <e v="#REF!"/>
    <e v="#REF!"/>
    <x v="3"/>
  </r>
  <r>
    <x v="11"/>
    <s v="Wk 11"/>
    <x v="2"/>
    <d v="2022-03-14T00:00:00"/>
    <n v="2365.3424657534247"/>
    <n v="750"/>
    <n v="1615.3424657534247"/>
    <n v="47.625154248660017"/>
    <n v="50.883583610042415"/>
    <n v="117913.27910151146"/>
    <n v="35718.86568649501"/>
    <n v="82194.413415016461"/>
    <n v="82"/>
    <n v="2350"/>
    <n v="750"/>
    <n v="1600"/>
    <n v="800"/>
    <n v="800"/>
    <n v="114789.94747331162"/>
    <n v="35004.48837276511"/>
    <n v="79785.459100546504"/>
    <n v="39892.729550273252"/>
    <n v="39892.729550273252"/>
    <n v="90"/>
    <n v="0"/>
    <n v="90"/>
    <n v="90"/>
    <n v="0"/>
    <n v="2294"/>
    <n v="730"/>
    <n v="1564"/>
    <n v="697"/>
    <n v="867"/>
    <n v="113480.53200000001"/>
    <n v="34978.68"/>
    <n v="78501.851999999999"/>
    <n v="34984.521000000001"/>
    <n v="43517.330999999998"/>
    <n v="48.4"/>
    <n v="50.7"/>
    <n v="47.916000000000004"/>
    <n v="50.192999999999998"/>
    <n v="225593.00000000003"/>
    <n v="92825.344029940476"/>
    <n v="65965.752501281328"/>
    <n v="59727.875809744815"/>
    <n v="7074.0276590333933"/>
    <n v="0"/>
    <n v="225593.00000000003"/>
    <e v="#REF!"/>
    <e v="#REF!"/>
    <e v="#REF!"/>
    <x v="3"/>
  </r>
  <r>
    <x v="11"/>
    <s v="Wk 11"/>
    <x v="3"/>
    <d v="2022-03-15T00:00:00"/>
    <n v="2379.7232876712328"/>
    <n v="450"/>
    <n v="1929.7232876712328"/>
    <n v="45.909179356188965"/>
    <n v="49.669959917440295"/>
    <n v="116508.40906066628"/>
    <n v="20659.130710285033"/>
    <n v="95849.278350381239"/>
    <n v="83"/>
    <n v="2350"/>
    <n v="450"/>
    <n v="1900"/>
    <n v="900"/>
    <n v="1000"/>
    <n v="112731.41346235316"/>
    <n v="20245.948096079333"/>
    <n v="92485.465366273827"/>
    <n v="43808.904647182339"/>
    <n v="48676.560719091489"/>
    <n v="90"/>
    <n v="0"/>
    <n v="90"/>
    <n v="90"/>
    <n v="0"/>
    <n v="2377"/>
    <n v="450"/>
    <n v="1927"/>
    <n v="930"/>
    <n v="997"/>
    <n v="111936.13199999998"/>
    <n v="19602"/>
    <n v="92334.131999999983"/>
    <n v="44561.88"/>
    <n v="47772.251999999993"/>
    <n v="44"/>
    <n v="48.4"/>
    <n v="43.56"/>
    <n v="47.91599999999999"/>
    <n v="145764.00000000012"/>
    <n v="64521.864399603219"/>
    <n v="67675.720331210003"/>
    <n v="6367.8862125621154"/>
    <n v="7198.5290566247595"/>
    <n v="0"/>
    <n v="145764.00000000012"/>
    <e v="#REF!"/>
    <e v="#REF!"/>
    <e v="#REF!"/>
    <x v="3"/>
  </r>
  <r>
    <x v="11"/>
    <s v="Wk 11"/>
    <x v="4"/>
    <d v="2022-03-16T00:00:00"/>
    <n v="2328.9410958904109"/>
    <n v="450"/>
    <n v="1878.9410958904111"/>
    <n v="48.335649558515634"/>
    <n v="51.187440984537126"/>
    <n v="117929.22876064398"/>
    <n v="21751.042301332036"/>
    <n v="96178.186459311939"/>
    <n v="84"/>
    <n v="2350"/>
    <n v="450"/>
    <n v="1900"/>
    <n v="950"/>
    <n v="950"/>
    <n v="116627.03656851353"/>
    <n v="21316.021455305396"/>
    <n v="95311.015113208137"/>
    <n v="47655.507556604069"/>
    <n v="47655.507556604069"/>
    <n v="90"/>
    <n v="0"/>
    <n v="90"/>
    <n v="90"/>
    <n v="0"/>
    <n v="2310"/>
    <n v="450"/>
    <n v="1860"/>
    <n v="979"/>
    <n v="881"/>
    <n v="109985.04000000001"/>
    <n v="20493"/>
    <n v="89492.040000000008"/>
    <n v="47103.606"/>
    <n v="42388.434000000001"/>
    <n v="46"/>
    <n v="48.6"/>
    <n v="45.54"/>
    <n v="48.114000000000004"/>
    <n v="141958.00000000009"/>
    <n v="55469.75189602287"/>
    <n v="56250.222963737499"/>
    <n v="22118.501885520491"/>
    <n v="8119.5232547192154"/>
    <n v="0"/>
    <n v="141958.00000000009"/>
    <e v="#REF!"/>
    <e v="#REF!"/>
    <e v="#REF!"/>
    <x v="3"/>
  </r>
  <r>
    <x v="11"/>
    <s v="Wk 11"/>
    <x v="5"/>
    <d v="2022-03-17T00:00:00"/>
    <n v="2214.126696832579"/>
    <n v="450"/>
    <n v="1764.1266968325792"/>
    <n v="47.582425992349663"/>
    <n v="49.926581964984102"/>
    <n v="109488.90782258578"/>
    <n v="21412.091696557349"/>
    <n v="88076.816126028425"/>
    <n v="85"/>
    <n v="2200"/>
    <n v="450"/>
    <n v="1750"/>
    <n v="900"/>
    <n v="850"/>
    <n v="106607.93793257393"/>
    <n v="20983.849862626201"/>
    <n v="85624.088069947727"/>
    <n v="44035.245293115979"/>
    <n v="41588.842776831756"/>
    <n v="90"/>
    <n v="0"/>
    <n v="90"/>
    <n v="90"/>
    <n v="0"/>
    <n v="2107"/>
    <n v="415"/>
    <n v="1692"/>
    <n v="842"/>
    <n v="850"/>
    <n v="103010.193"/>
    <n v="19926.224999999999"/>
    <n v="83083.968000000008"/>
    <n v="41345.568000000007"/>
    <n v="41738.400000000001"/>
    <n v="48.5"/>
    <n v="49.6"/>
    <n v="48.014999999999993"/>
    <n v="49.104000000000006"/>
    <n v="125353.00000000007"/>
    <n v="50739.193151486776"/>
    <n v="50689.074839099878"/>
    <n v="15733.626662875316"/>
    <n v="8191.1053465380992"/>
    <n v="0"/>
    <n v="125353.00000000007"/>
    <e v="#REF!"/>
    <e v="#REF!"/>
    <e v="#REF!"/>
    <x v="3"/>
  </r>
  <r>
    <x v="11"/>
    <s v="Wk 11"/>
    <x v="0"/>
    <d v="2022-03-18T00:00:00"/>
    <n v="2965.7411764705885"/>
    <n v="1000"/>
    <n v="1965.7411764705882"/>
    <n v="48.716428359018387"/>
    <n v="51.214764054271875"/>
    <n v="149391.39890372637"/>
    <n v="48716.428359018384"/>
    <n v="100674.97054470799"/>
    <n v="86"/>
    <n v="2950"/>
    <n v="1000"/>
    <n v="1950"/>
    <n v="1000"/>
    <n v="950"/>
    <n v="145613.51389955159"/>
    <n v="47742.099791838016"/>
    <n v="97871.414107713557"/>
    <n v="50190.468773186432"/>
    <n v="47680.945334527118"/>
    <n v="90"/>
    <n v="0"/>
    <n v="90"/>
    <n v="90"/>
    <n v="0"/>
    <n v="2967"/>
    <n v="980"/>
    <n v="1987"/>
    <n v="1021"/>
    <n v="966"/>
    <n v="150970.74299999999"/>
    <n v="50450.400000000001"/>
    <n v="100520.34299999999"/>
    <n v="51651.368999999999"/>
    <n v="48868.973999999995"/>
    <n v="52"/>
    <n v="51.1"/>
    <n v="51.480000000000004"/>
    <n v="50.588999999999999"/>
    <n v="114047.00000000006"/>
    <n v="50482.458420333882"/>
    <n v="50542.185086088735"/>
    <n v="4982.2886232819601"/>
    <n v="8040.0678702954865"/>
    <n v="0"/>
    <n v="114047.00000000006"/>
    <e v="#REF!"/>
    <e v="#REF!"/>
    <e v="#REF!"/>
    <x v="3"/>
  </r>
  <r>
    <x v="11"/>
    <s v="Wk 11"/>
    <x v="1"/>
    <d v="2022-03-19T00:00:00"/>
    <n v="2965.3375565610859"/>
    <n v="1050"/>
    <n v="1915.3375565610859"/>
    <n v="47.719188143339551"/>
    <n v="51.17956252920559"/>
    <n v="148131.28579106048"/>
    <n v="50105.147550506532"/>
    <n v="98026.138240553948"/>
    <n v="87"/>
    <n v="2950"/>
    <n v="1050"/>
    <n v="1900"/>
    <n v="1000"/>
    <n v="900"/>
    <n v="144399.39002887721"/>
    <n v="49103.044599496403"/>
    <n v="95296.345429380803"/>
    <n v="50155.97127862148"/>
    <n v="45140.374150759329"/>
    <n v="90"/>
    <n v="0"/>
    <n v="90"/>
    <n v="90"/>
    <n v="0"/>
    <n v="2640"/>
    <n v="867"/>
    <n v="1773"/>
    <n v="975"/>
    <n v="798"/>
    <n v="133207.76699999999"/>
    <n v="43688.996999999996"/>
    <n v="89518.76999999999"/>
    <n v="49227.75"/>
    <n v="40291.019999999997"/>
    <n v="50.9"/>
    <n v="51"/>
    <n v="50.390999999999998"/>
    <n v="50.489999999999995"/>
    <n v="118007.00000000003"/>
    <n v="62014.766938456407"/>
    <n v="43739.136402259035"/>
    <n v="6015.7379988255852"/>
    <n v="6237.3586604589873"/>
    <n v="0"/>
    <n v="118007.00000000003"/>
    <e v="#REF!"/>
    <e v="#REF!"/>
    <e v="#REF!"/>
    <x v="3"/>
  </r>
  <r>
    <x v="11"/>
    <s v="Wk 11"/>
    <x v="6"/>
    <d v="2022-03-20T00:00:00"/>
    <n v="100"/>
    <n v="0"/>
    <n v="100"/>
    <n v="0"/>
    <n v="57.247041169517644"/>
    <n v="5724.7041169517643"/>
    <n v="0"/>
    <n v="5724.7041169517643"/>
    <n v="88"/>
    <n v="100"/>
    <n v="0"/>
    <n v="100"/>
    <n v="100"/>
    <n v="0"/>
    <n v="5610.210034612729"/>
    <n v="0"/>
    <n v="5610.210034612729"/>
    <n v="5610.210034612729"/>
    <n v="0"/>
    <n v="90"/>
    <n v="0"/>
    <n v="90"/>
    <n v="90"/>
    <n v="0"/>
    <n v="73"/>
    <n v="0"/>
    <n v="73"/>
    <n v="73"/>
    <n v="0"/>
    <n v="4401.2429999999995"/>
    <n v="0"/>
    <n v="4401.2429999999995"/>
    <n v="4401.2429999999995"/>
    <n v="0"/>
    <n v="0"/>
    <n v="57.247041169517644"/>
    <s v="-"/>
    <n v="60.29099999999999"/>
    <n v="0"/>
    <n v="0"/>
    <n v="0"/>
    <n v="0"/>
    <n v="0"/>
    <n v="0"/>
    <n v="0"/>
    <e v="#REF!"/>
    <e v="#REF!"/>
    <e v="#REF!"/>
    <x v="3"/>
  </r>
  <r>
    <x v="12"/>
    <s v="Wk 12"/>
    <x v="2"/>
    <d v="2022-03-21T00:00:00"/>
    <n v="2362.9158371040721"/>
    <n v="750"/>
    <n v="1612.9158371040724"/>
    <n v="46.098674052065682"/>
    <n v="50.457324897017735"/>
    <n v="115957.42396335477"/>
    <n v="34574.005539049263"/>
    <n v="81383.418424305506"/>
    <n v="90"/>
    <n v="2350"/>
    <n v="750"/>
    <n v="1600"/>
    <n v="700"/>
    <n v="900"/>
    <n v="112999.61086679209"/>
    <n v="33882.52542826828"/>
    <n v="79117.085438523805"/>
    <n v="34613.724879354166"/>
    <n v="44503.36055916964"/>
    <n v="90"/>
    <n v="0"/>
    <n v="90"/>
    <n v="90"/>
    <n v="0"/>
    <n v="2275"/>
    <n v="700"/>
    <n v="1575"/>
    <n v="600"/>
    <n v="975"/>
    <n v="110187"/>
    <n v="32848.199999999997"/>
    <n v="77338.8"/>
    <n v="29462.400000000001"/>
    <n v="47876.4"/>
    <n v="47.4"/>
    <n v="49.6"/>
    <n v="46.925999999999995"/>
    <n v="49.103999999999999"/>
    <n v="220121.00000000003"/>
    <n v="92036.016448173614"/>
    <n v="65404.821772228795"/>
    <n v="55666.287144544985"/>
    <n v="7013.874635052618"/>
    <n v="0"/>
    <n v="220121.00000000003"/>
    <e v="#REF!"/>
    <e v="#REF!"/>
    <e v="#REF!"/>
    <x v="3"/>
  </r>
  <r>
    <x v="12"/>
    <s v="Wk 12"/>
    <x v="3"/>
    <d v="2022-03-22T00:00:00"/>
    <n v="2515.7411764705885"/>
    <n v="550"/>
    <n v="1965.7411764705882"/>
    <n v="46.251971336955144"/>
    <n v="51.111809457359271"/>
    <n v="125911.17268957528"/>
    <n v="25438.584235325328"/>
    <n v="100472.58845424996"/>
    <n v="91"/>
    <n v="2350"/>
    <n v="500"/>
    <n v="1850"/>
    <n v="850"/>
    <n v="1000"/>
    <n v="115329.17650130038"/>
    <n v="22663.465955108022"/>
    <n v="92665.710546192349"/>
    <n v="42576.13727798027"/>
    <n v="50089.57326821208"/>
    <n v="90"/>
    <n v="0"/>
    <n v="90"/>
    <n v="90"/>
    <n v="0"/>
    <n v="2295"/>
    <n v="500"/>
    <n v="1795"/>
    <n v="805"/>
    <n v="990"/>
    <n v="110686.95000000001"/>
    <n v="23611.5"/>
    <n v="87075.450000000012"/>
    <n v="39050.550000000003"/>
    <n v="48024.9"/>
    <n v="47.7"/>
    <n v="49"/>
    <n v="47.222999999999999"/>
    <n v="48.510000000000005"/>
    <n v="147853.00000000009"/>
    <n v="65446.552077841814"/>
    <n v="68645.607132971039"/>
    <n v="6459.1468413733601"/>
    <n v="7301.6939478138675"/>
    <n v="0"/>
    <n v="147853.00000000009"/>
    <e v="#REF!"/>
    <e v="#REF!"/>
    <e v="#REF!"/>
    <x v="3"/>
  </r>
  <r>
    <x v="12"/>
    <s v="Wk 12"/>
    <x v="4"/>
    <d v="2022-03-23T00:00:00"/>
    <n v="2415.3375565610859"/>
    <n v="500"/>
    <n v="1915.3375565610859"/>
    <n v="48.701872754330687"/>
    <n v="51.022453819301866"/>
    <n v="122076.15840517782"/>
    <n v="24350.936377165344"/>
    <n v="97725.222028012475"/>
    <n v="92"/>
    <n v="2400"/>
    <n v="500"/>
    <n v="1900"/>
    <n v="950"/>
    <n v="950"/>
    <n v="118867.7266611621"/>
    <n v="23863.917649622035"/>
    <n v="95003.80901154007"/>
    <n v="47501.904505770035"/>
    <n v="47501.904505770035"/>
    <n v="90"/>
    <n v="0"/>
    <n v="90"/>
    <n v="90"/>
    <n v="0"/>
    <n v="2320"/>
    <n v="400"/>
    <n v="1920"/>
    <n v="950"/>
    <n v="970"/>
    <n v="114198.48000000001"/>
    <n v="18968.400000000001"/>
    <n v="95230.080000000002"/>
    <n v="47119.05"/>
    <n v="48111.03"/>
    <n v="47.9"/>
    <n v="50.1"/>
    <n v="47.421000000000006"/>
    <n v="49.599000000000004"/>
    <n v="154523.00000000006"/>
    <n v="59679.316194753876"/>
    <n v="60519.016716910672"/>
    <n v="25588.958362301219"/>
    <n v="8735.7087260343087"/>
    <n v="0"/>
    <n v="154523.00000000006"/>
    <e v="#REF!"/>
    <e v="#REF!"/>
    <e v="#REF!"/>
    <x v="3"/>
  </r>
  <r>
    <x v="12"/>
    <s v="Wk 12"/>
    <x v="5"/>
    <d v="2022-03-24T00:00:00"/>
    <n v="2217.6576576576576"/>
    <n v="450"/>
    <n v="1767.6576576576576"/>
    <n v="49.917305554642709"/>
    <n v="51.080908820460564"/>
    <n v="112756.34713618892"/>
    <n v="22462.78749958922"/>
    <n v="90293.559636599704"/>
    <n v="93"/>
    <n v="2250"/>
    <n v="450"/>
    <n v="1800"/>
    <n v="900"/>
    <n v="900"/>
    <n v="112120.25490888987"/>
    <n v="22013.531749597434"/>
    <n v="90106.723159292436"/>
    <n v="45053.361579646218"/>
    <n v="45053.361579646218"/>
    <n v="90"/>
    <n v="0"/>
    <n v="90"/>
    <n v="90"/>
    <n v="0"/>
    <n v="2194"/>
    <n v="415"/>
    <n v="1779"/>
    <n v="857"/>
    <n v="922"/>
    <n v="112295.50200000001"/>
    <n v="21240.945"/>
    <n v="91054.557000000001"/>
    <n v="43863.830999999998"/>
    <n v="47190.726000000002"/>
    <n v="51.7"/>
    <n v="51.7"/>
    <n v="51.183"/>
    <n v="51.183"/>
    <n v="135850.00000000006"/>
    <n v="56573.711239980294"/>
    <n v="56517.829804807567"/>
    <n v="13625.455455771924"/>
    <n v="9133.0034994402831"/>
    <n v="0"/>
    <n v="135850.00000000006"/>
    <e v="#REF!"/>
    <e v="#REF!"/>
    <e v="#REF!"/>
    <x v="3"/>
  </r>
  <r>
    <x v="12"/>
    <s v="Wk 12"/>
    <x v="0"/>
    <d v="2022-03-25T00:00:00"/>
    <n v="3070.6846846846847"/>
    <n v="1000"/>
    <n v="2070.6846846846847"/>
    <n v="51.480782791628215"/>
    <n v="52.524935722519949"/>
    <n v="160243.36275629778"/>
    <n v="51480.782791628219"/>
    <n v="108762.57996466955"/>
    <n v="94"/>
    <n v="3150"/>
    <n v="1000"/>
    <n v="2150"/>
    <n v="1050"/>
    <n v="1100"/>
    <n v="161121.20670314517"/>
    <n v="50451.167135795651"/>
    <n v="110670.03956734952"/>
    <n v="54048.15885847302"/>
    <n v="56621.880708876502"/>
    <n v="90"/>
    <n v="0"/>
    <n v="90"/>
    <n v="90"/>
    <n v="0"/>
    <n v="3145"/>
    <n v="1030"/>
    <n v="2115"/>
    <n v="1055"/>
    <n v="1060"/>
    <n v="162758.47499999998"/>
    <n v="52412.58"/>
    <n v="110345.89499999999"/>
    <n v="55042.514999999999"/>
    <n v="55303.38"/>
    <n v="51.4"/>
    <n v="52.7"/>
    <n v="50.886000000000003"/>
    <n v="52.172999999999995"/>
    <n v="115640.00000000009"/>
    <n v="51187.593638827944"/>
    <n v="51248.154562200689"/>
    <n v="5051.8808596133686"/>
    <n v="8152.3709393580721"/>
    <n v="0"/>
    <n v="115640.00000000009"/>
    <e v="#REF!"/>
    <e v="#REF!"/>
    <e v="#REF!"/>
    <x v="3"/>
  </r>
  <r>
    <x v="12"/>
    <s v="Wk 12"/>
    <x v="1"/>
    <d v="2022-03-26T00:00:00"/>
    <n v="2918.666666666667"/>
    <n v="1050"/>
    <n v="1868.6666666666667"/>
    <n v="50.961413280887072"/>
    <n v="52.661303481028519"/>
    <n v="151915.90638314671"/>
    <n v="53509.483944931424"/>
    <n v="98406.42243821529"/>
    <n v="95"/>
    <n v="2900"/>
    <n v="1050"/>
    <n v="1850"/>
    <n v="950"/>
    <n v="900"/>
    <n v="147914.2374771375"/>
    <n v="52439.294266032797"/>
    <n v="95474.943211104706"/>
    <n v="49027.673540837553"/>
    <n v="46447.269670267153"/>
    <n v="90"/>
    <n v="0"/>
    <n v="90"/>
    <n v="90"/>
    <n v="0"/>
    <n v="2826"/>
    <n v="895"/>
    <n v="1931"/>
    <n v="1064"/>
    <n v="867"/>
    <n v="143108.95500000002"/>
    <n v="44656.92"/>
    <n v="98452.035000000003"/>
    <n v="54248.04"/>
    <n v="44203.995000000003"/>
    <n v="50.4"/>
    <n v="51.5"/>
    <n v="49.896000000000001"/>
    <n v="50.984999999999999"/>
    <n v="125551.00000000003"/>
    <n v="65979.272449008451"/>
    <n v="46535.309892125246"/>
    <n v="6400.3145702420288"/>
    <n v="6636.1030886242879"/>
    <n v="0"/>
    <n v="125551.00000000003"/>
    <e v="#REF!"/>
    <e v="#REF!"/>
    <e v="#REF!"/>
    <x v="3"/>
  </r>
  <r>
    <x v="12"/>
    <s v="Wk 12"/>
    <x v="6"/>
    <d v="2022-03-27T00:00:00"/>
    <n v="100"/>
    <n v="0"/>
    <n v="100"/>
    <n v="0"/>
    <n v="59.743213348737669"/>
    <n v="5974.3213348737672"/>
    <n v="0"/>
    <n v="5974.3213348737672"/>
    <n v="96"/>
    <n v="100"/>
    <n v="0"/>
    <n v="100"/>
    <n v="100"/>
    <n v="0"/>
    <n v="5854.8349081762917"/>
    <n v="0"/>
    <n v="5854.8349081762917"/>
    <n v="5854.8349081762917"/>
    <n v="0"/>
    <n v="90"/>
    <n v="0"/>
    <n v="90"/>
    <n v="90"/>
    <n v="0"/>
    <n v="87"/>
    <n v="0"/>
    <n v="87"/>
    <n v="87"/>
    <n v="0"/>
    <n v="4616.5680000000002"/>
    <n v="0"/>
    <n v="4616.5680000000002"/>
    <n v="4616.5680000000002"/>
    <n v="0"/>
    <n v="0"/>
    <n v="59.743213348737669"/>
    <s v="-"/>
    <n v="53.064"/>
    <n v="0"/>
    <n v="0"/>
    <n v="0"/>
    <n v="0"/>
    <n v="0"/>
    <n v="0"/>
    <n v="0"/>
    <e v="#REF!"/>
    <e v="#REF!"/>
    <e v="#REF!"/>
    <x v="3"/>
  </r>
  <r>
    <x v="13"/>
    <s v="Wk 13"/>
    <x v="2"/>
    <d v="2022-03-28T00:00:00"/>
    <n v="2316.1441441441439"/>
    <n v="700"/>
    <n v="1616.1441441441441"/>
    <n v="48.850490554155932"/>
    <n v="52.347479765907643"/>
    <n v="118796.41627228487"/>
    <n v="34195.343387909154"/>
    <n v="84601.07288437571"/>
    <n v="98"/>
    <n v="2300"/>
    <n v="700"/>
    <n v="1600"/>
    <n v="700"/>
    <n v="900"/>
    <n v="115592.28479309415"/>
    <n v="33511.436520150972"/>
    <n v="82080.848272943171"/>
    <n v="35910.371119412637"/>
    <n v="46170.477153530541"/>
    <n v="90"/>
    <n v="0"/>
    <n v="90"/>
    <n v="90"/>
    <n v="0"/>
    <n v="2277"/>
    <n v="690"/>
    <n v="1587"/>
    <n v="705"/>
    <n v="882"/>
    <n v="111010.58100000001"/>
    <n v="31354.29"/>
    <n v="79656.290999999997"/>
    <n v="35386.065000000002"/>
    <n v="44270.226000000002"/>
    <n v="45.9"/>
    <n v="50.7"/>
    <n v="45.441000000000003"/>
    <n v="50.192999999999998"/>
    <n v="256188.00000000006"/>
    <n v="98963.916255385659"/>
    <n v="70328.09061450552"/>
    <n v="79354.157566202324"/>
    <n v="7541.8355639065167"/>
    <n v="0"/>
    <n v="256188.00000000006"/>
    <e v="#REF!"/>
    <e v="#REF!"/>
    <e v="#REF!"/>
    <x v="3"/>
  </r>
  <r>
    <x v="13"/>
    <s v="Wk 13"/>
    <x v="3"/>
    <d v="2022-03-29T00:00:00"/>
    <n v="2469.6756756756758"/>
    <n v="500"/>
    <n v="1969.6756756756756"/>
    <n v="46.954696741216466"/>
    <n v="49.896965460115545"/>
    <n v="121758.18752742717"/>
    <n v="23477.348370608233"/>
    <n v="98280.83915681894"/>
    <n v="99"/>
    <n v="2500"/>
    <n v="500"/>
    <n v="2000"/>
    <n v="1000"/>
    <n v="1000"/>
    <n v="120805.85370502254"/>
    <n v="23007.801403196067"/>
    <n v="97798.052301826479"/>
    <n v="48899.02615091324"/>
    <n v="48899.02615091324"/>
    <n v="90"/>
    <n v="0"/>
    <n v="90"/>
    <n v="90"/>
    <n v="0"/>
    <n v="2400"/>
    <n v="450"/>
    <n v="1950"/>
    <n v="900"/>
    <n v="1050"/>
    <n v="112904.55"/>
    <n v="21205.8"/>
    <n v="91698.75"/>
    <n v="42322.5"/>
    <n v="49376.25"/>
    <n v="47.6"/>
    <n v="47.5"/>
    <n v="47.123999999999995"/>
    <n v="47.024999999999999"/>
    <n v="135479.00000000009"/>
    <n v="59969.249382521368"/>
    <n v="62900.571572898647"/>
    <n v="5918.5728725316458"/>
    <n v="6690.6061720484195"/>
    <n v="0"/>
    <n v="135479.00000000009"/>
    <e v="#REF!"/>
    <e v="#REF!"/>
    <e v="#REF!"/>
    <x v="3"/>
  </r>
  <r>
    <x v="13"/>
    <s v="Wk 13"/>
    <x v="4"/>
    <d v="2022-03-30T00:00:00"/>
    <n v="2369.1711711711714"/>
    <n v="450"/>
    <n v="1919.1711711711712"/>
    <n v="48.900640879253473"/>
    <n v="50.943613788913119"/>
    <n v="119774.80333462427"/>
    <n v="22005.288395664062"/>
    <n v="97769.514938960216"/>
    <n v="100"/>
    <n v="2450"/>
    <n v="450"/>
    <n v="2000"/>
    <n v="1000"/>
    <n v="1000"/>
    <n v="121414.6656540205"/>
    <n v="21565.182627750779"/>
    <n v="99849.483026269721"/>
    <n v="49924.741513134861"/>
    <n v="49924.741513134861"/>
    <n v="90"/>
    <n v="0"/>
    <n v="90"/>
    <n v="90"/>
    <n v="0"/>
    <n v="2487"/>
    <n v="520"/>
    <n v="1967"/>
    <n v="955"/>
    <n v="1012"/>
    <n v="122517.84600000001"/>
    <n v="24761.88"/>
    <n v="97755.966"/>
    <n v="47461.59"/>
    <n v="50294.376000000004"/>
    <n v="48.1"/>
    <n v="50.2"/>
    <n v="47.619"/>
    <n v="49.698"/>
    <n v="138123.00000000009"/>
    <n v="57475.823967720971"/>
    <n v="58284.520891117194"/>
    <n v="13949.488084549961"/>
    <n v="8413.167056611961"/>
    <n v="0"/>
    <n v="138123.00000000009"/>
    <e v="#REF!"/>
    <e v="#REF!"/>
    <e v="#REF!"/>
    <x v="3"/>
  </r>
  <r>
    <x v="13"/>
    <s v="Wk 13"/>
    <x v="5"/>
    <d v="2022-03-31T00:00:00"/>
    <n v="2389.7775555555554"/>
    <n v="450"/>
    <n v="1939.7775555555556"/>
    <n v="53.746849862614077"/>
    <n v="53.51551640476049"/>
    <n v="127994.28003409588"/>
    <n v="24186.082438176334"/>
    <n v="103808.19759591954"/>
    <n v="101"/>
    <n v="2300"/>
    <n v="450"/>
    <n v="1850"/>
    <n v="900"/>
    <n v="950"/>
    <n v="120725.99203124357"/>
    <n v="23702.360789412807"/>
    <n v="97023.631241830764"/>
    <n v="47200.685468998752"/>
    <n v="49822.945772832012"/>
    <n v="90"/>
    <n v="0"/>
    <n v="90"/>
    <n v="90"/>
    <n v="0"/>
    <n v="2397"/>
    <n v="480"/>
    <n v="1917"/>
    <n v="890"/>
    <n v="1027"/>
    <n v="119552.004"/>
    <n v="23142.240000000002"/>
    <n v="96409.763999999996"/>
    <n v="44759.88"/>
    <n v="51649.883999999998"/>
    <n v="48.7"/>
    <n v="50.8"/>
    <n v="48.213000000000001"/>
    <n v="50.291999999999994"/>
    <n v="133002.00000000006"/>
    <n v="52908.158983640496"/>
    <n v="52855.898246426164"/>
    <n v="18696.689411164018"/>
    <n v="8541.2533587693943"/>
    <n v="0"/>
    <n v="133002.00000000006"/>
    <e v="#REF!"/>
    <e v="#REF!"/>
    <e v="#REF!"/>
    <x v="3"/>
  </r>
  <r>
    <x v="13"/>
    <s v="Wk 13"/>
    <x v="0"/>
    <d v="2022-04-01T00:00:00"/>
    <n v="3143.9646666666672"/>
    <n v="1000"/>
    <n v="2143.9646666666672"/>
    <n v="50.622354090057414"/>
    <n v="52.509240919992962"/>
    <n v="163200.31129600987"/>
    <n v="50622.354090057415"/>
    <n v="112577.95720595244"/>
    <n v="102"/>
    <n v="3100"/>
    <n v="1000"/>
    <n v="2100"/>
    <n v="1000"/>
    <n v="1100"/>
    <n v="157673.92482160177"/>
    <n v="49609.907008256268"/>
    <n v="108064.0178133455"/>
    <n v="51459.056101593102"/>
    <n v="56604.96171175241"/>
    <n v="90"/>
    <n v="0"/>
    <n v="90"/>
    <n v="90"/>
    <n v="0"/>
    <n v="3152"/>
    <n v="1020"/>
    <n v="2132"/>
    <n v="1098"/>
    <n v="1034"/>
    <n v="159676.704"/>
    <n v="51398.82"/>
    <n v="108277.88399999999"/>
    <n v="55764.125999999997"/>
    <n v="52513.757999999994"/>
    <n v="50.9"/>
    <n v="51.3"/>
    <n v="50.390999999999998"/>
    <n v="50.786999999999999"/>
    <n v="122226.00000000009"/>
    <n v="54102.860775677829"/>
    <n v="54166.870801794721"/>
    <n v="5339.5986678234485"/>
    <n v="8616.6697547040785"/>
    <n v="0"/>
    <n v="122226.00000000009"/>
    <e v="#REF!"/>
    <e v="#REF!"/>
    <e v="#REF!"/>
    <x v="4"/>
  </r>
  <r>
    <x v="13"/>
    <s v="Wk 13"/>
    <x v="1"/>
    <d v="2022-04-02T00:00:00"/>
    <n v="2889.7775555555554"/>
    <n v="950"/>
    <n v="1939.7775555555556"/>
    <n v="49.690244027563004"/>
    <n v="52.616729955884239"/>
    <n v="149270.48364133676"/>
    <n v="47205.731826184856"/>
    <n v="102064.7518151519"/>
    <n v="103"/>
    <n v="2850"/>
    <n v="950"/>
    <n v="1900"/>
    <n v="1050"/>
    <n v="850"/>
    <n v="144233.96836751761"/>
    <n v="46261.617189661156"/>
    <n v="97972.351177856443"/>
    <n v="54142.615124604883"/>
    <n v="43829.736053251567"/>
    <n v="90"/>
    <n v="0"/>
    <n v="90"/>
    <n v="90"/>
    <n v="0"/>
    <n v="2882"/>
    <n v="887"/>
    <n v="1995"/>
    <n v="1065"/>
    <n v="930"/>
    <n v="146828.78099999999"/>
    <n v="44521.190999999999"/>
    <n v="102307.59"/>
    <n v="54615.33"/>
    <n v="47692.26"/>
    <n v="50.7"/>
    <n v="51.8"/>
    <n v="50.192999999999998"/>
    <n v="51.281999999999996"/>
    <n v="130485.00000000001"/>
    <n v="68572.176768873745"/>
    <n v="48364.090379797555"/>
    <n v="6651.8390669770142"/>
    <n v="6896.8937843516987"/>
    <n v="0"/>
    <n v="130485.00000000001"/>
    <e v="#REF!"/>
    <e v="#REF!"/>
    <e v="#REF!"/>
    <x v="4"/>
  </r>
  <r>
    <x v="13"/>
    <s v="Wk 13"/>
    <x v="6"/>
    <d v="2022-04-03T00:00:00"/>
    <n v="100"/>
    <n v="0"/>
    <n v="100"/>
    <n v="0"/>
    <n v="55.508677759855473"/>
    <n v="5550.8677759855473"/>
    <n v="0"/>
    <n v="5550.8677759855473"/>
    <n v="104"/>
    <n v="100"/>
    <n v="0"/>
    <n v="100"/>
    <n v="100"/>
    <n v="0"/>
    <n v="5439.8504204658366"/>
    <n v="0"/>
    <n v="5439.8504204658366"/>
    <n v="5439.8504204658366"/>
    <n v="0"/>
    <n v="90"/>
    <n v="0"/>
    <n v="90"/>
    <n v="90"/>
    <n v="0"/>
    <n v="97"/>
    <n v="0"/>
    <n v="97"/>
    <n v="97"/>
    <n v="0"/>
    <n v="5425.6949999999997"/>
    <n v="0"/>
    <n v="5425.6949999999997"/>
    <n v="5425.6949999999997"/>
    <n v="0"/>
    <n v="0"/>
    <n v="55.508677759855473"/>
    <s v="-"/>
    <n v="55.934999999999995"/>
    <n v="0"/>
    <n v="0"/>
    <n v="0"/>
    <n v="0"/>
    <n v="0"/>
    <n v="0"/>
    <n v="0"/>
    <e v="#REF!"/>
    <e v="#REF!"/>
    <e v="#REF!"/>
    <x v="4"/>
  </r>
  <r>
    <x v="14"/>
    <s v="Wk 14"/>
    <x v="2"/>
    <d v="2022-04-04T00:00:00"/>
    <n v="2282.4501111111113"/>
    <n v="700"/>
    <n v="1582.4501111111113"/>
    <n v="47.922117739570062"/>
    <n v="50.601438786766437"/>
    <n v="113619.73484819967"/>
    <n v="33545.482417699044"/>
    <n v="80074.252430500637"/>
    <n v="106"/>
    <n v="2300"/>
    <n v="700"/>
    <n v="1600"/>
    <n v="700"/>
    <n v="900"/>
    <n v="112217.62878699483"/>
    <n v="32874.572769345061"/>
    <n v="79343.056017649767"/>
    <n v="34712.587007721777"/>
    <n v="44630.469009927998"/>
    <n v="90"/>
    <n v="0"/>
    <n v="90"/>
    <n v="90"/>
    <n v="0"/>
    <n v="2264"/>
    <n v="663"/>
    <n v="1601"/>
    <n v="668"/>
    <n v="933"/>
    <n v="111591.018"/>
    <n v="30915.026999999998"/>
    <n v="80675.990999999995"/>
    <n v="33661.187999999995"/>
    <n v="47014.803"/>
    <n v="47.1"/>
    <n v="50.9"/>
    <n v="46.628999999999998"/>
    <n v="50.390999999999998"/>
    <n v="219073"/>
    <n v="89461"/>
    <n v="63575"/>
    <n v="59219"/>
    <n v="6818"/>
    <n v="0"/>
    <n v="219073"/>
    <e v="#REF!"/>
    <e v="#REF!"/>
    <e v="#REF!"/>
    <x v="4"/>
  </r>
  <r>
    <x v="14"/>
    <s v="Wk 14"/>
    <x v="3"/>
    <d v="2022-04-05T00:00:00"/>
    <n v="2439.7775555555554"/>
    <n v="500"/>
    <n v="1939.7775555555556"/>
    <n v="44.377559187729155"/>
    <n v="47.945235190155479"/>
    <n v="115191.87071156058"/>
    <n v="22188.779593864576"/>
    <n v="93003.091117696007"/>
    <n v="107"/>
    <n v="2450"/>
    <n v="500"/>
    <n v="1950"/>
    <n v="950"/>
    <n v="1000"/>
    <n v="113368.3484503744"/>
    <n v="21745.004001987283"/>
    <n v="91623.344448387114"/>
    <n v="44637.013962034747"/>
    <n v="46986.330486352366"/>
    <n v="90"/>
    <n v="0"/>
    <n v="90"/>
    <n v="90"/>
    <n v="0"/>
    <n v="2356"/>
    <n v="420"/>
    <n v="1936"/>
    <n v="909"/>
    <n v="1027"/>
    <n v="113857.524"/>
    <n v="19750.5"/>
    <n v="94107.024000000005"/>
    <n v="44185.580999999998"/>
    <n v="49921.443000000007"/>
    <n v="47.5"/>
    <n v="49.1"/>
    <n v="47.024999999999999"/>
    <n v="48.609000000000002"/>
    <n v="130294"/>
    <n v="57674"/>
    <n v="60493"/>
    <n v="5692"/>
    <n v="6435"/>
    <n v="0"/>
    <n v="130294"/>
    <e v="#REF!"/>
    <e v="#REF!"/>
    <e v="#REF!"/>
    <x v="4"/>
  </r>
  <r>
    <x v="14"/>
    <s v="Wk 14"/>
    <x v="4"/>
    <d v="2022-04-06T00:00:00"/>
    <n v="2439.7775555555554"/>
    <n v="500"/>
    <n v="1939.7775555555556"/>
    <n v="46.956559912291532"/>
    <n v="47.81940066929716"/>
    <n v="116237.28009456671"/>
    <n v="23478.279956145765"/>
    <n v="92759.000138420946"/>
    <n v="108"/>
    <n v="2450"/>
    <n v="500"/>
    <n v="1950"/>
    <n v="950"/>
    <n v="1000"/>
    <n v="114391.58903604971"/>
    <n v="23008.714357022851"/>
    <n v="91382.874679026863"/>
    <n v="44519.862023115653"/>
    <n v="46863.012655911218"/>
    <n v="90"/>
    <n v="0"/>
    <n v="90"/>
    <n v="90"/>
    <n v="0"/>
    <n v="2407"/>
    <n v="510"/>
    <n v="1897"/>
    <n v="900"/>
    <n v="997"/>
    <n v="114455.18699999999"/>
    <n v="22619.52"/>
    <n v="91835.666999999987"/>
    <n v="43569.9"/>
    <n v="48265.766999999993"/>
    <n v="44.8"/>
    <n v="48.9"/>
    <n v="44.352000000000004"/>
    <n v="48.410999999999994"/>
    <n v="134755"/>
    <n v="55615"/>
    <n v="56397"/>
    <n v="14602"/>
    <n v="8141"/>
    <n v="0"/>
    <n v="134755"/>
    <e v="#REF!"/>
    <e v="#REF!"/>
    <e v="#REF!"/>
    <x v="4"/>
  </r>
  <r>
    <x v="14"/>
    <s v="Wk 14"/>
    <x v="5"/>
    <d v="2022-04-07T00:00:00"/>
    <n v="2475.5773542600896"/>
    <n v="500"/>
    <n v="1975.5773542600896"/>
    <n v="49.789157175242181"/>
    <n v="51.306715631519957"/>
    <n v="126254.96411071406"/>
    <n v="24894.57858762109"/>
    <n v="101360.38552309298"/>
    <n v="109"/>
    <n v="2450"/>
    <n v="500"/>
    <n v="1950"/>
    <n v="950"/>
    <n v="1000"/>
    <n v="122443.82058770329"/>
    <n v="24396.687015868669"/>
    <n v="98047.133571834624"/>
    <n v="47766.552252945075"/>
    <n v="50280.581318889555"/>
    <n v="90"/>
    <n v="0"/>
    <n v="90"/>
    <n v="90"/>
    <n v="0"/>
    <n v="2260"/>
    <n v="509"/>
    <n v="1751"/>
    <n v="741"/>
    <n v="1010"/>
    <n v="109485.486"/>
    <n v="23331.032999999996"/>
    <n v="86154.453000000009"/>
    <n v="36459.423000000003"/>
    <n v="49695.03"/>
    <n v="46.3"/>
    <n v="49.7"/>
    <n v="45.836999999999989"/>
    <n v="49.203000000000003"/>
    <n v="132265"/>
    <n v="55440"/>
    <n v="55385"/>
    <n v="12490"/>
    <n v="8950"/>
    <n v="0"/>
    <n v="132265"/>
    <e v="#REF!"/>
    <e v="#REF!"/>
    <e v="#REF!"/>
    <x v="4"/>
  </r>
  <r>
    <x v="14"/>
    <s v="Wk 14"/>
    <x v="0"/>
    <d v="2022-04-08T00:00:00"/>
    <n v="3176.8890134529147"/>
    <n v="1100"/>
    <n v="2076.8890134529147"/>
    <n v="47.528797631846118"/>
    <n v="51.924593838177856"/>
    <n v="160123.29586554723"/>
    <n v="52281.677395030732"/>
    <n v="107841.61847051651"/>
    <n v="110"/>
    <n v="3150"/>
    <n v="1100"/>
    <n v="2050"/>
    <n v="1000"/>
    <n v="1050"/>
    <n v="155552.55286802942"/>
    <n v="51236.043847130117"/>
    <n v="104316.50902089931"/>
    <n v="50886.101961414293"/>
    <n v="53430.407059485013"/>
    <n v="90"/>
    <n v="0"/>
    <n v="90"/>
    <n v="90"/>
    <n v="0"/>
    <n v="2818"/>
    <n v="896"/>
    <n v="1922"/>
    <n v="963"/>
    <n v="959"/>
    <n v="138616.82999999999"/>
    <n v="43287.551999999996"/>
    <n v="95329.277999999991"/>
    <n v="47763.837"/>
    <n v="47565.440999999999"/>
    <n v="48.8"/>
    <n v="50.1"/>
    <n v="48.311999999999998"/>
    <n v="49.598999999999997"/>
    <n v="119069"/>
    <n v="52705"/>
    <n v="52768"/>
    <n v="5202"/>
    <n v="8394"/>
    <n v="0"/>
    <n v="119069"/>
    <e v="#REF!"/>
    <e v="#REF!"/>
    <e v="#REF!"/>
    <x v="4"/>
  </r>
  <r>
    <x v="14"/>
    <s v="Wk 14"/>
    <x v="1"/>
    <d v="2022-04-09T00:00:00"/>
    <n v="2823.6098654708521"/>
    <n v="1000"/>
    <n v="1823.6098654708521"/>
    <n v="48.206219301887813"/>
    <n v="51.159541646050393"/>
    <n v="141501.26416059223"/>
    <n v="48206.219301887817"/>
    <n v="93295.044858704408"/>
    <n v="111"/>
    <n v="2800"/>
    <n v="1000"/>
    <n v="1800"/>
    <n v="950"/>
    <n v="850"/>
    <n v="137487.52637948294"/>
    <n v="47242.094915850059"/>
    <n v="90245.431463632893"/>
    <n v="47629.533272472916"/>
    <n v="42615.898191159977"/>
    <n v="90"/>
    <n v="0"/>
    <n v="90"/>
    <n v="90"/>
    <n v="0"/>
    <n v="2576"/>
    <n v="853"/>
    <n v="1723"/>
    <n v="909"/>
    <n v="814"/>
    <n v="123441.71400000001"/>
    <n v="39858.984000000004"/>
    <n v="83582.73"/>
    <n v="44095.59"/>
    <n v="39487.14"/>
    <n v="47.2"/>
    <n v="49"/>
    <n v="46.728000000000002"/>
    <n v="48.51"/>
    <n v="128658"/>
    <n v="67612"/>
    <n v="47687"/>
    <n v="6559"/>
    <n v="6800"/>
    <n v="0"/>
    <n v="128658"/>
    <e v="#REF!"/>
    <e v="#REF!"/>
    <e v="#REF!"/>
    <x v="4"/>
  </r>
  <r>
    <x v="14"/>
    <s v="Wk 14"/>
    <x v="6"/>
    <d v="2022-04-10T00:00:00"/>
    <n v="100"/>
    <n v="0"/>
    <n v="100"/>
    <n v="0"/>
    <n v="55.508677759855473"/>
    <n v="5550.8677759855473"/>
    <n v="0"/>
    <n v="5550.8677759855473"/>
    <n v="112"/>
    <n v="100"/>
    <n v="0"/>
    <n v="100"/>
    <n v="100"/>
    <n v="0"/>
    <n v="5439.8504204658366"/>
    <n v="0"/>
    <n v="5439.8504204658366"/>
    <n v="5439.8504204658366"/>
    <n v="0"/>
    <n v="90"/>
    <n v="0"/>
    <n v="90"/>
    <n v="90"/>
    <n v="0"/>
    <n v="75"/>
    <n v="0"/>
    <n v="75"/>
    <n v="75"/>
    <n v="0"/>
    <n v="3838.7249999999999"/>
    <n v="0"/>
    <n v="3838.7249999999999"/>
    <n v="3838.7249999999999"/>
    <n v="0"/>
    <n v="0"/>
    <n v="55.508677759855473"/>
    <s v="-"/>
    <n v="51.183"/>
    <n v="0"/>
    <n v="0"/>
    <n v="0"/>
    <n v="0"/>
    <n v="0"/>
    <n v="0"/>
    <n v="0"/>
    <e v="#REF!"/>
    <e v="#REF!"/>
    <e v="#REF!"/>
    <x v="4"/>
  </r>
  <r>
    <x v="15"/>
    <s v="Wk 15"/>
    <x v="2"/>
    <d v="2022-04-11T00:00:00"/>
    <n v="2320.3307174887896"/>
    <n v="750"/>
    <n v="1570.3307174887893"/>
    <n v="47.90727897553591"/>
    <n v="50.665210325568232"/>
    <n v="115491.59531392192"/>
    <n v="35930.459231651934"/>
    <n v="79561.136082269979"/>
    <n v="114"/>
    <n v="2350"/>
    <n v="750"/>
    <n v="1600"/>
    <n v="700"/>
    <n v="900"/>
    <n v="114654.89983750987"/>
    <n v="35211.850047018896"/>
    <n v="79443.049790490986"/>
    <n v="34756.334283339806"/>
    <n v="44686.715507151181"/>
    <n v="90"/>
    <n v="0"/>
    <n v="90"/>
    <n v="90"/>
    <n v="0"/>
    <n v="2224"/>
    <n v="650"/>
    <n v="1574"/>
    <n v="649"/>
    <n v="925"/>
    <n v="106616.26799999998"/>
    <n v="29794.049999999996"/>
    <n v="76822.217999999993"/>
    <n v="31675.742999999999"/>
    <n v="45146.474999999999"/>
    <n v="46.3"/>
    <n v="49.3"/>
    <n v="45.836999999999996"/>
    <n v="48.806999999999995"/>
    <n v="241166"/>
    <n v="102679.52310951061"/>
    <n v="66528.87921783315"/>
    <n v="64419.486630207932"/>
    <n v="7538.1110424483195"/>
    <n v="0"/>
    <n v="241166"/>
    <e v="#REF!"/>
    <e v="#REF!"/>
    <e v="#REF!"/>
    <x v="4"/>
  </r>
  <r>
    <x v="15"/>
    <s v="Wk 15"/>
    <x v="3"/>
    <d v="2022-04-12T00:00:00"/>
    <n v="2474.9215246636768"/>
    <n v="550"/>
    <n v="1924.921524663677"/>
    <n v="44.354465822171633"/>
    <n v="47.48820801283442"/>
    <n v="115806.02997380547"/>
    <n v="24394.956202194397"/>
    <n v="91411.073771611074"/>
    <n v="115"/>
    <n v="2500"/>
    <n v="550"/>
    <n v="1950"/>
    <n v="950"/>
    <n v="1000"/>
    <n v="114657.02259067708"/>
    <n v="23907.057078150508"/>
    <n v="90749.965512526571"/>
    <n v="44211.521659948841"/>
    <n v="46538.44385257773"/>
    <n v="90"/>
    <n v="0"/>
    <n v="90"/>
    <n v="90"/>
    <n v="0"/>
    <n v="2313"/>
    <n v="517"/>
    <n v="1796"/>
    <n v="812"/>
    <n v="984"/>
    <n v="107508.159"/>
    <n v="22162.238999999998"/>
    <n v="85345.919999999998"/>
    <n v="38586.239999999998"/>
    <n v="46759.68"/>
    <n v="43.3"/>
    <n v="48"/>
    <n v="42.866999999999997"/>
    <n v="47.519999999999996"/>
    <n v="140335.00000000009"/>
    <n v="67732.13878679453"/>
    <n v="59541.728925388677"/>
    <n v="6130.7134247132662"/>
    <n v="6930.4188631036168"/>
    <n v="0"/>
    <n v="140335.00000000009"/>
    <e v="#REF!"/>
    <e v="#REF!"/>
    <e v="#REF!"/>
    <x v="4"/>
  </r>
  <r>
    <x v="15"/>
    <s v="Wk 15"/>
    <x v="4"/>
    <d v="2022-04-13T00:00:00"/>
    <n v="2474.9215246636768"/>
    <n v="550"/>
    <n v="1924.921524663677"/>
    <n v="46.710081296435689"/>
    <n v="47.679026500929901"/>
    <n v="117468.92909968947"/>
    <n v="25690.544713039628"/>
    <n v="91778.38438664985"/>
    <n v="116"/>
    <n v="2500"/>
    <n v="550"/>
    <n v="1950"/>
    <n v="950"/>
    <n v="1000"/>
    <n v="116291.35346205588"/>
    <n v="25176.733818778834"/>
    <n v="91114.619643277052"/>
    <n v="44389.173672365738"/>
    <n v="46725.445970911307"/>
    <n v="90"/>
    <n v="0"/>
    <n v="90"/>
    <n v="90"/>
    <n v="0"/>
    <n v="1952"/>
    <n v="496"/>
    <n v="1456"/>
    <n v="715"/>
    <n v="741"/>
    <n v="91594.799999999988"/>
    <n v="20820.095999999998"/>
    <n v="70774.703999999998"/>
    <n v="34755.434999999998"/>
    <n v="36019.269"/>
    <n v="42.4"/>
    <n v="49.1"/>
    <n v="41.975999999999992"/>
    <n v="48.609000000000002"/>
    <n v="152142.00000000006"/>
    <n v="68789.651232881894"/>
    <n v="55696.002800928538"/>
    <n v="18609.045659550273"/>
    <n v="9047.3003066393867"/>
    <n v="0"/>
    <n v="152142.00000000006"/>
    <e v="#REF!"/>
    <e v="#REF!"/>
    <e v="#REF!"/>
    <x v="4"/>
  </r>
  <r>
    <x v="15"/>
    <s v="Wk 15"/>
    <x v="5"/>
    <d v="2022-04-14T00:00:00"/>
    <n v="2200"/>
    <n v="550"/>
    <n v="1650"/>
    <n v="47.29969931648008"/>
    <n v="51.306715631519957"/>
    <n v="110670.91541607196"/>
    <n v="26014.834624064042"/>
    <n v="84656.080792007924"/>
    <n v="117"/>
    <n v="2500"/>
    <n v="550"/>
    <n v="1950"/>
    <n v="950"/>
    <n v="1000"/>
    <n v="123541.67150341738"/>
    <n v="25494.537931582759"/>
    <n v="98047.133571834624"/>
    <n v="47766.552252945075"/>
    <n v="50280.581318889555"/>
    <n v="90"/>
    <n v="0"/>
    <n v="90"/>
    <n v="90"/>
    <n v="0"/>
    <n v="2153"/>
    <n v="485"/>
    <n v="1668"/>
    <n v="747"/>
    <n v="921"/>
    <n v="99366.399000000005"/>
    <n v="20598.435000000001"/>
    <n v="78767.964000000007"/>
    <n v="35275.580999999998"/>
    <n v="43492.383000000002"/>
    <n v="42.9"/>
    <n v="47.7"/>
    <n v="42.471000000000004"/>
    <n v="47.223000000000006"/>
    <n v="142775.00000000009"/>
    <n v="66165.818167157253"/>
    <n v="52676.395177096048"/>
    <n v="14335.372558043002"/>
    <n v="9597.4140977037914"/>
    <n v="0"/>
    <n v="142775.00000000009"/>
    <e v="#REF!"/>
    <e v="#REF!"/>
    <e v="#REF!"/>
    <x v="4"/>
  </r>
  <r>
    <x v="15"/>
    <s v="Wk 15"/>
    <x v="0"/>
    <d v="2022-04-15T00:00:00"/>
    <n v="3100"/>
    <n v="1050"/>
    <n v="2050"/>
    <n v="49.395633655211697"/>
    <n v="50.717644391276117"/>
    <n v="155836.58634008834"/>
    <n v="51865.415337972285"/>
    <n v="103971.17100211604"/>
    <n v="118"/>
    <n v="3100"/>
    <n v="1050"/>
    <n v="2050"/>
    <n v="1000"/>
    <n v="1050"/>
    <n v="152719.85461328656"/>
    <n v="50828.107031212836"/>
    <n v="101891.74758207372"/>
    <n v="49703.291503450593"/>
    <n v="52188.456078623123"/>
    <n v="90"/>
    <n v="0"/>
    <n v="90"/>
    <n v="90"/>
    <n v="0"/>
    <n v="3026"/>
    <n v="1063"/>
    <n v="1963"/>
    <n v="1008"/>
    <n v="955"/>
    <n v="151892.43299999999"/>
    <n v="52197.552000000003"/>
    <n v="99694.880999999994"/>
    <n v="51193.295999999995"/>
    <n v="48501.584999999999"/>
    <n v="49.6"/>
    <n v="51.3"/>
    <n v="49.104000000000006"/>
    <n v="50.786999999999999"/>
    <n v="132596.00000000009"/>
    <n v="63996.940710256218"/>
    <n v="53458.701528273632"/>
    <n v="5792.6253412425995"/>
    <n v="9347.7324202276286"/>
    <n v="0"/>
    <n v="132596.00000000009"/>
    <e v="#REF!"/>
    <e v="#REF!"/>
    <e v="#REF!"/>
    <x v="4"/>
  </r>
  <r>
    <x v="15"/>
    <s v="Wk 15"/>
    <x v="1"/>
    <d v="2022-04-16T00:00:00"/>
    <n v="2800"/>
    <n v="950"/>
    <n v="1850"/>
    <n v="49.690244027562997"/>
    <n v="52.645152821030607"/>
    <n v="144599.26454509146"/>
    <n v="47205.731826184849"/>
    <n v="97393.532718906616"/>
    <n v="119"/>
    <n v="2850"/>
    <n v="1000"/>
    <n v="1850"/>
    <n v="1000"/>
    <n v="850"/>
    <n v="144142.10121154023"/>
    <n v="48696.439147011741"/>
    <n v="95445.6620645285"/>
    <n v="51592.249764609995"/>
    <n v="43853.412299918498"/>
    <n v="90"/>
    <n v="0"/>
    <n v="90"/>
    <n v="90"/>
    <n v="0"/>
    <n v="2900"/>
    <n v="1014"/>
    <n v="1886"/>
    <n v="998"/>
    <n v="888"/>
    <n v="140277.45600000001"/>
    <n v="48787.595999999998"/>
    <n v="91489.86"/>
    <n v="48412.98"/>
    <n v="43076.88"/>
    <n v="48.6"/>
    <n v="49"/>
    <n v="48.113999999999997"/>
    <n v="48.51"/>
    <n v="120390.00000000001"/>
    <n v="56043.675611792241"/>
    <n v="51845.792158668257"/>
    <n v="6137.2181114562036"/>
    <n v="6363.3141180833127"/>
    <n v="0"/>
    <n v="120390.00000000001"/>
    <e v="#REF!"/>
    <e v="#REF!"/>
    <e v="#REF!"/>
    <x v="4"/>
  </r>
  <r>
    <x v="15"/>
    <s v="Wk 15"/>
    <x v="6"/>
    <d v="2022-04-17T00:00:00"/>
    <n v="500"/>
    <n v="0"/>
    <n v="500"/>
    <n v="0"/>
    <n v="54.066665589136321"/>
    <n v="27033.332794568159"/>
    <n v="0"/>
    <n v="27033.332794568159"/>
    <n v="120"/>
    <n v="500"/>
    <n v="0"/>
    <n v="500"/>
    <n v="500"/>
    <n v="0"/>
    <n v="26492.666138676796"/>
    <n v="0"/>
    <n v="26492.666138676796"/>
    <n v="26492.666138676796"/>
    <n v="0"/>
    <n v="90"/>
    <n v="0"/>
    <n v="90"/>
    <n v="90"/>
    <n v="0"/>
    <n v="197"/>
    <n v="0"/>
    <n v="197"/>
    <n v="197"/>
    <n v="0"/>
    <n v="10200.068999999998"/>
    <n v="0"/>
    <n v="10200.068999999998"/>
    <n v="10200.068999999998"/>
    <n v="0"/>
    <n v="0"/>
    <n v="54.066665589136321"/>
    <s v="-"/>
    <n v="51.776999999999987"/>
    <n v="0"/>
    <n v="0"/>
    <n v="0"/>
    <n v="0"/>
    <n v="0"/>
    <n v="0"/>
    <n v="0"/>
    <e v="#REF!"/>
    <e v="#REF!"/>
    <e v="#REF!"/>
    <x v="4"/>
  </r>
  <r>
    <x v="16"/>
    <s v="Wk 16"/>
    <x v="2"/>
    <d v="2022-04-18T00:00:00"/>
    <n v="0"/>
    <n v="0"/>
    <n v="0"/>
    <n v="0"/>
    <n v="0"/>
    <n v="0"/>
    <n v="0"/>
    <n v="0"/>
    <n v="12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4"/>
  </r>
  <r>
    <x v="16"/>
    <s v="Wk 16"/>
    <x v="3"/>
    <d v="2022-04-19T00:00:00"/>
    <n v="1700"/>
    <n v="700"/>
    <n v="1000"/>
    <n v="46.581612829877272"/>
    <n v="46.316018664315258"/>
    <n v="78923.147645229343"/>
    <n v="32607.128980914091"/>
    <n v="46316.018664315256"/>
    <n v="123"/>
    <n v="1400"/>
    <n v="800"/>
    <n v="600"/>
    <n v="200"/>
    <n v="400"/>
    <n v="63753.803433241155"/>
    <n v="36519.984458623781"/>
    <n v="27233.818974617374"/>
    <n v="9077.9396582057907"/>
    <n v="18155.879316411581"/>
    <n v="90"/>
    <n v="0"/>
    <n v="90"/>
    <n v="90"/>
    <n v="0"/>
    <n v="1569"/>
    <n v="882"/>
    <n v="687"/>
    <n v="170"/>
    <n v="517"/>
    <n v="73842.812999999995"/>
    <n v="39904.326000000001"/>
    <n v="33938.487000000001"/>
    <n v="8398.17"/>
    <n v="25540.316999999999"/>
    <n v="45.7"/>
    <n v="49.9"/>
    <n v="45.243000000000002"/>
    <n v="49.401000000000003"/>
    <n v="212201.00000000012"/>
    <n v="81040.622022673473"/>
    <n v="71240.90328238206"/>
    <n v="51627.318776001564"/>
    <n v="8292.1559189429954"/>
    <n v="0"/>
    <n v="212201.00000000012"/>
    <e v="#REF!"/>
    <e v="#REF!"/>
    <e v="#REF!"/>
    <x v="4"/>
  </r>
  <r>
    <x v="16"/>
    <s v="Wk 16"/>
    <x v="4"/>
    <d v="2022-04-20T00:00:00"/>
    <n v="2650"/>
    <n v="550"/>
    <n v="2100"/>
    <n v="46.67344527768541"/>
    <n v="48.542086863886972"/>
    <n v="127608.77731688961"/>
    <n v="25670.394902726974"/>
    <n v="101938.38241416264"/>
    <n v="124"/>
    <n v="2650"/>
    <n v="550"/>
    <n v="2100"/>
    <n v="1050"/>
    <n v="1050"/>
    <n v="125056.60177055182"/>
    <n v="25156.987004672435"/>
    <n v="99899.614765879378"/>
    <n v="49949.807382939689"/>
    <n v="49949.807382939689"/>
    <n v="90"/>
    <n v="0"/>
    <n v="90"/>
    <n v="90"/>
    <n v="0"/>
    <n v="2608"/>
    <n v="600"/>
    <n v="2008"/>
    <n v="1037"/>
    <n v="971"/>
    <n v="127318.75200000001"/>
    <n v="26730"/>
    <n v="100588.75200000001"/>
    <n v="51947.478000000003"/>
    <n v="48641.273999999998"/>
    <n v="45"/>
    <n v="50.6"/>
    <n v="44.55"/>
    <n v="50.094000000000001"/>
    <n v="127236.00000000007"/>
    <n v="58967.273526457197"/>
    <n v="47743.24876825064"/>
    <n v="12770.02870539106"/>
    <n v="7755.4489999011794"/>
    <n v="0"/>
    <n v="127236.00000000007"/>
    <e v="#REF!"/>
    <e v="#REF!"/>
    <e v="#REF!"/>
    <x v="4"/>
  </r>
  <r>
    <x v="16"/>
    <s v="Wk 16"/>
    <x v="5"/>
    <d v="2022-04-21T00:00:00"/>
    <n v="2500"/>
    <n v="550"/>
    <n v="1950"/>
    <n v="47.350287557401174"/>
    <n v="50.197359268866002"/>
    <n v="123927.50873085935"/>
    <n v="26042.658156570647"/>
    <n v="97884.850574288706"/>
    <n v="125"/>
    <n v="2400"/>
    <n v="550"/>
    <n v="1850"/>
    <n v="950"/>
    <n v="900"/>
    <n v="116529.61734789329"/>
    <n v="25521.804993439233"/>
    <n v="91007.812354454058"/>
    <n v="46733.741479314245"/>
    <n v="44274.070875139812"/>
    <n v="90"/>
    <n v="0"/>
    <n v="90"/>
    <n v="90"/>
    <n v="0"/>
    <n v="2508"/>
    <n v="551"/>
    <n v="1957"/>
    <n v="1027"/>
    <n v="930"/>
    <n v="121527.648"/>
    <n v="24656.148000000001"/>
    <n v="96871.5"/>
    <n v="50836.5"/>
    <n v="46035"/>
    <n v="45.2"/>
    <n v="50"/>
    <n v="44.748000000000005"/>
    <n v="49.5"/>
    <n v="127291.00000000007"/>
    <n v="59909.70549317354"/>
    <n v="47695.734881251876"/>
    <n v="10995.600549773975"/>
    <n v="8689.9590758006852"/>
    <n v="0"/>
    <n v="127291.00000000007"/>
    <e v="#REF!"/>
    <e v="#REF!"/>
    <e v="#REF!"/>
    <x v="4"/>
  </r>
  <r>
    <x v="16"/>
    <s v="Wk 16"/>
    <x v="0"/>
    <d v="2022-04-22T00:00:00"/>
    <n v="3000"/>
    <n v="1000"/>
    <n v="2000"/>
    <n v="47.001641027439163"/>
    <n v="51.388485987976168"/>
    <n v="149778.61300339148"/>
    <n v="47001.64102743916"/>
    <n v="102776.97197595233"/>
    <n v="126"/>
    <n v="3000"/>
    <n v="1000"/>
    <n v="2000"/>
    <n v="1000"/>
    <n v="1000"/>
    <n v="146783.04074332365"/>
    <n v="46061.608206890378"/>
    <n v="100721.43253643328"/>
    <n v="50360.716268216638"/>
    <n v="50360.716268216638"/>
    <n v="90"/>
    <n v="0"/>
    <n v="90"/>
    <n v="90"/>
    <n v="0"/>
    <n v="3084"/>
    <n v="1080"/>
    <n v="2004"/>
    <n v="1056"/>
    <n v="948"/>
    <n v="154657.40399999998"/>
    <n v="53673.84"/>
    <n v="100983.564"/>
    <n v="53212.896000000001"/>
    <n v="47770.667999999998"/>
    <n v="50.2"/>
    <n v="50.9"/>
    <n v="49.697999999999993"/>
    <n v="50.390999999999998"/>
    <n v="119655.00000000006"/>
    <n v="57751.017682929407"/>
    <n v="48241.281270668653"/>
    <n v="5227.2812543846212"/>
    <n v="8435.4197920173829"/>
    <n v="0"/>
    <n v="119655.00000000006"/>
    <e v="#REF!"/>
    <e v="#REF!"/>
    <e v="#REF!"/>
    <x v="4"/>
  </r>
  <r>
    <x v="16"/>
    <s v="Wk 16"/>
    <x v="1"/>
    <d v="2022-04-23T00:00:00"/>
    <n v="2750"/>
    <n v="900"/>
    <n v="1850"/>
    <n v="46.19549164768133"/>
    <n v="51.588202038389305"/>
    <n v="137014.1162539334"/>
    <n v="41575.942482913197"/>
    <n v="95438.173771020214"/>
    <n v="127"/>
    <n v="2750"/>
    <n v="900"/>
    <n v="1850"/>
    <n v="1000"/>
    <n v="850"/>
    <n v="134273.83392885473"/>
    <n v="40744.423633254934"/>
    <n v="93529.41029559981"/>
    <n v="50556.437997621513"/>
    <n v="42972.972297978289"/>
    <n v="90"/>
    <n v="0"/>
    <n v="90"/>
    <n v="90"/>
    <n v="0"/>
    <n v="2847"/>
    <n v="900"/>
    <n v="1947"/>
    <n v="1023"/>
    <n v="924"/>
    <n v="142990.353"/>
    <n v="46421.1"/>
    <n v="96569.252999999997"/>
    <n v="50739.777000000002"/>
    <n v="45829.476000000002"/>
    <n v="52.1"/>
    <n v="50.1"/>
    <n v="51.579000000000001"/>
    <n v="49.598999999999997"/>
    <n v="116941.00000000001"/>
    <n v="54438.105072834922"/>
    <n v="50360.484930864899"/>
    <n v="5961.3956572123925"/>
    <n v="6181.0143390878038"/>
    <n v="0"/>
    <n v="116941.00000000001"/>
    <e v="#REF!"/>
    <e v="#REF!"/>
    <e v="#REF!"/>
    <x v="4"/>
  </r>
  <r>
    <x v="16"/>
    <s v="Wk 16"/>
    <x v="6"/>
    <d v="2022-04-24T00:00:00"/>
    <n v="100"/>
    <n v="0"/>
    <n v="100"/>
    <n v="0"/>
    <n v="53.913768808833602"/>
    <n v="5391.3768808833602"/>
    <n v="0"/>
    <n v="5391.3768808833602"/>
    <n v="128"/>
    <n v="100"/>
    <n v="0"/>
    <n v="100"/>
    <n v="100"/>
    <n v="0"/>
    <n v="5283.5493432656931"/>
    <n v="0"/>
    <n v="5283.5493432656931"/>
    <n v="5283.5493432656931"/>
    <n v="0"/>
    <n v="90"/>
    <n v="0"/>
    <n v="90"/>
    <n v="90"/>
    <n v="0"/>
    <n v="94"/>
    <n v="0"/>
    <n v="94"/>
    <n v="94"/>
    <n v="0"/>
    <n v="5248.5839999999998"/>
    <n v="0"/>
    <n v="5248.5839999999998"/>
    <n v="5248.5839999999998"/>
    <n v="0"/>
    <n v="0"/>
    <n v="53.913768808833602"/>
    <s v="-"/>
    <n v="55.835999999999999"/>
    <n v="0"/>
    <n v="0"/>
    <n v="0"/>
    <n v="0"/>
    <n v="0"/>
    <n v="0"/>
    <n v="0"/>
    <e v="#REF!"/>
    <e v="#REF!"/>
    <e v="#REF!"/>
    <x v="4"/>
  </r>
  <r>
    <x v="17"/>
    <s v="Wk 17"/>
    <x v="2"/>
    <d v="2022-04-25T00:00:00"/>
    <n v="2250"/>
    <n v="700"/>
    <n v="1550"/>
    <n v="43.67133027456947"/>
    <n v="49.665993070037771"/>
    <n v="107552.22045075719"/>
    <n v="30569.93119219863"/>
    <n v="76982.289258558551"/>
    <n v="130"/>
    <n v="2250"/>
    <n v="700"/>
    <n v="1550"/>
    <n v="650"/>
    <n v="900"/>
    <n v="105401.17604174203"/>
    <n v="29958.532568354658"/>
    <n v="75442.643473387376"/>
    <n v="31637.237585614057"/>
    <n v="43805.405887773311"/>
    <n v="90"/>
    <n v="0"/>
    <n v="90"/>
    <n v="90"/>
    <n v="0"/>
    <n v="2272"/>
    <n v="681"/>
    <n v="1591"/>
    <n v="697"/>
    <n v="894"/>
    <n v="114038.496"/>
    <n v="34181.433000000005"/>
    <n v="79857.062999999995"/>
    <n v="34984.521000000001"/>
    <n v="44872.542000000001"/>
    <n v="50.7"/>
    <n v="50.7"/>
    <n v="50.193000000000005"/>
    <n v="50.192999999999998"/>
    <n v="214462"/>
    <n v="90650.857877846691"/>
    <n v="57073.43710357981"/>
    <n v="58420.92599927837"/>
    <n v="8316.7790192951325"/>
    <n v="0"/>
    <n v="214462"/>
    <e v="#REF!"/>
    <e v="#REF!"/>
    <e v="#REF!"/>
    <x v="4"/>
  </r>
  <r>
    <x v="17"/>
    <s v="Wk 17"/>
    <x v="3"/>
    <d v="2022-04-26T00:00:00"/>
    <n v="2300"/>
    <n v="500"/>
    <n v="1800"/>
    <n v="43.2911570065015"/>
    <n v="48.544070295072054"/>
    <n v="109024.90503438044"/>
    <n v="21645.578503250748"/>
    <n v="87379.3265311297"/>
    <n v="131"/>
    <n v="2350"/>
    <n v="500"/>
    <n v="1850"/>
    <n v="950"/>
    <n v="900"/>
    <n v="109223.06637815139"/>
    <n v="21212.666933185734"/>
    <n v="88010.399444965646"/>
    <n v="45194.529444712083"/>
    <n v="42815.870000253555"/>
    <n v="90"/>
    <n v="0"/>
    <n v="90"/>
    <n v="90"/>
    <n v="0"/>
    <n v="2369"/>
    <n v="510"/>
    <n v="1859"/>
    <n v="887"/>
    <n v="972"/>
    <n v="111911.97600000001"/>
    <n v="22468.05"/>
    <n v="89443.926000000007"/>
    <n v="42677.118000000002"/>
    <n v="46766.808000000005"/>
    <n v="44.5"/>
    <n v="48.6"/>
    <n v="44.055"/>
    <n v="48.114000000000004"/>
    <n v="122545.00000000006"/>
    <n v="59145.864877811917"/>
    <n v="50768.287636097586"/>
    <n v="5353.5345895997943"/>
    <n v="7277.3128964907737"/>
    <n v="0"/>
    <n v="122545.00000000006"/>
    <e v="#REF!"/>
    <e v="#REF!"/>
    <e v="#REF!"/>
    <x v="4"/>
  </r>
  <r>
    <x v="17"/>
    <s v="Wk 17"/>
    <x v="4"/>
    <d v="2022-04-27T00:00:00"/>
    <n v="2250"/>
    <n v="500"/>
    <n v="1750"/>
    <n v="42.321718957512992"/>
    <n v="49.141225372253956"/>
    <n v="107158.00388020092"/>
    <n v="21160.859478756494"/>
    <n v="85997.144401444428"/>
    <n v="132"/>
    <n v="2350"/>
    <n v="500"/>
    <n v="1850"/>
    <n v="950"/>
    <n v="900"/>
    <n v="109830.68388907777"/>
    <n v="20737.642289181364"/>
    <n v="89093.041599896416"/>
    <n v="45750.480821568432"/>
    <n v="43342.560778327992"/>
    <n v="90"/>
    <n v="0"/>
    <n v="90"/>
    <n v="90"/>
    <n v="0"/>
    <n v="2307"/>
    <n v="512"/>
    <n v="1795"/>
    <n v="885"/>
    <n v="910"/>
    <n v="113157.69299999998"/>
    <n v="24127.488000000001"/>
    <n v="89030.204999999987"/>
    <n v="43895.114999999998"/>
    <n v="45135.09"/>
    <n v="47.6"/>
    <n v="50.1"/>
    <n v="47.124000000000002"/>
    <n v="49.59899999999999"/>
    <n v="140011.00000000009"/>
    <n v="61570.415456477662"/>
    <n v="49850.90010282131"/>
    <n v="20491.86698334157"/>
    <n v="8097.8174573595352"/>
    <n v="0"/>
    <n v="140011.00000000009"/>
    <e v="#REF!"/>
    <e v="#REF!"/>
    <e v="#REF!"/>
    <x v="4"/>
  </r>
  <r>
    <x v="17"/>
    <s v="Wk 17"/>
    <x v="5"/>
    <d v="2022-04-28T00:00:00"/>
    <n v="2300"/>
    <n v="500"/>
    <n v="1800"/>
    <n v="43.975975562652401"/>
    <n v="50.583997054246929"/>
    <n v="113039.18247897067"/>
    <n v="21987.987781326199"/>
    <n v="91051.194697644474"/>
    <n v="133"/>
    <n v="2300"/>
    <n v="500"/>
    <n v="1800"/>
    <n v="900"/>
    <n v="900"/>
    <n v="110778.39882939126"/>
    <n v="21548.228025699675"/>
    <n v="89230.170803691581"/>
    <n v="44615.08540184579"/>
    <n v="44615.08540184579"/>
    <n v="90"/>
    <n v="0"/>
    <n v="90"/>
    <n v="90"/>
    <n v="0"/>
    <n v="2238"/>
    <n v="500"/>
    <n v="1738"/>
    <n v="786"/>
    <n v="952"/>
    <n v="108018.50400000002"/>
    <n v="23364"/>
    <n v="84654.504000000015"/>
    <n v="38284.488000000005"/>
    <n v="46370.016000000003"/>
    <n v="47.2"/>
    <n v="49.2"/>
    <n v="46.728000000000002"/>
    <n v="48.708000000000006"/>
    <n v="117039.00000000009"/>
    <n v="56480.396073250668"/>
    <n v="44965.569016272646"/>
    <n v="7400.5003883785357"/>
    <n v="8192.5345220982272"/>
    <n v="0"/>
    <n v="117039.00000000009"/>
    <e v="#REF!"/>
    <e v="#REF!"/>
    <e v="#REF!"/>
    <x v="4"/>
  </r>
  <r>
    <x v="17"/>
    <s v="Wk 17"/>
    <x v="0"/>
    <d v="2022-04-29T00:00:00"/>
    <n v="3075"/>
    <n v="1000"/>
    <n v="2075"/>
    <n v="48.820583350306954"/>
    <n v="51.614225684730052"/>
    <n v="155920.1016461218"/>
    <n v="48820.583350306952"/>
    <n v="107099.51829581485"/>
    <n v="134"/>
    <n v="3075"/>
    <n v="1000"/>
    <n v="2075"/>
    <n v="1050"/>
    <n v="1025"/>
    <n v="152801.69961319937"/>
    <n v="47844.17168330081"/>
    <n v="104957.52792989856"/>
    <n v="53111.038229587226"/>
    <n v="51846.489700311336"/>
    <n v="90"/>
    <n v="0"/>
    <n v="90"/>
    <n v="90"/>
    <n v="0"/>
    <n v="2935"/>
    <n v="988"/>
    <n v="1947"/>
    <n v="1007"/>
    <n v="940"/>
    <n v="150616.22399999999"/>
    <n v="51155.675999999992"/>
    <n v="99460.54800000001"/>
    <n v="51441.588000000003"/>
    <n v="48018.96"/>
    <n v="52.3"/>
    <n v="51.6"/>
    <n v="51.776999999999994"/>
    <n v="51.084000000000003"/>
    <n v="114852.00000000007"/>
    <n v="55432.868521330565"/>
    <n v="46304.856767363133"/>
    <n v="5017.4560747865326"/>
    <n v="8096.8186365198308"/>
    <n v="0"/>
    <n v="114852.00000000007"/>
    <e v="#REF!"/>
    <e v="#REF!"/>
    <e v="#REF!"/>
    <x v="4"/>
  </r>
  <r>
    <x v="17"/>
    <s v="Wk 17"/>
    <x v="1"/>
    <d v="2022-04-30T00:00:00"/>
    <n v="2900"/>
    <n v="900"/>
    <n v="2000"/>
    <n v="48.214692395544446"/>
    <n v="50.116990562625269"/>
    <n v="143627.20428124053"/>
    <n v="43393.223155990003"/>
    <n v="100233.98112525053"/>
    <n v="135"/>
    <n v="2850"/>
    <n v="900"/>
    <n v="1950"/>
    <n v="1050"/>
    <n v="900"/>
    <n v="138298.92765804706"/>
    <n v="42525.358692870199"/>
    <n v="95773.568965176877"/>
    <n v="51570.383288941397"/>
    <n v="44203.185676235487"/>
    <n v="90"/>
    <n v="0"/>
    <n v="90"/>
    <n v="90"/>
    <n v="0"/>
    <n v="2851"/>
    <n v="896"/>
    <n v="1955"/>
    <n v="1054"/>
    <n v="901"/>
    <n v="146043.71100000001"/>
    <n v="45593.856"/>
    <n v="100449.85500000001"/>
    <n v="54155.574000000001"/>
    <n v="46294.281000000003"/>
    <n v="51.4"/>
    <n v="51.9"/>
    <n v="50.886000000000003"/>
    <n v="51.381000000000007"/>
    <n v="112509.00000000006"/>
    <n v="49030.107612966698"/>
    <n v="52758.336668878554"/>
    <n v="4245.2400831995001"/>
    <n v="6475.3156349553001"/>
    <n v="0"/>
    <n v="112509.00000000006"/>
    <e v="#REF!"/>
    <e v="#REF!"/>
    <e v="#REF!"/>
    <x v="4"/>
  </r>
  <r>
    <x v="17"/>
    <s v="Wk 17"/>
    <x v="6"/>
    <d v="2022-05-01T00:00:00"/>
    <n v="0"/>
    <n v="0"/>
    <n v="0"/>
    <n v="0"/>
    <n v="0"/>
    <n v="0"/>
    <n v="0"/>
    <n v="0"/>
    <n v="13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5"/>
  </r>
  <r>
    <x v="18"/>
    <s v="Wk 18"/>
    <x v="2"/>
    <d v="2022-05-02T00:00:00"/>
    <n v="2400"/>
    <n v="700"/>
    <n v="1700"/>
    <n v="46.292888639587737"/>
    <n v="50.413169190426622"/>
    <n v="118107.40967143668"/>
    <n v="32405.022047711416"/>
    <n v="85702.387623725255"/>
    <n v="138"/>
    <n v="2400"/>
    <n v="700"/>
    <n v="1700"/>
    <n v="750"/>
    <n v="950"/>
    <n v="115745.26147800793"/>
    <n v="31756.921606757187"/>
    <n v="83988.339871250748"/>
    <n v="37053.679354963562"/>
    <n v="46934.660516287186"/>
    <n v="90"/>
    <n v="0"/>
    <n v="90"/>
    <n v="90"/>
    <n v="0"/>
    <n v="2353"/>
    <n v="683"/>
    <n v="1670"/>
    <n v="720"/>
    <n v="950"/>
    <n v="116346.087"/>
    <n v="32523.777000000002"/>
    <n v="83822.31"/>
    <n v="36138.959999999999"/>
    <n v="47683.35"/>
    <n v="48.1"/>
    <n v="50.7"/>
    <n v="47.619"/>
    <n v="50.192999999999998"/>
    <n v="236342.00000000003"/>
    <n v="100942.59476041229"/>
    <n v="63553.075701652539"/>
    <n v="62585.33329465783"/>
    <n v="9260.9962432773555"/>
    <n v="0"/>
    <n v="236342.00000000003"/>
    <e v="#REF!"/>
    <e v="#REF!"/>
    <e v="#REF!"/>
    <x v="5"/>
  </r>
  <r>
    <x v="18"/>
    <s v="Wk 18"/>
    <x v="3"/>
    <d v="2022-05-03T00:00:00"/>
    <n v="2500"/>
    <n v="500"/>
    <n v="2000"/>
    <n v="44.053628944800096"/>
    <n v="48.953486824683829"/>
    <n v="119933.78812176771"/>
    <n v="22026.814472400049"/>
    <n v="97906.973649367661"/>
    <n v="139"/>
    <n v="2500"/>
    <n v="500"/>
    <n v="2000"/>
    <n v="1000"/>
    <n v="1000"/>
    <n v="117535.11235933236"/>
    <n v="21586.278182952046"/>
    <n v="95948.834176380304"/>
    <n v="47974.417088190152"/>
    <n v="47974.417088190152"/>
    <n v="90"/>
    <n v="0"/>
    <n v="90"/>
    <n v="90"/>
    <n v="0"/>
    <n v="2522"/>
    <n v="575"/>
    <n v="1947"/>
    <n v="956"/>
    <n v="991"/>
    <n v="116806.43700000001"/>
    <n v="24477.75"/>
    <n v="92328.687000000005"/>
    <n v="45334.476000000002"/>
    <n v="46994.211000000003"/>
    <n v="43"/>
    <n v="47.9"/>
    <n v="42.57"/>
    <n v="47.420999999999999"/>
    <n v="139011.00000000009"/>
    <n v="67093.115366024824"/>
    <n v="57589.868477551609"/>
    <n v="6072.8727964001555"/>
    <n v="8255.1433600234941"/>
    <n v="0"/>
    <n v="139011.00000000009"/>
    <e v="#REF!"/>
    <e v="#REF!"/>
    <e v="#REF!"/>
    <x v="5"/>
  </r>
  <r>
    <x v="18"/>
    <s v="Wk 18"/>
    <x v="4"/>
    <d v="2022-05-04T00:00:00"/>
    <n v="2450"/>
    <n v="550"/>
    <n v="1900"/>
    <n v="43.702353788872877"/>
    <n v="49.742543427520708"/>
    <n v="118547.12709616942"/>
    <n v="24036.294583880081"/>
    <n v="94510.832512289344"/>
    <n v="140"/>
    <n v="2450"/>
    <n v="550"/>
    <n v="1900"/>
    <n v="950"/>
    <n v="950"/>
    <n v="116176.18455424604"/>
    <n v="23555.56869220248"/>
    <n v="92620.61586204356"/>
    <n v="46310.30793102178"/>
    <n v="46310.30793102178"/>
    <n v="90"/>
    <n v="0"/>
    <n v="90"/>
    <n v="90"/>
    <n v="0"/>
    <n v="2426"/>
    <n v="500"/>
    <n v="1926"/>
    <n v="938"/>
    <n v="988"/>
    <n v="116187.39"/>
    <n v="23710.5"/>
    <n v="92476.89"/>
    <n v="45038.07"/>
    <n v="47438.82"/>
    <n v="47.9"/>
    <n v="48.5"/>
    <n v="47.420999999999999"/>
    <n v="48.015000000000001"/>
    <n v="142911.00000000006"/>
    <n v="65257.871426614533"/>
    <n v="52836.473577321965"/>
    <n v="16233.858752921353"/>
    <n v="8582.7962431422347"/>
    <n v="0"/>
    <n v="142911.00000000006"/>
    <e v="#REF!"/>
    <e v="#REF!"/>
    <e v="#REF!"/>
    <x v="5"/>
  </r>
  <r>
    <x v="18"/>
    <s v="Wk 18"/>
    <x v="5"/>
    <d v="2022-05-05T00:00:00"/>
    <n v="2350"/>
    <n v="500"/>
    <n v="1850"/>
    <n v="45.407163214718942"/>
    <n v="49.452495946291769"/>
    <n v="114190.69910799924"/>
    <n v="22703.581607359472"/>
    <n v="91487.117500639768"/>
    <n v="141"/>
    <n v="2350"/>
    <n v="500"/>
    <n v="1850"/>
    <n v="950"/>
    <n v="900"/>
    <n v="111906.88512583927"/>
    <n v="22249.509975212284"/>
    <n v="89657.375150626976"/>
    <n v="46040.273725997635"/>
    <n v="43617.101424629342"/>
    <n v="90"/>
    <n v="0"/>
    <n v="90"/>
    <n v="90"/>
    <n v="0"/>
    <n v="2322"/>
    <n v="490"/>
    <n v="1832"/>
    <n v="866"/>
    <n v="966"/>
    <n v="111828.22199999999"/>
    <n v="23139.27"/>
    <n v="88688.95199999999"/>
    <n v="41923.925999999999"/>
    <n v="46765.025999999998"/>
    <n v="47.7"/>
    <n v="48.9"/>
    <n v="47.222999999999999"/>
    <n v="48.410999999999994"/>
    <n v="132468.00000000006"/>
    <n v="63816.388972557019"/>
    <n v="50805.951130251342"/>
    <n v="8589.0327118003843"/>
    <n v="9256.6271853913331"/>
    <n v="0"/>
    <n v="132468.00000000006"/>
    <e v="#REF!"/>
    <e v="#REF!"/>
    <e v="#REF!"/>
    <x v="5"/>
  </r>
  <r>
    <x v="18"/>
    <s v="Wk 18"/>
    <x v="0"/>
    <d v="2022-05-06T00:00:00"/>
    <n v="3250"/>
    <n v="1100"/>
    <n v="2150"/>
    <n v="53.212223501816112"/>
    <n v="52.99509950875369"/>
    <n v="172472.90979581815"/>
    <n v="58533.44585199772"/>
    <n v="113939.46394382043"/>
    <n v="142"/>
    <n v="3250"/>
    <n v="1100"/>
    <n v="2150"/>
    <n v="1100"/>
    <n v="1050"/>
    <n v="169023.45159990177"/>
    <n v="57362.776934957765"/>
    <n v="111660.67466494402"/>
    <n v="57128.717270436471"/>
    <n v="54531.957394507546"/>
    <n v="90"/>
    <n v="0"/>
    <n v="90"/>
    <n v="90"/>
    <n v="0"/>
    <n v="3191"/>
    <n v="1180"/>
    <n v="2011"/>
    <n v="1025"/>
    <n v="986"/>
    <n v="162870.84"/>
    <n v="59344.56"/>
    <n v="103526.28"/>
    <n v="52767"/>
    <n v="50759.28"/>
    <n v="50.8"/>
    <n v="52"/>
    <n v="50.291999999999994"/>
    <n v="51.48"/>
    <n v="120554.00000000009"/>
    <n v="58184.916516216392"/>
    <n v="48603.730912240935"/>
    <n v="5266.5552157543243"/>
    <n v="8498.7973557884216"/>
    <n v="0"/>
    <n v="120554.00000000009"/>
    <e v="#REF!"/>
    <e v="#REF!"/>
    <e v="#REF!"/>
    <x v="5"/>
  </r>
  <r>
    <x v="18"/>
    <s v="Wk 18"/>
    <x v="1"/>
    <d v="2022-05-07T00:00:00"/>
    <n v="3100"/>
    <n v="1000"/>
    <n v="2100"/>
    <n v="52.245101128905709"/>
    <n v="51.485016046863088"/>
    <n v="160363.63482731819"/>
    <n v="52245.101128905706"/>
    <n v="108118.53369841249"/>
    <n v="143"/>
    <n v="3100"/>
    <n v="1000"/>
    <n v="2100"/>
    <n v="1100"/>
    <n v="1000"/>
    <n v="157156.3621307718"/>
    <n v="51200.199106327593"/>
    <n v="105956.16302444422"/>
    <n v="55500.847298518405"/>
    <n v="50455.315725925822"/>
    <n v="90"/>
    <n v="0"/>
    <n v="90"/>
    <n v="90"/>
    <n v="0"/>
    <n v="2893"/>
    <n v="1050"/>
    <n v="1843"/>
    <n v="1042"/>
    <n v="801"/>
    <n v="146069.74799999999"/>
    <n v="52286.85"/>
    <n v="93782.897999999986"/>
    <n v="53023.211999999992"/>
    <n v="40759.686000000002"/>
    <n v="50.3"/>
    <n v="51.4"/>
    <n v="49.796999999999997"/>
    <n v="50.885999999999996"/>
    <n v="130600.00000000001"/>
    <n v="60796.611304095575"/>
    <n v="56242.714975679657"/>
    <n v="6657.701514712021"/>
    <n v="6902.972205512755"/>
    <n v="0"/>
    <n v="130600.00000000001"/>
    <e v="#REF!"/>
    <e v="#REF!"/>
    <e v="#REF!"/>
    <x v="5"/>
  </r>
  <r>
    <x v="18"/>
    <s v="Wk 18"/>
    <x v="6"/>
    <d v="2022-05-08T00:00:00"/>
    <n v="100"/>
    <n v="0"/>
    <n v="100"/>
    <n v="0"/>
    <n v="55.893814952991569"/>
    <n v="5589.381495299157"/>
    <n v="0"/>
    <n v="5589.381495299157"/>
    <n v="144"/>
    <n v="100"/>
    <n v="0"/>
    <n v="100"/>
    <n v="100"/>
    <n v="0"/>
    <n v="5477.5938653931735"/>
    <n v="0"/>
    <n v="5477.5938653931735"/>
    <n v="5477.5938653931735"/>
    <n v="0"/>
    <n v="90"/>
    <n v="0"/>
    <n v="90"/>
    <n v="90"/>
    <n v="0"/>
    <n v="73"/>
    <n v="0"/>
    <n v="73"/>
    <n v="73"/>
    <n v="0"/>
    <n v="3765.2670000000003"/>
    <n v="0"/>
    <n v="3765.2670000000003"/>
    <n v="3765.2670000000003"/>
    <n v="0"/>
    <n v="0"/>
    <n v="55.893814952991569"/>
    <s v="-"/>
    <n v="51.579000000000001"/>
    <n v="0"/>
    <n v="0"/>
    <n v="0"/>
    <n v="0"/>
    <n v="0"/>
    <n v="0"/>
    <n v="0"/>
    <e v="#REF!"/>
    <e v="#REF!"/>
    <e v="#REF!"/>
    <x v="5"/>
  </r>
  <r>
    <x v="19"/>
    <s v="Wk 19"/>
    <x v="2"/>
    <d v="2022-05-09T00:00:00"/>
    <n v="2500"/>
    <n v="750"/>
    <n v="1750"/>
    <n v="49.979842246608499"/>
    <n v="51.217559468310512"/>
    <n v="127115.61075449976"/>
    <n v="37484.881684956374"/>
    <n v="89630.729069543391"/>
    <n v="146"/>
    <n v="2450"/>
    <n v="750"/>
    <n v="1700"/>
    <n v="750"/>
    <n v="950"/>
    <n v="122063.63812546254"/>
    <n v="36735.184051257245"/>
    <n v="85328.454074205307"/>
    <n v="37644.906209208224"/>
    <n v="47683.547864997083"/>
    <n v="90"/>
    <n v="0"/>
    <n v="90"/>
    <n v="90"/>
    <n v="0"/>
    <n v="2287"/>
    <n v="800"/>
    <n v="1487"/>
    <n v="608"/>
    <n v="879"/>
    <n v="109201.75200000001"/>
    <n v="35006.400000000001"/>
    <n v="74195.351999999999"/>
    <n v="30336.768"/>
    <n v="43858.583999999995"/>
    <n v="44.2"/>
    <n v="50.4"/>
    <n v="43.758000000000003"/>
    <n v="49.896000000000001"/>
    <n v="242984.00000000003"/>
    <n v="103769.4674692777"/>
    <n v="65332.864062471621"/>
    <n v="64361.320287377872"/>
    <n v="9520.348180872812"/>
    <n v="0"/>
    <n v="242984.00000000003"/>
    <e v="#REF!"/>
    <e v="#REF!"/>
    <e v="#REF!"/>
    <x v="5"/>
  </r>
  <r>
    <x v="19"/>
    <s v="Wk 19"/>
    <x v="3"/>
    <d v="2022-05-10T00:00:00"/>
    <n v="2650"/>
    <n v="600"/>
    <n v="2050"/>
    <n v="46.91041871841535"/>
    <n v="50.017703439379112"/>
    <n v="130682.54328177639"/>
    <n v="28146.251231049209"/>
    <n v="102536.29205072718"/>
    <n v="147"/>
    <n v="2650"/>
    <n v="600"/>
    <n v="2050"/>
    <n v="1050"/>
    <n v="1000"/>
    <n v="128068.89241614085"/>
    <n v="27583.326206428224"/>
    <n v="100485.56620971262"/>
    <n v="51468.216839121102"/>
    <n v="49017.349370591524"/>
    <n v="90"/>
    <n v="0"/>
    <n v="90"/>
    <n v="90"/>
    <n v="0"/>
    <n v="2445"/>
    <n v="592"/>
    <n v="1853"/>
    <n v="840"/>
    <n v="1013"/>
    <n v="115332.52499999999"/>
    <n v="25260.047999999999"/>
    <n v="90072.476999999999"/>
    <n v="40831.56"/>
    <n v="49240.917000000001"/>
    <n v="43.1"/>
    <n v="49.1"/>
    <n v="42.668999999999997"/>
    <n v="48.609000000000002"/>
    <n v="144209.00000000009"/>
    <n v="66717.729732460546"/>
    <n v="62627.490552972362"/>
    <n v="6299.9540546868238"/>
    <n v="8563.8256598803546"/>
    <n v="0"/>
    <n v="144209.00000000009"/>
    <e v="#REF!"/>
    <e v="#REF!"/>
    <e v="#REF!"/>
    <x v="5"/>
  </r>
  <r>
    <x v="19"/>
    <s v="Wk 19"/>
    <x v="4"/>
    <d v="2022-05-11T00:00:00"/>
    <n v="2650"/>
    <n v="600"/>
    <n v="2050"/>
    <n v="47.80715560545606"/>
    <n v="50.711392192436755"/>
    <n v="132642.64735776899"/>
    <n v="28684.293363273635"/>
    <n v="103958.35399449535"/>
    <n v="148"/>
    <n v="2650"/>
    <n v="600"/>
    <n v="2050"/>
    <n v="1050"/>
    <n v="1000"/>
    <n v="129989.7944106136"/>
    <n v="28110.607496008161"/>
    <n v="101879.18691460544"/>
    <n v="52182.022566017418"/>
    <n v="49697.164348588019"/>
    <n v="90"/>
    <n v="0"/>
    <n v="90"/>
    <n v="90"/>
    <n v="0"/>
    <n v="2341"/>
    <n v="590"/>
    <n v="1751"/>
    <n v="776"/>
    <n v="975"/>
    <n v="109716.255"/>
    <n v="25641.989999999998"/>
    <n v="84074.264999999999"/>
    <n v="37259.64"/>
    <n v="46814.625"/>
    <n v="43.9"/>
    <n v="48.5"/>
    <n v="43.460999999999999"/>
    <n v="48.015000000000001"/>
    <n v="167169.04660000009"/>
    <n v="63909.213526771855"/>
    <n v="66120.839586393296"/>
    <n v="27728.850000451646"/>
    <n v="9410.143486383291"/>
    <n v="0"/>
    <n v="167169.04660000009"/>
    <e v="#REF!"/>
    <e v="#REF!"/>
    <e v="#REF!"/>
    <x v="5"/>
  </r>
  <r>
    <x v="19"/>
    <s v="Wk 19"/>
    <x v="5"/>
    <d v="2022-05-12T00:00:00"/>
    <n v="2600"/>
    <n v="650"/>
    <n v="1950"/>
    <n v="49.107096258977116"/>
    <n v="50.504609732851733"/>
    <n v="130403.60154739601"/>
    <n v="31919.612568335124"/>
    <n v="98483.988979060887"/>
    <n v="149"/>
    <n v="2550"/>
    <n v="550"/>
    <n v="2000"/>
    <n v="1000"/>
    <n v="1000"/>
    <n v="125457.75995997805"/>
    <n v="26468.724883588664"/>
    <n v="98989.035076389395"/>
    <n v="49494.517538194697"/>
    <n v="49494.517538194697"/>
    <n v="90"/>
    <n v="0"/>
    <n v="90"/>
    <n v="90"/>
    <n v="0"/>
    <n v="2298"/>
    <n v="590"/>
    <n v="1708"/>
    <n v="760"/>
    <n v="948"/>
    <n v="110652.10199999998"/>
    <n v="27627.93"/>
    <n v="83024.171999999991"/>
    <n v="36942.839999999997"/>
    <n v="46081.332000000002"/>
    <n v="47.3"/>
    <n v="49.1"/>
    <n v="46.826999999999998"/>
    <n v="48.608999999999995"/>
    <n v="142393.00000000006"/>
    <n v="59648.343564024806"/>
    <n v="56955.186764741855"/>
    <n v="16372.846281885773"/>
    <n v="9416.6233893476328"/>
    <n v="0"/>
    <n v="142393.00000000006"/>
    <e v="#REF!"/>
    <e v="#REF!"/>
    <e v="#REF!"/>
    <x v="5"/>
  </r>
  <r>
    <x v="19"/>
    <s v="Wk 19"/>
    <x v="0"/>
    <d v="2022-05-13T00:00:00"/>
    <n v="3350"/>
    <n v="1200"/>
    <n v="2150"/>
    <n v="52.959454453078131"/>
    <n v="52.841494836950964"/>
    <n v="177160.55924313833"/>
    <n v="63551.345343693756"/>
    <n v="113609.21389944457"/>
    <n v="150"/>
    <n v="3350"/>
    <n v="1200"/>
    <n v="2150"/>
    <n v="1100"/>
    <n v="1050"/>
    <n v="173617.34805827556"/>
    <n v="62280.318436819878"/>
    <n v="111337.02962145567"/>
    <n v="56963.131434233139"/>
    <n v="54373.898187222541"/>
    <n v="90"/>
    <n v="0"/>
    <n v="90"/>
    <n v="90"/>
    <n v="0"/>
    <n v="3082"/>
    <n v="1175"/>
    <n v="1907"/>
    <n v="942"/>
    <n v="965"/>
    <n v="154141.81199999998"/>
    <n v="58046.175000000003"/>
    <n v="96095.636999999988"/>
    <n v="47468.321999999993"/>
    <n v="48627.315000000002"/>
    <n v="49.9"/>
    <n v="50.9"/>
    <n v="49.401000000000003"/>
    <n v="50.390999999999991"/>
    <n v="130273.00000000009"/>
    <n v="57664.833847380076"/>
    <n v="57733.058105167511"/>
    <n v="5691.1421240436903"/>
    <n v="9183.9659234088031"/>
    <n v="0"/>
    <n v="130273.00000000009"/>
    <e v="#REF!"/>
    <e v="#REF!"/>
    <e v="#REF!"/>
    <x v="5"/>
  </r>
  <r>
    <x v="19"/>
    <s v="Wk 19"/>
    <x v="1"/>
    <d v="2022-05-14T00:00:00"/>
    <n v="3100"/>
    <n v="1100"/>
    <n v="2000"/>
    <n v="52.206442087555587"/>
    <n v="51.413692586151477"/>
    <n v="160254.47146861409"/>
    <n v="57427.086296311143"/>
    <n v="102827.38517230295"/>
    <n v="151"/>
    <n v="3100"/>
    <n v="1100"/>
    <n v="2000"/>
    <n v="1050"/>
    <n v="950"/>
    <n v="157049.38203924181"/>
    <n v="56278.544570384918"/>
    <n v="100770.83746885689"/>
    <n v="52904.689671149863"/>
    <n v="47866.147797707024"/>
    <n v="90"/>
    <n v="0"/>
    <n v="90"/>
    <n v="90"/>
    <n v="0"/>
    <n v="2668"/>
    <n v="922"/>
    <n v="1746"/>
    <n v="1006"/>
    <n v="740"/>
    <n v="138428.53200000001"/>
    <n v="46643.058000000005"/>
    <n v="91785.473999999987"/>
    <n v="52884.413999999997"/>
    <n v="38901.06"/>
    <n v="51.1"/>
    <n v="53.1"/>
    <n v="50.589000000000006"/>
    <n v="52.568999999999996"/>
    <n v="129334.98000000007"/>
    <n v="59931.051336991906"/>
    <n v="57162.485486692851"/>
    <n v="5539.3760041345167"/>
    <n v="6702.0671721807958"/>
    <n v="0"/>
    <n v="129334.98000000007"/>
    <e v="#REF!"/>
    <e v="#REF!"/>
    <e v="#REF!"/>
    <x v="5"/>
  </r>
  <r>
    <x v="19"/>
    <s v="Wk 19"/>
    <x v="6"/>
    <d v="2022-05-15T00:00:00"/>
    <n v="100"/>
    <n v="0"/>
    <n v="100"/>
    <n v="0"/>
    <n v="54.175497006192309"/>
    <n v="5417.5497006192309"/>
    <n v="0"/>
    <n v="5417.5497006192309"/>
    <n v="152"/>
    <n v="100"/>
    <n v="0"/>
    <n v="100"/>
    <n v="100"/>
    <n v="0"/>
    <n v="5309.1987066068459"/>
    <n v="0"/>
    <n v="5309.1987066068459"/>
    <n v="5309.1987066068459"/>
    <n v="0"/>
    <n v="90"/>
    <n v="0"/>
    <n v="90"/>
    <n v="90"/>
    <n v="0"/>
    <n v="72"/>
    <n v="0"/>
    <n v="72"/>
    <n v="72"/>
    <n v="0"/>
    <n v="3962.9300750835837"/>
    <n v="0"/>
    <n v="3962.9300750835837"/>
    <n v="3962.9300750835837"/>
    <n v="0"/>
    <n v="0"/>
    <n v="54.175497006192309"/>
    <s v="-"/>
    <n v="55.040695487271996"/>
    <n v="0"/>
    <n v="0"/>
    <n v="0"/>
    <n v="0"/>
    <n v="0"/>
    <n v="0"/>
    <n v="0"/>
    <e v="#REF!"/>
    <e v="#REF!"/>
    <e v="#REF!"/>
    <x v="5"/>
  </r>
  <r>
    <x v="20"/>
    <s v="Wk 20"/>
    <x v="2"/>
    <d v="2022-05-16T00:00:00"/>
    <n v="2450"/>
    <n v="800"/>
    <n v="1650"/>
    <n v="49.260059107617707"/>
    <n v="50.867613187396906"/>
    <n v="123339.60904529906"/>
    <n v="39408.047286094166"/>
    <n v="83931.561759204895"/>
    <n v="154"/>
    <n v="2450"/>
    <n v="800"/>
    <n v="1650"/>
    <n v="700"/>
    <n v="950"/>
    <n v="120872.81686439307"/>
    <n v="38619.886340372279"/>
    <n v="82252.93052402079"/>
    <n v="34895.182646554276"/>
    <n v="47357.747877466514"/>
    <n v="90"/>
    <n v="0"/>
    <n v="90"/>
    <n v="90"/>
    <n v="0"/>
    <n v="2292"/>
    <n v="700"/>
    <n v="1592"/>
    <n v="648"/>
    <n v="944"/>
    <n v="112125.02399999999"/>
    <n v="32848.199999999997"/>
    <n v="79276.823999999993"/>
    <n v="32268.455999999998"/>
    <n v="47008.367999999995"/>
    <n v="47.4"/>
    <n v="50.3"/>
    <n v="46.925999999999995"/>
    <n v="49.796999999999997"/>
    <n v="237033.00000000003"/>
    <n v="101870.5203639978"/>
    <n v="64137.294150466361"/>
    <n v="61679.056543329534"/>
    <n v="9346.1289422063146"/>
    <n v="0"/>
    <n v="237033.00000000003"/>
    <e v="#REF!"/>
    <e v="#REF!"/>
    <e v="#REF!"/>
    <x v="5"/>
  </r>
  <r>
    <x v="20"/>
    <s v="Wk 20"/>
    <x v="3"/>
    <d v="2022-05-17T00:00:00"/>
    <n v="2550"/>
    <n v="650"/>
    <n v="1900"/>
    <n v="46.457358826095223"/>
    <n v="49.729867391912698"/>
    <n v="124684.03128159602"/>
    <n v="30197.283236961895"/>
    <n v="94486.748044634121"/>
    <n v="155"/>
    <n v="2550"/>
    <n v="650"/>
    <n v="1900"/>
    <n v="900"/>
    <n v="1000"/>
    <n v="122190.35065596408"/>
    <n v="29593.337572222656"/>
    <n v="92597.013083741433"/>
    <n v="43861.743039666995"/>
    <n v="48735.270044074437"/>
    <n v="90"/>
    <n v="0"/>
    <n v="90"/>
    <n v="90"/>
    <n v="0"/>
    <n v="2368"/>
    <n v="545"/>
    <n v="1823"/>
    <n v="800"/>
    <n v="1023"/>
    <n v="107358.76799999998"/>
    <n v="22715.055"/>
    <n v="84643.712999999989"/>
    <n v="37144.800000000003"/>
    <n v="47498.912999999993"/>
    <n v="42.1"/>
    <n v="46.9"/>
    <n v="41.679000000000002"/>
    <n v="46.430999999999997"/>
    <n v="134845.00000000009"/>
    <n v="62385.511762605958"/>
    <n v="58560.866267816557"/>
    <n v="5890.8757740795982"/>
    <n v="8007.7461954979672"/>
    <n v="0"/>
    <n v="134845.00000000009"/>
    <e v="#REF!"/>
    <e v="#REF!"/>
    <e v="#REF!"/>
    <x v="5"/>
  </r>
  <r>
    <x v="20"/>
    <s v="Wk 20"/>
    <x v="4"/>
    <d v="2022-05-18T00:00:00"/>
    <n v="2600"/>
    <n v="650"/>
    <n v="1950"/>
    <n v="46.753026479484454"/>
    <n v="50.649111953764155"/>
    <n v="129155.235521505"/>
    <n v="30389.467211664894"/>
    <n v="98765.768309840103"/>
    <n v="156"/>
    <n v="2600"/>
    <n v="650"/>
    <n v="1950"/>
    <n v="950"/>
    <n v="1000"/>
    <n v="126572.13081107489"/>
    <n v="29781.677867431597"/>
    <n v="96790.452943643293"/>
    <n v="47154.323228954425"/>
    <n v="49636.129714688876"/>
    <n v="90"/>
    <n v="0"/>
    <n v="90"/>
    <n v="90"/>
    <n v="0"/>
    <n v="2321"/>
    <n v="575"/>
    <n v="1746"/>
    <n v="806"/>
    <n v="940"/>
    <n v="112049.48700000001"/>
    <n v="25103.924999999999"/>
    <n v="86945.562000000005"/>
    <n v="40136.381999999998"/>
    <n v="46809.18"/>
    <n v="44.1"/>
    <n v="50.3"/>
    <n v="43.658999999999999"/>
    <n v="49.797000000000004"/>
    <n v="150045.83140000008"/>
    <n v="60376.833053928051"/>
    <n v="59736.652417713362"/>
    <n v="21239.854416768856"/>
    <n v="8692.4915115898129"/>
    <n v="0"/>
    <n v="150045.83140000008"/>
    <e v="#REF!"/>
    <e v="#REF!"/>
    <e v="#REF!"/>
    <x v="5"/>
  </r>
  <r>
    <x v="20"/>
    <s v="Wk 20"/>
    <x v="5"/>
    <d v="2022-05-19T00:00:00"/>
    <n v="2450"/>
    <n v="600"/>
    <n v="1850"/>
    <n v="47.906080226006011"/>
    <n v="50.163748746151356"/>
    <n v="121546.58331598362"/>
    <n v="28743.648135603606"/>
    <n v="92802.935180380009"/>
    <n v="157"/>
    <n v="2550"/>
    <n v="650"/>
    <n v="1900"/>
    <n v="900"/>
    <n v="1000"/>
    <n v="123921.07326929964"/>
    <n v="30516.173103965826"/>
    <n v="93404.90016533382"/>
    <n v="44244.426394105496"/>
    <n v="49160.473771228331"/>
    <n v="90"/>
    <n v="0"/>
    <n v="90"/>
    <n v="90"/>
    <n v="0"/>
    <n v="2181"/>
    <n v="550"/>
    <n v="1631"/>
    <n v="710"/>
    <n v="921"/>
    <n v="107674.083"/>
    <n v="25809.3"/>
    <n v="81864.782999999996"/>
    <n v="35637.03"/>
    <n v="46227.753000000004"/>
    <n v="47.4"/>
    <n v="50.7"/>
    <n v="46.926000000000002"/>
    <n v="50.192999999999998"/>
    <n v="130031.00000000006"/>
    <n v="56748.692723049957"/>
    <n v="54186.456816306723"/>
    <n v="10136.992003204667"/>
    <n v="8958.8584574387187"/>
    <n v="0"/>
    <n v="130031.00000000006"/>
    <e v="#REF!"/>
    <e v="#REF!"/>
    <e v="#REF!"/>
    <x v="5"/>
  </r>
  <r>
    <x v="20"/>
    <s v="Wk 20"/>
    <x v="0"/>
    <d v="2022-05-20T00:00:00"/>
    <n v="2950"/>
    <n v="1050"/>
    <n v="1900"/>
    <n v="51.376068525329821"/>
    <n v="50.644815107310272"/>
    <n v="150170.02065548583"/>
    <n v="53944.871951596309"/>
    <n v="96225.148703889514"/>
    <n v="158"/>
    <n v="3050"/>
    <n v="1050"/>
    <n v="2000"/>
    <n v="950"/>
    <n v="1050"/>
    <n v="152129.81212289253"/>
    <n v="52865.974512564382"/>
    <n v="99263.837610328133"/>
    <n v="47150.322864905858"/>
    <n v="52113.514745422268"/>
    <n v="90"/>
    <n v="0"/>
    <n v="90"/>
    <n v="90"/>
    <n v="0"/>
    <n v="2820"/>
    <n v="1015"/>
    <n v="1805"/>
    <n v="840"/>
    <n v="965"/>
    <n v="142114.005"/>
    <n v="50443.47"/>
    <n v="91670.535000000003"/>
    <n v="42661.08"/>
    <n v="49009.455000000002"/>
    <n v="50.2"/>
    <n v="51.3"/>
    <n v="49.698"/>
    <n v="50.786999999999999"/>
    <n v="125595.00000000007"/>
    <n v="55594.135446805565"/>
    <n v="55659.909825662362"/>
    <n v="5486.7777288407215"/>
    <n v="8854.1769986914296"/>
    <n v="0"/>
    <n v="125595.00000000007"/>
    <e v="#REF!"/>
    <e v="#REF!"/>
    <e v="#REF!"/>
    <x v="5"/>
  </r>
  <r>
    <x v="20"/>
    <s v="Wk 20"/>
    <x v="1"/>
    <d v="2022-05-21T00:00:00"/>
    <n v="2750"/>
    <n v="900"/>
    <n v="1850"/>
    <n v="51.440959297862342"/>
    <n v="50.232870264314293"/>
    <n v="139227.67335705756"/>
    <n v="46296.863368076105"/>
    <n v="92930.809988981448"/>
    <n v="159"/>
    <n v="2900"/>
    <n v="1050"/>
    <n v="1850"/>
    <n v="900"/>
    <n v="950"/>
    <n v="144004.94090670216"/>
    <n v="52932.747117500352"/>
    <n v="91072.193789201818"/>
    <n v="44305.391573125205"/>
    <n v="46766.802216076605"/>
    <n v="90"/>
    <n v="0"/>
    <n v="90"/>
    <n v="90"/>
    <n v="0"/>
    <n v="2664"/>
    <n v="825"/>
    <n v="1839"/>
    <n v="1054"/>
    <n v="785"/>
    <n v="133344.981"/>
    <n v="43042.724999999999"/>
    <n v="90302.255999999994"/>
    <n v="51755.616000000002"/>
    <n v="38546.639999999999"/>
    <n v="52.7"/>
    <n v="49.6"/>
    <n v="52.172999999999995"/>
    <n v="49.103999999999999"/>
    <n v="133231.38000000006"/>
    <n v="61736.559393895419"/>
    <n v="58884.586564455029"/>
    <n v="5706.2575752493822"/>
    <n v="6903.9764664002341"/>
    <n v="0"/>
    <n v="133231.38000000006"/>
    <e v="#REF!"/>
    <e v="#REF!"/>
    <e v="#REF!"/>
    <x v="5"/>
  </r>
  <r>
    <x v="20"/>
    <s v="Wk 20"/>
    <x v="6"/>
    <d v="2022-05-22T00:00:00"/>
    <n v="100"/>
    <n v="0"/>
    <n v="100"/>
    <n v="0"/>
    <n v="53.39240619094776"/>
    <n v="5339.2406190947759"/>
    <n v="0"/>
    <n v="5339.2406190947759"/>
    <n v="160"/>
    <n v="100"/>
    <n v="0"/>
    <n v="100"/>
    <n v="100"/>
    <n v="0"/>
    <n v="5232.4558067128801"/>
    <n v="0"/>
    <n v="5232.4558067128801"/>
    <n v="5232.4558067128801"/>
    <n v="0"/>
    <n v="90"/>
    <n v="0"/>
    <n v="90"/>
    <n v="90"/>
    <n v="0"/>
    <n v="70"/>
    <n v="0"/>
    <n v="70"/>
    <n v="70"/>
    <n v="0"/>
    <n v="3659.5528820377099"/>
    <n v="0"/>
    <n v="3659.5528820377099"/>
    <n v="3659.5528820377099"/>
    <n v="0"/>
    <n v="0"/>
    <n v="53.39240619094776"/>
    <s v="-"/>
    <n v="52.279326886252996"/>
    <n v="0"/>
    <n v="0"/>
    <n v="0"/>
    <n v="0"/>
    <n v="0"/>
    <n v="0"/>
    <n v="0"/>
    <e v="#REF!"/>
    <e v="#REF!"/>
    <e v="#REF!"/>
    <x v="5"/>
  </r>
  <r>
    <x v="21"/>
    <s v="Wk 21"/>
    <x v="2"/>
    <d v="2022-05-23T00:00:00"/>
    <n v="2200"/>
    <n v="700"/>
    <n v="1500"/>
    <n v="47.927321055158174"/>
    <n v="49.579974707286013"/>
    <n v="107919.08679953974"/>
    <n v="33549.124738610721"/>
    <n v="74369.962060929014"/>
    <n v="162"/>
    <n v="2250"/>
    <n v="700"/>
    <n v="1550"/>
    <n v="650"/>
    <n v="900"/>
    <n v="108190.12382420596"/>
    <n v="32878.142243838505"/>
    <n v="75311.981580367457"/>
    <n v="31582.443888541191"/>
    <n v="43729.537691826263"/>
    <n v="90"/>
    <n v="0"/>
    <n v="90"/>
    <n v="90"/>
    <n v="0"/>
    <n v="2140"/>
    <n v="592"/>
    <n v="1548"/>
    <n v="660"/>
    <n v="888"/>
    <n v="103860.9"/>
    <n v="28307.663999999997"/>
    <n v="75553.23599999999"/>
    <n v="32212.619999999995"/>
    <n v="43340.615999999995"/>
    <n v="48.3"/>
    <n v="49.3"/>
    <n v="47.816999999999993"/>
    <n v="48.806999999999995"/>
    <n v="290514"/>
    <n v="112076.06545034557"/>
    <n v="70562.666719783883"/>
    <n v="97592.829345299164"/>
    <n v="10282.438484571387"/>
    <n v="0"/>
    <n v="290514"/>
    <e v="#REF!"/>
    <e v="#REF!"/>
    <e v="#REF!"/>
    <x v="5"/>
  </r>
  <r>
    <x v="21"/>
    <s v="Wk 21"/>
    <x v="3"/>
    <d v="2022-05-24T00:00:00"/>
    <n v="2350"/>
    <n v="550"/>
    <n v="1800"/>
    <n v="43.808758596704443"/>
    <n v="48.463647578540169"/>
    <n v="111329.38286955975"/>
    <n v="24094.817228187443"/>
    <n v="87234.565641372305"/>
    <n v="163"/>
    <n v="2400"/>
    <n v="550"/>
    <n v="1850"/>
    <n v="850"/>
    <n v="1000"/>
    <n v="111477.51394351701"/>
    <n v="23612.920883623694"/>
    <n v="87864.593059893319"/>
    <n v="40370.218432923961"/>
    <n v="47494.374626969366"/>
    <n v="90"/>
    <n v="0"/>
    <n v="90"/>
    <n v="90"/>
    <n v="0"/>
    <n v="2464"/>
    <n v="550"/>
    <n v="1914"/>
    <n v="896"/>
    <n v="1018"/>
    <n v="114364.60200000001"/>
    <n v="23032.35"/>
    <n v="91332.252000000008"/>
    <n v="42755.328000000001"/>
    <n v="48576.924000000006"/>
    <n v="42.3"/>
    <n v="48.2"/>
    <n v="41.876999999999995"/>
    <n v="47.718000000000004"/>
    <n v="121793.00000000007"/>
    <n v="53338.467507959816"/>
    <n v="50068.465809014575"/>
    <n v="11539.590663307034"/>
    <n v="6846.4760197186451"/>
    <n v="0"/>
    <n v="121793.00000000007"/>
    <e v="#REF!"/>
    <e v="#REF!"/>
    <e v="#REF!"/>
    <x v="5"/>
  </r>
  <r>
    <x v="21"/>
    <s v="Wk 21"/>
    <x v="4"/>
    <d v="2022-05-25T00:00:00"/>
    <n v="2350"/>
    <n v="600"/>
    <n v="1750"/>
    <n v="45.830678953212043"/>
    <n v="48.929243226483848"/>
    <n v="113124.58301827396"/>
    <n v="27498.407371927227"/>
    <n v="85626.175646346732"/>
    <n v="164"/>
    <n v="2450"/>
    <n v="600"/>
    <n v="1850"/>
    <n v="850"/>
    <n v="1000"/>
    <n v="115657.1571941039"/>
    <n v="26948.439224488684"/>
    <n v="88708.717969615216"/>
    <n v="40758.059607661045"/>
    <n v="47950.658361954171"/>
    <n v="90"/>
    <n v="0"/>
    <n v="90"/>
    <n v="90"/>
    <n v="0"/>
    <n v="2459"/>
    <n v="568"/>
    <n v="1891"/>
    <n v="1024"/>
    <n v="867"/>
    <n v="118966.51799999998"/>
    <n v="26485.272000000001"/>
    <n v="92481.245999999985"/>
    <n v="50079.743999999999"/>
    <n v="42401.501999999993"/>
    <n v="47.1"/>
    <n v="49.4"/>
    <n v="46.629000000000005"/>
    <n v="48.905999999999992"/>
    <n v="142569.80300000007"/>
    <n v="55812.465627458027"/>
    <n v="55220.681362752024"/>
    <n v="23501.299414086403"/>
    <n v="8035.3565957036199"/>
    <n v="0"/>
    <n v="142569.80300000007"/>
    <e v="#REF!"/>
    <e v="#REF!"/>
    <e v="#REF!"/>
    <x v="5"/>
  </r>
  <r>
    <x v="21"/>
    <s v="Wk 21"/>
    <x v="5"/>
    <d v="2022-05-26T00:00:00"/>
    <n v="0"/>
    <n v="0"/>
    <n v="0"/>
    <n v="0"/>
    <n v="0"/>
    <n v="0"/>
    <n v="0"/>
    <n v="0"/>
    <n v="165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5"/>
  </r>
  <r>
    <x v="21"/>
    <s v="Wk 21"/>
    <x v="0"/>
    <d v="2022-05-27T00:00:00"/>
    <n v="2700"/>
    <n v="850"/>
    <n v="1850"/>
    <n v="53.989050314939441"/>
    <n v="52.344376659698256"/>
    <n v="142727.78958814029"/>
    <n v="45890.692767698521"/>
    <n v="96837.096820441773"/>
    <n v="166"/>
    <n v="2650"/>
    <n v="850"/>
    <n v="1800"/>
    <n v="800"/>
    <n v="1000"/>
    <n v="137308.35934005227"/>
    <n v="44972.878912344553"/>
    <n v="92335.48042770772"/>
    <n v="41037.99130120343"/>
    <n v="51297.48912650429"/>
    <n v="90"/>
    <n v="0"/>
    <n v="90"/>
    <n v="90"/>
    <n v="0"/>
    <n v="2794"/>
    <n v="895"/>
    <n v="1899"/>
    <n v="886"/>
    <n v="1013"/>
    <n v="141155.38799999998"/>
    <n v="43770.87"/>
    <n v="97384.517999999982"/>
    <n v="45435.851999999992"/>
    <n v="51948.66599999999"/>
    <n v="49.4"/>
    <n v="51.8"/>
    <n v="48.906000000000006"/>
    <n v="51.281999999999989"/>
    <n v="113902.00000000006"/>
    <n v="50418.27473754566"/>
    <n v="50477.925466480308"/>
    <n v="4975.954113383621"/>
    <n v="8029.8456825904796"/>
    <n v="0"/>
    <n v="113902.00000000006"/>
    <e v="#REF!"/>
    <e v="#REF!"/>
    <e v="#REF!"/>
    <x v="5"/>
  </r>
  <r>
    <x v="21"/>
    <s v="Wk 21"/>
    <x v="1"/>
    <d v="2022-05-28T00:00:00"/>
    <n v="3250"/>
    <n v="1100"/>
    <n v="2150"/>
    <n v="53.773680133137383"/>
    <n v="52.15984564458136"/>
    <n v="171294.71628230103"/>
    <n v="59151.048146451118"/>
    <n v="112143.66813584992"/>
    <n v="167"/>
    <n v="3250"/>
    <n v="1100"/>
    <n v="2150"/>
    <n v="1100"/>
    <n v="1050"/>
    <n v="167868.82195665501"/>
    <n v="57968.027183522092"/>
    <n v="109900.79477313292"/>
    <n v="56228.313604858704"/>
    <n v="53672.481168274215"/>
    <n v="90"/>
    <n v="0"/>
    <n v="90"/>
    <n v="90"/>
    <n v="0"/>
    <n v="3159"/>
    <n v="1080"/>
    <n v="2079"/>
    <n v="1088"/>
    <n v="991"/>
    <n v="156931.82999999999"/>
    <n v="51963.12"/>
    <n v="104968.70999999999"/>
    <n v="54933.120000000003"/>
    <n v="50035.59"/>
    <n v="48.6"/>
    <n v="51"/>
    <n v="48.114000000000004"/>
    <n v="50.489999999999995"/>
    <n v="121712.52000000008"/>
    <n v="56398.967119913374"/>
    <n v="53793.56890184553"/>
    <n v="5212.9084698566658"/>
    <n v="6307.0755083844952"/>
    <n v="0"/>
    <n v="121712.52000000008"/>
    <e v="#REF!"/>
    <e v="#REF!"/>
    <e v="#REF!"/>
    <x v="5"/>
  </r>
  <r>
    <x v="21"/>
    <s v="Wk 21"/>
    <x v="6"/>
    <d v="2022-05-29T00:00:00"/>
    <n v="100"/>
    <n v="0"/>
    <n v="100"/>
    <n v="0"/>
    <n v="53.17665414566661"/>
    <n v="5317.6654145666607"/>
    <n v="0"/>
    <n v="5317.6654145666607"/>
    <n v="168"/>
    <n v="100"/>
    <n v="0"/>
    <n v="100"/>
    <n v="100"/>
    <n v="0"/>
    <n v="5211.3121062753271"/>
    <n v="0"/>
    <n v="5211.3121062753271"/>
    <n v="5211.3121062753271"/>
    <n v="0"/>
    <n v="90"/>
    <n v="0"/>
    <n v="90"/>
    <n v="90"/>
    <n v="0"/>
    <n v="100"/>
    <n v="0"/>
    <n v="100"/>
    <n v="100"/>
    <n v="0"/>
    <n v="5451.1554994475882"/>
    <n v="0"/>
    <n v="5451.1554994475882"/>
    <n v="5451.1554994475882"/>
    <n v="0"/>
    <n v="0"/>
    <n v="53.17665414566661"/>
    <s v="-"/>
    <n v="54.51155499447588"/>
    <n v="0"/>
    <n v="0"/>
    <n v="0"/>
    <n v="0"/>
    <n v="0"/>
    <n v="0"/>
    <n v="0"/>
    <e v="#REF!"/>
    <e v="#REF!"/>
    <e v="#REF!"/>
    <x v="5"/>
  </r>
  <r>
    <x v="22"/>
    <s v="Wk 22"/>
    <x v="2"/>
    <d v="2022-05-30T00:00:00"/>
    <n v="2450"/>
    <n v="800"/>
    <n v="1650"/>
    <n v="49.731801262164637"/>
    <n v="50.640972064084153"/>
    <n v="123343.04491547056"/>
    <n v="39785.441009731709"/>
    <n v="83557.603905738855"/>
    <n v="170"/>
    <n v="2450"/>
    <n v="800"/>
    <n v="1650"/>
    <n v="750"/>
    <n v="900"/>
    <n v="120876.18401716114"/>
    <n v="38989.732189537077"/>
    <n v="81886.451827624071"/>
    <n v="37221.114467101848"/>
    <n v="44665.337360522222"/>
    <n v="90"/>
    <n v="0"/>
    <n v="90"/>
    <n v="90"/>
    <n v="0"/>
    <n v="2655"/>
    <n v="870"/>
    <n v="1785"/>
    <n v="796"/>
    <n v="989"/>
    <n v="128479.23000000001"/>
    <n v="37294.29"/>
    <n v="91184.94"/>
    <n v="40662.864000000001"/>
    <n v="50522.076000000001"/>
    <n v="43.3"/>
    <n v="51.6"/>
    <n v="42.867000000000004"/>
    <n v="51.084000000000003"/>
    <n v="228949.00000000003"/>
    <n v="98434.304386934265"/>
    <n v="61973.865573700758"/>
    <n v="59509.957340870344"/>
    <n v="9030.8726984946625"/>
    <n v="0"/>
    <n v="228949.00000000003"/>
    <e v="#REF!"/>
    <e v="#REF!"/>
    <e v="#REF!"/>
    <x v="5"/>
  </r>
  <r>
    <x v="22"/>
    <s v="Wk 22"/>
    <x v="3"/>
    <d v="2022-05-31T00:00:00"/>
    <n v="2600"/>
    <n v="650"/>
    <n v="1950"/>
    <n v="45.456816486982042"/>
    <n v="48.962087033349874"/>
    <n v="125023.00043157057"/>
    <n v="29546.930716538329"/>
    <n v="95476.069715032252"/>
    <n v="171"/>
    <n v="2600"/>
    <n v="650"/>
    <n v="1950"/>
    <n v="950"/>
    <n v="1000"/>
    <n v="122522.54042293917"/>
    <n v="28955.992102207561"/>
    <n v="93566.548320731614"/>
    <n v="45583.703028048731"/>
    <n v="47982.845292682876"/>
    <n v="90"/>
    <n v="0"/>
    <n v="90"/>
    <n v="90"/>
    <n v="0"/>
    <n v="2621"/>
    <n v="650"/>
    <n v="1971"/>
    <n v="982"/>
    <n v="989"/>
    <n v="123022.152"/>
    <n v="27799.200000000004"/>
    <n v="95222.95199999999"/>
    <n v="47442.383999999998"/>
    <n v="47780.567999999999"/>
    <n v="43.2"/>
    <n v="48.8"/>
    <n v="42.768000000000008"/>
    <n v="48.311999999999998"/>
    <n v="152335.00000000009"/>
    <n v="70477.191845130175"/>
    <n v="66156.472712431569"/>
    <n v="6654.9487266447813"/>
    <n v="9046.386715793562"/>
    <n v="0"/>
    <n v="152335.00000000009"/>
    <e v="#REF!"/>
    <e v="#REF!"/>
    <e v="#REF!"/>
    <x v="5"/>
  </r>
  <r>
    <x v="22"/>
    <s v="Wk 22"/>
    <x v="4"/>
    <d v="2022-06-01T00:00:00"/>
    <n v="2600"/>
    <n v="650"/>
    <n v="1950"/>
    <n v="47.615552205801009"/>
    <n v="49.942837309800005"/>
    <n v="128338.64168788066"/>
    <n v="30950.108933770654"/>
    <n v="97388.532754110012"/>
    <n v="172"/>
    <n v="2600"/>
    <n v="650"/>
    <n v="1950"/>
    <n v="950"/>
    <n v="1000"/>
    <n v="125771.86885412305"/>
    <n v="30331.106755095239"/>
    <n v="95440.762099027808"/>
    <n v="46496.781535423805"/>
    <n v="48943.980563604004"/>
    <n v="90"/>
    <n v="0"/>
    <n v="90"/>
    <n v="90"/>
    <n v="0"/>
    <n v="2767"/>
    <n v="715"/>
    <n v="2052"/>
    <n v="1022"/>
    <n v="1030"/>
    <n v="132741.27899999998"/>
    <n v="28526.354999999996"/>
    <n v="104214.924"/>
    <n v="51904.313999999998"/>
    <n v="52310.61"/>
    <n v="40.299999999999997"/>
    <n v="51.3"/>
    <n v="39.896999999999991"/>
    <n v="50.786999999999999"/>
    <n v="144820.78200000009"/>
    <n v="62515.902111117161"/>
    <n v="61853.040745876577"/>
    <n v="11451.384482608897"/>
    <n v="9000.4546603974504"/>
    <n v="0"/>
    <n v="144820.78200000009"/>
    <e v="#REF!"/>
    <e v="#REF!"/>
    <e v="#REF!"/>
    <x v="6"/>
  </r>
  <r>
    <x v="22"/>
    <s v="Wk 22"/>
    <x v="5"/>
    <d v="2022-06-02T00:00:00"/>
    <n v="2550"/>
    <n v="600"/>
    <n v="1950"/>
    <n v="51.05920829402632"/>
    <n v="50.041550454896878"/>
    <n v="128216.54836346471"/>
    <n v="30635.524976415792"/>
    <n v="97581.023387048917"/>
    <n v="173"/>
    <n v="2550"/>
    <n v="600"/>
    <n v="1950"/>
    <n v="950"/>
    <n v="1000"/>
    <n v="125652.21739619541"/>
    <n v="30022.814476887477"/>
    <n v="95629.402919307933"/>
    <n v="46588.683473508994"/>
    <n v="49040.719445798939"/>
    <n v="90"/>
    <n v="0"/>
    <n v="90"/>
    <n v="90"/>
    <n v="0"/>
    <n v="2469"/>
    <n v="600"/>
    <n v="1869"/>
    <n v="981"/>
    <n v="888"/>
    <n v="121607.24400000001"/>
    <n v="24651"/>
    <n v="96956.244000000006"/>
    <n v="50890.356"/>
    <n v="46065.887999999999"/>
    <n v="41.5"/>
    <n v="52.4"/>
    <n v="41.085000000000001"/>
    <n v="51.876000000000005"/>
    <n v="142883.00000000006"/>
    <n v="59605.342185646317"/>
    <n v="56914.126923171236"/>
    <n v="16953.696085745483"/>
    <n v="9409.8348054370254"/>
    <n v="0"/>
    <n v="142883.00000000006"/>
    <e v="#REF!"/>
    <e v="#REF!"/>
    <e v="#REF!"/>
    <x v="6"/>
  </r>
  <r>
    <x v="22"/>
    <s v="Wk 22"/>
    <x v="0"/>
    <d v="2022-06-03T00:00:00"/>
    <n v="3050"/>
    <n v="1000"/>
    <n v="2050"/>
    <n v="48.767309418687653"/>
    <n v="51.243325600164603"/>
    <n v="153816.12689902511"/>
    <n v="48767.309418687655"/>
    <n v="105048.81748033744"/>
    <n v="174"/>
    <n v="3075"/>
    <n v="1000"/>
    <n v="2075"/>
    <n v="1050"/>
    <n v="1025"/>
    <n v="151995.26583824863"/>
    <n v="47791.963230313901"/>
    <n v="104203.30260793472"/>
    <n v="52729.382042569378"/>
    <n v="51473.920565365348"/>
    <n v="90"/>
    <n v="0"/>
    <n v="90"/>
    <n v="90"/>
    <n v="0"/>
    <n v="2957"/>
    <n v="992"/>
    <n v="1965"/>
    <n v="1022"/>
    <n v="943"/>
    <n v="155814.91199999998"/>
    <n v="49987.871999999996"/>
    <n v="105827.04"/>
    <n v="55040.831999999995"/>
    <n v="50786.207999999999"/>
    <n v="50.9"/>
    <n v="54.4"/>
    <n v="50.390999999999998"/>
    <n v="53.855999999999995"/>
    <n v="120846.00000000009"/>
    <n v="53492.009173969229"/>
    <n v="53555.296491038607"/>
    <n v="5279.3116081013241"/>
    <n v="8519.3827268909154"/>
    <n v="0"/>
    <n v="120846.00000000009"/>
    <e v="#REF!"/>
    <e v="#REF!"/>
    <e v="#REF!"/>
    <x v="6"/>
  </r>
  <r>
    <x v="22"/>
    <s v="Wk 22"/>
    <x v="1"/>
    <d v="2022-06-04T00:00:00"/>
    <n v="2900"/>
    <n v="950"/>
    <n v="1950"/>
    <n v="48.568805600791855"/>
    <n v="50.797751264382391"/>
    <n v="145195.98028629791"/>
    <n v="46140.365320752258"/>
    <n v="99055.614965545668"/>
    <n v="175"/>
    <n v="2900"/>
    <n v="950"/>
    <n v="1950"/>
    <n v="1050"/>
    <n v="900"/>
    <n v="142292.06068057197"/>
    <n v="45217.558014337214"/>
    <n v="97074.502666234766"/>
    <n v="52270.886051049485"/>
    <n v="44803.616615185274"/>
    <n v="90"/>
    <n v="0"/>
    <n v="90"/>
    <n v="90"/>
    <n v="0"/>
    <n v="2755"/>
    <n v="920"/>
    <n v="1835"/>
    <n v="1048"/>
    <n v="787"/>
    <n v="146464.56"/>
    <n v="49092.12"/>
    <n v="97372.44"/>
    <n v="55611.072"/>
    <n v="41761.368000000002"/>
    <n v="53.9"/>
    <n v="53.6"/>
    <n v="53.361000000000004"/>
    <n v="53.064"/>
    <n v="130208.10000000006"/>
    <n v="60335.636388486513"/>
    <n v="57548.38038788773"/>
    <n v="5576.7714556722985"/>
    <n v="6747.311767953528"/>
    <n v="0"/>
    <n v="130208.10000000006"/>
    <e v="#REF!"/>
    <e v="#REF!"/>
    <e v="#REF!"/>
    <x v="6"/>
  </r>
  <r>
    <x v="22"/>
    <s v="Wk 22"/>
    <x v="6"/>
    <d v="2022-06-05T00:00:00"/>
    <n v="100"/>
    <n v="0"/>
    <n v="100"/>
    <n v="0"/>
    <n v="51.18085773050074"/>
    <n v="5118.0857730500738"/>
    <n v="0"/>
    <n v="5118.0857730500738"/>
    <n v="176"/>
    <n v="200"/>
    <n v="0"/>
    <n v="200"/>
    <n v="200"/>
    <n v="0"/>
    <n v="10031.448115178144"/>
    <n v="0"/>
    <n v="10031.448115178144"/>
    <n v="10031.448115178144"/>
    <n v="0"/>
    <n v="90"/>
    <n v="0"/>
    <n v="90"/>
    <n v="90"/>
    <n v="0"/>
    <n v="194"/>
    <n v="0"/>
    <n v="194"/>
    <n v="194"/>
    <n v="0"/>
    <n v="10275.209999999999"/>
    <n v="0"/>
    <n v="10275.209999999999"/>
    <n v="10275.209999999999"/>
    <n v="0"/>
    <n v="0"/>
    <n v="51.18085773050074"/>
    <s v="-"/>
    <n v="52.964999999999996"/>
    <n v="0"/>
    <n v="0"/>
    <n v="0"/>
    <n v="0"/>
    <n v="0"/>
    <n v="0"/>
    <n v="0"/>
    <e v="#REF!"/>
    <e v="#REF!"/>
    <e v="#REF!"/>
    <x v="6"/>
  </r>
  <r>
    <x v="23"/>
    <s v="Wk 23"/>
    <x v="2"/>
    <d v="2022-06-06T00:00:00"/>
    <n v="0"/>
    <n v="0"/>
    <n v="0"/>
    <n v="0"/>
    <n v="0"/>
    <n v="0"/>
    <n v="0"/>
    <n v="0"/>
    <n v="17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6"/>
  </r>
  <r>
    <x v="23"/>
    <s v="Wk 23"/>
    <x v="3"/>
    <d v="2022-06-07T00:00:00"/>
    <n v="1700"/>
    <n v="850"/>
    <n v="850"/>
    <n v="41.996897046257224"/>
    <n v="48.045713382547184"/>
    <n v="76536.218864483759"/>
    <n v="35697.362489318642"/>
    <n v="40838.856375165109"/>
    <n v="179"/>
    <n v="1800"/>
    <n v="800"/>
    <n v="1000"/>
    <n v="200"/>
    <n v="800"/>
    <n v="80010.366399161896"/>
    <n v="32925.567284265664"/>
    <n v="47084.799114896239"/>
    <n v="9416.9598229792482"/>
    <n v="37667.839291916993"/>
    <n v="90"/>
    <n v="0"/>
    <n v="90"/>
    <n v="90"/>
    <n v="0"/>
    <n v="1812"/>
    <n v="785"/>
    <n v="1027"/>
    <n v="180"/>
    <n v="847"/>
    <n v="90932.192999999999"/>
    <n v="38468.925000000003"/>
    <n v="52463.268000000004"/>
    <n v="9195.1200000000008"/>
    <n v="43268.148000000001"/>
    <n v="49.5"/>
    <n v="51.6"/>
    <n v="49.005000000000003"/>
    <n v="51.084000000000003"/>
    <n v="248710.00000000009"/>
    <n v="86207.158843747864"/>
    <n v="80922.088442386419"/>
    <n v="70515.28208211741"/>
    <n v="11065.470631748405"/>
    <n v="0"/>
    <n v="248710.00000000009"/>
    <e v="#REF!"/>
    <e v="#REF!"/>
    <e v="#REF!"/>
    <x v="6"/>
  </r>
  <r>
    <x v="23"/>
    <s v="Wk 23"/>
    <x v="4"/>
    <d v="2022-06-08T00:00:00"/>
    <n v="2950"/>
    <n v="800"/>
    <n v="2150"/>
    <n v="41.723045885249348"/>
    <n v="49.623571544262347"/>
    <n v="140069.11552836353"/>
    <n v="33378.436708199479"/>
    <n v="106690.67882016404"/>
    <n v="180"/>
    <n v="2950"/>
    <n v="800"/>
    <n v="2150"/>
    <n v="1100"/>
    <n v="1050"/>
    <n v="137267.73321779625"/>
    <n v="32710.867974035489"/>
    <n v="104556.86524376077"/>
    <n v="53494.210124714809"/>
    <n v="51062.655119045958"/>
    <n v="90"/>
    <n v="0"/>
    <n v="90"/>
    <n v="90"/>
    <n v="0"/>
    <n v="2734"/>
    <n v="647"/>
    <n v="2087"/>
    <n v="1099"/>
    <n v="988"/>
    <n v="137163.609"/>
    <n v="32410.817999999999"/>
    <n v="104752.79100000001"/>
    <n v="55162.107000000004"/>
    <n v="49590.684000000008"/>
    <n v="50.6"/>
    <n v="50.7"/>
    <n v="50.094000000000001"/>
    <n v="50.193000000000005"/>
    <n v="137512.44420000006"/>
    <n v="57255.31338621"/>
    <n v="56648.230485430598"/>
    <n v="15365.816012252442"/>
    <n v="8243.0843161070043"/>
    <n v="0"/>
    <n v="137512.44420000006"/>
    <e v="#REF!"/>
    <e v="#REF!"/>
    <e v="#REF!"/>
    <x v="6"/>
  </r>
  <r>
    <x v="23"/>
    <s v="Wk 23"/>
    <x v="5"/>
    <d v="2022-06-09T00:00:00"/>
    <n v="2400"/>
    <n v="500"/>
    <n v="1900"/>
    <n v="51.2"/>
    <n v="51.928708411344566"/>
    <n v="124264.54598155468"/>
    <n v="25600"/>
    <n v="98664.545981554678"/>
    <n v="181"/>
    <n v="2450"/>
    <n v="500"/>
    <n v="1950"/>
    <n v="1000"/>
    <n v="950"/>
    <n v="124323.76177407947"/>
    <n v="25088"/>
    <n v="99235.761774079467"/>
    <n v="50890.134243117674"/>
    <n v="48345.627530961792"/>
    <n v="90"/>
    <n v="0"/>
    <n v="90"/>
    <n v="90"/>
    <n v="0"/>
    <n v="2408"/>
    <n v="520"/>
    <n v="1888"/>
    <n v="944"/>
    <n v="944"/>
    <n v="121980.67200000001"/>
    <n v="25534.079999999998"/>
    <n v="96446.592000000004"/>
    <n v="48223.296000000002"/>
    <n v="48223.296000000002"/>
    <n v="49.6"/>
    <n v="51.6"/>
    <n v="49.103999999999999"/>
    <n v="51.084000000000003"/>
    <n v="134279.00000000009"/>
    <n v="57574.319187916975"/>
    <n v="54974.805774462468"/>
    <n v="12640.675769098256"/>
    <n v="9089.1992685223686"/>
    <n v="0"/>
    <n v="134279.00000000009"/>
    <e v="#REF!"/>
    <e v="#REF!"/>
    <e v="#REF!"/>
    <x v="6"/>
  </r>
  <r>
    <x v="23"/>
    <s v="Wk 23"/>
    <x v="0"/>
    <d v="2022-06-10T00:00:00"/>
    <n v="2925"/>
    <n v="1000"/>
    <n v="1925"/>
    <n v="51.271276883862996"/>
    <n v="52.480580766132178"/>
    <n v="152296.39485866742"/>
    <n v="51271.276883862993"/>
    <n v="101025.11797480444"/>
    <n v="182"/>
    <n v="3200"/>
    <n v="1150"/>
    <n v="2050"/>
    <n v="1000"/>
    <n v="1050"/>
    <n v="163216.21580727314"/>
    <n v="57782.729048113601"/>
    <n v="105433.48675915954"/>
    <n v="51430.969150809535"/>
    <n v="54002.517608350005"/>
    <n v="90"/>
    <n v="0"/>
    <n v="90"/>
    <n v="90"/>
    <n v="0"/>
    <n v="3054"/>
    <n v="1020"/>
    <n v="2034"/>
    <n v="1049"/>
    <n v="985"/>
    <n v="159841.242"/>
    <n v="53721.36"/>
    <n v="106119.882"/>
    <n v="54729.476999999999"/>
    <n v="51390.404999999999"/>
    <n v="53.2"/>
    <n v="52.7"/>
    <n v="52.667999999999999"/>
    <n v="52.173000000000002"/>
    <n v="125977.00000000006"/>
    <n v="55072.698354912282"/>
    <n v="55137.855812567643"/>
    <n v="6995.315296701111"/>
    <n v="8771.1305358190348"/>
    <n v="0"/>
    <n v="125977.00000000006"/>
    <e v="#REF!"/>
    <e v="#REF!"/>
    <e v="#REF!"/>
    <x v="6"/>
  </r>
  <r>
    <x v="23"/>
    <s v="Wk 23"/>
    <x v="1"/>
    <d v="2022-06-11T00:00:00"/>
    <n v="2950"/>
    <n v="1075"/>
    <n v="1875"/>
    <n v="51.990323005742958"/>
    <n v="52.023448366740169"/>
    <n v="153433.56291881148"/>
    <n v="55889.597231173677"/>
    <n v="97543.965687637814"/>
    <n v="183"/>
    <n v="2975"/>
    <n v="1075"/>
    <n v="1900"/>
    <n v="1050"/>
    <n v="850"/>
    <n v="151639.46614542039"/>
    <n v="54771.805286550203"/>
    <n v="96867.660858870193"/>
    <n v="53532.128369375634"/>
    <n v="43335.532489494559"/>
    <n v="90"/>
    <n v="0"/>
    <n v="90"/>
    <n v="90"/>
    <n v="0"/>
    <n v="2930"/>
    <n v="1020"/>
    <n v="1910"/>
    <n v="1070"/>
    <n v="840"/>
    <n v="149538.50999999998"/>
    <n v="52913.52"/>
    <n v="96624.989999999991"/>
    <n v="54130.229999999996"/>
    <n v="42494.76"/>
    <n v="52.4"/>
    <n v="51.1"/>
    <n v="51.875999999999998"/>
    <n v="50.588999999999999"/>
    <n v="124968.00000000009"/>
    <n v="58815.700349507519"/>
    <n v="54712.46508004822"/>
    <n v="4834.5464343147987"/>
    <n v="6605.2881361295404"/>
    <n v="0"/>
    <n v="124968.00000000009"/>
    <e v="#REF!"/>
    <e v="#REF!"/>
    <e v="#REF!"/>
    <x v="6"/>
  </r>
  <r>
    <x v="23"/>
    <s v="Wk 23"/>
    <x v="6"/>
    <d v="2022-06-12T00:00:00"/>
    <n v="100"/>
    <n v="0"/>
    <n v="100"/>
    <n v="0"/>
    <n v="52.404861886218562"/>
    <n v="5240.4861886218559"/>
    <n v="0"/>
    <n v="5240.4861886218559"/>
    <n v="184"/>
    <n v="100"/>
    <n v="0"/>
    <n v="100"/>
    <n v="100"/>
    <n v="0"/>
    <n v="5135.6764648494191"/>
    <n v="0"/>
    <n v="5135.6764648494191"/>
    <n v="5135.6764648494191"/>
    <n v="0"/>
    <n v="90"/>
    <n v="0"/>
    <n v="90"/>
    <n v="90"/>
    <n v="0"/>
    <n v="100"/>
    <n v="0"/>
    <n v="100"/>
    <n v="100"/>
    <n v="0"/>
    <n v="5732.1"/>
    <n v="0"/>
    <n v="5732.1"/>
    <n v="5732.1"/>
    <n v="0"/>
    <n v="0"/>
    <n v="52.404861886218562"/>
    <s v="-"/>
    <n v="57.321000000000005"/>
    <n v="0"/>
    <n v="0"/>
    <n v="0"/>
    <n v="0"/>
    <n v="0"/>
    <n v="0"/>
    <n v="0"/>
    <e v="#REF!"/>
    <e v="#REF!"/>
    <e v="#REF!"/>
    <x v="6"/>
  </r>
  <r>
    <x v="24"/>
    <s v="Wk 24"/>
    <x v="2"/>
    <d v="2022-06-13T00:00:00"/>
    <n v="2400"/>
    <n v="750"/>
    <n v="1650"/>
    <n v="46.968830000977356"/>
    <n v="50.786553675198142"/>
    <n v="119024.43606480994"/>
    <n v="35226.622500733014"/>
    <n v="83797.813564076932"/>
    <n v="186"/>
    <n v="2400"/>
    <n v="750"/>
    <n v="1650"/>
    <n v="750"/>
    <n v="900"/>
    <n v="116643.94734351375"/>
    <n v="34522.090050718354"/>
    <n v="82121.857292795394"/>
    <n v="37328.116951270633"/>
    <n v="44793.740341524761"/>
    <n v="90"/>
    <n v="0"/>
    <n v="90"/>
    <n v="90"/>
    <n v="0"/>
    <n v="2358"/>
    <n v="683"/>
    <n v="1675"/>
    <n v="778"/>
    <n v="897"/>
    <n v="115301.04300000001"/>
    <n v="32388.543000000001"/>
    <n v="82912.5"/>
    <n v="38511"/>
    <n v="44401.5"/>
    <n v="47.9"/>
    <n v="50"/>
    <n v="47.420999999999999"/>
    <n v="49.5"/>
    <n v="232805.00000000006"/>
    <n v="96667.372564468984"/>
    <n v="60861.411984219274"/>
    <n v="66407.450225968714"/>
    <n v="8868.765225343046"/>
    <n v="0"/>
    <n v="232805.00000000006"/>
    <e v="#REF!"/>
    <e v="#REF!"/>
    <e v="#REF!"/>
    <x v="6"/>
  </r>
  <r>
    <x v="24"/>
    <s v="Wk 24"/>
    <x v="3"/>
    <d v="2022-06-14T00:00:00"/>
    <n v="2600"/>
    <n v="650"/>
    <n v="1950"/>
    <n v="45.546059506614817"/>
    <n v="49.202504720972172"/>
    <n v="125549.82288519538"/>
    <n v="29604.93867929963"/>
    <n v="95944.884205895738"/>
    <n v="187"/>
    <n v="2600"/>
    <n v="650"/>
    <n v="1950"/>
    <n v="1000"/>
    <n v="950"/>
    <n v="123038.82642749145"/>
    <n v="29012.839905713638"/>
    <n v="94025.986521777813"/>
    <n v="48218.454626552731"/>
    <n v="45807.531895225089"/>
    <n v="90"/>
    <n v="0"/>
    <n v="90"/>
    <n v="90"/>
    <n v="0"/>
    <n v="2555"/>
    <n v="575"/>
    <n v="1980"/>
    <n v="975"/>
    <n v="1005"/>
    <n v="122968.89"/>
    <n v="26527.05"/>
    <n v="96441.84"/>
    <n v="47490.3"/>
    <n v="48951.54"/>
    <n v="46.6"/>
    <n v="49.2"/>
    <n v="46.134"/>
    <n v="48.707999999999998"/>
    <n v="144585.00000000009"/>
    <n v="66891.684661621737"/>
    <n v="62790.780891633032"/>
    <n v="6316.3800941473446"/>
    <n v="8586.1543525979723"/>
    <n v="0"/>
    <n v="144585.00000000009"/>
    <e v="#REF!"/>
    <e v="#REF!"/>
    <e v="#REF!"/>
    <x v="6"/>
  </r>
  <r>
    <x v="24"/>
    <s v="Wk 24"/>
    <x v="4"/>
    <d v="2022-06-15T00:00:00"/>
    <n v="2600"/>
    <n v="650"/>
    <n v="1950"/>
    <n v="45.691574043389409"/>
    <n v="50.809852194138635"/>
    <n v="128778.73490677346"/>
    <n v="29699.523128203116"/>
    <n v="99079.211778570345"/>
    <n v="188"/>
    <n v="2600"/>
    <n v="650"/>
    <n v="1950"/>
    <n v="1000"/>
    <n v="950"/>
    <n v="126203.16020863799"/>
    <n v="29105.532665639053"/>
    <n v="97097.627542998933"/>
    <n v="49793.655150255865"/>
    <n v="47303.972392743068"/>
    <n v="90"/>
    <n v="0"/>
    <n v="90"/>
    <n v="90"/>
    <n v="0"/>
    <n v="2399"/>
    <n v="560"/>
    <n v="1839"/>
    <n v="911"/>
    <n v="928"/>
    <n v="116161.25399999999"/>
    <n v="26223.119999999999"/>
    <n v="89938.133999999991"/>
    <n v="44553.366000000002"/>
    <n v="45384.767999999996"/>
    <n v="47.3"/>
    <n v="49.4"/>
    <n v="46.826999999999998"/>
    <n v="48.905999999999992"/>
    <n v="146306.28340000007"/>
    <n v="61393.937213247933"/>
    <n v="60742.972136133067"/>
    <n v="15330.449398632625"/>
    <n v="8838.9246519864591"/>
    <n v="0"/>
    <n v="146306.28340000007"/>
    <e v="#REF!"/>
    <e v="#REF!"/>
    <e v="#REF!"/>
    <x v="6"/>
  </r>
  <r>
    <x v="24"/>
    <s v="Wk 24"/>
    <x v="5"/>
    <d v="2022-06-16T00:00:00"/>
    <n v="2500"/>
    <n v="600"/>
    <n v="1900"/>
    <n v="46.177633595938651"/>
    <n v="51.370696771054824"/>
    <n v="125310.90402256735"/>
    <n v="27706.580157563192"/>
    <n v="97604.32386500416"/>
    <n v="189"/>
    <n v="2500"/>
    <n v="600"/>
    <n v="1900"/>
    <n v="950"/>
    <n v="950"/>
    <n v="122804.685942116"/>
    <n v="27152.448554411927"/>
    <n v="95652.237387704081"/>
    <n v="47826.11869385204"/>
    <n v="47826.11869385204"/>
    <n v="90"/>
    <n v="0"/>
    <n v="90"/>
    <n v="90"/>
    <n v="0"/>
    <n v="2473"/>
    <n v="500"/>
    <n v="1973"/>
    <n v="954"/>
    <n v="1019"/>
    <n v="121316.481"/>
    <n v="23067"/>
    <n v="98249.481"/>
    <n v="47506.337999999996"/>
    <n v="50743.142999999996"/>
    <n v="46.6"/>
    <n v="50.3"/>
    <n v="46.134"/>
    <n v="49.796999999999997"/>
    <n v="140516.00000000006"/>
    <n v="57778.462573692756"/>
    <n v="55169.731969708213"/>
    <n v="18446.378279195851"/>
    <n v="9121.4271774032495"/>
    <n v="0"/>
    <n v="140516.00000000006"/>
    <e v="#REF!"/>
    <e v="#REF!"/>
    <e v="#REF!"/>
    <x v="6"/>
  </r>
  <r>
    <x v="24"/>
    <s v="Wk 24"/>
    <x v="0"/>
    <d v="2022-06-17T00:00:00"/>
    <n v="3200"/>
    <n v="1100"/>
    <n v="2100"/>
    <n v="52.371393656822185"/>
    <n v="52.612669040499576"/>
    <n v="168095.13800755353"/>
    <n v="57608.533022504402"/>
    <n v="110486.60498504911"/>
    <n v="190"/>
    <n v="3200"/>
    <n v="1100"/>
    <n v="2100"/>
    <n v="1050"/>
    <n v="1050"/>
    <n v="164733.23524740245"/>
    <n v="56456.362362054315"/>
    <n v="108276.87288534813"/>
    <n v="54138.436442674065"/>
    <n v="54138.436442674065"/>
    <n v="90"/>
    <n v="0"/>
    <n v="90"/>
    <n v="90"/>
    <n v="0"/>
    <n v="2861"/>
    <n v="911"/>
    <n v="1950"/>
    <n v="1065"/>
    <n v="885"/>
    <n v="149757.39899999998"/>
    <n v="48792.248999999996"/>
    <n v="100965.15"/>
    <n v="55142.504999999997"/>
    <n v="45822.644999999997"/>
    <n v="54.1"/>
    <n v="52.3"/>
    <n v="53.558999999999997"/>
    <n v="51.776999999999994"/>
    <n v="124527.00000000007"/>
    <n v="55121.389424613692"/>
    <n v="55186.60448951197"/>
    <n v="5440.1207869688169"/>
    <n v="8778.8852989055922"/>
    <n v="0"/>
    <n v="124527.00000000007"/>
    <e v="#REF!"/>
    <e v="#REF!"/>
    <e v="#REF!"/>
    <x v="6"/>
  </r>
  <r>
    <x v="24"/>
    <s v="Wk 24"/>
    <x v="1"/>
    <d v="2022-06-18T00:00:00"/>
    <n v="2950"/>
    <n v="1000"/>
    <n v="1950"/>
    <n v="52.525649673827587"/>
    <n v="51.623055347374482"/>
    <n v="153190.60760120783"/>
    <n v="52525.649673827589"/>
    <n v="100664.95792738024"/>
    <n v="191"/>
    <n v="3000"/>
    <n v="1050"/>
    <n v="1950"/>
    <n v="1050"/>
    <n v="900"/>
    <n v="152700.55228320122"/>
    <n v="54048.893514368589"/>
    <n v="98651.658768832625"/>
    <n v="53120.123952448339"/>
    <n v="45531.534816384294"/>
    <n v="90"/>
    <n v="0"/>
    <n v="90"/>
    <n v="90"/>
    <n v="0"/>
    <n v="2717"/>
    <n v="950"/>
    <n v="1767"/>
    <n v="1020"/>
    <n v="747"/>
    <n v="139519.413"/>
    <n v="50128.65"/>
    <n v="89390.763000000006"/>
    <n v="51600.78"/>
    <n v="37789.983000000007"/>
    <n v="53.3"/>
    <n v="51.1"/>
    <n v="52.767000000000003"/>
    <n v="50.589000000000006"/>
    <n v="125363.00000000007"/>
    <n v="59001.605554344402"/>
    <n v="54885.400741230427"/>
    <n v="4849.827513003378"/>
    <n v="6626.1661914218648"/>
    <n v="0"/>
    <n v="125363.00000000007"/>
    <e v="#REF!"/>
    <e v="#REF!"/>
    <e v="#REF!"/>
    <x v="6"/>
  </r>
  <r>
    <x v="24"/>
    <s v="Wk 24"/>
    <x v="6"/>
    <d v="2022-06-19T00:00:00"/>
    <n v="100"/>
    <n v="0"/>
    <n v="100"/>
    <n v="0"/>
    <n v="50.132015693995527"/>
    <n v="5013.2015693995527"/>
    <n v="0"/>
    <n v="5013.2015693995527"/>
    <n v="192"/>
    <n v="100"/>
    <n v="0"/>
    <n v="100"/>
    <n v="100"/>
    <n v="0"/>
    <n v="4912.9375380115616"/>
    <n v="0"/>
    <n v="4912.9375380115616"/>
    <n v="4912.9375380115616"/>
    <n v="0"/>
    <n v="90"/>
    <n v="0"/>
    <n v="90"/>
    <n v="90"/>
    <n v="0"/>
    <n v="97"/>
    <n v="0"/>
    <n v="97"/>
    <n v="97"/>
    <n v="0"/>
    <n v="5771.4029999999993"/>
    <n v="0"/>
    <n v="5771.4029999999993"/>
    <n v="5771.4029999999993"/>
    <n v="0"/>
    <n v="0"/>
    <n v="50.132015693995527"/>
    <s v="-"/>
    <n v="59.498999999999995"/>
    <n v="0"/>
    <n v="0"/>
    <n v="0"/>
    <n v="0"/>
    <n v="0"/>
    <n v="0"/>
    <n v="0"/>
    <e v="#REF!"/>
    <e v="#REF!"/>
    <e v="#REF!"/>
    <x v="6"/>
  </r>
  <r>
    <x v="25"/>
    <s v="Wk 25"/>
    <x v="2"/>
    <d v="2022-06-20T00:00:00"/>
    <n v="2125"/>
    <n v="375"/>
    <n v="1750"/>
    <n v="48.102404544368646"/>
    <n v="49.395975545949362"/>
    <n v="104481.35890954963"/>
    <n v="18038.401704138243"/>
    <n v="86442.957205411381"/>
    <n v="194"/>
    <n v="2150"/>
    <n v="500"/>
    <n v="1650"/>
    <n v="750"/>
    <n v="900"/>
    <n v="103443.47068454076"/>
    <n v="23570.178226740638"/>
    <n v="79873.292457800126"/>
    <n v="36306.042026272778"/>
    <n v="43567.25043152734"/>
    <n v="90"/>
    <n v="0"/>
    <n v="90"/>
    <n v="90"/>
    <n v="0"/>
    <n v="2060"/>
    <n v="480"/>
    <n v="1580"/>
    <n v="648"/>
    <n v="932"/>
    <n v="104140.08"/>
    <n v="23427.360000000001"/>
    <n v="80712.72"/>
    <n v="33102.432000000001"/>
    <n v="47610.288"/>
    <n v="49.3"/>
    <n v="51.6"/>
    <n v="48.807000000000002"/>
    <n v="51.084000000000003"/>
    <n v="228465"/>
    <n v="96801.024400376351"/>
    <n v="60945.558674377637"/>
    <n v="61837.389788534601"/>
    <n v="8881.0271367114146"/>
    <n v="0"/>
    <n v="228465"/>
    <e v="#REF!"/>
    <e v="#REF!"/>
    <e v="#REF!"/>
    <x v="6"/>
  </r>
  <r>
    <x v="25"/>
    <s v="Wk 25"/>
    <x v="3"/>
    <d v="2022-06-21T00:00:00"/>
    <n v="2750"/>
    <n v="750"/>
    <n v="2000"/>
    <n v="46.575615536126001"/>
    <n v="48.977971208429025"/>
    <n v="132887.65406895254"/>
    <n v="34931.711652094498"/>
    <n v="97955.942416858044"/>
    <n v="195"/>
    <n v="2800"/>
    <n v="750"/>
    <n v="2050"/>
    <n v="1050"/>
    <n v="1000"/>
    <n v="132629.82157678652"/>
    <n v="34233.077419052606"/>
    <n v="98396.744157733905"/>
    <n v="50398.332373473466"/>
    <n v="47998.411784260439"/>
    <n v="90"/>
    <n v="0"/>
    <n v="90"/>
    <n v="90"/>
    <n v="0"/>
    <n v="2700"/>
    <n v="733"/>
    <n v="1967"/>
    <n v="952"/>
    <n v="1015"/>
    <n v="126130.65299999999"/>
    <n v="32074.614000000001"/>
    <n v="94056.03899999999"/>
    <n v="45521.784"/>
    <n v="48534.254999999997"/>
    <n v="44.2"/>
    <n v="48.3"/>
    <n v="43.758000000000003"/>
    <n v="47.816999999999993"/>
    <n v="144785.00000000009"/>
    <n v="66984.213879260657"/>
    <n v="62877.637454750409"/>
    <n v="6325.1173491795362"/>
    <n v="8598.0313168094726"/>
    <n v="0"/>
    <n v="144785.00000000009"/>
    <e v="#REF!"/>
    <e v="#REF!"/>
    <e v="#REF!"/>
    <x v="6"/>
  </r>
  <r>
    <x v="25"/>
    <s v="Wk 25"/>
    <x v="4"/>
    <d v="2022-06-22T00:00:00"/>
    <n v="2600"/>
    <n v="600"/>
    <n v="2000"/>
    <n v="45.522349069678981"/>
    <n v="50.24833179091064"/>
    <n v="127810.07302362868"/>
    <n v="27313.409441807387"/>
    <n v="100496.66358182128"/>
    <n v="196"/>
    <n v="2600"/>
    <n v="600"/>
    <n v="2000"/>
    <n v="1000"/>
    <n v="1000"/>
    <n v="125253.87156315609"/>
    <n v="26767.14125297124"/>
    <n v="98486.730310184852"/>
    <n v="49243.365155092426"/>
    <n v="49243.365155092426"/>
    <n v="90"/>
    <n v="0"/>
    <n v="90"/>
    <n v="90"/>
    <n v="0"/>
    <n v="2523"/>
    <n v="611"/>
    <n v="1912"/>
    <n v="957"/>
    <n v="955"/>
    <n v="120449.34"/>
    <n v="26373.204000000002"/>
    <n v="94076.135999999999"/>
    <n v="47087.271000000001"/>
    <n v="46988.864999999998"/>
    <n v="43.6"/>
    <n v="49.7"/>
    <n v="43.164000000000001"/>
    <n v="49.202999999999996"/>
    <n v="151498.32100000005"/>
    <n v="61478.545877828525"/>
    <n v="60826.68368793081"/>
    <n v="20341.985618362887"/>
    <n v="8851.1058158778615"/>
    <n v="0"/>
    <n v="151498.32100000005"/>
    <e v="#REF!"/>
    <e v="#REF!"/>
    <e v="#REF!"/>
    <x v="6"/>
  </r>
  <r>
    <x v="25"/>
    <s v="Wk 25"/>
    <x v="5"/>
    <d v="2022-06-23T00:00:00"/>
    <n v="2550"/>
    <n v="600"/>
    <n v="1950"/>
    <n v="47.44768316544446"/>
    <n v="50.469153686013286"/>
    <n v="126883.45958699257"/>
    <n v="28468.609899266674"/>
    <n v="98414.849687725902"/>
    <n v="197"/>
    <n v="2550"/>
    <n v="600"/>
    <n v="1950"/>
    <n v="975"/>
    <n v="975"/>
    <n v="124345.79039525273"/>
    <n v="27899.237701281341"/>
    <n v="96446.552693971389"/>
    <n v="48223.276346985695"/>
    <n v="48223.276346985695"/>
    <n v="90"/>
    <n v="0"/>
    <n v="90"/>
    <n v="90"/>
    <n v="0"/>
    <n v="2463"/>
    <n v="590"/>
    <n v="1873"/>
    <n v="877"/>
    <n v="996"/>
    <n v="118565.96400000001"/>
    <n v="27335.88"/>
    <n v="91230.084000000003"/>
    <n v="42716.915999999997"/>
    <n v="48513.168000000005"/>
    <n v="46.8"/>
    <n v="49.2"/>
    <n v="46.332000000000001"/>
    <n v="48.707999999999998"/>
    <n v="131207.00000000006"/>
    <n v="57858.580931303208"/>
    <n v="55246.232937687142"/>
    <n v="8968.1107498993406"/>
    <n v="9134.0753811103787"/>
    <n v="0"/>
    <n v="131207.00000000006"/>
    <e v="#REF!"/>
    <e v="#REF!"/>
    <e v="#REF!"/>
    <x v="6"/>
  </r>
  <r>
    <x v="25"/>
    <s v="Wk 25"/>
    <x v="0"/>
    <d v="2022-06-24T00:00:00"/>
    <n v="3175"/>
    <n v="1075"/>
    <n v="2100"/>
    <n v="50.713977679024147"/>
    <n v="52.426912902684563"/>
    <n v="164614.04310058855"/>
    <n v="54517.52600495096"/>
    <n v="110096.51709563758"/>
    <n v="198"/>
    <n v="3175"/>
    <n v="1075"/>
    <n v="2100"/>
    <n v="1050"/>
    <n v="1050"/>
    <n v="161321.76223857678"/>
    <n v="53427.175484851941"/>
    <n v="107894.58675372483"/>
    <n v="53947.293376862413"/>
    <n v="53947.293376862413"/>
    <n v="90"/>
    <n v="0"/>
    <n v="90"/>
    <n v="90"/>
    <n v="0"/>
    <n v="2936"/>
    <n v="950"/>
    <n v="1986"/>
    <n v="1044"/>
    <n v="942"/>
    <n v="150298.83000000002"/>
    <n v="48059.55"/>
    <n v="102239.28"/>
    <n v="53745.120000000003"/>
    <n v="48494.159999999996"/>
    <n v="51.1"/>
    <n v="52"/>
    <n v="50.589000000000006"/>
    <n v="51.48"/>
    <n v="124699.00000000007"/>
    <n v="55197.524551783164"/>
    <n v="55262.829693461288"/>
    <n v="5447.6348262965012"/>
    <n v="8791.0109284591163"/>
    <n v="0"/>
    <n v="124699.00000000007"/>
    <e v="#REF!"/>
    <e v="#REF!"/>
    <e v="#REF!"/>
    <x v="6"/>
  </r>
  <r>
    <x v="25"/>
    <s v="Wk 25"/>
    <x v="1"/>
    <d v="2022-06-25T00:00:00"/>
    <n v="2950"/>
    <n v="1000"/>
    <n v="1950"/>
    <n v="50.86335190141984"/>
    <n v="51.440687876750843"/>
    <n v="151172.69326108397"/>
    <n v="50863.351901419839"/>
    <n v="100309.34135966415"/>
    <n v="199"/>
    <n v="2950"/>
    <n v="1000"/>
    <n v="1950"/>
    <n v="1025"/>
    <n v="925"/>
    <n v="148149.2393958623"/>
    <n v="49846.084863391443"/>
    <n v="98303.154532470857"/>
    <n v="51672.170972196218"/>
    <n v="46630.983560274639"/>
    <n v="90"/>
    <n v="0"/>
    <n v="90"/>
    <n v="90"/>
    <n v="0"/>
    <n v="2774"/>
    <n v="880"/>
    <n v="1894"/>
    <n v="1080"/>
    <n v="814"/>
    <n v="137943.63"/>
    <n v="45128.159999999996"/>
    <n v="92815.47"/>
    <n v="52925.4"/>
    <n v="39890.07"/>
    <n v="51.8"/>
    <n v="49.5"/>
    <n v="51.281999999999996"/>
    <n v="49.005000000000003"/>
    <n v="125536.00000000007"/>
    <n v="59083.027327602074"/>
    <n v="54961.142182710231"/>
    <n v="4856.5202386062247"/>
    <n v="6635.3102510815406"/>
    <n v="0"/>
    <n v="125536.00000000007"/>
    <e v="#REF!"/>
    <e v="#REF!"/>
    <e v="#REF!"/>
    <x v="6"/>
  </r>
  <r>
    <x v="25"/>
    <s v="Wk 25"/>
    <x v="6"/>
    <d v="2022-06-26T00:00:00"/>
    <n v="100"/>
    <n v="0"/>
    <n v="100"/>
    <n v="0"/>
    <n v="49.962940324500053"/>
    <n v="4996.294032450005"/>
    <n v="0"/>
    <n v="4996.294032450005"/>
    <n v="200"/>
    <n v="100"/>
    <n v="0"/>
    <n v="100"/>
    <n v="100"/>
    <n v="0"/>
    <n v="4896.3681518010053"/>
    <n v="0"/>
    <n v="4896.3681518010053"/>
    <n v="4896.3681518010053"/>
    <n v="0"/>
    <n v="90"/>
    <n v="0"/>
    <n v="90"/>
    <n v="90"/>
    <n v="0"/>
    <n v="90"/>
    <n v="0"/>
    <n v="90"/>
    <n v="90"/>
    <n v="0"/>
    <n v="4713.3900000000003"/>
    <n v="0"/>
    <n v="4713.3900000000003"/>
    <n v="4713.3900000000003"/>
    <n v="0"/>
    <n v="0"/>
    <n v="49.962940324500053"/>
    <s v="-"/>
    <n v="52.371000000000002"/>
    <n v="0"/>
    <n v="0"/>
    <n v="0"/>
    <n v="0"/>
    <n v="0"/>
    <n v="0"/>
    <n v="0"/>
    <e v="#REF!"/>
    <e v="#REF!"/>
    <e v="#REF!"/>
    <x v="6"/>
  </r>
  <r>
    <x v="26"/>
    <s v="Wk 26"/>
    <x v="2"/>
    <d v="2022-06-27T00:00:00"/>
    <n v="2275"/>
    <n v="675"/>
    <n v="1600"/>
    <n v="46.580090771610067"/>
    <n v="49.215645406251717"/>
    <n v="110186.59392083954"/>
    <n v="31441.561270836795"/>
    <n v="78745.032650002744"/>
    <n v="202"/>
    <n v="2325"/>
    <n v="675"/>
    <n v="1650"/>
    <n v="700"/>
    <n v="950"/>
    <n v="110394.42866732908"/>
    <n v="30812.730045420059"/>
    <n v="79581.698621909018"/>
    <n v="33761.932748688676"/>
    <n v="45819.765873220349"/>
    <n v="90"/>
    <n v="0"/>
    <n v="90"/>
    <n v="90"/>
    <n v="0"/>
    <n v="2326"/>
    <n v="600"/>
    <n v="1726"/>
    <n v="710"/>
    <n v="1016"/>
    <n v="114149.178"/>
    <n v="29224.799999999999"/>
    <n v="84924.377999999997"/>
    <n v="34934.129999999997"/>
    <n v="49990.248000000007"/>
    <n v="49.2"/>
    <n v="49.7"/>
    <n v="48.707999999999998"/>
    <n v="49.202999999999996"/>
    <n v="212380.00000000006"/>
    <n v="92933.849442223727"/>
    <n v="58510.79995383606"/>
    <n v="52409.118119026229"/>
    <n v="8526.2324849140023"/>
    <n v="0"/>
    <n v="212380.00000000006"/>
    <e v="#REF!"/>
    <e v="#REF!"/>
    <e v="#REF!"/>
    <x v="6"/>
  </r>
  <r>
    <x v="26"/>
    <s v="Wk 26"/>
    <x v="3"/>
    <d v="2022-06-28T00:00:00"/>
    <n v="2600"/>
    <n v="600"/>
    <n v="2000"/>
    <n v="45.101620593940645"/>
    <n v="48.805169173605563"/>
    <n v="124671.31070357552"/>
    <n v="27060.972356364386"/>
    <n v="97610.338347211131"/>
    <n v="203"/>
    <n v="2600"/>
    <n v="600"/>
    <n v="2000"/>
    <n v="1000"/>
    <n v="1000"/>
    <n v="122177.88448950401"/>
    <n v="26519.752909237097"/>
    <n v="95658.131580266912"/>
    <n v="47829.065790133456"/>
    <n v="47829.065790133456"/>
    <n v="90"/>
    <n v="0"/>
    <n v="90"/>
    <n v="90"/>
    <n v="0"/>
    <n v="2556"/>
    <n v="553"/>
    <n v="2003"/>
    <n v="977"/>
    <n v="1026"/>
    <n v="121186.09799999998"/>
    <n v="24417.162"/>
    <n v="96768.935999999987"/>
    <n v="47200.824000000001"/>
    <n v="49568.111999999994"/>
    <n v="44.6"/>
    <n v="48.8"/>
    <n v="44.154000000000003"/>
    <n v="48.311999999999991"/>
    <n v="139002.00000000009"/>
    <n v="64308.731551231067"/>
    <n v="60366.179932211337"/>
    <n v="6072.4796199237071"/>
    <n v="8254.6088966339757"/>
    <n v="0"/>
    <n v="139002.00000000009"/>
    <e v="#REF!"/>
    <e v="#REF!"/>
    <e v="#REF!"/>
    <x v="6"/>
  </r>
  <r>
    <x v="26"/>
    <s v="Wk 26"/>
    <x v="4"/>
    <d v="2022-06-29T00:00:00"/>
    <n v="2600"/>
    <n v="600"/>
    <n v="2000"/>
    <n v="44.08168722307262"/>
    <n v="50.071225355730057"/>
    <n v="126591.46304530368"/>
    <n v="26449.012333843573"/>
    <n v="100142.45071146011"/>
    <n v="204"/>
    <n v="2600"/>
    <n v="600"/>
    <n v="2000"/>
    <n v="1000"/>
    <n v="1000"/>
    <n v="124059.63378439762"/>
    <n v="25920.032087166703"/>
    <n v="98139.601697230915"/>
    <n v="49069.800848615458"/>
    <n v="49069.800848615458"/>
    <n v="90"/>
    <n v="0"/>
    <n v="90"/>
    <n v="90"/>
    <n v="0"/>
    <n v="2384"/>
    <n v="570"/>
    <n v="1814"/>
    <n v="965"/>
    <n v="849"/>
    <n v="118018.69200000001"/>
    <n v="26070.66"/>
    <n v="91948.032000000007"/>
    <n v="48913.919999999998"/>
    <n v="43034.112000000001"/>
    <n v="46.2"/>
    <n v="51.2"/>
    <n v="45.738"/>
    <n v="50.688000000000002"/>
    <n v="138639.22960000008"/>
    <n v="59022.644374550386"/>
    <n v="58396.82231473775"/>
    <n v="12722.23481480953"/>
    <n v="8497.5280959024185"/>
    <n v="0"/>
    <n v="138639.22960000008"/>
    <e v="#REF!"/>
    <e v="#REF!"/>
    <e v="#REF!"/>
    <x v="6"/>
  </r>
  <r>
    <x v="26"/>
    <s v="Wk 26"/>
    <x v="5"/>
    <d v="2022-06-30T00:00:00"/>
    <n v="2450"/>
    <n v="600"/>
    <n v="1850"/>
    <n v="45.310992465385787"/>
    <n v="50.355246125526953"/>
    <n v="120343.80081145634"/>
    <n v="27186.595479231473"/>
    <n v="93157.205332224868"/>
    <n v="205"/>
    <n v="2450"/>
    <n v="600"/>
    <n v="1850"/>
    <n v="900"/>
    <n v="950"/>
    <n v="117936.92479522721"/>
    <n v="26642.863569646845"/>
    <n v="91294.061225580372"/>
    <n v="44413.327082714779"/>
    <n v="46880.734142865593"/>
    <n v="90"/>
    <n v="0"/>
    <n v="90"/>
    <n v="90"/>
    <n v="0"/>
    <n v="2407"/>
    <n v="562"/>
    <n v="1845"/>
    <n v="954"/>
    <n v="891"/>
    <n v="118318.167"/>
    <n v="24981.462"/>
    <n v="93336.705000000002"/>
    <n v="48261.906000000003"/>
    <n v="45074.798999999999"/>
    <n v="44.9"/>
    <n v="51.1"/>
    <n v="44.451000000000001"/>
    <n v="50.588999999999999"/>
    <n v="126571.00000000007"/>
    <n v="55547.370004981385"/>
    <n v="53039.374505481428"/>
    <n v="9215.0486289274795"/>
    <n v="8769.2068606097691"/>
    <n v="0"/>
    <n v="126571.00000000007"/>
    <e v="#REF!"/>
    <e v="#REF!"/>
    <e v="#REF!"/>
    <x v="6"/>
  </r>
  <r>
    <x v="26"/>
    <s v="Wk 26"/>
    <x v="0"/>
    <d v="2022-07-01T00:00:00"/>
    <n v="3000"/>
    <n v="1050"/>
    <n v="1950"/>
    <n v="51.237509277053853"/>
    <n v="51.61945677583217"/>
    <n v="154457.32545377928"/>
    <n v="53799.384740906542"/>
    <n v="100657.94071287273"/>
    <n v="206"/>
    <n v="3000"/>
    <n v="1050"/>
    <n v="1950"/>
    <n v="950"/>
    <n v="1000"/>
    <n v="151368.17894470369"/>
    <n v="52723.397046088408"/>
    <n v="98644.781898615271"/>
    <n v="48057.714258299748"/>
    <n v="50587.06764031553"/>
    <n v="90"/>
    <n v="0"/>
    <n v="90"/>
    <n v="90"/>
    <n v="0"/>
    <n v="2711"/>
    <n v="838"/>
    <n v="1873"/>
    <n v="1088"/>
    <n v="785"/>
    <n v="141289.63199999998"/>
    <n v="42642.467999999993"/>
    <n v="98647.164000000004"/>
    <n v="57302.784000000007"/>
    <n v="41344.379999999997"/>
    <n v="51.4"/>
    <n v="53.2"/>
    <n v="50.885999999999996"/>
    <n v="52.667999999999999"/>
    <n v="119718.00000000007"/>
    <n v="52992.704386485675"/>
    <n v="53055.400967464047"/>
    <n v="5230.0334897197617"/>
    <n v="8439.8611563305913"/>
    <n v="0"/>
    <n v="119718.00000000007"/>
    <e v="#REF!"/>
    <e v="#REF!"/>
    <e v="#REF!"/>
    <x v="7"/>
  </r>
  <r>
    <x v="26"/>
    <s v="Wk 26"/>
    <x v="1"/>
    <d v="2022-07-02T00:00:00"/>
    <n v="2800"/>
    <n v="950"/>
    <n v="1850"/>
    <n v="51.449404487228136"/>
    <n v="50.191349336949663"/>
    <n v="141730.9305362236"/>
    <n v="48876.934262866729"/>
    <n v="92853.996273356883"/>
    <n v="207"/>
    <n v="2800"/>
    <n v="950"/>
    <n v="1850"/>
    <n v="1000"/>
    <n v="850"/>
    <n v="138896.31192549912"/>
    <n v="47899.395577609394"/>
    <n v="90996.916347889724"/>
    <n v="49187.522350210667"/>
    <n v="41809.393997679064"/>
    <n v="90"/>
    <n v="0"/>
    <n v="90"/>
    <n v="90"/>
    <n v="0"/>
    <n v="2568"/>
    <n v="700"/>
    <n v="1868"/>
    <n v="1080"/>
    <n v="788"/>
    <n v="131969.772"/>
    <n v="35620.199999999997"/>
    <n v="96349.572"/>
    <n v="55705.32"/>
    <n v="40644.252"/>
    <n v="51.4"/>
    <n v="52.1"/>
    <n v="50.885999999999996"/>
    <n v="51.579000000000001"/>
    <n v="120522.00000000004"/>
    <n v="56723.207841394156"/>
    <n v="52765.953815197252"/>
    <n v="4662.5472549491724"/>
    <n v="6370.2910884594812"/>
    <n v="0"/>
    <n v="120522.00000000004"/>
    <e v="#REF!"/>
    <e v="#REF!"/>
    <e v="#REF!"/>
    <x v="7"/>
  </r>
  <r>
    <x v="26"/>
    <s v="Wk 26"/>
    <x v="6"/>
    <d v="2022-07-03T00:00:00"/>
    <n v="100"/>
    <n v="0"/>
    <n v="100"/>
    <n v="0"/>
    <n v="51.452853264769338"/>
    <n v="5145.2853264769337"/>
    <n v="0"/>
    <n v="5145.2853264769337"/>
    <n v="208"/>
    <n v="100"/>
    <n v="0"/>
    <n v="100"/>
    <n v="100"/>
    <n v="0"/>
    <n v="5042.3796199473945"/>
    <n v="0"/>
    <n v="5042.3796199473945"/>
    <n v="5042.3796199473945"/>
    <n v="0"/>
    <n v="90"/>
    <n v="0"/>
    <n v="90"/>
    <n v="90"/>
    <n v="0"/>
    <n v="100"/>
    <n v="0"/>
    <n v="100"/>
    <n v="100"/>
    <n v="0"/>
    <n v="5355.9"/>
    <n v="0"/>
    <n v="5355.9"/>
    <n v="5355.9"/>
    <n v="0"/>
    <n v="0"/>
    <n v="51.452853264769338"/>
    <s v="-"/>
    <n v="53.558999999999997"/>
    <n v="0"/>
    <n v="0"/>
    <n v="0"/>
    <n v="0"/>
    <n v="0"/>
    <n v="0"/>
    <n v="0"/>
    <e v="#REF!"/>
    <e v="#REF!"/>
    <e v="#REF!"/>
    <x v="7"/>
  </r>
  <r>
    <x v="27"/>
    <s v="Wk 27"/>
    <x v="2"/>
    <d v="2022-07-04T00:00:00"/>
    <n v="2150"/>
    <n v="550"/>
    <n v="1600"/>
    <n v="47.825040804827289"/>
    <n v="49.127787986666469"/>
    <n v="104908.23322132137"/>
    <n v="26303.772442655008"/>
    <n v="78604.460778666355"/>
    <n v="210"/>
    <n v="2100"/>
    <n v="550"/>
    <n v="1550"/>
    <n v="650"/>
    <n v="900"/>
    <n v="100402.80694554826"/>
    <n v="25777.696993801907"/>
    <n v="74625.109951746359"/>
    <n v="31294.40094750654"/>
    <n v="43330.709004239827"/>
    <n v="90"/>
    <n v="0"/>
    <n v="90"/>
    <n v="90"/>
    <n v="0"/>
    <n v="2124"/>
    <n v="530"/>
    <n v="1594"/>
    <n v="712"/>
    <n v="882"/>
    <n v="101618.94600000001"/>
    <n v="24136.2"/>
    <n v="77482.746000000014"/>
    <n v="34609.608000000007"/>
    <n v="42873.138000000006"/>
    <n v="46"/>
    <n v="49.1"/>
    <n v="45.54"/>
    <n v="48.609000000000009"/>
    <n v="198884.00000000006"/>
    <n v="85022.751791902207"/>
    <n v="53530.002808216923"/>
    <n v="52530.817970738681"/>
    <n v="7800.4274291422325"/>
    <n v="0"/>
    <n v="198884.00000000006"/>
    <e v="#REF!"/>
    <e v="#REF!"/>
    <e v="#REF!"/>
    <x v="7"/>
  </r>
  <r>
    <x v="27"/>
    <s v="Wk 27"/>
    <x v="3"/>
    <d v="2022-07-05T00:00:00"/>
    <n v="2400"/>
    <n v="500"/>
    <n v="1900"/>
    <n v="44.30043568609716"/>
    <n v="47.702732896443628"/>
    <n v="112785.41034629148"/>
    <n v="22150.21784304858"/>
    <n v="90635.192503242899"/>
    <n v="211"/>
    <n v="2400"/>
    <n v="500"/>
    <n v="1900"/>
    <n v="950"/>
    <n v="950"/>
    <n v="110529.70213936565"/>
    <n v="21707.213486187607"/>
    <n v="88822.488653178036"/>
    <n v="44411.244326589018"/>
    <n v="44411.244326589018"/>
    <n v="90"/>
    <n v="0"/>
    <n v="90"/>
    <n v="90"/>
    <n v="0"/>
    <n v="2428"/>
    <n v="515"/>
    <n v="1913"/>
    <n v="913"/>
    <n v="1000"/>
    <n v="112516.07399999999"/>
    <n v="22178.474999999999"/>
    <n v="90337.599000000002"/>
    <n v="43114.599000000002"/>
    <n v="47223"/>
    <n v="43.5"/>
    <n v="47.7"/>
    <n v="43.064999999999998"/>
    <n v="47.222999999999999"/>
    <n v="128617.00000000006"/>
    <n v="59504.151925329752"/>
    <n v="55856.152892341292"/>
    <n v="5618.7976523771413"/>
    <n v="7637.8975299518861"/>
    <n v="0"/>
    <n v="128617.00000000006"/>
    <e v="#REF!"/>
    <e v="#REF!"/>
    <e v="#REF!"/>
    <x v="7"/>
  </r>
  <r>
    <x v="27"/>
    <s v="Wk 27"/>
    <x v="4"/>
    <d v="2022-07-06T00:00:00"/>
    <n v="2350"/>
    <n v="500"/>
    <n v="1850"/>
    <n v="42.816714267823592"/>
    <n v="49.117737193087983"/>
    <n v="112276.17094112455"/>
    <n v="21408.357133911795"/>
    <n v="90867.813807212762"/>
    <n v="212"/>
    <n v="2350"/>
    <n v="500"/>
    <n v="1850"/>
    <n v="925"/>
    <n v="925"/>
    <n v="110030.64752230205"/>
    <n v="20980.189991233558"/>
    <n v="89050.457531068503"/>
    <n v="44525.228765534252"/>
    <n v="44525.228765534252"/>
    <n v="90"/>
    <n v="0"/>
    <n v="90"/>
    <n v="90"/>
    <n v="0"/>
    <n v="2299"/>
    <n v="421"/>
    <n v="1878"/>
    <n v="920"/>
    <n v="958"/>
    <n v="106715.86199999999"/>
    <n v="18588.834000000003"/>
    <n v="88127.027999999991"/>
    <n v="43171.92"/>
    <n v="44955.108"/>
    <n v="44.6"/>
    <n v="47.4"/>
    <n v="44.154000000000003"/>
    <n v="46.925999999999995"/>
    <n v="120703.11460000009"/>
    <n v="49762.946109945704"/>
    <n v="49235.305409213237"/>
    <n v="14540.459703372786"/>
    <n v="7164.4033774683412"/>
    <n v="0"/>
    <n v="120703.11460000009"/>
    <e v="#REF!"/>
    <e v="#REF!"/>
    <e v="#REF!"/>
    <x v="7"/>
  </r>
  <r>
    <x v="27"/>
    <s v="Wk 27"/>
    <x v="5"/>
    <d v="2022-07-07T00:00:00"/>
    <n v="2100"/>
    <n v="450"/>
    <n v="1650"/>
    <n v="46.446197571962699"/>
    <n v="49.378047119912011"/>
    <n v="102374.56665523804"/>
    <n v="20900.788907383216"/>
    <n v="81473.777747854823"/>
    <n v="213"/>
    <n v="2100"/>
    <n v="450"/>
    <n v="1650"/>
    <n v="800"/>
    <n v="850"/>
    <n v="100327.07532213326"/>
    <n v="20482.773129235549"/>
    <n v="79844.30219289771"/>
    <n v="38712.388942011014"/>
    <n v="41131.913250886704"/>
    <n v="90"/>
    <n v="0"/>
    <n v="90"/>
    <n v="90"/>
    <n v="0"/>
    <n v="2154"/>
    <n v="442"/>
    <n v="1712"/>
    <n v="808"/>
    <n v="904"/>
    <n v="99699.93"/>
    <n v="18684.666000000001"/>
    <n v="81015.263999999996"/>
    <n v="38236.175999999992"/>
    <n v="42779.087999999996"/>
    <n v="42.7"/>
    <n v="47.8"/>
    <n v="42.273000000000003"/>
    <n v="47.321999999999996"/>
    <n v="104621.00000000007"/>
    <n v="45781.983298270272"/>
    <n v="43714.900589224868"/>
    <n v="7896.5609286049375"/>
    <n v="7227.55518389998"/>
    <n v="0"/>
    <n v="104621.00000000007"/>
    <e v="#REF!"/>
    <e v="#REF!"/>
    <e v="#REF!"/>
    <x v="7"/>
  </r>
  <r>
    <x v="27"/>
    <s v="Wk 27"/>
    <x v="0"/>
    <d v="2022-07-08T00:00:00"/>
    <n v="2700"/>
    <n v="850"/>
    <n v="1850"/>
    <n v="51.242339611905599"/>
    <n v="50.854057935510752"/>
    <n v="137635.99585081465"/>
    <n v="43555.988670119761"/>
    <n v="94080.007180694898"/>
    <n v="214"/>
    <n v="2700"/>
    <n v="850"/>
    <n v="1850"/>
    <n v="900"/>
    <n v="950"/>
    <n v="134883.27593379834"/>
    <n v="42684.868896717366"/>
    <n v="92198.407037080993"/>
    <n v="44853.279099120482"/>
    <n v="47345.127937960511"/>
    <n v="90"/>
    <n v="0"/>
    <n v="90"/>
    <n v="90"/>
    <n v="0"/>
    <n v="2635"/>
    <n v="809"/>
    <n v="1826"/>
    <n v="950"/>
    <n v="876"/>
    <n v="128366.17199999999"/>
    <n v="39244.589999999997"/>
    <n v="89121.581999999995"/>
    <n v="46366.65"/>
    <n v="42754.931999999993"/>
    <n v="49"/>
    <n v="49.3"/>
    <n v="48.51"/>
    <n v="48.806999999999995"/>
    <n v="100631.00000000006"/>
    <n v="44543.918501114618"/>
    <n v="44596.619178042354"/>
    <n v="4396.1935557225261"/>
    <n v="7094.2687651205651"/>
    <n v="0"/>
    <n v="100631.00000000006"/>
    <e v="#REF!"/>
    <e v="#REF!"/>
    <e v="#REF!"/>
    <x v="7"/>
  </r>
  <r>
    <x v="27"/>
    <s v="Wk 27"/>
    <x v="1"/>
    <d v="2022-07-09T00:00:00"/>
    <n v="2450"/>
    <n v="750"/>
    <n v="1700"/>
    <n v="50.882989140058037"/>
    <n v="49.609281828291152"/>
    <n v="122498.02096313848"/>
    <n v="38162.241855043525"/>
    <n v="84335.779108094954"/>
    <n v="215"/>
    <n v="2450"/>
    <n v="750"/>
    <n v="1700"/>
    <n v="950"/>
    <n v="750"/>
    <n v="120048.0605438757"/>
    <n v="37398.997017942653"/>
    <n v="82649.063525933059"/>
    <n v="46186.241382139066"/>
    <n v="36462.822143793994"/>
    <n v="90"/>
    <n v="0"/>
    <n v="90"/>
    <n v="90"/>
    <n v="0"/>
    <n v="2366"/>
    <n v="746"/>
    <n v="1620"/>
    <n v="878"/>
    <n v="742"/>
    <n v="114553.098"/>
    <n v="35966.898000000001"/>
    <n v="78586.2"/>
    <n v="42591.78"/>
    <n v="35994.42"/>
    <n v="48.7"/>
    <n v="49"/>
    <n v="48.213000000000001"/>
    <n v="48.51"/>
    <n v="104125.00000000006"/>
    <n v="49006.023933266682"/>
    <n v="45587.153723033254"/>
    <n v="4028.2084011349184"/>
    <n v="5503.6139425652045"/>
    <n v="0"/>
    <n v="104125.00000000006"/>
    <e v="#REF!"/>
    <e v="#REF!"/>
    <e v="#REF!"/>
    <x v="7"/>
  </r>
  <r>
    <x v="27"/>
    <s v="Wk 27"/>
    <x v="6"/>
    <d v="2022-07-10T00:00:00"/>
    <n v="0"/>
    <n v="0"/>
    <n v="0"/>
    <n v="0"/>
    <n v="0"/>
    <n v="0"/>
    <n v="0"/>
    <n v="0"/>
    <n v="21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28"/>
    <s v="Wk 28"/>
    <x v="2"/>
    <d v="2022-07-11T00:00:00"/>
    <n v="2050"/>
    <n v="500"/>
    <n v="1550"/>
    <n v="46.301115023414333"/>
    <n v="48.765550856411032"/>
    <n v="98737.161339144266"/>
    <n v="23150.557511707168"/>
    <n v="75586.603827437095"/>
    <n v="218"/>
    <n v="2000"/>
    <n v="500"/>
    <n v="1500"/>
    <n v="650"/>
    <n v="850"/>
    <n v="94372.906120397252"/>
    <n v="22687.546361473025"/>
    <n v="71685.359758924227"/>
    <n v="31063.655895533826"/>
    <n v="40621.703863390394"/>
    <n v="90"/>
    <n v="0"/>
    <n v="90"/>
    <n v="90"/>
    <n v="0"/>
    <n v="2000"/>
    <n v="496"/>
    <n v="1504"/>
    <n v="661"/>
    <n v="843"/>
    <n v="91968.623999999996"/>
    <n v="23029.775999999998"/>
    <n v="68938.847999999998"/>
    <n v="30298.256999999998"/>
    <n v="38640.590999999993"/>
    <n v="46.9"/>
    <n v="46.3"/>
    <n v="46.430999999999997"/>
    <n v="45.836999999999996"/>
    <n v="171243.99999999997"/>
    <n v="80053.600000000006"/>
    <n v="49480.603577596703"/>
    <n v="34425.119999999995"/>
    <n v="7284.6764224032941"/>
    <n v="0"/>
    <n v="171243.99999999997"/>
    <e v="#REF!"/>
    <e v="#REF!"/>
    <e v="#REF!"/>
    <x v="7"/>
  </r>
  <r>
    <x v="28"/>
    <s v="Wk 28"/>
    <x v="3"/>
    <d v="2022-07-12T00:00:00"/>
    <n v="2200"/>
    <n v="500"/>
    <n v="1700"/>
    <n v="44.357838881316333"/>
    <n v="47.494216696616142"/>
    <n v="102919.08782490561"/>
    <n v="22178.919440658166"/>
    <n v="80740.168384247445"/>
    <n v="219"/>
    <n v="2200"/>
    <n v="500"/>
    <n v="1700"/>
    <n v="850"/>
    <n v="850"/>
    <n v="100860.70606840751"/>
    <n v="21735.341051845004"/>
    <n v="79125.3650165625"/>
    <n v="39562.68250828125"/>
    <n v="39562.68250828125"/>
    <n v="90"/>
    <n v="0"/>
    <n v="90"/>
    <n v="90"/>
    <n v="0"/>
    <n v="2313"/>
    <n v="510"/>
    <n v="1803"/>
    <n v="893"/>
    <n v="910"/>
    <n v="105155.52299999999"/>
    <n v="23225.4"/>
    <n v="81930.122999999992"/>
    <n v="40578.812999999995"/>
    <n v="41351.31"/>
    <n v="46"/>
    <n v="45.9"/>
    <n v="45.540000000000006"/>
    <n v="45.440999999999995"/>
    <n v="114421.09199609795"/>
    <n v="54939.360000000001"/>
    <n v="47684.523536222245"/>
    <n v="5000.1999960979538"/>
    <n v="6797.0084637777509"/>
    <n v="0"/>
    <n v="114421.09199609795"/>
    <e v="#REF!"/>
    <e v="#REF!"/>
    <e v="#REF!"/>
    <x v="7"/>
  </r>
  <r>
    <x v="28"/>
    <s v="Wk 28"/>
    <x v="4"/>
    <d v="2022-07-13T00:00:00"/>
    <n v="2150"/>
    <n v="450"/>
    <n v="1700"/>
    <n v="43.158484303529335"/>
    <n v="47.982262685687111"/>
    <n v="100991.16450225629"/>
    <n v="19421.317936588199"/>
    <n v="81569.846565668093"/>
    <n v="220"/>
    <n v="2150"/>
    <n v="450"/>
    <n v="1700"/>
    <n v="850"/>
    <n v="850"/>
    <n v="98971.341212211177"/>
    <n v="19032.891577856433"/>
    <n v="79938.449634354736"/>
    <n v="39969.224817177368"/>
    <n v="39969.224817177368"/>
    <n v="90"/>
    <n v="0"/>
    <n v="90"/>
    <n v="90"/>
    <n v="0"/>
    <n v="2283"/>
    <n v="495"/>
    <n v="1788"/>
    <n v="885"/>
    <n v="903"/>
    <n v="101620.629"/>
    <n v="21611.204999999998"/>
    <n v="80009.423999999999"/>
    <n v="39601.980000000003"/>
    <n v="40407.444000000003"/>
    <n v="44.1"/>
    <n v="45.2"/>
    <n v="43.658999999999999"/>
    <n v="44.747999999999998"/>
    <n v="114490.31694090719"/>
    <n v="53995.5"/>
    <n v="42678.753245763583"/>
    <n v="10818.956940907188"/>
    <n v="6997.1067542364199"/>
    <n v="0"/>
    <n v="114490.31694090719"/>
    <e v="#REF!"/>
    <e v="#REF!"/>
    <e v="#REF!"/>
    <x v="7"/>
  </r>
  <r>
    <x v="28"/>
    <s v="Wk 28"/>
    <x v="5"/>
    <d v="2022-07-14T00:00:00"/>
    <n v="2100"/>
    <n v="450"/>
    <n v="1650"/>
    <n v="44.907845696996233"/>
    <n v="48.693982170731843"/>
    <n v="100553.60114535585"/>
    <n v="20208.530563648306"/>
    <n v="80345.070581707536"/>
    <n v="221"/>
    <n v="2100"/>
    <n v="450"/>
    <n v="1650"/>
    <n v="825"/>
    <n v="825"/>
    <n v="98542.529122448715"/>
    <n v="19804.35995237534"/>
    <n v="78738.169170073379"/>
    <n v="39369.08458503669"/>
    <n v="39369.08458503669"/>
    <n v="90"/>
    <n v="0"/>
    <n v="90"/>
    <n v="90"/>
    <n v="0"/>
    <n v="2151"/>
    <n v="440"/>
    <n v="1711"/>
    <n v="848"/>
    <n v="863"/>
    <n v="96799.824000000008"/>
    <n v="19558.439999999999"/>
    <n v="77241.384000000005"/>
    <n v="38282.112000000001"/>
    <n v="38959.272000000004"/>
    <n v="44.9"/>
    <n v="45.6"/>
    <n v="44.451000000000001"/>
    <n v="45.144000000000005"/>
    <n v="104660.00000000006"/>
    <n v="45738.981919891776"/>
    <n v="43673.840747654256"/>
    <n v="8026.4107324646457"/>
    <n v="7220.7665999893725"/>
    <n v="0"/>
    <n v="104660.00000000006"/>
    <e v="#REF!"/>
    <e v="#REF!"/>
    <e v="#REF!"/>
    <x v="7"/>
  </r>
  <r>
    <x v="28"/>
    <s v="Wk 28"/>
    <x v="0"/>
    <d v="2022-07-15T00:00:00"/>
    <n v="2550"/>
    <n v="750"/>
    <n v="1800"/>
    <n v="50.013079590584638"/>
    <n v="50.025030783053431"/>
    <n v="127554.86510243465"/>
    <n v="37509.809692938477"/>
    <n v="90045.05540949617"/>
    <n v="222"/>
    <n v="2550"/>
    <n v="750"/>
    <n v="1800"/>
    <n v="900"/>
    <n v="900"/>
    <n v="125003.76780038595"/>
    <n v="36759.613499079707"/>
    <n v="88244.154301306247"/>
    <n v="44122.077150653124"/>
    <n v="44122.077150653124"/>
    <n v="90"/>
    <n v="0"/>
    <n v="90"/>
    <n v="90"/>
    <n v="0"/>
    <n v="2431"/>
    <n v="749"/>
    <n v="1682"/>
    <n v="899"/>
    <n v="783"/>
    <n v="114964.34400000001"/>
    <n v="34702.667999999998"/>
    <n v="80261.676000000007"/>
    <n v="42898.482000000004"/>
    <n v="37363.194000000003"/>
    <n v="46.8"/>
    <n v="48.2"/>
    <n v="46.331999999999994"/>
    <n v="47.718000000000004"/>
    <n v="98548.073319092233"/>
    <n v="40023.074000000001"/>
    <n v="47268.842815366836"/>
    <n v="4306.5493190922371"/>
    <n v="6949.6071846331661"/>
    <n v="0"/>
    <n v="98548.073319092233"/>
    <e v="#REF!"/>
    <e v="#REF!"/>
    <e v="#REF!"/>
    <x v="7"/>
  </r>
  <r>
    <x v="28"/>
    <s v="Wk 28"/>
    <x v="1"/>
    <d v="2022-07-16T00:00:00"/>
    <n v="2300"/>
    <n v="700"/>
    <n v="1600"/>
    <n v="49.658863675812583"/>
    <n v="49.115282998128713"/>
    <n v="113345.65737007475"/>
    <n v="34761.204573068811"/>
    <n v="78584.452797005943"/>
    <n v="223"/>
    <n v="2300"/>
    <n v="700"/>
    <n v="1600"/>
    <n v="900"/>
    <n v="700"/>
    <n v="111078.74422267324"/>
    <n v="34065.980481607432"/>
    <n v="77012.763741065806"/>
    <n v="43319.67960434952"/>
    <n v="33693.084136716294"/>
    <n v="90"/>
    <n v="0"/>
    <n v="90"/>
    <n v="90"/>
    <n v="0"/>
    <n v="2235"/>
    <n v="698"/>
    <n v="1537"/>
    <n v="871"/>
    <n v="666"/>
    <n v="106289.568"/>
    <n v="33859.980000000003"/>
    <n v="72429.588000000003"/>
    <n v="41045.004000000001"/>
    <n v="31384.584000000003"/>
    <n v="49"/>
    <n v="47.6"/>
    <n v="48.510000000000005"/>
    <n v="47.124000000000002"/>
    <n v="99240.000000000058"/>
    <n v="46706.917792435874"/>
    <n v="43448.44307777979"/>
    <n v="3839.2259469736305"/>
    <n v="5245.4131828107647"/>
    <n v="0"/>
    <n v="99240.000000000058"/>
    <e v="#REF!"/>
    <e v="#REF!"/>
    <e v="#REF!"/>
    <x v="7"/>
  </r>
  <r>
    <x v="28"/>
    <s v="Wk 28"/>
    <x v="6"/>
    <d v="2022-07-17T00:00:00"/>
    <n v="0"/>
    <n v="0"/>
    <n v="0"/>
    <n v="0"/>
    <n v="0"/>
    <n v="0"/>
    <n v="0"/>
    <n v="0"/>
    <n v="224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29"/>
    <s v="Wk 29"/>
    <x v="2"/>
    <d v="2022-07-18T00:00:00"/>
    <n v="1950"/>
    <n v="450"/>
    <n v="1500"/>
    <n v="45.694577795163966"/>
    <n v="48.012726773104617"/>
    <n v="92581.650167480722"/>
    <n v="20562.560007823784"/>
    <n v="72019.090159656931"/>
    <n v="226"/>
    <n v="1900"/>
    <n v="450"/>
    <n v="1450"/>
    <n v="650"/>
    <n v="800"/>
    <n v="88377.393552248977"/>
    <n v="20151.308807667308"/>
    <n v="68226.084744581662"/>
    <n v="30584.106954467639"/>
    <n v="37641.977790114019"/>
    <n v="90"/>
    <n v="0"/>
    <n v="90"/>
    <n v="90"/>
    <n v="0"/>
    <n v="1803"/>
    <n v="446"/>
    <n v="1357"/>
    <n v="574"/>
    <n v="783"/>
    <n v="82609.361999999994"/>
    <n v="19736.838"/>
    <n v="62872.52399999999"/>
    <n v="26594.567999999996"/>
    <n v="36277.955999999991"/>
    <n v="44.7"/>
    <n v="46.8"/>
    <n v="44.253"/>
    <n v="46.331999999999994"/>
    <n v="165694"/>
    <n v="76897.700000000012"/>
    <n v="47529.962546705683"/>
    <n v="34268.839999999997"/>
    <n v="6997.4974532943152"/>
    <n v="0"/>
    <n v="165694"/>
    <e v="#REF!"/>
    <e v="#REF!"/>
    <e v="#REF!"/>
    <x v="7"/>
  </r>
  <r>
    <x v="29"/>
    <s v="Wk 29"/>
    <x v="3"/>
    <d v="2022-07-19T00:00:00"/>
    <n v="2200"/>
    <n v="450"/>
    <n v="1750"/>
    <n v="43.144007344419606"/>
    <n v="46.733298709494285"/>
    <n v="101198.07604660382"/>
    <n v="19414.803304988822"/>
    <n v="81783.272741615001"/>
    <n v="227"/>
    <n v="2200"/>
    <n v="450"/>
    <n v="1750"/>
    <n v="850"/>
    <n v="900"/>
    <n v="99174.114525671728"/>
    <n v="19026.507238889044"/>
    <n v="80147.607286782688"/>
    <n v="38928.837825008733"/>
    <n v="41218.769461773954"/>
    <n v="90"/>
    <n v="0"/>
    <n v="90"/>
    <n v="90"/>
    <n v="0"/>
    <n v="2297"/>
    <n v="457"/>
    <n v="1840"/>
    <n v="865"/>
    <n v="975"/>
    <n v="97146.324000000008"/>
    <n v="19364.003999999997"/>
    <n v="77782.320000000007"/>
    <n v="36566.144999999997"/>
    <n v="41216.175000000003"/>
    <n v="42.8"/>
    <n v="42.7"/>
    <n v="42.371999999999993"/>
    <n v="42.273000000000003"/>
    <n v="119281.15505479059"/>
    <n v="54842.879999999997"/>
    <n v="47600.783885254801"/>
    <n v="10052.4190547906"/>
    <n v="6785.072114745195"/>
    <n v="0"/>
    <n v="119281.15505479059"/>
    <e v="#REF!"/>
    <e v="#REF!"/>
    <e v="#REF!"/>
    <x v="7"/>
  </r>
  <r>
    <x v="29"/>
    <s v="Wk 29"/>
    <x v="4"/>
    <d v="2022-07-20T00:00:00"/>
    <n v="2200"/>
    <n v="500"/>
    <n v="1700"/>
    <n v="42.192942715635802"/>
    <n v="46.91686797592498"/>
    <n v="100855.14691689037"/>
    <n v="21096.4713578179"/>
    <n v="79758.675559072464"/>
    <n v="228"/>
    <n v="2150"/>
    <n v="500"/>
    <n v="1650"/>
    <n v="800"/>
    <n v="850"/>
    <n v="96539.11744773222"/>
    <n v="20674.54193066154"/>
    <n v="75864.575517070683"/>
    <n v="36782.824493125183"/>
    <n v="39081.751023945508"/>
    <n v="90"/>
    <n v="0"/>
    <n v="90"/>
    <n v="90"/>
    <n v="0"/>
    <n v="2276"/>
    <n v="518"/>
    <n v="1758"/>
    <n v="966"/>
    <n v="792"/>
    <n v="102469.554"/>
    <n v="22410.234"/>
    <n v="80059.320000000007"/>
    <n v="43991.64"/>
    <n v="36067.68"/>
    <n v="43.7"/>
    <n v="46"/>
    <n v="43.262999999999998"/>
    <n v="45.540000000000006"/>
    <n v="104850.89272594075"/>
    <n v="51537"/>
    <n v="40735.522516263722"/>
    <n v="5899.8527259407492"/>
    <n v="6678.5174837362811"/>
    <n v="0"/>
    <n v="104850.89272594075"/>
    <e v="#REF!"/>
    <e v="#REF!"/>
    <e v="#REF!"/>
    <x v="7"/>
  </r>
  <r>
    <x v="29"/>
    <s v="Wk 29"/>
    <x v="5"/>
    <d v="2022-07-21T00:00:00"/>
    <n v="0"/>
    <n v="0"/>
    <n v="0"/>
    <n v="0"/>
    <n v="0"/>
    <n v="0"/>
    <n v="0"/>
    <n v="0"/>
    <n v="229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29"/>
    <s v="Wk 29"/>
    <x v="0"/>
    <d v="2022-07-22T00:00:00"/>
    <n v="2800"/>
    <n v="900"/>
    <n v="1900"/>
    <n v="49.327323297789491"/>
    <n v="49.468724494292481"/>
    <n v="138385.16750716625"/>
    <n v="44394.59096801054"/>
    <n v="93990.576539155707"/>
    <n v="230"/>
    <n v="2700"/>
    <n v="900"/>
    <n v="1800"/>
    <n v="800"/>
    <n v="1000"/>
    <n v="130769.52915658227"/>
    <n v="43506.699148650325"/>
    <n v="87262.830007931945"/>
    <n v="38783.480003525307"/>
    <n v="48479.350004406631"/>
    <n v="90"/>
    <n v="0"/>
    <n v="90"/>
    <n v="90"/>
    <n v="0"/>
    <n v="2571"/>
    <n v="797"/>
    <n v="1774"/>
    <n v="761"/>
    <n v="1013"/>
    <n v="119463.20099999999"/>
    <n v="36216.476999999999"/>
    <n v="83246.723999999987"/>
    <n v="35710.686000000002"/>
    <n v="47536.037999999993"/>
    <n v="45.9"/>
    <n v="47.4"/>
    <n v="45.440999999999995"/>
    <n v="46.925999999999995"/>
    <n v="100791.36932055344"/>
    <n v="40934.138000000006"/>
    <n v="48344.845648401082"/>
    <n v="4404.5813205534305"/>
    <n v="7107.8043515989175"/>
    <n v="0"/>
    <n v="100791.36932055344"/>
    <e v="#REF!"/>
    <e v="#REF!"/>
    <e v="#REF!"/>
    <x v="7"/>
  </r>
  <r>
    <x v="29"/>
    <s v="Wk 29"/>
    <x v="1"/>
    <d v="2022-07-23T00:00:00"/>
    <n v="2450"/>
    <n v="750"/>
    <n v="1700"/>
    <n v="49.11335273740243"/>
    <n v="48.577880462728821"/>
    <n v="119417.41133969082"/>
    <n v="36835.01455305182"/>
    <n v="82582.396786639001"/>
    <n v="231"/>
    <n v="2400"/>
    <n v="750"/>
    <n v="1650"/>
    <n v="950"/>
    <n v="700"/>
    <n v="114648.74697022329"/>
    <n v="36098.314261990781"/>
    <n v="78550.432708232504"/>
    <n v="45226.006710800531"/>
    <n v="33324.425997431972"/>
    <n v="90"/>
    <n v="0"/>
    <n v="90"/>
    <n v="90"/>
    <n v="0"/>
    <n v="2284"/>
    <n v="647"/>
    <n v="1637"/>
    <n v="971"/>
    <n v="666"/>
    <n v="108483.21"/>
    <n v="29720.592000000001"/>
    <n v="78762.618000000002"/>
    <n v="46718.693999999996"/>
    <n v="32043.924000000003"/>
    <n v="46.4"/>
    <n v="48.6"/>
    <n v="45.936"/>
    <n v="48.114000000000004"/>
    <n v="101269.00000000006"/>
    <n v="47661.858705382794"/>
    <n v="44336.763220915775"/>
    <n v="3917.7203992752175"/>
    <n v="5352.6576744262729"/>
    <n v="0"/>
    <n v="101269.00000000006"/>
    <e v="#REF!"/>
    <e v="#REF!"/>
    <e v="#REF!"/>
    <x v="7"/>
  </r>
  <r>
    <x v="29"/>
    <s v="Wk 29"/>
    <x v="6"/>
    <d v="2022-07-24T00:00:00"/>
    <n v="0"/>
    <n v="0"/>
    <n v="0"/>
    <n v="0"/>
    <n v="0"/>
    <n v="0"/>
    <n v="0"/>
    <n v="0"/>
    <n v="23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30"/>
    <s v="Wk 30"/>
    <x v="2"/>
    <d v="2022-07-25T00:00:00"/>
    <n v="1900"/>
    <n v="450"/>
    <n v="1450"/>
    <n v="46.073293794727803"/>
    <n v="47.146669813841825"/>
    <n v="89095.653437698158"/>
    <n v="20732.982207627512"/>
    <n v="68362.671230070642"/>
    <n v="234"/>
    <n v="1900"/>
    <n v="450"/>
    <n v="1450"/>
    <n v="650"/>
    <n v="800"/>
    <n v="87313.740368944185"/>
    <n v="20318.322563474961"/>
    <n v="66995.417805469231"/>
    <n v="30032.428671417245"/>
    <n v="36962.98913405199"/>
    <n v="90"/>
    <n v="0"/>
    <n v="90"/>
    <n v="90"/>
    <n v="0"/>
    <n v="1962"/>
    <n v="514"/>
    <n v="1448"/>
    <n v="575"/>
    <n v="873"/>
    <n v="88651.331999999995"/>
    <n v="23712.876"/>
    <n v="64938.455999999998"/>
    <n v="25787.025000000001"/>
    <n v="39151.430999999997"/>
    <n v="46.6"/>
    <n v="45.3"/>
    <n v="46.134"/>
    <n v="44.847000000000001"/>
    <n v="164863"/>
    <n v="79558.600000000006"/>
    <n v="49174.64733364377"/>
    <n v="28890.12"/>
    <n v="7239.6326663562259"/>
    <n v="0"/>
    <n v="164863"/>
    <e v="#REF!"/>
    <e v="#REF!"/>
    <e v="#REF!"/>
    <x v="7"/>
  </r>
  <r>
    <x v="30"/>
    <s v="Wk 30"/>
    <x v="3"/>
    <d v="2022-07-26T00:00:00"/>
    <n v="2200"/>
    <n v="450"/>
    <n v="1750"/>
    <n v="43.52310185254435"/>
    <n v="46.539877728570303"/>
    <n v="101030.18185864299"/>
    <n v="19585.395833644958"/>
    <n v="81444.786024998029"/>
    <n v="235"/>
    <n v="2225"/>
    <n v="450"/>
    <n v="1775"/>
    <n v="900"/>
    <n v="875"/>
    <n v="100149.80522582011"/>
    <n v="19193.68791697206"/>
    <n v="80956.117308848043"/>
    <n v="41048.172156599008"/>
    <n v="39907.945152249034"/>
    <n v="90"/>
    <n v="0"/>
    <n v="90"/>
    <n v="90"/>
    <n v="0"/>
    <n v="2291"/>
    <n v="474"/>
    <n v="1817"/>
    <n v="833"/>
    <n v="984"/>
    <n v="97543.512000000017"/>
    <n v="19474.29"/>
    <n v="78069.222000000009"/>
    <n v="35790.678"/>
    <n v="42278.544000000002"/>
    <n v="41.5"/>
    <n v="43.4"/>
    <n v="41.085000000000001"/>
    <n v="42.966000000000008"/>
    <n v="119332.55066596375"/>
    <n v="57297.599999999999"/>
    <n v="49731.353910366772"/>
    <n v="5214.8306659637483"/>
    <n v="7088.7660896332263"/>
    <n v="0"/>
    <n v="119332.55066596375"/>
    <e v="#REF!"/>
    <e v="#REF!"/>
    <e v="#REF!"/>
    <x v="7"/>
  </r>
  <r>
    <x v="30"/>
    <s v="Wk 30"/>
    <x v="4"/>
    <d v="2022-07-27T00:00:00"/>
    <n v="2200"/>
    <n v="450"/>
    <n v="1750"/>
    <n v="42.835730829075956"/>
    <n v="46.905249242696421"/>
    <n v="101360.26504780291"/>
    <n v="19276.078873084181"/>
    <n v="82084.186174718736"/>
    <n v="236"/>
    <n v="2200"/>
    <n v="450"/>
    <n v="1750"/>
    <n v="850"/>
    <n v="900"/>
    <n v="99333.059746846862"/>
    <n v="18890.557295622497"/>
    <n v="80442.502451224369"/>
    <n v="39072.072619166116"/>
    <n v="41370.429832058246"/>
    <n v="90"/>
    <n v="0"/>
    <n v="90"/>
    <n v="90"/>
    <n v="0"/>
    <n v="1981"/>
    <n v="435"/>
    <n v="1546"/>
    <n v="718"/>
    <n v="828"/>
    <n v="86970.905999999988"/>
    <n v="17484.39"/>
    <n v="69486.515999999989"/>
    <n v="32271.227999999999"/>
    <n v="37215.287999999993"/>
    <n v="40.6"/>
    <n v="45.4"/>
    <n v="40.193999999999996"/>
    <n v="44.945999999999991"/>
    <n v="111158.85381584316"/>
    <n v="51311.5"/>
    <n v="40557.284350918097"/>
    <n v="12640.773815843157"/>
    <n v="6649.295649081906"/>
    <n v="0"/>
    <n v="111158.85381584316"/>
    <e v="#REF!"/>
    <e v="#REF!"/>
    <e v="#REF!"/>
    <x v="7"/>
  </r>
  <r>
    <x v="30"/>
    <s v="Wk 30"/>
    <x v="5"/>
    <d v="2022-07-28T00:00:00"/>
    <n v="2100"/>
    <n v="450"/>
    <n v="1650"/>
    <n v="44.7619390114873"/>
    <n v="47.067441928000477"/>
    <n v="97804.151736370084"/>
    <n v="20142.872555169284"/>
    <n v="77661.279181200793"/>
    <n v="237"/>
    <n v="2100"/>
    <n v="450"/>
    <n v="1650"/>
    <n v="850"/>
    <n v="800"/>
    <n v="95848.068701642667"/>
    <n v="19740.015104065897"/>
    <n v="76108.053597576771"/>
    <n v="39207.179126024399"/>
    <n v="36900.874471552379"/>
    <n v="90"/>
    <n v="0"/>
    <n v="90"/>
    <n v="90"/>
    <n v="0"/>
    <n v="2020"/>
    <n v="451"/>
    <n v="1569"/>
    <n v="722"/>
    <n v="847"/>
    <n v="93466.791000000012"/>
    <n v="18752.579999999998"/>
    <n v="74714.21100000001"/>
    <n v="34380.918000000005"/>
    <n v="40333.293000000005"/>
    <n v="42"/>
    <n v="48.1"/>
    <n v="41.58"/>
    <n v="47.619000000000007"/>
    <n v="94827.000000000044"/>
    <n v="42490.340944918862"/>
    <n v="40571.877769209212"/>
    <n v="5056.8743356344394"/>
    <n v="6707.9069502375351"/>
    <n v="0"/>
    <n v="94827.000000000044"/>
    <e v="#REF!"/>
    <e v="#REF!"/>
    <e v="#REF!"/>
    <x v="7"/>
  </r>
  <r>
    <x v="30"/>
    <s v="Wk 30"/>
    <x v="0"/>
    <d v="2022-07-29T00:00:00"/>
    <n v="2350"/>
    <n v="700"/>
    <n v="1650"/>
    <n v="48.436586179036183"/>
    <n v="48.691696461071913"/>
    <n v="114246.90948609399"/>
    <n v="33905.610325325331"/>
    <n v="80341.299160768656"/>
    <n v="238"/>
    <n v="2450"/>
    <n v="700"/>
    <n v="1750"/>
    <n v="900"/>
    <n v="850"/>
    <n v="116733.75754955717"/>
    <n v="33227.498118818825"/>
    <n v="83506.259430738341"/>
    <n v="42946.07627866543"/>
    <n v="40560.183152072903"/>
    <n v="90"/>
    <n v="0"/>
    <n v="90"/>
    <n v="90"/>
    <n v="0"/>
    <n v="2537"/>
    <n v="824"/>
    <n v="1713"/>
    <n v="920"/>
    <n v="793"/>
    <n v="124044.42600000001"/>
    <n v="38911.752"/>
    <n v="85132.673999999999"/>
    <n v="45722.159999999996"/>
    <n v="39410.514000000003"/>
    <n v="47.7"/>
    <n v="50.2"/>
    <n v="47.222999999999999"/>
    <n v="49.698"/>
    <n v="93366.699354932993"/>
    <n v="37918.776000000005"/>
    <n v="44783.583152436127"/>
    <n v="4080.1233549329831"/>
    <n v="6584.2168475638746"/>
    <n v="0"/>
    <n v="93366.699354932993"/>
    <e v="#REF!"/>
    <e v="#REF!"/>
    <e v="#REF!"/>
    <x v="7"/>
  </r>
  <r>
    <x v="30"/>
    <s v="Wk 30"/>
    <x v="1"/>
    <d v="2022-07-30T00:00:00"/>
    <n v="2200"/>
    <n v="650"/>
    <n v="1550"/>
    <n v="47.990728904862479"/>
    <n v="48.878016806936976"/>
    <n v="106954.89983891293"/>
    <n v="31193.973788160612"/>
    <n v="75760.926050752314"/>
    <n v="239"/>
    <n v="2200"/>
    <n v="650"/>
    <n v="1550"/>
    <n v="850"/>
    <n v="700"/>
    <n v="104815.80184213466"/>
    <n v="30570.094312397399"/>
    <n v="74245.707529737265"/>
    <n v="40715.3880001785"/>
    <n v="33530.319529558765"/>
    <n v="90"/>
    <n v="0"/>
    <n v="90"/>
    <n v="90"/>
    <n v="0"/>
    <n v="2386"/>
    <n v="750"/>
    <n v="1636"/>
    <n v="911"/>
    <n v="725"/>
    <n v="113166.504"/>
    <n v="34452"/>
    <n v="78714.504000000001"/>
    <n v="43831.853999999999"/>
    <n v="34882.65"/>
    <n v="46.4"/>
    <n v="48.6"/>
    <n v="45.936"/>
    <n v="48.113999999999997"/>
    <n v="96639.000000000073"/>
    <n v="45482.767317041624"/>
    <n v="42309.694584779943"/>
    <n v="3738.6029452799748"/>
    <n v="5107.9351528985235"/>
    <n v="0"/>
    <n v="96639.000000000073"/>
    <e v="#REF!"/>
    <e v="#REF!"/>
    <e v="#REF!"/>
    <x v="7"/>
  </r>
  <r>
    <x v="30"/>
    <s v="Wk 30"/>
    <x v="6"/>
    <d v="2022-07-31T00:00:00"/>
    <n v="0"/>
    <n v="0"/>
    <n v="0"/>
    <n v="0"/>
    <n v="0"/>
    <n v="0"/>
    <n v="0"/>
    <n v="0"/>
    <n v="240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7"/>
  </r>
  <r>
    <x v="31"/>
    <s v="Wk 31"/>
    <x v="2"/>
    <d v="2022-08-01T00:00:00"/>
    <n v="1950"/>
    <n v="500"/>
    <n v="1450"/>
    <n v="47.07014344184055"/>
    <n v="46.446210925004202"/>
    <n v="90882.077562176361"/>
    <n v="23535.071720920274"/>
    <n v="67347.00584125609"/>
    <n v="242"/>
    <n v="1950"/>
    <n v="500"/>
    <n v="1450"/>
    <n v="650"/>
    <n v="800"/>
    <n v="89064.436010932841"/>
    <n v="23064.370286501868"/>
    <n v="66000.06572443097"/>
    <n v="29586.236359227678"/>
    <n v="36413.829365203288"/>
    <n v="90"/>
    <n v="0"/>
    <n v="90"/>
    <n v="90"/>
    <n v="0"/>
    <n v="2033"/>
    <n v="575"/>
    <n v="1458"/>
    <n v="666"/>
    <n v="792"/>
    <n v="99139.194000000003"/>
    <n v="25957.8"/>
    <n v="73181.394"/>
    <n v="33428.538"/>
    <n v="39752.856"/>
    <n v="45.6"/>
    <n v="50.7"/>
    <n v="45.143999999999998"/>
    <n v="50.192999999999998"/>
    <n v="177023"/>
    <n v="72018.44"/>
    <n v="51237.15657638789"/>
    <n v="46835.82"/>
    <n v="6931.5834236121045"/>
    <n v="0"/>
    <n v="177023"/>
    <e v="#REF!"/>
    <e v="#REF!"/>
    <e v="#REF!"/>
    <x v="8"/>
  </r>
  <r>
    <x v="31"/>
    <s v="Wk 31"/>
    <x v="3"/>
    <d v="2022-08-02T00:00:00"/>
    <n v="2200"/>
    <n v="450"/>
    <n v="1750"/>
    <n v="44.119171069087365"/>
    <n v="44.656179434406383"/>
    <n v="98001.940991300478"/>
    <n v="19853.626981089314"/>
    <n v="78148.314010211165"/>
    <n v="243"/>
    <n v="2200"/>
    <n v="450"/>
    <n v="1750"/>
    <n v="850"/>
    <n v="900"/>
    <n v="96041.902171474474"/>
    <n v="19456.554441467528"/>
    <n v="76585.34773000695"/>
    <n v="37198.59746886052"/>
    <n v="39386.75026114643"/>
    <n v="90"/>
    <n v="0"/>
    <n v="90"/>
    <n v="90"/>
    <n v="0"/>
    <n v="2286"/>
    <n v="522"/>
    <n v="1764"/>
    <n v="920"/>
    <n v="844"/>
    <n v="104152.554"/>
    <n v="21549.726000000002"/>
    <n v="82602.827999999994"/>
    <n v="43080.84"/>
    <n v="39521.987999999998"/>
    <n v="41.7"/>
    <n v="47.3"/>
    <n v="41.283000000000001"/>
    <n v="46.826999999999998"/>
    <n v="114255.14407442123"/>
    <n v="52116.696000000004"/>
    <n v="50358.349416517791"/>
    <n v="4992.9480744212342"/>
    <n v="6787.1505834822074"/>
    <n v="0"/>
    <n v="114255.14407442123"/>
    <e v="#REF!"/>
    <e v="#REF!"/>
    <e v="#REF!"/>
    <x v="8"/>
  </r>
  <r>
    <x v="31"/>
    <s v="Wk 31"/>
    <x v="4"/>
    <d v="2022-08-03T00:00:00"/>
    <n v="2200"/>
    <n v="450"/>
    <n v="1750"/>
    <n v="42.825251974106237"/>
    <n v="46.051996014317574"/>
    <n v="99862.356413403555"/>
    <n v="19271.363388347807"/>
    <n v="80590.993025055752"/>
    <n v="244"/>
    <n v="2200"/>
    <n v="450"/>
    <n v="1750"/>
    <n v="850"/>
    <n v="900"/>
    <n v="97865.109285135492"/>
    <n v="18885.936120580849"/>
    <n v="78979.173164554639"/>
    <n v="38361.312679926537"/>
    <n v="40617.860484628094"/>
    <n v="90"/>
    <n v="0"/>
    <n v="90"/>
    <n v="90"/>
    <n v="0"/>
    <n v="2286"/>
    <n v="518"/>
    <n v="1768"/>
    <n v="973"/>
    <n v="795"/>
    <n v="102602.808"/>
    <n v="20512.8"/>
    <n v="82090.008000000002"/>
    <n v="45177.362999999998"/>
    <n v="36912.644999999997"/>
    <n v="40"/>
    <n v="46.9"/>
    <n v="39.6"/>
    <n v="46.430999999999997"/>
    <n v="103054.47705221524"/>
    <n v="47162.879999999997"/>
    <n v="40796.537237693381"/>
    <n v="8728.7170522152464"/>
    <n v="6366.3427623066154"/>
    <n v="0"/>
    <n v="103054.47705221524"/>
    <e v="#REF!"/>
    <e v="#REF!"/>
    <e v="#REF!"/>
    <x v="8"/>
  </r>
  <r>
    <x v="31"/>
    <s v="Wk 31"/>
    <x v="5"/>
    <d v="2022-08-04T00:00:00"/>
    <n v="2000"/>
    <n v="500"/>
    <n v="1500"/>
    <n v="42.715953572678814"/>
    <n v="47.908522798289823"/>
    <n v="93220.760983774147"/>
    <n v="21357.976786339408"/>
    <n v="71862.784197434739"/>
    <n v="245"/>
    <n v="2050"/>
    <n v="500"/>
    <n v="1550"/>
    <n v="750"/>
    <n v="800"/>
    <n v="93703.863381214876"/>
    <n v="20930.817250612621"/>
    <n v="72773.046130602248"/>
    <n v="35212.764256743023"/>
    <n v="37560.281873859218"/>
    <n v="90"/>
    <n v="0"/>
    <n v="90"/>
    <n v="90"/>
    <n v="0"/>
    <n v="2255"/>
    <n v="555"/>
    <n v="1700"/>
    <n v="827"/>
    <n v="873"/>
    <n v="98211"/>
    <n v="21201"/>
    <n v="77010"/>
    <n v="37463.1"/>
    <n v="39546.899999999994"/>
    <n v="38.200000000000003"/>
    <n v="45.3"/>
    <n v="38.200000000000003"/>
    <n v="45.3"/>
    <n v="92148.803352641582"/>
    <n v="38647.11"/>
    <n v="40852.80140911998"/>
    <n v="6226.3913526415699"/>
    <n v="6422.5005908800258"/>
    <n v="0"/>
    <n v="92148.803352641582"/>
    <e v="#REF!"/>
    <e v="#REF!"/>
    <e v="#REF!"/>
    <x v="8"/>
  </r>
  <r>
    <x v="31"/>
    <s v="Wk 31"/>
    <x v="0"/>
    <d v="2022-08-05T00:00:00"/>
    <n v="2350"/>
    <n v="800"/>
    <n v="1550"/>
    <n v="47.019329304869167"/>
    <n v="49.855127694954071"/>
    <n v="114890.91137107415"/>
    <n v="37615.463443895336"/>
    <n v="77275.447927178815"/>
    <n v="246"/>
    <n v="2425"/>
    <n v="800"/>
    <n v="1625"/>
    <n v="775"/>
    <n v="850"/>
    <n v="116257.44502923178"/>
    <n v="36863.154175017429"/>
    <n v="79394.290854214356"/>
    <n v="37864.969484317618"/>
    <n v="41529.321369896737"/>
    <n v="90"/>
    <n v="0"/>
    <n v="90"/>
    <n v="90"/>
    <n v="0"/>
    <n v="2468"/>
    <n v="807"/>
    <n v="1661"/>
    <n v="892"/>
    <n v="769"/>
    <n v="114230"/>
    <n v="35830.799999999996"/>
    <n v="78399.200000000012"/>
    <n v="42102.400000000001"/>
    <n v="36296.800000000003"/>
    <n v="44.4"/>
    <n v="47.2"/>
    <n v="44.399999999999991"/>
    <n v="47.20000000000001"/>
    <n v="89435.946097443346"/>
    <n v="36305.332000000002"/>
    <n v="42878.041593399546"/>
    <n v="3948.5140974433298"/>
    <n v="6304.0584066004621"/>
    <n v="0"/>
    <n v="89435.946097443346"/>
    <e v="#REF!"/>
    <e v="#REF!"/>
    <e v="#REF!"/>
    <x v="8"/>
  </r>
  <r>
    <x v="31"/>
    <s v="Wk 31"/>
    <x v="1"/>
    <d v="2022-08-06T00:00:00"/>
    <n v="2225"/>
    <n v="725"/>
    <n v="1500"/>
    <n v="46.424968108265482"/>
    <n v="49.824391281399819"/>
    <n v="108394.68880059221"/>
    <n v="33658.101878492474"/>
    <n v="74736.586922099727"/>
    <n v="247"/>
    <n v="2225"/>
    <n v="725"/>
    <n v="1500"/>
    <n v="850"/>
    <n v="650"/>
    <n v="106226.79502458035"/>
    <n v="32984.939840922627"/>
    <n v="73241.855183657724"/>
    <n v="41503.717937406043"/>
    <n v="31738.137246251685"/>
    <n v="90"/>
    <n v="0"/>
    <n v="90"/>
    <n v="90"/>
    <n v="0"/>
    <n v="2158"/>
    <n v="745"/>
    <n v="1413"/>
    <n v="817"/>
    <n v="596"/>
    <n v="101634.1"/>
    <n v="34940.5"/>
    <n v="66693.600000000006"/>
    <n v="38562.400000000001"/>
    <n v="28131.200000000001"/>
    <n v="46.9"/>
    <n v="47.2"/>
    <n v="46.9"/>
    <n v="47.2"/>
    <n v="92527.000000000044"/>
    <n v="43547.47060238527"/>
    <n v="40509.412461283056"/>
    <n v="3579.5249818181087"/>
    <n v="4890.5919545136194"/>
    <n v="0"/>
    <n v="92527.000000000044"/>
    <e v="#REF!"/>
    <e v="#REF!"/>
    <e v="#REF!"/>
    <x v="8"/>
  </r>
  <r>
    <x v="31"/>
    <s v="Wk 31"/>
    <x v="6"/>
    <d v="2022-08-07T00:00:00"/>
    <n v="0"/>
    <n v="0"/>
    <n v="0"/>
    <n v="0"/>
    <n v="0"/>
    <n v="0"/>
    <n v="0"/>
    <n v="0"/>
    <n v="24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2"/>
    <s v="Wk 32"/>
    <x v="2"/>
    <d v="2022-08-08T00:00:00"/>
    <n v="1875"/>
    <n v="525"/>
    <n v="1350"/>
    <n v="45.51536107094509"/>
    <n v="48.131395432170763"/>
    <n v="88872.948395676707"/>
    <n v="23895.564562246171"/>
    <n v="64977.383833430533"/>
    <n v="250"/>
    <n v="1975"/>
    <n v="525"/>
    <n v="1450"/>
    <n v="650"/>
    <n v="800"/>
    <n v="91812.366180115903"/>
    <n v="23417.653271001247"/>
    <n v="68394.712909114663"/>
    <n v="30659.698890292777"/>
    <n v="37735.014018821879"/>
    <n v="90"/>
    <n v="0"/>
    <n v="90"/>
    <n v="90"/>
    <n v="0"/>
    <n v="2074"/>
    <n v="634"/>
    <n v="1440"/>
    <n v="602"/>
    <n v="838"/>
    <n v="94386.203999999998"/>
    <n v="27240.444"/>
    <n v="67145.759999999995"/>
    <n v="28070.657999999999"/>
    <n v="39075.101999999999"/>
    <n v="43.4"/>
    <n v="47.1"/>
    <n v="42.966000000000001"/>
    <n v="46.628999999999998"/>
    <n v="178778"/>
    <n v="70842.720000000001"/>
    <n v="50400.696501301696"/>
    <n v="50716.160000000003"/>
    <n v="6818.423498698302"/>
    <n v="0"/>
    <n v="178778"/>
    <e v="#REF!"/>
    <e v="#REF!"/>
    <e v="#REF!"/>
    <x v="8"/>
  </r>
  <r>
    <x v="32"/>
    <s v="Wk 32"/>
    <x v="3"/>
    <d v="2022-08-09T00:00:00"/>
    <n v="2025"/>
    <n v="475"/>
    <n v="1550"/>
    <n v="42.487421138009921"/>
    <n v="45.860092047315547"/>
    <n v="91264.66771389381"/>
    <n v="20181.525040554712"/>
    <n v="71083.142673339098"/>
    <n v="251"/>
    <n v="2125"/>
    <n v="475"/>
    <n v="1650"/>
    <n v="800"/>
    <n v="850"/>
    <n v="93933.663380252852"/>
    <n v="19777.894539743618"/>
    <n v="74155.768840509234"/>
    <n v="35954.312165095391"/>
    <n v="38201.45667541385"/>
    <n v="90"/>
    <n v="0"/>
    <n v="90"/>
    <n v="90"/>
    <n v="0"/>
    <n v="2230"/>
    <n v="500"/>
    <n v="1730"/>
    <n v="847"/>
    <n v="883"/>
    <n v="96704.19"/>
    <n v="20146.5"/>
    <n v="76557.69"/>
    <n v="37482.291000000005"/>
    <n v="39075.399000000005"/>
    <n v="40.700000000000003"/>
    <n v="44.7"/>
    <n v="40.292999999999999"/>
    <n v="44.253"/>
    <n v="112389.72948497089"/>
    <n v="51265.8"/>
    <n v="49536.161492611078"/>
    <n v="4911.4294849708831"/>
    <n v="6676.3385073889203"/>
    <n v="0"/>
    <n v="112389.72948497089"/>
    <e v="#REF!"/>
    <e v="#REF!"/>
    <e v="#REF!"/>
    <x v="8"/>
  </r>
  <r>
    <x v="32"/>
    <s v="Wk 32"/>
    <x v="4"/>
    <d v="2022-08-10T00:00:00"/>
    <n v="1975"/>
    <n v="475"/>
    <n v="1500"/>
    <n v="42.108473337933788"/>
    <n v="46.787284104349915"/>
    <n v="90182.450992043421"/>
    <n v="20001.52483551855"/>
    <n v="70180.926156524874"/>
    <n v="252"/>
    <n v="2125"/>
    <n v="475"/>
    <n v="1650"/>
    <n v="800"/>
    <n v="850"/>
    <n v="95256.532735541987"/>
    <n v="19601.494338808177"/>
    <n v="75655.038396733813"/>
    <n v="36681.230737810336"/>
    <n v="38973.807658923477"/>
    <n v="90"/>
    <n v="0"/>
    <n v="90"/>
    <n v="90"/>
    <n v="0"/>
    <n v="2073"/>
    <n v="482"/>
    <n v="1591"/>
    <n v="723"/>
    <n v="868"/>
    <n v="89274.141000000003"/>
    <n v="19182.636000000002"/>
    <n v="70091.505000000005"/>
    <n v="31851.764999999999"/>
    <n v="38239.74"/>
    <n v="40.200000000000003"/>
    <n v="44.5"/>
    <n v="39.798000000000002"/>
    <n v="44.055"/>
    <n v="101429.33866685706"/>
    <n v="46392.959999999999"/>
    <n v="40130.545891320027"/>
    <n v="8643.4186668570674"/>
    <n v="6262.4141086799682"/>
    <n v="0"/>
    <n v="101429.33866685706"/>
    <e v="#REF!"/>
    <e v="#REF!"/>
    <e v="#REF!"/>
    <x v="8"/>
  </r>
  <r>
    <x v="32"/>
    <s v="Wk 32"/>
    <x v="5"/>
    <d v="2022-08-11T00:00:00"/>
    <n v="2050"/>
    <n v="400"/>
    <n v="1650"/>
    <n v="41.513077117834108"/>
    <n v="46.475118919026094"/>
    <n v="93289.177063526702"/>
    <n v="16605.230847133644"/>
    <n v="76683.946216393058"/>
    <n v="253"/>
    <n v="2100"/>
    <n v="450"/>
    <n v="1650"/>
    <n v="800"/>
    <n v="850"/>
    <n v="93457.534301030042"/>
    <n v="18307.267008964842"/>
    <n v="75150.267292065197"/>
    <n v="36436.493232516455"/>
    <n v="38713.774059548734"/>
    <n v="90"/>
    <n v="0"/>
    <n v="90"/>
    <n v="90"/>
    <n v="0"/>
    <n v="2114"/>
    <n v="508"/>
    <n v="1606"/>
    <n v="760"/>
    <n v="846"/>
    <n v="90567.377999999997"/>
    <n v="19815.047999999999"/>
    <n v="70752.33"/>
    <n v="33481.800000000003"/>
    <n v="37270.53"/>
    <n v="39.4"/>
    <n v="44.5"/>
    <n v="39.006"/>
    <n v="44.055"/>
    <n v="93864.263586980451"/>
    <n v="38016.300000000003"/>
    <n v="40185.989436455347"/>
    <n v="9344.3035869804389"/>
    <n v="6317.6705635446569"/>
    <n v="0"/>
    <n v="93864.263586980451"/>
    <e v="#REF!"/>
    <e v="#REF!"/>
    <e v="#REF!"/>
    <x v="8"/>
  </r>
  <r>
    <x v="32"/>
    <s v="Wk 32"/>
    <x v="0"/>
    <d v="2022-08-12T00:00:00"/>
    <n v="2450"/>
    <n v="750"/>
    <n v="1700"/>
    <n v="46.080230377995704"/>
    <n v="48.134045353624309"/>
    <n v="116388.0498846581"/>
    <n v="34560.172783496775"/>
    <n v="81827.877101161328"/>
    <n v="254"/>
    <n v="2400"/>
    <n v="750"/>
    <n v="1650"/>
    <n v="775"/>
    <n v="875"/>
    <n v="111701.72066463734"/>
    <n v="33868.969327826839"/>
    <n v="77832.751336810499"/>
    <n v="36557.807446077662"/>
    <n v="41274.943890732844"/>
    <n v="90"/>
    <n v="0"/>
    <n v="90"/>
    <n v="90"/>
    <n v="0"/>
    <n v="2410"/>
    <n v="713"/>
    <n v="1697"/>
    <n v="917"/>
    <n v="780"/>
    <n v="113700.114"/>
    <n v="34234.695"/>
    <n v="79465.418999999994"/>
    <n v="42940.358999999997"/>
    <n v="36525.06"/>
    <n v="48.5"/>
    <n v="47.3"/>
    <n v="48.015000000000001"/>
    <n v="46.826999999999998"/>
    <n v="87934.404135708319"/>
    <n v="35712.572"/>
    <n v="42177.968448912019"/>
    <n v="3842.7321357083288"/>
    <n v="6201.1315510879858"/>
    <n v="0"/>
    <n v="87934.404135708319"/>
    <e v="#REF!"/>
    <e v="#REF!"/>
    <e v="#REF!"/>
    <x v="8"/>
  </r>
  <r>
    <x v="32"/>
    <s v="Wk 32"/>
    <x v="1"/>
    <d v="2022-08-13T00:00:00"/>
    <n v="2275"/>
    <n v="675"/>
    <n v="1600"/>
    <n v="46.359374383016949"/>
    <n v="48.315571251366293"/>
    <n v="108597.4917107225"/>
    <n v="31292.577708536439"/>
    <n v="77304.914002186066"/>
    <n v="255"/>
    <n v="2250"/>
    <n v="700"/>
    <n v="1550"/>
    <n v="850"/>
    <n v="700"/>
    <n v="105193.88355757503"/>
    <n v="31802.530826749626"/>
    <n v="73391.352730825398"/>
    <n v="40246.870852388121"/>
    <n v="33144.481878437276"/>
    <n v="90"/>
    <n v="0"/>
    <n v="90"/>
    <n v="90"/>
    <n v="0"/>
    <n v="2262"/>
    <n v="675"/>
    <n v="1587"/>
    <n v="946"/>
    <n v="641"/>
    <n v="107930.988"/>
    <n v="33145.199999999997"/>
    <n v="74785.788"/>
    <n v="44579.303999999996"/>
    <n v="30206.484"/>
    <n v="49.6"/>
    <n v="47.6"/>
    <n v="49.103999999999999"/>
    <n v="47.124000000000002"/>
    <n v="91017.000000000058"/>
    <n v="42836.795009211368"/>
    <n v="39848.316642586491"/>
    <n v="3521.1087063250598"/>
    <n v="4810.7796418771395"/>
    <n v="0"/>
    <n v="91017.000000000058"/>
    <e v="#REF!"/>
    <e v="#REF!"/>
    <e v="#REF!"/>
    <x v="8"/>
  </r>
  <r>
    <x v="32"/>
    <s v="Wk 32"/>
    <x v="6"/>
    <d v="2022-08-14T00:00:00"/>
    <n v="0"/>
    <n v="0"/>
    <n v="0"/>
    <n v="0"/>
    <n v="0"/>
    <n v="0"/>
    <n v="0"/>
    <n v="0"/>
    <n v="25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3"/>
    <s v="Wk 33"/>
    <x v="2"/>
    <d v="2022-08-15T00:00:00"/>
    <n v="0"/>
    <n v="0"/>
    <n v="0"/>
    <n v="0"/>
    <n v="0"/>
    <n v="0"/>
    <n v="0"/>
    <n v="0"/>
    <n v="25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3"/>
    <s v="Wk 33"/>
    <x v="3"/>
    <d v="2022-08-16T00:00:00"/>
    <n v="1800"/>
    <n v="800"/>
    <n v="1000"/>
    <n v="42.18893386327801"/>
    <n v="44.438576629249049"/>
    <n v="78189.723719871457"/>
    <n v="33751.147090622406"/>
    <n v="44438.576629249052"/>
    <n v="259"/>
    <n v="1800"/>
    <n v="800"/>
    <n v="1000"/>
    <n v="200"/>
    <n v="800"/>
    <n v="76625.929245474021"/>
    <n v="33076.124148809955"/>
    <n v="43549.805096664066"/>
    <n v="8709.9610193328135"/>
    <n v="34839.844077331254"/>
    <n v="90"/>
    <n v="0"/>
    <n v="90"/>
    <n v="90"/>
    <n v="0"/>
    <n v="1713"/>
    <n v="691"/>
    <n v="1022"/>
    <n v="132"/>
    <n v="890"/>
    <n v="75662.828999999998"/>
    <n v="30031.550999999996"/>
    <n v="45631.277999999998"/>
    <n v="5893.6679999999997"/>
    <n v="39737.61"/>
    <n v="43.9"/>
    <n v="45.1"/>
    <n v="43.460999999999991"/>
    <n v="44.649000000000001"/>
    <n v="171854.0601675557"/>
    <n v="62413.175999999999"/>
    <n v="60307.440157039549"/>
    <n v="41005.384167555705"/>
    <n v="8128.0598429604534"/>
    <n v="0"/>
    <n v="171854.0601675557"/>
    <e v="#REF!"/>
    <e v="#REF!"/>
    <e v="#REF!"/>
    <x v="8"/>
  </r>
  <r>
    <x v="33"/>
    <s v="Wk 33"/>
    <x v="4"/>
    <d v="2022-08-17T00:00:00"/>
    <n v="2400"/>
    <n v="550"/>
    <n v="1850"/>
    <n v="41.269604475623503"/>
    <n v="45.438002190222235"/>
    <n v="106758.58651350407"/>
    <n v="22698.282461592928"/>
    <n v="84060.304051911138"/>
    <n v="260"/>
    <n v="2400"/>
    <n v="550"/>
    <n v="1850"/>
    <n v="950"/>
    <n v="900"/>
    <n v="104623.41478323398"/>
    <n v="22244.31681236107"/>
    <n v="82379.097970872914"/>
    <n v="42302.780039096899"/>
    <n v="40076.317931776008"/>
    <n v="90"/>
    <n v="0"/>
    <n v="90"/>
    <n v="90"/>
    <n v="0"/>
    <n v="2452"/>
    <n v="590"/>
    <n v="1862"/>
    <n v="943"/>
    <n v="919"/>
    <n v="108077.508"/>
    <n v="24941.07"/>
    <n v="83136.438000000009"/>
    <n v="42104.007000000005"/>
    <n v="41032.431000000004"/>
    <n v="42.7"/>
    <n v="45.1"/>
    <n v="42.272999999999996"/>
    <n v="44.649000000000008"/>
    <n v="108590.97451479334"/>
    <n v="49930.559999999998"/>
    <n v="43190.618349407072"/>
    <n v="8729.8545147933401"/>
    <n v="6739.9416505929275"/>
    <n v="0"/>
    <n v="108590.97451479334"/>
    <e v="#REF!"/>
    <e v="#REF!"/>
    <e v="#REF!"/>
    <x v="8"/>
  </r>
  <r>
    <x v="33"/>
    <s v="Wk 33"/>
    <x v="5"/>
    <d v="2022-08-18T00:00:00"/>
    <n v="2225"/>
    <n v="475"/>
    <n v="1750"/>
    <n v="41.615846988449839"/>
    <n v="46.943995111217497"/>
    <n v="101919.51876414429"/>
    <n v="19767.527319513672"/>
    <n v="82151.991444630621"/>
    <n v="261"/>
    <n v="2225"/>
    <n v="475"/>
    <n v="1750"/>
    <n v="875"/>
    <n v="875"/>
    <n v="99881.128388861413"/>
    <n v="19372.176773123399"/>
    <n v="80508.951615738013"/>
    <n v="40254.475807869007"/>
    <n v="40254.475807869007"/>
    <n v="90"/>
    <n v="0"/>
    <n v="90"/>
    <n v="90"/>
    <n v="0"/>
    <n v="2301"/>
    <n v="417"/>
    <n v="1884"/>
    <n v="875"/>
    <n v="1009"/>
    <n v="102966.633"/>
    <n v="18288.368999999999"/>
    <n v="84678.263999999996"/>
    <n v="39327.75"/>
    <n v="45350.513999999996"/>
    <n v="44.3"/>
    <n v="45.4"/>
    <n v="43.856999999999999"/>
    <n v="44.945999999999998"/>
    <n v="106899.36571479334"/>
    <n v="44729.46"/>
    <n v="47282.286994219634"/>
    <n v="7454.3337147933398"/>
    <n v="7433.2850057803671"/>
    <n v="0"/>
    <n v="106899.36571479334"/>
    <e v="#REF!"/>
    <e v="#REF!"/>
    <e v="#REF!"/>
    <x v="8"/>
  </r>
  <r>
    <x v="33"/>
    <s v="Wk 33"/>
    <x v="0"/>
    <d v="2022-08-19T00:00:00"/>
    <n v="2625"/>
    <n v="825"/>
    <n v="1800"/>
    <n v="46.194306703883264"/>
    <n v="48.648108233002027"/>
    <n v="125676.89785010734"/>
    <n v="38110.30303070369"/>
    <n v="87566.594819403646"/>
    <n v="262"/>
    <n v="2625"/>
    <n v="825"/>
    <n v="1800"/>
    <n v="900"/>
    <n v="900"/>
    <n v="123163.3598931052"/>
    <n v="37348.096970089617"/>
    <n v="85815.262923015573"/>
    <n v="42907.631461507786"/>
    <n v="42907.631461507786"/>
    <n v="90"/>
    <n v="0"/>
    <n v="90"/>
    <n v="90"/>
    <n v="0"/>
    <n v="2485"/>
    <n v="724"/>
    <n v="1761"/>
    <n v="971"/>
    <n v="790"/>
    <n v="121120.758"/>
    <n v="35694.647999999994"/>
    <n v="85426.11"/>
    <n v="47103.21"/>
    <n v="38322.9"/>
    <n v="49.8"/>
    <n v="49"/>
    <n v="49.301999999999992"/>
    <n v="48.51"/>
    <n v="103989.36571479334"/>
    <n v="42232.932000000001"/>
    <n v="49878.773038274776"/>
    <n v="4544.3337147933398"/>
    <n v="7333.3269617252281"/>
    <n v="0"/>
    <n v="103989.36571479334"/>
    <e v="#REF!"/>
    <e v="#REF!"/>
    <e v="#REF!"/>
    <x v="8"/>
  </r>
  <r>
    <x v="33"/>
    <s v="Wk 33"/>
    <x v="1"/>
    <d v="2022-08-20T00:00:00"/>
    <n v="2375"/>
    <n v="775"/>
    <n v="1600"/>
    <n v="46.474141758454927"/>
    <n v="48.822453348214495"/>
    <n v="114133.38521994576"/>
    <n v="36017.459862802571"/>
    <n v="78115.925357143191"/>
    <n v="263"/>
    <n v="2375"/>
    <n v="775"/>
    <n v="1600"/>
    <n v="900"/>
    <n v="700"/>
    <n v="111850.71751554686"/>
    <n v="35297.110665546519"/>
    <n v="76553.606850000331"/>
    <n v="43061.403853125179"/>
    <n v="33492.202996875145"/>
    <n v="90"/>
    <n v="0"/>
    <n v="90"/>
    <n v="90"/>
    <n v="0"/>
    <n v="2232"/>
    <n v="720"/>
    <n v="1512"/>
    <n v="889"/>
    <n v="623"/>
    <n v="107119.58399999999"/>
    <n v="34071.839999999997"/>
    <n v="73047.743999999992"/>
    <n v="42949.367999999995"/>
    <n v="30098.375999999997"/>
    <n v="47.8"/>
    <n v="48.8"/>
    <n v="47.321999999999996"/>
    <n v="48.311999999999998"/>
    <n v="98547.000000000044"/>
    <n v="46380.76005331699"/>
    <n v="43145.039500060098"/>
    <n v="3812.4163582870856"/>
    <n v="5208.7840883358767"/>
    <n v="0"/>
    <n v="98547.000000000044"/>
    <e v="#REF!"/>
    <e v="#REF!"/>
    <e v="#REF!"/>
    <x v="8"/>
  </r>
  <r>
    <x v="33"/>
    <s v="Wk 33"/>
    <x v="6"/>
    <d v="2022-08-21T00:00:00"/>
    <n v="0"/>
    <n v="0"/>
    <n v="0"/>
    <n v="0"/>
    <n v="0"/>
    <n v="0"/>
    <n v="0"/>
    <n v="0"/>
    <n v="264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4"/>
    <s v="Wk 34"/>
    <x v="2"/>
    <d v="2022-08-22T00:00:00"/>
    <n v="2150"/>
    <n v="650"/>
    <n v="1500"/>
    <n v="45.144653258443938"/>
    <n v="47.622442281542725"/>
    <n v="100777.68804030264"/>
    <n v="29344.024617988558"/>
    <n v="71433.663422314086"/>
    <n v="266"/>
    <n v="2200"/>
    <n v="650"/>
    <n v="1550"/>
    <n v="650"/>
    <n v="900"/>
    <n v="101095.63395129217"/>
    <n v="28757.144125628787"/>
    <n v="72338.48982566339"/>
    <n v="30335.495733342716"/>
    <n v="42002.994092320681"/>
    <n v="90"/>
    <n v="0"/>
    <n v="90"/>
    <n v="90"/>
    <n v="0"/>
    <n v="2060"/>
    <n v="590"/>
    <n v="1470"/>
    <n v="617"/>
    <n v="853"/>
    <n v="99083.16"/>
    <n v="27627.93"/>
    <n v="71455.23"/>
    <n v="29991.753000000001"/>
    <n v="41463.476999999999"/>
    <n v="47.3"/>
    <n v="49.1"/>
    <n v="46.826999999999998"/>
    <n v="48.608999999999995"/>
    <n v="318432"/>
    <n v="130029.5"/>
    <n v="56615.553625587207"/>
    <n v="124290.5"/>
    <n v="7496.4463744127997"/>
    <n v="0"/>
    <n v="318432"/>
    <e v="#REF!"/>
    <e v="#REF!"/>
    <e v="#REF!"/>
    <x v="8"/>
  </r>
  <r>
    <x v="34"/>
    <s v="Wk 34"/>
    <x v="3"/>
    <d v="2022-08-23T00:00:00"/>
    <n v="2300"/>
    <n v="500"/>
    <n v="1800"/>
    <n v="42.293376886430394"/>
    <n v="44.891544622711727"/>
    <n v="101951.46876409631"/>
    <n v="21146.688443215196"/>
    <n v="80804.780320881109"/>
    <n v="267"/>
    <n v="2400"/>
    <n v="550"/>
    <n v="1850"/>
    <n v="950"/>
    <n v="900"/>
    <n v="104184.50054276234"/>
    <n v="22796.130141785983"/>
    <n v="81388.370400976361"/>
    <n v="41794.028043744613"/>
    <n v="39594.342357231741"/>
    <n v="90"/>
    <n v="0"/>
    <n v="90"/>
    <n v="90"/>
    <n v="0"/>
    <n v="2144"/>
    <n v="475"/>
    <n v="1669"/>
    <n v="710"/>
    <n v="959"/>
    <n v="96065.640000000014"/>
    <n v="19233.224999999999"/>
    <n v="76832.415000000008"/>
    <n v="32684.85"/>
    <n v="44147.565000000002"/>
    <n v="40.9"/>
    <n v="46.5"/>
    <n v="40.491"/>
    <n v="46.035000000000004"/>
    <n v="135419.5022058539"/>
    <n v="61770.671999999999"/>
    <n v="59686.613369909559"/>
    <n v="5917.8302058539102"/>
    <n v="8044.3866300904419"/>
    <n v="0"/>
    <n v="135419.5022058539"/>
    <e v="#REF!"/>
    <e v="#REF!"/>
    <e v="#REF!"/>
    <x v="8"/>
  </r>
  <r>
    <x v="34"/>
    <s v="Wk 34"/>
    <x v="4"/>
    <d v="2022-08-24T00:00:00"/>
    <n v="2300"/>
    <n v="500"/>
    <n v="1800"/>
    <n v="41.371771604797836"/>
    <n v="45.894619073678342"/>
    <n v="103296.20013501993"/>
    <n v="20685.88580239892"/>
    <n v="82610.314332621012"/>
    <n v="268"/>
    <n v="2400"/>
    <n v="550"/>
    <n v="1850"/>
    <n v="950"/>
    <n v="900"/>
    <n v="105506.32927556487"/>
    <n v="22299.384894986033"/>
    <n v="83206.944380578832"/>
    <n v="42727.890357594537"/>
    <n v="40479.054022984295"/>
    <n v="90"/>
    <n v="0"/>
    <n v="90"/>
    <n v="90"/>
    <n v="0"/>
    <n v="2225"/>
    <n v="489"/>
    <n v="1736"/>
    <n v="851"/>
    <n v="885"/>
    <n v="99954.063000000009"/>
    <n v="20381.031000000003"/>
    <n v="79573.032000000007"/>
    <n v="39007.286999999997"/>
    <n v="40565.745000000003"/>
    <n v="42.1"/>
    <n v="46.3"/>
    <n v="41.679000000000002"/>
    <n v="45.837000000000003"/>
    <n v="117599.753148121"/>
    <n v="54262.559999999998"/>
    <n v="46937.857689194796"/>
    <n v="9074.633148121"/>
    <n v="7324.7023108052017"/>
    <n v="0"/>
    <n v="117599.753148121"/>
    <e v="#REF!"/>
    <e v="#REF!"/>
    <e v="#REF!"/>
    <x v="8"/>
  </r>
  <r>
    <x v="34"/>
    <s v="Wk 34"/>
    <x v="5"/>
    <d v="2022-08-25T00:00:00"/>
    <n v="2400"/>
    <n v="550"/>
    <n v="1850"/>
    <n v="43.849245165510688"/>
    <n v="47.755297664776151"/>
    <n v="112464.38552086677"/>
    <n v="24117.084841030879"/>
    <n v="88347.300679835884"/>
    <n v="269"/>
    <n v="2375"/>
    <n v="550"/>
    <n v="1825"/>
    <n v="925"/>
    <n v="900"/>
    <n v="109045.09301766241"/>
    <n v="23634.743144210261"/>
    <n v="85410.349873452156"/>
    <n v="43290.17733311958"/>
    <n v="42120.172540332569"/>
    <n v="90"/>
    <n v="0"/>
    <n v="90"/>
    <n v="90"/>
    <n v="0"/>
    <n v="2128"/>
    <n v="500"/>
    <n v="1628"/>
    <n v="757"/>
    <n v="871"/>
    <n v="98573.90400000001"/>
    <n v="20889"/>
    <n v="77684.90400000001"/>
    <n v="36122.525999999998"/>
    <n v="41562.378000000004"/>
    <n v="42.2"/>
    <n v="48.2"/>
    <n v="41.777999999999999"/>
    <n v="47.718000000000004"/>
    <n v="121717.9018788455"/>
    <n v="49477.09"/>
    <n v="52300.87662625112"/>
    <n v="11717.673878845495"/>
    <n v="8222.2613737488846"/>
    <n v="0"/>
    <n v="121717.9018788455"/>
    <e v="#REF!"/>
    <e v="#REF!"/>
    <e v="#REF!"/>
    <x v="8"/>
  </r>
  <r>
    <x v="34"/>
    <s v="Wk 34"/>
    <x v="0"/>
    <d v="2022-08-26T00:00:00"/>
    <n v="3200"/>
    <n v="1100"/>
    <n v="2100"/>
    <n v="50.404027259566632"/>
    <n v="50.216137715264018"/>
    <n v="160898.31918757776"/>
    <n v="55444.429985523297"/>
    <n v="105453.88920205444"/>
    <n v="270"/>
    <n v="3200"/>
    <n v="1100"/>
    <n v="2100"/>
    <n v="1100"/>
    <n v="1000"/>
    <n v="157680.35280382619"/>
    <n v="54335.54138581283"/>
    <n v="103344.81141801336"/>
    <n v="54132.996457054607"/>
    <n v="49211.814960958742"/>
    <n v="90"/>
    <n v="0"/>
    <n v="90"/>
    <n v="90"/>
    <n v="0"/>
    <n v="2950"/>
    <n v="1000"/>
    <n v="1950"/>
    <n v="1000"/>
    <n v="950"/>
    <n v="151489.79999999999"/>
    <n v="51876"/>
    <n v="99613.8"/>
    <n v="51084"/>
    <n v="48529.8"/>
    <n v="52.4"/>
    <n v="51.6"/>
    <n v="51.875999999999998"/>
    <n v="51.084000000000003"/>
    <n v="116074.57309521419"/>
    <n v="47141.066000000006"/>
    <n v="55675.474575062224"/>
    <n v="5072.4570952141803"/>
    <n v="8185.5754249377815"/>
    <n v="0"/>
    <n v="116074.57309521419"/>
    <e v="#REF!"/>
    <e v="#REF!"/>
    <e v="#REF!"/>
    <x v="8"/>
  </r>
  <r>
    <x v="34"/>
    <s v="Wk 34"/>
    <x v="1"/>
    <d v="2022-08-27T00:00:00"/>
    <n v="2900"/>
    <n v="1050"/>
    <n v="1850"/>
    <n v="49.898258824181696"/>
    <n v="50.104069675585002"/>
    <n v="145085.70066522303"/>
    <n v="52393.171765390784"/>
    <n v="92692.52889983225"/>
    <n v="271"/>
    <n v="2900"/>
    <n v="1050"/>
    <n v="1850"/>
    <n v="1050"/>
    <n v="800"/>
    <n v="142183.98665191859"/>
    <n v="51345.308330082968"/>
    <n v="90838.678321835614"/>
    <n v="51557.087696176968"/>
    <n v="39281.590625658646"/>
    <n v="90"/>
    <n v="0"/>
    <n v="90"/>
    <n v="90"/>
    <n v="0"/>
    <n v="2677"/>
    <n v="900"/>
    <n v="1777"/>
    <n v="1056"/>
    <n v="721"/>
    <n v="140028.07500000001"/>
    <n v="47668.5"/>
    <n v="92359.574999999997"/>
    <n v="54885.599999999999"/>
    <n v="37473.974999999999"/>
    <n v="53.5"/>
    <n v="52.5"/>
    <n v="52.965000000000003"/>
    <n v="51.975000000000001"/>
    <n v="116917.00000000007"/>
    <n v="55026.528693452492"/>
    <n v="51187.642274534257"/>
    <n v="4523.083232993913"/>
    <n v="6179.7457990194089"/>
    <n v="0"/>
    <n v="116917.00000000007"/>
    <e v="#REF!"/>
    <e v="#REF!"/>
    <e v="#REF!"/>
    <x v="8"/>
  </r>
  <r>
    <x v="34"/>
    <s v="Wk 34"/>
    <x v="6"/>
    <d v="2022-08-28T00:00:00"/>
    <n v="0"/>
    <n v="0"/>
    <n v="0"/>
    <n v="0"/>
    <n v="0"/>
    <n v="0"/>
    <n v="0"/>
    <n v="0"/>
    <n v="27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8"/>
  </r>
  <r>
    <x v="35"/>
    <s v="Wk 35"/>
    <x v="2"/>
    <d v="2022-08-29T00:00:00"/>
    <n v="2400"/>
    <n v="700"/>
    <n v="1700"/>
    <n v="48.474993246704202"/>
    <n v="49.706511611694268"/>
    <n v="118433.56501257321"/>
    <n v="33932.49527269294"/>
    <n v="84501.069739880259"/>
    <n v="274"/>
    <n v="2400"/>
    <n v="700"/>
    <n v="1700"/>
    <n v="750"/>
    <n v="950"/>
    <n v="116064.89371232173"/>
    <n v="33253.845367239082"/>
    <n v="82811.048345082643"/>
    <n v="36534.286034595287"/>
    <n v="46276.762310487356"/>
    <n v="90"/>
    <n v="0"/>
    <n v="90"/>
    <n v="90"/>
    <n v="0"/>
    <n v="2243"/>
    <n v="600"/>
    <n v="1643"/>
    <n v="781"/>
    <n v="862"/>
    <n v="118932.06599999999"/>
    <n v="31422.6"/>
    <n v="87509.465999999986"/>
    <n v="41597.621999999996"/>
    <n v="45911.843999999997"/>
    <n v="52.9"/>
    <n v="53.8"/>
    <n v="52.370999999999995"/>
    <n v="53.261999999999993"/>
    <n v="295739"/>
    <n v="129172.8"/>
    <n v="50759.298131289848"/>
    <n v="108025.4"/>
    <n v="7781.501868710151"/>
    <n v="0"/>
    <n v="295739"/>
    <e v="#REF!"/>
    <e v="#REF!"/>
    <e v="#REF!"/>
    <x v="8"/>
  </r>
  <r>
    <x v="35"/>
    <s v="Wk 35"/>
    <x v="3"/>
    <d v="2022-08-30T00:00:00"/>
    <n v="2650"/>
    <n v="650"/>
    <n v="2000"/>
    <n v="44.61182328580594"/>
    <n v="47.284188270846727"/>
    <n v="123566.06167746731"/>
    <n v="28997.68513577386"/>
    <n v="94568.376541693448"/>
    <n v="275"/>
    <n v="2700"/>
    <n v="650"/>
    <n v="2050"/>
    <n v="1050"/>
    <n v="1000"/>
    <n v="123411.66566918945"/>
    <n v="28417.731433058383"/>
    <n v="94993.93423613107"/>
    <n v="48655.429730701282"/>
    <n v="46338.504505429788"/>
    <n v="90"/>
    <n v="0"/>
    <n v="90"/>
    <n v="90"/>
    <n v="0"/>
    <n v="2484"/>
    <n v="625"/>
    <n v="1859"/>
    <n v="1031"/>
    <n v="828"/>
    <n v="123849.69299999998"/>
    <n v="27596.25"/>
    <n v="96253.442999999985"/>
    <n v="53382.086999999992"/>
    <n v="42871.355999999992"/>
    <n v="44.6"/>
    <n v="52.3"/>
    <n v="44.154000000000003"/>
    <n v="51.776999999999994"/>
    <n v="137040.73813108398"/>
    <n v="64334.76"/>
    <n v="58164.192521103265"/>
    <n v="6163.4781310839853"/>
    <n v="8378.3074788967388"/>
    <n v="0"/>
    <n v="137040.73813108398"/>
    <e v="#REF!"/>
    <e v="#REF!"/>
    <e v="#REF!"/>
    <x v="8"/>
  </r>
  <r>
    <x v="35"/>
    <s v="Wk 35"/>
    <x v="4"/>
    <d v="2022-08-31T00:00:00"/>
    <n v="2750"/>
    <n v="650"/>
    <n v="2100"/>
    <n v="43.907376429388748"/>
    <n v="47.251547934933875"/>
    <n v="127768.04534246383"/>
    <n v="28539.794679102684"/>
    <n v="99228.250663361134"/>
    <n v="276"/>
    <n v="2700"/>
    <n v="650"/>
    <n v="2050"/>
    <n v="1050"/>
    <n v="1000"/>
    <n v="122897.35858680277"/>
    <n v="27968.998785520631"/>
    <n v="94928.359801282146"/>
    <n v="48621.842825046951"/>
    <n v="46306.516976235194"/>
    <n v="90"/>
    <n v="0"/>
    <n v="90"/>
    <n v="90"/>
    <n v="0"/>
    <n v="2425"/>
    <n v="600"/>
    <n v="1825"/>
    <n v="975"/>
    <n v="850"/>
    <n v="125784.45000000001"/>
    <n v="27858.6"/>
    <n v="97925.85"/>
    <n v="52316.55"/>
    <n v="45609.3"/>
    <n v="46.9"/>
    <n v="54.2"/>
    <n v="46.430999999999997"/>
    <n v="53.658000000000001"/>
    <n v="169649.47255658513"/>
    <n v="64955.839999999997"/>
    <n v="68837.828345991322"/>
    <n v="25737.792556585129"/>
    <n v="10118.011654008675"/>
    <n v="0"/>
    <n v="169649.47255658513"/>
    <e v="#REF!"/>
    <e v="#REF!"/>
    <e v="#REF!"/>
    <x v="8"/>
  </r>
  <r>
    <x v="35"/>
    <s v="Wk 35"/>
    <x v="5"/>
    <d v="2022-09-01T00:00:00"/>
    <n v="2750"/>
    <n v="650"/>
    <n v="2100"/>
    <n v="45.319213073743406"/>
    <n v="48.718888955918139"/>
    <n v="131767.15530536132"/>
    <n v="29457.488497933213"/>
    <n v="102309.66680742809"/>
    <n v="277"/>
    <n v="2650"/>
    <n v="650"/>
    <n v="2000"/>
    <n v="1050"/>
    <n v="950"/>
    <n v="124357.3610815741"/>
    <n v="28868.338727974548"/>
    <n v="95489.022353599546"/>
    <n v="50131.736735639766"/>
    <n v="45357.285617959787"/>
    <n v="90"/>
    <n v="0"/>
    <n v="90"/>
    <n v="90"/>
    <n v="0"/>
    <n v="2530"/>
    <n v="730"/>
    <n v="1800"/>
    <n v="950"/>
    <n v="850"/>
    <n v="124636.05"/>
    <n v="31437.45"/>
    <n v="93198.6"/>
    <n v="49188.15"/>
    <n v="44010.45"/>
    <n v="43.5"/>
    <n v="52.3"/>
    <n v="43.064999999999998"/>
    <n v="51.777000000000001"/>
    <n v="135475.21059238934"/>
    <n v="54536.47"/>
    <n v="57649.008644227972"/>
    <n v="14226.686592389346"/>
    <n v="9063.0453557720302"/>
    <n v="0"/>
    <n v="135475.21059238934"/>
    <e v="#REF!"/>
    <e v="#REF!"/>
    <e v="#REF!"/>
    <x v="9"/>
  </r>
  <r>
    <x v="35"/>
    <s v="Wk 35"/>
    <x v="0"/>
    <d v="2022-09-02T00:00:00"/>
    <n v="3250"/>
    <n v="1150"/>
    <n v="2100"/>
    <n v="52.090323961205783"/>
    <n v="51.070661537905721"/>
    <n v="167152.26178498869"/>
    <n v="59903.872555386653"/>
    <n v="107248.38922960202"/>
    <n v="278"/>
    <n v="3200"/>
    <n v="1100"/>
    <n v="2100"/>
    <n v="1100"/>
    <n v="1000"/>
    <n v="161256.79067518981"/>
    <n v="56153.369230179829"/>
    <n v="105103.42144500997"/>
    <n v="55054.173137862366"/>
    <n v="50049.248307147602"/>
    <n v="90"/>
    <n v="0"/>
    <n v="90"/>
    <n v="90"/>
    <n v="0"/>
    <n v="3022"/>
    <n v="1090"/>
    <n v="1932"/>
    <n v="1042"/>
    <n v="890"/>
    <n v="159098.742"/>
    <n v="56005.29"/>
    <n v="103093.45199999999"/>
    <n v="55602.161999999997"/>
    <n v="47491.29"/>
    <n v="51.9"/>
    <n v="53.9"/>
    <n v="51.381"/>
    <n v="53.360999999999997"/>
    <n v="126148.41169001117"/>
    <n v="51232.328000000001"/>
    <n v="60507.417778487419"/>
    <n v="5512.6836900111703"/>
    <n v="8895.9822215125932"/>
    <n v="0"/>
    <n v="126148.41169001117"/>
    <e v="#REF!"/>
    <e v="#REF!"/>
    <e v="#REF!"/>
    <x v="9"/>
  </r>
  <r>
    <x v="35"/>
    <s v="Wk 35"/>
    <x v="1"/>
    <d v="2022-09-03T00:00:00"/>
    <n v="2900"/>
    <n v="1050"/>
    <n v="1850"/>
    <n v="52.177561449133094"/>
    <n v="51.542495044616551"/>
    <n v="150140.05535413037"/>
    <n v="54786.439521589746"/>
    <n v="95353.615832540614"/>
    <n v="279"/>
    <n v="2900"/>
    <n v="1000"/>
    <n v="1900"/>
    <n v="1000"/>
    <n v="900"/>
    <n v="147106.13599322646"/>
    <n v="51134.010220150427"/>
    <n v="95972.125773076026"/>
    <n v="50511.645143724221"/>
    <n v="45460.480629351798"/>
    <n v="90"/>
    <n v="0"/>
    <n v="90"/>
    <n v="90"/>
    <n v="0"/>
    <n v="2821"/>
    <n v="995"/>
    <n v="1826"/>
    <n v="983"/>
    <n v="843"/>
    <n v="148840.56"/>
    <n v="51222.6"/>
    <n v="97617.959999999992"/>
    <n v="52551.18"/>
    <n v="45066.78"/>
    <n v="52"/>
    <n v="54"/>
    <n v="51.48"/>
    <n v="53.459999999999994"/>
    <n v="130570.00000000007"/>
    <n v="61452.259735573884"/>
    <n v="57165.086786232438"/>
    <n v="5051.2669477664949"/>
    <n v="6901.3865304272622"/>
    <n v="0"/>
    <n v="130570.00000000007"/>
    <e v="#REF!"/>
    <e v="#REF!"/>
    <e v="#REF!"/>
    <x v="9"/>
  </r>
  <r>
    <x v="35"/>
    <s v="Wk 35"/>
    <x v="6"/>
    <d v="2022-09-04T00:00:00"/>
    <n v="0"/>
    <n v="0"/>
    <n v="0"/>
    <n v="0"/>
    <n v="0"/>
    <n v="0"/>
    <n v="0"/>
    <n v="0"/>
    <n v="280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9"/>
  </r>
  <r>
    <x v="36"/>
    <s v="Wk 36"/>
    <x v="2"/>
    <d v="2022-09-05T00:00:00"/>
    <n v="2450"/>
    <n v="750"/>
    <n v="1700"/>
    <n v="51.220922874916837"/>
    <n v="51.97984880853906"/>
    <n v="126781.43513070402"/>
    <n v="38415.69215618763"/>
    <n v="88365.742974516397"/>
    <n v="282"/>
    <n v="2450"/>
    <n v="750"/>
    <n v="1700"/>
    <n v="750"/>
    <n v="950"/>
    <n v="124245.80642808994"/>
    <n v="37647.378313063877"/>
    <n v="86598.428115026065"/>
    <n v="38205.188874276209"/>
    <n v="48393.239240749863"/>
    <n v="90"/>
    <n v="0"/>
    <n v="90"/>
    <n v="90"/>
    <n v="0"/>
    <n v="2444"/>
    <n v="765"/>
    <n v="1679"/>
    <n v="790"/>
    <n v="889"/>
    <n v="127599.318"/>
    <n v="39003.525000000001"/>
    <n v="88595.793000000005"/>
    <n v="41685.93"/>
    <n v="46909.862999999998"/>
    <n v="51.5"/>
    <n v="53.3"/>
    <n v="50.984999999999999"/>
    <n v="52.767000000000003"/>
    <n v="217510"/>
    <n v="108371.78"/>
    <n v="57056.475102507611"/>
    <n v="43172.14"/>
    <n v="8909.6048974923888"/>
    <n v="0"/>
    <n v="217510"/>
    <e v="#REF!"/>
    <e v="#REF!"/>
    <e v="#REF!"/>
    <x v="9"/>
  </r>
  <r>
    <x v="36"/>
    <s v="Wk 36"/>
    <x v="3"/>
    <d v="2022-09-06T00:00:00"/>
    <n v="2825"/>
    <n v="675"/>
    <n v="2150"/>
    <n v="44.824313440474896"/>
    <n v="49.027344768282127"/>
    <n v="135665.20282412713"/>
    <n v="30256.411572320554"/>
    <n v="105408.79125180657"/>
    <n v="283"/>
    <n v="2825"/>
    <n v="675"/>
    <n v="2150"/>
    <n v="1100"/>
    <n v="1050"/>
    <n v="132951.8987676446"/>
    <n v="29651.283340874143"/>
    <n v="103300.61542677044"/>
    <n v="52851.477660208133"/>
    <n v="50449.137766562308"/>
    <n v="90"/>
    <n v="0"/>
    <n v="90"/>
    <n v="90"/>
    <n v="0"/>
    <n v="2749"/>
    <n v="761"/>
    <n v="1988"/>
    <n v="1080"/>
    <n v="908"/>
    <n v="139307.454"/>
    <n v="39326.958000000006"/>
    <n v="99980.495999999985"/>
    <n v="54315.360000000001"/>
    <n v="45665.135999999991"/>
    <n v="52.2"/>
    <n v="50.8"/>
    <n v="51.678000000000004"/>
    <n v="50.291999999999994"/>
    <n v="153778.48543610392"/>
    <n v="71969.567999999999"/>
    <n v="65541.41246213761"/>
    <n v="6894.9174361039322"/>
    <n v="9372.5875378623841"/>
    <n v="0"/>
    <n v="153778.48543610392"/>
    <e v="#REF!"/>
    <e v="#REF!"/>
    <e v="#REF!"/>
    <x v="9"/>
  </r>
  <r>
    <x v="36"/>
    <s v="Wk 36"/>
    <x v="4"/>
    <d v="2022-09-07T00:00:00"/>
    <n v="2700"/>
    <n v="700"/>
    <n v="2000"/>
    <n v="45.171220975847596"/>
    <n v="50.828996328432993"/>
    <n v="133277.84733995929"/>
    <n v="31619.854683093319"/>
    <n v="101657.99265686599"/>
    <n v="284"/>
    <n v="2750"/>
    <n v="700"/>
    <n v="2050"/>
    <n v="1100"/>
    <n v="950"/>
    <n v="133102.91121325333"/>
    <n v="30987.457589431451"/>
    <n v="102115.45362382189"/>
    <n v="54793.658042050767"/>
    <n v="47321.795581771119"/>
    <n v="90"/>
    <n v="0"/>
    <n v="90"/>
    <n v="90"/>
    <n v="0"/>
    <n v="2805"/>
    <n v="780"/>
    <n v="2025"/>
    <n v="1060"/>
    <n v="965"/>
    <n v="141434.37"/>
    <n v="35984.519999999997"/>
    <n v="105449.85"/>
    <n v="55198.44"/>
    <n v="50251.409999999996"/>
    <n v="46.6"/>
    <n v="52.6"/>
    <n v="46.133999999999993"/>
    <n v="52.074000000000005"/>
    <n v="156910.10347144652"/>
    <n v="72902.399999999994"/>
    <n v="63061.574617945676"/>
    <n v="11105.303471446543"/>
    <n v="9840.8253820543141"/>
    <n v="0"/>
    <n v="156910.10347144652"/>
    <e v="#REF!"/>
    <e v="#REF!"/>
    <e v="#REF!"/>
    <x v="9"/>
  </r>
  <r>
    <x v="36"/>
    <s v="Wk 36"/>
    <x v="5"/>
    <d v="2022-09-08T00:00:00"/>
    <n v="2650"/>
    <n v="650"/>
    <n v="2000"/>
    <n v="43.349411722876283"/>
    <n v="48.594146852246588"/>
    <n v="125365.41132436277"/>
    <n v="28177.117619869583"/>
    <n v="97188.293704493175"/>
    <n v="285"/>
    <n v="2750"/>
    <n v="650"/>
    <n v="2100"/>
    <n v="1100"/>
    <n v="1000"/>
    <n v="127620.32948939566"/>
    <n v="27613.575267472192"/>
    <n v="100006.75422192347"/>
    <n v="52384.490306721826"/>
    <n v="47622.263915201656"/>
    <n v="90"/>
    <n v="0"/>
    <n v="90"/>
    <n v="90"/>
    <n v="0"/>
    <n v="2649"/>
    <n v="660"/>
    <n v="1989"/>
    <n v="1037"/>
    <n v="952"/>
    <n v="127794.05100000001"/>
    <n v="29141.64"/>
    <n v="98652.411000000007"/>
    <n v="51434.163"/>
    <n v="47218.248000000007"/>
    <n v="44.6"/>
    <n v="50.1"/>
    <n v="44.153999999999996"/>
    <n v="49.599000000000004"/>
    <n v="147590.41013384031"/>
    <n v="62486.74"/>
    <n v="66053.021297667874"/>
    <n v="8666.4021338403272"/>
    <n v="10384.246702332117"/>
    <n v="0"/>
    <n v="147590.41013384031"/>
    <e v="#REF!"/>
    <e v="#REF!"/>
    <e v="#REF!"/>
    <x v="9"/>
  </r>
  <r>
    <x v="36"/>
    <s v="Wk 36"/>
    <x v="0"/>
    <d v="2022-09-09T00:00:00"/>
    <n v="3000"/>
    <n v="1150"/>
    <n v="1850"/>
    <n v="50.702334205488057"/>
    <n v="50.708263415745421"/>
    <n v="152117.97165544028"/>
    <n v="58307.684336311264"/>
    <n v="93810.287319129027"/>
    <n v="286"/>
    <n v="3250"/>
    <n v="1150"/>
    <n v="2100"/>
    <n v="1150"/>
    <n v="950"/>
    <n v="161499.1367591891"/>
    <n v="57141.530649585038"/>
    <n v="104357.60610960406"/>
    <n v="57148.212869545088"/>
    <n v="47209.393240058984"/>
    <n v="90"/>
    <n v="0"/>
    <n v="90"/>
    <n v="90"/>
    <n v="0"/>
    <n v="3015"/>
    <n v="930"/>
    <n v="2085"/>
    <n v="1120"/>
    <n v="965"/>
    <n v="155212.19999999998"/>
    <n v="47876.4"/>
    <n v="107335.79999999999"/>
    <n v="57657.599999999999"/>
    <n v="49678.2"/>
    <n v="52"/>
    <n v="52"/>
    <n v="51.480000000000004"/>
    <n v="51.48"/>
    <n v="124469.93843401594"/>
    <n v="50550.654000000002"/>
    <n v="59702.333662326768"/>
    <n v="5439.3344340159192"/>
    <n v="8777.6163376732457"/>
    <n v="0"/>
    <n v="124469.93843401594"/>
    <e v="#REF!"/>
    <e v="#REF!"/>
    <e v="#REF!"/>
    <x v="9"/>
  </r>
  <r>
    <x v="36"/>
    <s v="Wk 36"/>
    <x v="1"/>
    <d v="2022-09-10T00:00:00"/>
    <n v="2800"/>
    <n v="1050"/>
    <n v="1750"/>
    <n v="50.827329793489994"/>
    <n v="51.53556352820857"/>
    <n v="143555.93245752947"/>
    <n v="53368.696283164492"/>
    <n v="90187.236174364996"/>
    <n v="287"/>
    <n v="2950"/>
    <n v="1050"/>
    <n v="1900"/>
    <n v="1050"/>
    <n v="850"/>
    <n v="148260.54164702556"/>
    <n v="52301.322357501202"/>
    <n v="95959.219289524364"/>
    <n v="53030.09487052662"/>
    <n v="42929.124418997737"/>
    <n v="90"/>
    <n v="0"/>
    <n v="90"/>
    <n v="90"/>
    <n v="0"/>
    <n v="3010"/>
    <n v="1001"/>
    <n v="2009"/>
    <n v="1070"/>
    <n v="939"/>
    <n v="146609.00099999999"/>
    <n v="49351.301999999996"/>
    <n v="97257.698999999993"/>
    <n v="51799.77"/>
    <n v="45457.928999999996"/>
    <n v="49.8"/>
    <n v="48.9"/>
    <n v="49.301999999999992"/>
    <n v="48.410999999999994"/>
    <n v="119289.00000000007"/>
    <n v="56142.90121465017"/>
    <n v="52226.131865228468"/>
    <n v="4614.8470776757094"/>
    <n v="6305.1198424457207"/>
    <n v="0"/>
    <n v="119289.00000000007"/>
    <e v="#REF!"/>
    <e v="#REF!"/>
    <e v="#REF!"/>
    <x v="9"/>
  </r>
  <r>
    <x v="36"/>
    <s v="Wk 36"/>
    <x v="6"/>
    <d v="2022-09-11T00:00:00"/>
    <n v="0"/>
    <n v="0"/>
    <n v="0"/>
    <n v="0"/>
    <n v="0"/>
    <n v="0"/>
    <n v="0"/>
    <n v="0"/>
    <n v="28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9"/>
  </r>
  <r>
    <x v="37"/>
    <s v="Wk 37"/>
    <x v="2"/>
    <d v="2022-09-12T00:00:00"/>
    <n v="2500"/>
    <n v="750"/>
    <n v="1750"/>
    <n v="50.468576614269494"/>
    <n v="51.445051379526539"/>
    <n v="127880.27237487357"/>
    <n v="37851.432460702119"/>
    <n v="90028.839914171447"/>
    <n v="290"/>
    <n v="2500"/>
    <n v="750"/>
    <n v="1750"/>
    <n v="800"/>
    <n v="950"/>
    <n v="125322.66692737609"/>
    <n v="37094.403811488075"/>
    <n v="88228.263115888025"/>
    <n v="40332.92028154881"/>
    <n v="47895.342834339208"/>
    <n v="90"/>
    <n v="0"/>
    <n v="90"/>
    <n v="90"/>
    <n v="0"/>
    <n v="2533"/>
    <n v="730"/>
    <n v="1803"/>
    <n v="814"/>
    <n v="989"/>
    <n v="119458.25099999999"/>
    <n v="33244.199999999997"/>
    <n v="86214.050999999992"/>
    <n v="38923.037999999993"/>
    <n v="47291.012999999999"/>
    <n v="46"/>
    <n v="48.3"/>
    <n v="45.54"/>
    <n v="47.816999999999993"/>
    <n v="370823.04"/>
    <n v="158526"/>
    <n v="57669.013209862533"/>
    <n v="145638.48000000001"/>
    <n v="8989.546790137465"/>
    <n v="0"/>
    <n v="370823.04"/>
    <e v="#REF!"/>
    <e v="#REF!"/>
    <e v="#REF!"/>
    <x v="9"/>
  </r>
  <r>
    <x v="37"/>
    <s v="Wk 37"/>
    <x v="3"/>
    <d v="2022-09-13T00:00:00"/>
    <n v="2750"/>
    <n v="700"/>
    <n v="2050"/>
    <n v="44"/>
    <n v="48.953008769527344"/>
    <n v="131153.66797753103"/>
    <n v="30800"/>
    <n v="100353.66797753105"/>
    <n v="291"/>
    <n v="2750"/>
    <n v="700"/>
    <n v="2050"/>
    <n v="1100"/>
    <n v="950"/>
    <n v="128530.59461798043"/>
    <n v="30184"/>
    <n v="98346.59461798043"/>
    <n v="52771.343453550471"/>
    <n v="45575.251164429959"/>
    <n v="90"/>
    <n v="0"/>
    <n v="90"/>
    <n v="90"/>
    <n v="0"/>
    <n v="2488"/>
    <n v="590"/>
    <n v="1898"/>
    <n v="966"/>
    <n v="932"/>
    <n v="107005.734"/>
    <n v="23013.54"/>
    <n v="83992.194000000003"/>
    <n v="42748.398000000001"/>
    <n v="41243.796000000002"/>
    <n v="39.4"/>
    <n v="44.7"/>
    <n v="39.006"/>
    <n v="44.253"/>
    <n v="146846.66080413782"/>
    <n v="68807.664000000004"/>
    <n v="62486.186811350286"/>
    <n v="6591.9968041378388"/>
    <n v="8960.8131886497104"/>
    <n v="0"/>
    <n v="146846.66080413782"/>
    <e v="#REF!"/>
    <e v="#REF!"/>
    <e v="#REF!"/>
    <x v="9"/>
  </r>
  <r>
    <x v="37"/>
    <s v="Wk 37"/>
    <x v="4"/>
    <d v="2022-09-14T00:00:00"/>
    <n v="2750"/>
    <n v="700"/>
    <n v="2050"/>
    <n v="44.903279810756096"/>
    <n v="50.718304017505183"/>
    <n v="135404.81910341489"/>
    <n v="31432.295867529268"/>
    <n v="103972.52323588563"/>
    <n v="292"/>
    <n v="2750"/>
    <n v="700"/>
    <n v="2050"/>
    <n v="1100"/>
    <n v="950"/>
    <n v="132696.7227213466"/>
    <n v="30803.649950178682"/>
    <n v="101893.07277116791"/>
    <n v="54674.331730870588"/>
    <n v="47218.741040297326"/>
    <n v="90"/>
    <n v="0"/>
    <n v="90"/>
    <n v="90"/>
    <n v="0"/>
    <n v="2497"/>
    <n v="615"/>
    <n v="1882"/>
    <n v="1023"/>
    <n v="859"/>
    <n v="110185.71299999999"/>
    <n v="24293.114999999998"/>
    <n v="85892.597999999998"/>
    <n v="46688.697"/>
    <n v="39203.900999999998"/>
    <n v="39.9"/>
    <n v="46.1"/>
    <n v="39.500999999999998"/>
    <n v="45.638999999999996"/>
    <n v="153746.08602847334"/>
    <n v="67241.759999999995"/>
    <n v="62165.043478431369"/>
    <n v="15262.566028473346"/>
    <n v="9076.7165215686255"/>
    <n v="0"/>
    <n v="153746.08602847334"/>
    <e v="#REF!"/>
    <e v="#REF!"/>
    <e v="#REF!"/>
    <x v="9"/>
  </r>
  <r>
    <x v="37"/>
    <s v="Wk 37"/>
    <x v="5"/>
    <d v="2022-09-15T00:00:00"/>
    <n v="2650"/>
    <n v="650"/>
    <n v="2000"/>
    <n v="44"/>
    <n v="48.16590761607474"/>
    <n v="124931.81523214949"/>
    <n v="28600"/>
    <n v="96331.815232149485"/>
    <n v="293"/>
    <n v="2700"/>
    <n v="650"/>
    <n v="2050"/>
    <n v="1100"/>
    <n v="950"/>
    <n v="124793.30840069414"/>
    <n v="28028"/>
    <n v="96765.308400694135"/>
    <n v="51922.848410128565"/>
    <n v="44842.459990565578"/>
    <n v="90"/>
    <n v="0"/>
    <n v="90"/>
    <n v="90"/>
    <n v="0"/>
    <n v="2318"/>
    <n v="565"/>
    <n v="1753"/>
    <n v="816"/>
    <n v="937"/>
    <n v="105009.59700000001"/>
    <n v="23268.959999999999"/>
    <n v="81740.637000000002"/>
    <n v="38049.263999999996"/>
    <n v="43691.373000000007"/>
    <n v="41.6"/>
    <n v="47.1"/>
    <n v="41.183999999999997"/>
    <n v="46.629000000000005"/>
    <n v="137554.48761557334"/>
    <n v="56898.03"/>
    <n v="60145.349035416897"/>
    <n v="11055.611615573336"/>
    <n v="9455.4969645831079"/>
    <n v="0"/>
    <n v="137554.48761557334"/>
    <e v="#REF!"/>
    <e v="#REF!"/>
    <e v="#REF!"/>
    <x v="9"/>
  </r>
  <r>
    <x v="37"/>
    <s v="Wk 37"/>
    <x v="0"/>
    <d v="2022-09-16T00:00:00"/>
    <n v="3050"/>
    <n v="1000"/>
    <n v="2050"/>
    <n v="51.228737112652702"/>
    <n v="50.598027561223432"/>
    <n v="154954.69361316075"/>
    <n v="51228.7371126527"/>
    <n v="103725.95650050804"/>
    <n v="294"/>
    <n v="3200"/>
    <n v="1050"/>
    <n v="2150"/>
    <n v="1150"/>
    <n v="1000"/>
    <n v="159324.41456041741"/>
    <n v="52714.370488919631"/>
    <n v="106610.04407149777"/>
    <n v="57023.977061498808"/>
    <n v="49586.067009998966"/>
    <n v="90"/>
    <n v="0"/>
    <n v="90"/>
    <n v="90"/>
    <n v="0"/>
    <n v="2940"/>
    <n v="950"/>
    <n v="1990"/>
    <n v="1060"/>
    <n v="930"/>
    <n v="142149.15"/>
    <n v="45614.25"/>
    <n v="96534.9"/>
    <n v="51420.6"/>
    <n v="45114.3"/>
    <n v="48.5"/>
    <n v="49"/>
    <n v="48.015000000000001"/>
    <n v="48.51"/>
    <n v="132524.41075298778"/>
    <n v="53821.796000000002"/>
    <n v="63565.68251515962"/>
    <n v="5791.3147529877706"/>
    <n v="9345.6174848403843"/>
    <n v="0"/>
    <n v="132524.41075298778"/>
    <e v="#REF!"/>
    <e v="#REF!"/>
    <e v="#REF!"/>
    <x v="9"/>
  </r>
  <r>
    <x v="37"/>
    <s v="Wk 37"/>
    <x v="1"/>
    <d v="2022-09-17T00:00:00"/>
    <n v="2850"/>
    <n v="1000"/>
    <n v="1850"/>
    <n v="50.413999999999994"/>
    <n v="48.612435829141447"/>
    <n v="140347.00628391167"/>
    <n v="50413.999999999993"/>
    <n v="89933.006283911673"/>
    <n v="295"/>
    <n v="2900"/>
    <n v="1000"/>
    <n v="1900"/>
    <n v="1050"/>
    <n v="850"/>
    <n v="139922.07551386137"/>
    <n v="49405.719999999994"/>
    <n v="90516.355513861374"/>
    <n v="50022.19646818655"/>
    <n v="40494.159045674824"/>
    <n v="90"/>
    <n v="0"/>
    <n v="90"/>
    <n v="90"/>
    <n v="0"/>
    <n v="2638"/>
    <n v="881"/>
    <n v="1757"/>
    <n v="984"/>
    <n v="773"/>
    <n v="127360.827"/>
    <n v="42824.528999999995"/>
    <n v="84536.29800000001"/>
    <n v="47344.175999999999"/>
    <n v="37192.122000000003"/>
    <n v="49.1"/>
    <n v="48.6"/>
    <n v="48.608999999999995"/>
    <n v="48.114000000000004"/>
    <n v="118853.00000000007"/>
    <n v="55937.699520197311"/>
    <n v="52035.245920227339"/>
    <n v="4597.9798617055312"/>
    <n v="6282.074697869889"/>
    <n v="0"/>
    <n v="118853.00000000007"/>
    <e v="#REF!"/>
    <e v="#REF!"/>
    <e v="#REF!"/>
    <x v="9"/>
  </r>
  <r>
    <x v="37"/>
    <s v="Wk 37"/>
    <x v="6"/>
    <d v="2022-09-18T00:00:00"/>
    <n v="0"/>
    <n v="0"/>
    <n v="0"/>
    <n v="0"/>
    <n v="0"/>
    <n v="0"/>
    <n v="0"/>
    <n v="0"/>
    <n v="29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9"/>
  </r>
  <r>
    <x v="38"/>
    <s v="Wk 38"/>
    <x v="2"/>
    <d v="2022-09-19T00:00:00"/>
    <n v="2500"/>
    <n v="750"/>
    <n v="1750"/>
    <n v="46.814432989690722"/>
    <n v="47.277443095244735"/>
    <n v="117846.35015894633"/>
    <n v="35110.824742268043"/>
    <n v="82735.525416678283"/>
    <n v="298"/>
    <n v="2500"/>
    <n v="750"/>
    <n v="1750"/>
    <n v="800"/>
    <n v="950"/>
    <n v="115489.42315576738"/>
    <n v="34408.608247422679"/>
    <n v="81080.814908344706"/>
    <n v="37065.515386671868"/>
    <n v="44015.299521672845"/>
    <n v="90"/>
    <n v="0"/>
    <n v="90"/>
    <n v="90"/>
    <n v="0"/>
    <n v="2476"/>
    <n v="734"/>
    <n v="1742"/>
    <n v="718"/>
    <n v="1024"/>
    <n v="115451.424"/>
    <n v="31464.377999999997"/>
    <n v="83987.046000000002"/>
    <n v="34616.934000000001"/>
    <n v="49370.112000000001"/>
    <n v="43.3"/>
    <n v="48.7"/>
    <n v="42.866999999999997"/>
    <n v="48.213000000000001"/>
    <n v="211610"/>
    <n v="94690"/>
    <n v="58527"/>
    <n v="49776"/>
    <n v="8617"/>
    <n v="0"/>
    <n v="211610"/>
    <e v="#REF!"/>
    <e v="#REF!"/>
    <e v="#REF!"/>
    <x v="9"/>
  </r>
  <r>
    <x v="38"/>
    <s v="Wk 38"/>
    <x v="3"/>
    <d v="2022-09-20T00:00:00"/>
    <n v="2500"/>
    <n v="600"/>
    <n v="1900"/>
    <n v="39.4"/>
    <n v="44.42071451364184"/>
    <n v="108039.35757591949"/>
    <n v="23640"/>
    <n v="84399.357575919494"/>
    <n v="299"/>
    <n v="2500"/>
    <n v="600"/>
    <n v="1900"/>
    <n v="1100"/>
    <n v="800"/>
    <n v="105878.5704244011"/>
    <n v="23167.200000000001"/>
    <n v="82711.370424401102"/>
    <n v="47885.530245705908"/>
    <n v="34825.840178695202"/>
    <n v="90"/>
    <n v="0"/>
    <n v="90"/>
    <n v="90"/>
    <n v="0"/>
    <n v="2440"/>
    <n v="566"/>
    <n v="1874"/>
    <n v="1105"/>
    <n v="769"/>
    <n v="111263.12999999998"/>
    <n v="22581.701999999997"/>
    <n v="88681.427999999985"/>
    <n v="52290.81"/>
    <n v="36390.617999999995"/>
    <n v="40.299999999999997"/>
    <n v="47.8"/>
    <n v="39.896999999999998"/>
    <n v="47.321999999999996"/>
    <n v="140431"/>
    <n v="67428"/>
    <n v="58524"/>
    <n v="6137"/>
    <n v="8342"/>
    <n v="0"/>
    <n v="140431"/>
    <e v="#REF!"/>
    <e v="#REF!"/>
    <e v="#REF!"/>
    <x v="9"/>
  </r>
  <r>
    <x v="38"/>
    <s v="Wk 38"/>
    <x v="4"/>
    <d v="2022-09-21T00:00:00"/>
    <n v="2550"/>
    <n v="650"/>
    <n v="1900"/>
    <n v="40.1"/>
    <n v="45.708314019620254"/>
    <n v="112910.79663727849"/>
    <n v="26065"/>
    <n v="86845.796637278487"/>
    <n v="300"/>
    <n v="2550"/>
    <n v="650"/>
    <n v="1900"/>
    <n v="1050"/>
    <n v="850"/>
    <n v="110652.5807045329"/>
    <n v="25543.7"/>
    <n v="85108.880704532901"/>
    <n v="47033.855126189243"/>
    <n v="38075.025578343666"/>
    <n v="90"/>
    <n v="0"/>
    <n v="90"/>
    <n v="90"/>
    <n v="0"/>
    <n v="2458"/>
    <n v="584"/>
    <n v="1874"/>
    <n v="1059"/>
    <n v="815"/>
    <n v="111335.796"/>
    <n v="21912.263999999999"/>
    <n v="89423.532000000007"/>
    <n v="50533.362000000001"/>
    <n v="38890.17"/>
    <n v="37.9"/>
    <n v="48.2"/>
    <n v="37.521000000000001"/>
    <n v="47.718000000000004"/>
    <n v="139684"/>
    <n v="66269"/>
    <n v="52379"/>
    <n v="12448"/>
    <n v="8588"/>
    <n v="0"/>
    <n v="139684"/>
    <e v="#REF!"/>
    <e v="#REF!"/>
    <e v="#REF!"/>
    <x v="9"/>
  </r>
  <r>
    <x v="38"/>
    <s v="Wk 38"/>
    <x v="5"/>
    <d v="2022-09-22T00:00:00"/>
    <n v="2700"/>
    <n v="700"/>
    <n v="2000"/>
    <n v="43.450322526418688"/>
    <n v="48.002928947453825"/>
    <n v="126421.08366340073"/>
    <n v="30415.225768493081"/>
    <n v="96005.857894907647"/>
    <n v="301"/>
    <n v="2700"/>
    <n v="700"/>
    <n v="2000"/>
    <n v="1100"/>
    <n v="900"/>
    <n v="123892.66199013272"/>
    <n v="29806.921253123219"/>
    <n v="94085.740737009502"/>
    <n v="51747.157405355225"/>
    <n v="42338.58333165427"/>
    <n v="90"/>
    <n v="0"/>
    <n v="90"/>
    <n v="90"/>
    <n v="0"/>
    <n v="2324"/>
    <n v="531"/>
    <n v="1793"/>
    <n v="821"/>
    <n v="972"/>
    <n v="108176.01300000001"/>
    <n v="22972.653000000002"/>
    <n v="85203.36"/>
    <n v="39013.919999999998"/>
    <n v="46189.440000000002"/>
    <n v="43.7"/>
    <n v="48"/>
    <n v="43.263000000000005"/>
    <n v="47.52"/>
    <n v="130909"/>
    <n v="56179"/>
    <n v="53518"/>
    <n v="12350"/>
    <n v="8862"/>
    <n v="0"/>
    <n v="130909"/>
    <e v="#REF!"/>
    <e v="#REF!"/>
    <e v="#REF!"/>
    <x v="9"/>
  </r>
  <r>
    <x v="38"/>
    <s v="Wk 38"/>
    <x v="0"/>
    <d v="2022-09-23T00:00:00"/>
    <n v="3000"/>
    <n v="950"/>
    <n v="2050"/>
    <n v="51.928930730548288"/>
    <n v="51.347304250892577"/>
    <n v="154594.45790835065"/>
    <n v="49332.484194020872"/>
    <n v="105261.97371432978"/>
    <n v="302"/>
    <n v="3000"/>
    <n v="950"/>
    <n v="2050"/>
    <n v="1100"/>
    <n v="950"/>
    <n v="151502.56875018362"/>
    <n v="48345.834510140456"/>
    <n v="103156.73424004318"/>
    <n v="55352.393982462199"/>
    <n v="47804.340257580989"/>
    <n v="90"/>
    <n v="0"/>
    <n v="90"/>
    <n v="90"/>
    <n v="0"/>
    <n v="2953"/>
    <n v="936"/>
    <n v="2017"/>
    <n v="1085"/>
    <n v="932"/>
    <n v="145767.59999999998"/>
    <n v="45127.368000000002"/>
    <n v="100640.23199999999"/>
    <n v="54137.159999999996"/>
    <n v="46503.071999999993"/>
    <n v="48.7"/>
    <n v="50.4"/>
    <n v="48.213000000000001"/>
    <n v="49.895999999999994"/>
    <n v="120947"/>
    <n v="49120"/>
    <n v="58013"/>
    <n v="5285"/>
    <n v="8529"/>
    <n v="0"/>
    <n v="120947"/>
    <e v="#REF!"/>
    <e v="#REF!"/>
    <e v="#REF!"/>
    <x v="9"/>
  </r>
  <r>
    <x v="38"/>
    <s v="Wk 38"/>
    <x v="1"/>
    <d v="2022-09-24T00:00:00"/>
    <n v="2900"/>
    <n v="1000"/>
    <n v="1900"/>
    <n v="51.907341179703934"/>
    <n v="50.405812671299266"/>
    <n v="147678.38525517253"/>
    <n v="51907.341179703937"/>
    <n v="95771.044075468599"/>
    <n v="303"/>
    <n v="2900"/>
    <n v="1000"/>
    <n v="1900"/>
    <n v="1050"/>
    <n v="850"/>
    <n v="144724.8175500691"/>
    <n v="50869.19435610986"/>
    <n v="93855.62319395924"/>
    <n v="51867.581238766943"/>
    <n v="41988.04195519229"/>
    <n v="90"/>
    <n v="0"/>
    <n v="90"/>
    <n v="90"/>
    <n v="0"/>
    <n v="2723"/>
    <n v="919"/>
    <n v="1804"/>
    <n v="1024"/>
    <n v="780"/>
    <n v="133224.99299999999"/>
    <n v="43034.012999999999"/>
    <n v="90190.98"/>
    <n v="51194.879999999997"/>
    <n v="38996.1"/>
    <n v="47.3"/>
    <n v="50.5"/>
    <n v="46.826999999999998"/>
    <n v="49.994999999999997"/>
    <n v="121799"/>
    <n v="57324"/>
    <n v="53325"/>
    <n v="4712"/>
    <n v="6438"/>
    <n v="0"/>
    <n v="121799"/>
    <e v="#REF!"/>
    <e v="#REF!"/>
    <e v="#REF!"/>
    <x v="9"/>
  </r>
  <r>
    <x v="38"/>
    <s v="Wk 38"/>
    <x v="6"/>
    <d v="2022-09-25T00:00:00"/>
    <n v="0"/>
    <n v="0"/>
    <n v="0"/>
    <n v="0"/>
    <n v="0"/>
    <n v="0"/>
    <n v="0"/>
    <n v="0"/>
    <n v="304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9"/>
  </r>
  <r>
    <x v="39"/>
    <s v="Wk 39"/>
    <x v="2"/>
    <d v="2022-09-26T00:00:00"/>
    <n v="2450"/>
    <n v="700"/>
    <n v="1750"/>
    <n v="48.906415180855291"/>
    <n v="45.377777066001549"/>
    <n v="113645.60049210142"/>
    <n v="34234.490626598701"/>
    <n v="79411.109865502716"/>
    <n v="306"/>
    <n v="2450"/>
    <n v="700"/>
    <n v="1750"/>
    <n v="800"/>
    <n v="950"/>
    <n v="111372.68848225937"/>
    <n v="33549.80081406673"/>
    <n v="77822.887668192649"/>
    <n v="35576.177219745208"/>
    <n v="42246.71044844744"/>
    <n v="90"/>
    <n v="0"/>
    <n v="90"/>
    <n v="90"/>
    <n v="0"/>
    <n v="2470"/>
    <n v="728"/>
    <n v="1742"/>
    <n v="718"/>
    <n v="1024"/>
    <n v="116476.07399999999"/>
    <n v="32144.111999999997"/>
    <n v="84331.962"/>
    <n v="34759.097999999998"/>
    <n v="49572.864000000001"/>
    <n v="44.6"/>
    <n v="48.9"/>
    <n v="44.153999999999996"/>
    <n v="48.411000000000001"/>
    <n v="214743"/>
    <n v="96356.700000000012"/>
    <n v="59557.442447877584"/>
    <n v="50060.639999999999"/>
    <n v="8768.2175521224217"/>
    <n v="0"/>
    <n v="214743"/>
    <e v="#REF!"/>
    <e v="#REF!"/>
    <e v="#REF!"/>
    <x v="9"/>
  </r>
  <r>
    <x v="39"/>
    <s v="Wk 39"/>
    <x v="3"/>
    <d v="2022-09-27T00:00:00"/>
    <n v="2550"/>
    <n v="550"/>
    <n v="2000"/>
    <n v="43.599032038943051"/>
    <n v="48.145570792635581"/>
    <n v="120270.60920668984"/>
    <n v="23979.467621418677"/>
    <n v="96291.141585271165"/>
    <n v="307"/>
    <n v="2550"/>
    <n v="550"/>
    <n v="2000"/>
    <n v="1050"/>
    <n v="950"/>
    <n v="117865.19702255604"/>
    <n v="23499.878268990302"/>
    <n v="94365.318753565734"/>
    <n v="49541.792345622009"/>
    <n v="44823.526407943726"/>
    <n v="90"/>
    <n v="0"/>
    <n v="90"/>
    <n v="90"/>
    <n v="0"/>
    <n v="2712"/>
    <n v="619"/>
    <n v="2093"/>
    <n v="1120"/>
    <n v="973"/>
    <n v="118464.88500000001"/>
    <n v="22735.251"/>
    <n v="95729.634000000005"/>
    <n v="51226.559999999998"/>
    <n v="44503.074000000008"/>
    <n v="37.1"/>
    <n v="46.2"/>
    <n v="36.728999999999999"/>
    <n v="45.738"/>
    <n v="142901.15428915853"/>
    <n v="68614.080000000002"/>
    <n v="59553.473369115265"/>
    <n v="6244.7782891585312"/>
    <n v="8488.822630884737"/>
    <n v="0"/>
    <n v="142901.15428915853"/>
    <e v="#REF!"/>
    <e v="#REF!"/>
    <e v="#REF!"/>
    <x v="9"/>
  </r>
  <r>
    <x v="39"/>
    <s v="Wk 39"/>
    <x v="4"/>
    <d v="2022-09-28T00:00:00"/>
    <n v="2600"/>
    <n v="600"/>
    <n v="2000"/>
    <n v="41.522412441421395"/>
    <n v="48.883093678339996"/>
    <n v="122679.63482153283"/>
    <n v="24913.447464852838"/>
    <n v="97766.187356679991"/>
    <n v="308"/>
    <n v="2600"/>
    <n v="600"/>
    <n v="2000"/>
    <n v="1050"/>
    <n v="950"/>
    <n v="120226.04212510216"/>
    <n v="24415.178515555781"/>
    <n v="95810.863609546388"/>
    <n v="50300.703395011849"/>
    <n v="45510.160214534539"/>
    <n v="90"/>
    <n v="0"/>
    <n v="90"/>
    <n v="90"/>
    <n v="0"/>
    <n v="2725"/>
    <n v="704"/>
    <n v="2021"/>
    <n v="1059"/>
    <n v="962"/>
    <n v="120251.83499999999"/>
    <n v="26414.784"/>
    <n v="93837.050999999992"/>
    <n v="49170.428999999996"/>
    <n v="44666.621999999996"/>
    <n v="37.9"/>
    <n v="46.9"/>
    <n v="37.521000000000001"/>
    <n v="46.430999999999997"/>
    <n v="140284.63593095864"/>
    <n v="67435"/>
    <n v="53301.510776417796"/>
    <n v="10809.435930958622"/>
    <n v="8738.6892235822052"/>
    <n v="0"/>
    <n v="140284.63593095864"/>
    <e v="#REF!"/>
    <e v="#REF!"/>
    <e v="#REF!"/>
    <x v="9"/>
  </r>
  <r>
    <x v="39"/>
    <s v="Wk 39"/>
    <x v="5"/>
    <d v="2022-09-29T00:00:00"/>
    <n v="2550"/>
    <n v="650"/>
    <n v="1900"/>
    <n v="43.928866968859573"/>
    <n v="49.436800179699858"/>
    <n v="122483.68387118846"/>
    <n v="28553.763529758722"/>
    <n v="93929.920341429737"/>
    <n v="309"/>
    <n v="2550"/>
    <n v="650"/>
    <n v="1900"/>
    <n v="1000"/>
    <n v="900"/>
    <n v="120034.01019376468"/>
    <n v="27982.688259163548"/>
    <n v="92051.321934601132"/>
    <n v="48448.064176105858"/>
    <n v="43603.257758495274"/>
    <n v="90"/>
    <n v="0"/>
    <n v="90"/>
    <n v="90"/>
    <n v="0"/>
    <n v="2482"/>
    <n v="585"/>
    <n v="1897"/>
    <n v="850"/>
    <n v="1047"/>
    <n v="116303.91300000002"/>
    <n v="24092.639999999999"/>
    <n v="92211.273000000016"/>
    <n v="41317.65"/>
    <n v="50893.623000000007"/>
    <n v="41.6"/>
    <n v="49.1"/>
    <n v="41.183999999999997"/>
    <n v="48.609000000000009"/>
    <n v="130519.40823903793"/>
    <n v="57168.147000000004"/>
    <n v="54460.070674371993"/>
    <n v="9873.164239037942"/>
    <n v="9018.0263256280068"/>
    <n v="0"/>
    <n v="130519.40823903793"/>
    <e v="#REF!"/>
    <e v="#REF!"/>
    <e v="#REF!"/>
    <x v="9"/>
  </r>
  <r>
    <x v="39"/>
    <s v="Wk 39"/>
    <x v="0"/>
    <d v="2022-09-30T00:00:00"/>
    <n v="3000"/>
    <n v="975"/>
    <n v="2025"/>
    <n v="48.735159116864565"/>
    <n v="50.691192061806063"/>
    <n v="150166.44406410021"/>
    <n v="47516.780138942951"/>
    <n v="102649.66392515728"/>
    <n v="310"/>
    <n v="2975"/>
    <n v="975"/>
    <n v="2000"/>
    <n v="1000"/>
    <n v="1000"/>
    <n v="145921.18097730397"/>
    <n v="46566.44453616409"/>
    <n v="99354.736441139874"/>
    <n v="49677.368220569937"/>
    <n v="49677.368220569937"/>
    <n v="90"/>
    <n v="0"/>
    <n v="90"/>
    <n v="90"/>
    <n v="0"/>
    <n v="2913"/>
    <n v="890"/>
    <n v="2023"/>
    <n v="1109"/>
    <n v="914"/>
    <n v="150338.03399999999"/>
    <n v="43790.67"/>
    <n v="106547.364"/>
    <n v="58408.812000000005"/>
    <n v="48138.552000000003"/>
    <n v="49.7"/>
    <n v="53.2"/>
    <n v="49.202999999999996"/>
    <n v="52.667999999999999"/>
    <n v="123076.37576644155"/>
    <n v="49984.69"/>
    <n v="59033.907659987293"/>
    <n v="5378.435766441542"/>
    <n v="8679.3423400127031"/>
    <n v="0"/>
    <n v="123076.37576644155"/>
    <e v="#REF!"/>
    <e v="#REF!"/>
    <e v="#REF!"/>
    <x v="9"/>
  </r>
  <r>
    <x v="39"/>
    <s v="Wk 39"/>
    <x v="1"/>
    <d v="2022-10-01T00:00:00"/>
    <n v="2775"/>
    <n v="925"/>
    <n v="1850"/>
    <n v="47.333394610470691"/>
    <n v="50.133553129503504"/>
    <n v="136530.46330426689"/>
    <n v="43783.390014685392"/>
    <n v="92747.073289581487"/>
    <n v="311"/>
    <n v="2825"/>
    <n v="925"/>
    <n v="1900"/>
    <n v="1050"/>
    <n v="850"/>
    <n v="136256.3981415272"/>
    <n v="42907.722214391681"/>
    <n v="93348.675927135526"/>
    <n v="51587.42617025911"/>
    <n v="41761.249756876416"/>
    <n v="90"/>
    <n v="0"/>
    <n v="90"/>
    <n v="90"/>
    <n v="0"/>
    <n v="2950"/>
    <n v="996"/>
    <n v="1954"/>
    <n v="1122"/>
    <n v="832"/>
    <n v="151551.378"/>
    <n v="49992.228000000003"/>
    <n v="101559.15"/>
    <n v="58315.95"/>
    <n v="43243.199999999997"/>
    <n v="50.7"/>
    <n v="52.5"/>
    <n v="50.193000000000005"/>
    <n v="51.974999999999994"/>
    <n v="123942.00000000007"/>
    <n v="58332.817463019819"/>
    <n v="54263.270172774915"/>
    <n v="4794.8543159996543"/>
    <n v="6551.0580482056812"/>
    <n v="0"/>
    <n v="123942.00000000007"/>
    <e v="#REF!"/>
    <e v="#REF!"/>
    <e v="#REF!"/>
    <x v="10"/>
  </r>
  <r>
    <x v="39"/>
    <s v="Wk 39"/>
    <x v="6"/>
    <d v="2022-10-02T00:00:00"/>
    <n v="0"/>
    <n v="0"/>
    <n v="0"/>
    <n v="0"/>
    <n v="0"/>
    <n v="0"/>
    <n v="0"/>
    <n v="0"/>
    <n v="31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0"/>
  </r>
  <r>
    <x v="40"/>
    <s v="Wk 40"/>
    <x v="2"/>
    <d v="2022-10-03T00:00:00"/>
    <n v="2500"/>
    <n v="750"/>
    <n v="1750"/>
    <n v="44.673177326333089"/>
    <n v="49.353970183174624"/>
    <n v="119874.33081530541"/>
    <n v="33504.882994749816"/>
    <n v="86369.447820555593"/>
    <n v="314"/>
    <n v="2500"/>
    <n v="750"/>
    <n v="1750"/>
    <n v="750"/>
    <n v="1000"/>
    <n v="117476.84419899929"/>
    <n v="32834.785334854816"/>
    <n v="84642.058864144477"/>
    <n v="36275.168084633347"/>
    <n v="48366.89077951113"/>
    <n v="90"/>
    <n v="0"/>
    <n v="90"/>
    <n v="90"/>
    <n v="0"/>
    <n v="2640"/>
    <n v="740"/>
    <n v="1900"/>
    <n v="850"/>
    <n v="1050"/>
    <n v="130719.59999999999"/>
    <n v="35164.800000000003"/>
    <n v="95554.799999999988"/>
    <n v="42748.2"/>
    <n v="52806.6"/>
    <n v="48"/>
    <n v="50.8"/>
    <n v="47.52"/>
    <n v="50.291999999999994"/>
    <n v="230637"/>
    <n v="102945.95000000001"/>
    <n v="58685.467152611724"/>
    <n v="60365.74"/>
    <n v="8639.8428473882759"/>
    <n v="0"/>
    <n v="230637"/>
    <e v="#REF!"/>
    <e v="#REF!"/>
    <e v="#REF!"/>
    <x v="10"/>
  </r>
  <r>
    <x v="40"/>
    <s v="Wk 40"/>
    <x v="3"/>
    <d v="2022-10-04T00:00:00"/>
    <n v="2625"/>
    <n v="625"/>
    <n v="2000"/>
    <n v="39.249937232813259"/>
    <n v="47.22242820266333"/>
    <n v="118976.06717583495"/>
    <n v="24531.210770508285"/>
    <n v="94444.85640532666"/>
    <n v="315"/>
    <n v="2625"/>
    <n v="625"/>
    <n v="2000"/>
    <n v="1050"/>
    <n v="950"/>
    <n v="116596.54583231825"/>
    <n v="24040.586555098118"/>
    <n v="92555.959277220129"/>
    <n v="48591.878620540563"/>
    <n v="43964.080656679558"/>
    <n v="90"/>
    <n v="0"/>
    <n v="90"/>
    <n v="90"/>
    <n v="0"/>
    <n v="2573"/>
    <n v="595"/>
    <n v="1978"/>
    <n v="1130"/>
    <n v="848"/>
    <n v="119673.97199999999"/>
    <n v="24504.48"/>
    <n v="95169.491999999998"/>
    <n v="54368.82"/>
    <n v="40800.672000000006"/>
    <n v="41.6"/>
    <n v="48.6"/>
    <n v="41.183999999999997"/>
    <n v="48.113999999999997"/>
    <n v="143973.81060152181"/>
    <n v="67609.919999999998"/>
    <n v="58681.91441476754"/>
    <n v="9317.3866015218046"/>
    <n v="8364.5895852324575"/>
    <n v="0"/>
    <n v="143973.81060152181"/>
    <e v="#REF!"/>
    <e v="#REF!"/>
    <e v="#REF!"/>
    <x v="10"/>
  </r>
  <r>
    <x v="40"/>
    <s v="Wk 40"/>
    <x v="4"/>
    <d v="2022-10-05T00:00:00"/>
    <n v="2775"/>
    <n v="725"/>
    <n v="2050"/>
    <n v="37.884995323506921"/>
    <n v="47.880666269925108"/>
    <n v="125621.987462889"/>
    <n v="27466.621609542519"/>
    <n v="98155.365853346477"/>
    <n v="316"/>
    <n v="2775"/>
    <n v="725"/>
    <n v="2050"/>
    <n v="1050"/>
    <n v="1000"/>
    <n v="123109.54771363121"/>
    <n v="26917.289177351668"/>
    <n v="96192.258536279551"/>
    <n v="49269.205591752936"/>
    <n v="46923.052944526607"/>
    <n v="90"/>
    <n v="0"/>
    <n v="90"/>
    <n v="90"/>
    <n v="0"/>
    <n v="2620"/>
    <n v="607"/>
    <n v="2013"/>
    <n v="1092"/>
    <n v="921"/>
    <n v="124683.27299999999"/>
    <n v="25239.06"/>
    <n v="99444.212999999989"/>
    <n v="53945.891999999993"/>
    <n v="45498.321000000004"/>
    <n v="42"/>
    <n v="49.9"/>
    <n v="41.580000000000005"/>
    <n v="49.400999999999996"/>
    <n v="141802.46562379089"/>
    <n v="66448"/>
    <n v="52521.372997277525"/>
    <n v="14222.305623790886"/>
    <n v="8610.7870027224799"/>
    <n v="0"/>
    <n v="141802.46562379089"/>
    <e v="#REF!"/>
    <e v="#REF!"/>
    <e v="#REF!"/>
    <x v="10"/>
  </r>
  <r>
    <x v="40"/>
    <s v="Wk 40"/>
    <x v="5"/>
    <d v="2022-10-06T00:00:00"/>
    <n v="2600"/>
    <n v="650"/>
    <n v="1950"/>
    <n v="40.693676263215501"/>
    <n v="48.865742433718651"/>
    <n v="121739.08731684144"/>
    <n v="26450.889571090076"/>
    <n v="95288.197745751371"/>
    <n v="317"/>
    <n v="2600"/>
    <n v="650"/>
    <n v="1950"/>
    <n v="1000"/>
    <n v="950"/>
    <n v="119304.30557050461"/>
    <n v="25921.871779668276"/>
    <n v="93382.433790836338"/>
    <n v="47888.427585044279"/>
    <n v="45494.006205792066"/>
    <n v="90"/>
    <n v="0"/>
    <n v="90"/>
    <n v="90"/>
    <n v="0"/>
    <n v="2632"/>
    <n v="557"/>
    <n v="2075"/>
    <n v="1056"/>
    <n v="1019"/>
    <n v="124550.31600000002"/>
    <n v="24097.491000000002"/>
    <n v="100452.82500000001"/>
    <n v="51122.016000000003"/>
    <n v="49330.809000000001"/>
    <n v="43.7"/>
    <n v="48.9"/>
    <n v="43.263000000000005"/>
    <n v="48.411000000000008"/>
    <n v="127175.98768881564"/>
    <n v="56331.455999999998"/>
    <n v="53663.014037349785"/>
    <n v="8295.475688815648"/>
    <n v="8886.0419626502098"/>
    <n v="0"/>
    <n v="127175.98768881564"/>
    <e v="#REF!"/>
    <e v="#REF!"/>
    <e v="#REF!"/>
    <x v="10"/>
  </r>
  <r>
    <x v="40"/>
    <s v="Wk 40"/>
    <x v="0"/>
    <d v="2022-10-07T00:00:00"/>
    <n v="3075"/>
    <n v="1025"/>
    <n v="2050"/>
    <n v="51.592636472309863"/>
    <n v="51.646023910098968"/>
    <n v="158756.80139982048"/>
    <n v="52882.452384117612"/>
    <n v="105874.34901570289"/>
    <n v="318"/>
    <n v="3050"/>
    <n v="1025"/>
    <n v="2025"/>
    <n v="1050"/>
    <n v="975"/>
    <n v="154316.33778602665"/>
    <n v="51824.80333643526"/>
    <n v="102491.53444959139"/>
    <n v="53143.758603491835"/>
    <n v="49347.775846099561"/>
    <n v="90"/>
    <n v="0"/>
    <n v="90"/>
    <n v="90"/>
    <n v="0"/>
    <n v="3093"/>
    <n v="966"/>
    <n v="2127"/>
    <n v="1111"/>
    <n v="1016"/>
    <n v="158672.25"/>
    <n v="50016.581999999995"/>
    <n v="108655.66800000001"/>
    <n v="56754.324000000001"/>
    <n v="51901.343999999997"/>
    <n v="52.3"/>
    <n v="51.6"/>
    <n v="51.776999999999994"/>
    <n v="51.084000000000003"/>
    <n v="122292.9410986015"/>
    <n v="49253.078000000001"/>
    <n v="58169.844778914347"/>
    <n v="6317.7130986014927"/>
    <n v="8552.3052210856604"/>
    <n v="0"/>
    <n v="122292.9410986015"/>
    <e v="#REF!"/>
    <e v="#REF!"/>
    <e v="#REF!"/>
    <x v="10"/>
  </r>
  <r>
    <x v="40"/>
    <s v="Wk 40"/>
    <x v="1"/>
    <d v="2022-10-08T00:00:00"/>
    <n v="2925"/>
    <n v="925"/>
    <n v="2000"/>
    <n v="50.678639147456515"/>
    <n v="51.56287019022848"/>
    <n v="150003.48159185424"/>
    <n v="46877.741211397275"/>
    <n v="103125.74038045696"/>
    <n v="319"/>
    <n v="2775"/>
    <n v="925"/>
    <n v="1850"/>
    <n v="1050"/>
    <n v="800"/>
    <n v="139423.67004205356"/>
    <n v="45940.186387169328"/>
    <n v="93483.483654884229"/>
    <n v="53058.193425745107"/>
    <n v="40425.290229139122"/>
    <n v="90"/>
    <n v="0"/>
    <n v="90"/>
    <n v="90"/>
    <n v="0"/>
    <n v="2802"/>
    <n v="880"/>
    <n v="1922"/>
    <n v="1054"/>
    <n v="868"/>
    <n v="146188.74600000001"/>
    <n v="45912.24"/>
    <n v="100276.50600000001"/>
    <n v="54990.342000000004"/>
    <n v="45286.164000000004"/>
    <n v="52.7"/>
    <n v="52.7"/>
    <n v="52.172999999999995"/>
    <n v="52.173000000000002"/>
    <n v="124378.00000000007"/>
    <n v="57479.065459034748"/>
    <n v="53469.079566738103"/>
    <n v="6974.6774128576735"/>
    <n v="6455.177561369539"/>
    <n v="0"/>
    <n v="124378.00000000007"/>
    <e v="#REF!"/>
    <e v="#REF!"/>
    <e v="#REF!"/>
    <x v="10"/>
  </r>
  <r>
    <x v="40"/>
    <s v="Wk 40"/>
    <x v="6"/>
    <d v="2022-10-09T00:00:00"/>
    <n v="0"/>
    <n v="0"/>
    <n v="0"/>
    <n v="0"/>
    <n v="0"/>
    <n v="0"/>
    <n v="0"/>
    <n v="0"/>
    <n v="320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0"/>
  </r>
  <r>
    <x v="41"/>
    <s v="Wk 41"/>
    <x v="2"/>
    <d v="2022-10-10T00:00:00"/>
    <n v="2700"/>
    <n v="750"/>
    <n v="1950"/>
    <n v="48.110059587769335"/>
    <n v="50.072541070168036"/>
    <n v="133723.99977765468"/>
    <n v="36082.544690827002"/>
    <n v="97641.455086827671"/>
    <n v="322"/>
    <n v="2600"/>
    <n v="750"/>
    <n v="1850"/>
    <n v="800"/>
    <n v="1050"/>
    <n v="126142.41075722511"/>
    <n v="35360.89379701046"/>
    <n v="90781.516960214649"/>
    <n v="39256.872199011741"/>
    <n v="51524.644761202908"/>
    <n v="90"/>
    <n v="0"/>
    <n v="90"/>
    <n v="90"/>
    <n v="0"/>
    <n v="2592"/>
    <n v="683"/>
    <n v="1909"/>
    <n v="842"/>
    <n v="1067"/>
    <n v="128572.785"/>
    <n v="33132.33"/>
    <n v="95440.455000000002"/>
    <n v="42095.79"/>
    <n v="53344.665000000001"/>
    <n v="49"/>
    <n v="50.5"/>
    <n v="48.510000000000005"/>
    <n v="49.994999999999997"/>
    <n v="241233.00000000003"/>
    <n v="103129.95000000001"/>
    <n v="63743.943719300194"/>
    <n v="64974.54"/>
    <n v="9384.5662806998134"/>
    <n v="0"/>
    <n v="241233.00000000003"/>
    <e v="#REF!"/>
    <e v="#REF!"/>
    <e v="#REF!"/>
    <x v="10"/>
  </r>
  <r>
    <x v="41"/>
    <s v="Wk 41"/>
    <x v="3"/>
    <d v="2022-10-11T00:00:00"/>
    <n v="2700"/>
    <n v="650"/>
    <n v="2050"/>
    <n v="41.389452378513631"/>
    <n v="48.184306495762847"/>
    <n v="125680.9723623477"/>
    <n v="26903.14404603386"/>
    <n v="98777.82831631384"/>
    <n v="323"/>
    <n v="2700"/>
    <n v="650"/>
    <n v="2050"/>
    <n v="1050"/>
    <n v="1000"/>
    <n v="123167.35291510074"/>
    <n v="26365.081165113181"/>
    <n v="96802.271749987558"/>
    <n v="49581.651384139965"/>
    <n v="47220.620365847586"/>
    <n v="90"/>
    <n v="0"/>
    <n v="90"/>
    <n v="90"/>
    <n v="0"/>
    <n v="2640"/>
    <n v="590"/>
    <n v="2050"/>
    <n v="1050"/>
    <n v="1000"/>
    <n v="125810.19"/>
    <n v="25349.94"/>
    <n v="100460.25"/>
    <n v="51455.25"/>
    <n v="49005"/>
    <n v="43.4"/>
    <n v="49.5"/>
    <n v="42.966000000000001"/>
    <n v="49.005000000000003"/>
    <n v="152947.001668251"/>
    <n v="73437.599999999991"/>
    <n v="63740.039302308491"/>
    <n v="6683.7816682510147"/>
    <n v="9085.5806976915082"/>
    <n v="0"/>
    <n v="152947.001668251"/>
    <e v="#REF!"/>
    <e v="#REF!"/>
    <e v="#REF!"/>
    <x v="10"/>
  </r>
  <r>
    <x v="41"/>
    <s v="Wk 41"/>
    <x v="4"/>
    <d v="2022-10-12T00:00:00"/>
    <n v="2850"/>
    <n v="750"/>
    <n v="2100"/>
    <n v="39.946705574553164"/>
    <n v="48.322842806116263"/>
    <n v="131437.99907375901"/>
    <n v="29960.029180914873"/>
    <n v="101477.96989284415"/>
    <n v="324"/>
    <n v="2850"/>
    <n v="750"/>
    <n v="2100"/>
    <n v="1100"/>
    <n v="1000"/>
    <n v="128809.23909228385"/>
    <n v="29360.828597296575"/>
    <n v="99448.410494987271"/>
    <n v="52092.024544993328"/>
    <n v="47356.385949993935"/>
    <n v="90"/>
    <n v="0"/>
    <n v="90"/>
    <n v="90"/>
    <n v="0"/>
    <n v="2639"/>
    <n v="575"/>
    <n v="2064"/>
    <n v="1108"/>
    <n v="956"/>
    <n v="127730.29500000001"/>
    <n v="26583.974999999999"/>
    <n v="101146.32"/>
    <n v="54297.54"/>
    <n v="46848.78"/>
    <n v="46.7"/>
    <n v="49.5"/>
    <n v="46.232999999999997"/>
    <n v="49.005000000000003"/>
    <n v="146187.4539057597"/>
    <n v="67175.5"/>
    <n v="62048.464314426397"/>
    <n v="7610.4939057596785"/>
    <n v="9352.9956855736255"/>
    <n v="0"/>
    <n v="146187.4539057597"/>
    <e v="#REF!"/>
    <e v="#REF!"/>
    <e v="#REF!"/>
    <x v="10"/>
  </r>
  <r>
    <x v="41"/>
    <s v="Wk 41"/>
    <x v="5"/>
    <d v="2022-10-13T00:00:00"/>
    <n v="2600"/>
    <n v="600"/>
    <n v="2000"/>
    <n v="44.782867462521828"/>
    <n v="49.285979068142709"/>
    <n v="125441.67861379852"/>
    <n v="26869.720477513096"/>
    <n v="98571.958136285422"/>
    <n v="325"/>
    <n v="2600"/>
    <n v="600"/>
    <n v="2000"/>
    <n v="1050"/>
    <n v="950"/>
    <n v="122932.84504152254"/>
    <n v="26332.326067962833"/>
    <n v="96600.518973559709"/>
    <n v="50715.272461118846"/>
    <n v="45885.246512440863"/>
    <n v="90"/>
    <n v="0"/>
    <n v="90"/>
    <n v="90"/>
    <n v="0"/>
    <n v="2433"/>
    <n v="536"/>
    <n v="1897"/>
    <n v="875"/>
    <n v="1022"/>
    <n v="113967.01800000001"/>
    <n v="24197.184000000001"/>
    <n v="89769.834000000003"/>
    <n v="41406.75"/>
    <n v="48363.083999999995"/>
    <n v="45.6"/>
    <n v="47.8"/>
    <n v="45.144000000000005"/>
    <n v="47.322000000000003"/>
    <n v="147167.62518599079"/>
    <n v="56186.71"/>
    <n v="63288.2728546773"/>
    <n v="18040.705185990813"/>
    <n v="9651.9371453226649"/>
    <n v="0"/>
    <n v="147167.62518599079"/>
    <e v="#REF!"/>
    <e v="#REF!"/>
    <e v="#REF!"/>
    <x v="10"/>
  </r>
  <r>
    <x v="41"/>
    <s v="Wk 41"/>
    <x v="0"/>
    <d v="2022-10-14T00:00:00"/>
    <n v="3150"/>
    <n v="1000"/>
    <n v="2150"/>
    <n v="51.616666551731477"/>
    <n v="51.295889203800293"/>
    <n v="161902.8283399021"/>
    <n v="51616.666551731476"/>
    <n v="110286.16178817063"/>
    <n v="326"/>
    <n v="3100"/>
    <n v="1000"/>
    <n v="2100"/>
    <n v="1100"/>
    <n v="1000"/>
    <n v="156151.27320211782"/>
    <n v="50584.333220696848"/>
    <n v="105566.93998142099"/>
    <n v="55296.968561696711"/>
    <n v="50269.971419724287"/>
    <n v="90"/>
    <n v="0"/>
    <n v="90"/>
    <n v="90"/>
    <n v="0"/>
    <n v="3096"/>
    <n v="1003"/>
    <n v="2093"/>
    <n v="1112"/>
    <n v="981"/>
    <n v="157789.26899999997"/>
    <n v="52528.112999999998"/>
    <n v="105261.15599999999"/>
    <n v="55924.703999999998"/>
    <n v="49336.451999999997"/>
    <n v="52.9"/>
    <n v="50.8"/>
    <n v="52.370999999999995"/>
    <n v="50.291999999999994"/>
    <n v="131728.66047795964"/>
    <n v="53498.62"/>
    <n v="63183.998800767789"/>
    <n v="5756.5404779596465"/>
    <n v="9289.5011992322125"/>
    <n v="0"/>
    <n v="131728.66047795964"/>
    <e v="#REF!"/>
    <e v="#REF!"/>
    <e v="#REF!"/>
    <x v="10"/>
  </r>
  <r>
    <x v="41"/>
    <s v="Wk 41"/>
    <x v="1"/>
    <d v="2022-10-15T00:00:00"/>
    <n v="2850"/>
    <n v="900"/>
    <n v="1950"/>
    <n v="51.256330005904942"/>
    <n v="52.040124060982151"/>
    <n v="147608.93892422965"/>
    <n v="46130.697005314447"/>
    <n v="101478.2419189152"/>
    <n v="327"/>
    <n v="2900"/>
    <n v="900"/>
    <n v="2000"/>
    <n v="1150"/>
    <n v="850"/>
    <n v="147206.7262247332"/>
    <n v="45208.083065208157"/>
    <n v="101998.64315952503"/>
    <n v="58649.219816726887"/>
    <n v="43349.423342798138"/>
    <n v="90"/>
    <n v="0"/>
    <n v="90"/>
    <n v="90"/>
    <n v="0"/>
    <n v="2858"/>
    <n v="991"/>
    <n v="1867"/>
    <n v="1077"/>
    <n v="790"/>
    <n v="142666.72200000001"/>
    <n v="48956.391000000003"/>
    <n v="93710.331000000006"/>
    <n v="54057.861000000004"/>
    <n v="39652.47"/>
    <n v="49.9"/>
    <n v="50.7"/>
    <n v="49.401000000000003"/>
    <n v="50.193000000000005"/>
    <n v="132654.00000000009"/>
    <n v="62433.08618337151"/>
    <n v="58077.486578393793"/>
    <n v="5131.8891452019343"/>
    <n v="7011.5380930328411"/>
    <n v="0"/>
    <n v="132654.00000000009"/>
    <e v="#REF!"/>
    <e v="#REF!"/>
    <e v="#REF!"/>
    <x v="10"/>
  </r>
  <r>
    <x v="41"/>
    <s v="Wk 41"/>
    <x v="6"/>
    <d v="2022-10-16T00:00:00"/>
    <n v="0"/>
    <n v="0"/>
    <n v="0"/>
    <n v="0"/>
    <n v="0"/>
    <n v="0"/>
    <n v="0"/>
    <n v="0"/>
    <n v="32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0"/>
  </r>
  <r>
    <x v="42"/>
    <s v="Wk 42"/>
    <x v="2"/>
    <d v="2022-10-17T00:00:00"/>
    <n v="2650"/>
    <n v="700"/>
    <n v="1950"/>
    <n v="48.665359724130212"/>
    <n v="50.082639783140138"/>
    <n v="131726.89938401442"/>
    <n v="34065.751806891145"/>
    <n v="97661.147577123265"/>
    <n v="330"/>
    <n v="2550"/>
    <n v="700"/>
    <n v="1850"/>
    <n v="800"/>
    <n v="1050"/>
    <n v="124184.26269758638"/>
    <n v="33384.436770753324"/>
    <n v="90799.825926833058"/>
    <n v="39264.789589981869"/>
    <n v="51535.036336851197"/>
    <n v="90"/>
    <n v="0"/>
    <n v="90"/>
    <n v="90"/>
    <n v="0"/>
    <n v="2533"/>
    <n v="723"/>
    <n v="1810"/>
    <n v="743"/>
    <n v="1067"/>
    <n v="119117.79000000001"/>
    <n v="31493.88"/>
    <n v="87623.91"/>
    <n v="35969.373"/>
    <n v="51654.536999999997"/>
    <n v="44"/>
    <n v="48.9"/>
    <n v="43.56"/>
    <n v="48.411000000000001"/>
    <n v="245823.00000000003"/>
    <n v="102477.1"/>
    <n v="63340.421428664486"/>
    <n v="70680.320000000007"/>
    <n v="9325.1585713355125"/>
    <n v="0"/>
    <n v="245823.00000000003"/>
    <e v="#REF!"/>
    <e v="#REF!"/>
    <e v="#REF!"/>
    <x v="10"/>
  </r>
  <r>
    <x v="42"/>
    <s v="Wk 42"/>
    <x v="3"/>
    <d v="2022-10-18T00:00:00"/>
    <n v="2650"/>
    <n v="600"/>
    <n v="2050"/>
    <n v="42.644030436027933"/>
    <n v="48.435882497684524"/>
    <n v="124879.97738187003"/>
    <n v="25586.41826161676"/>
    <n v="99293.559120253281"/>
    <n v="331"/>
    <n v="2700"/>
    <n v="600"/>
    <n v="2100"/>
    <n v="1100"/>
    <n v="1000"/>
    <n v="124755.73607661917"/>
    <n v="25074.689896384425"/>
    <n v="99681.046180234742"/>
    <n v="52213.881332503915"/>
    <n v="47467.164847730826"/>
    <n v="90"/>
    <n v="0"/>
    <n v="90"/>
    <n v="90"/>
    <n v="0"/>
    <n v="2644"/>
    <n v="603"/>
    <n v="2041"/>
    <n v="1093"/>
    <n v="948"/>
    <n v="118534.28400000001"/>
    <n v="23162.435999999998"/>
    <n v="95371.848000000013"/>
    <n v="51073.704000000005"/>
    <n v="44298.144000000008"/>
    <n v="38.799999999999997"/>
    <n v="47.2"/>
    <n v="38.411999999999999"/>
    <n v="46.728000000000009"/>
    <n v="151978.30566762004"/>
    <n v="72972.479999999996"/>
    <n v="63336.339193913205"/>
    <n v="6641.4496676200442"/>
    <n v="9028.0368060867968"/>
    <n v="0"/>
    <n v="151978.30566762004"/>
    <e v="#REF!"/>
    <e v="#REF!"/>
    <e v="#REF!"/>
    <x v="10"/>
  </r>
  <r>
    <x v="42"/>
    <s v="Wk 42"/>
    <x v="4"/>
    <d v="2022-10-19T00:00:00"/>
    <n v="2700"/>
    <n v="600"/>
    <n v="2100"/>
    <n v="43.375738453558739"/>
    <n v="48.83837548612788"/>
    <n v="128586.03159300379"/>
    <n v="26025.443072135244"/>
    <n v="102560.58852086855"/>
    <n v="332"/>
    <n v="2650"/>
    <n v="600"/>
    <n v="2050"/>
    <n v="1050"/>
    <n v="1000"/>
    <n v="123621.23056232344"/>
    <n v="25504.93421069254"/>
    <n v="98116.29635163091"/>
    <n v="50254.688375225589"/>
    <n v="47861.607976405321"/>
    <n v="90"/>
    <n v="0"/>
    <n v="90"/>
    <n v="90"/>
    <n v="0"/>
    <n v="2392"/>
    <n v="585"/>
    <n v="1807"/>
    <n v="974"/>
    <n v="833"/>
    <n v="107961.28200000001"/>
    <n v="23166"/>
    <n v="84795.282000000007"/>
    <n v="45705.923999999999"/>
    <n v="39089.358"/>
    <n v="40"/>
    <n v="47.4"/>
    <n v="39.6"/>
    <n v="46.926000000000002"/>
    <n v="157959.37505026255"/>
    <n v="66718.5"/>
    <n v="61687.24550483458"/>
    <n v="20259.855050262562"/>
    <n v="9293.774495165424"/>
    <n v="0"/>
    <n v="157959.37505026255"/>
    <e v="#REF!"/>
    <e v="#REF!"/>
    <e v="#REF!"/>
    <x v="10"/>
  </r>
  <r>
    <x v="42"/>
    <s v="Wk 42"/>
    <x v="5"/>
    <d v="2022-10-20T00:00:00"/>
    <n v="2525"/>
    <n v="575"/>
    <n v="1950"/>
    <n v="44.377521222287918"/>
    <n v="49.142936630785485"/>
    <n v="121345.80113284723"/>
    <n v="25517.074702815553"/>
    <n v="95828.726430031689"/>
    <n v="333"/>
    <n v="2525"/>
    <n v="575"/>
    <n v="1950"/>
    <n v="1000"/>
    <n v="950"/>
    <n v="118918.8851101903"/>
    <n v="25006.73320875924"/>
    <n v="93912.151901431062"/>
    <n v="48160.077898169773"/>
    <n v="45752.074003261281"/>
    <n v="90"/>
    <n v="0"/>
    <n v="90"/>
    <n v="90"/>
    <n v="0"/>
    <n v="2276"/>
    <n v="571"/>
    <n v="1705"/>
    <n v="781"/>
    <n v="924"/>
    <n v="101721.51000000001"/>
    <n v="22894.244999999999"/>
    <n v="78827.265000000014"/>
    <n v="36107.973000000005"/>
    <n v="42719.292000000001"/>
    <n v="40.5"/>
    <n v="46.7"/>
    <n v="40.094999999999999"/>
    <n v="46.233000000000011"/>
    <n v="139383.89342072821"/>
    <n v="55799.395000000004"/>
    <n v="62919.305109872803"/>
    <n v="11074.353420728192"/>
    <n v="9590.839890127203"/>
    <n v="0"/>
    <n v="139383.89342072821"/>
    <e v="#REF!"/>
    <e v="#REF!"/>
    <e v="#REF!"/>
    <x v="10"/>
  </r>
  <r>
    <x v="42"/>
    <s v="Wk 42"/>
    <x v="0"/>
    <d v="2022-10-21T00:00:00"/>
    <n v="3300"/>
    <n v="1100"/>
    <n v="2200"/>
    <n v="49.422358267272315"/>
    <n v="50.521001740655684"/>
    <n v="165510.79792344203"/>
    <n v="54364.594093999549"/>
    <n v="111146.2038294425"/>
    <n v="334"/>
    <n v="3300"/>
    <n v="1100"/>
    <n v="2200"/>
    <n v="1150"/>
    <n v="1050"/>
    <n v="162200.58196497319"/>
    <n v="53277.302212119554"/>
    <n v="108923.27975285365"/>
    <n v="56937.168961718955"/>
    <n v="51986.110791134699"/>
    <n v="90"/>
    <n v="0"/>
    <n v="90"/>
    <n v="90"/>
    <n v="0"/>
    <n v="3335"/>
    <n v="1224"/>
    <n v="2111"/>
    <n v="1109"/>
    <n v="1002"/>
    <n v="141236.96399999998"/>
    <n v="46773.936000000002"/>
    <n v="94463.027999999991"/>
    <n v="49625.531999999999"/>
    <n v="44837.495999999999"/>
    <n v="38.6"/>
    <n v="45.2"/>
    <n v="38.213999999999999"/>
    <n v="44.747999999999998"/>
    <n v="130894.92212447542"/>
    <n v="53160.016000000003"/>
    <n v="62784.094004533137"/>
    <n v="5720.1061244754064"/>
    <n v="9230.7059954668675"/>
    <n v="0"/>
    <n v="130894.92212447542"/>
    <e v="#REF!"/>
    <e v="#REF!"/>
    <e v="#REF!"/>
    <x v="10"/>
  </r>
  <r>
    <x v="42"/>
    <s v="Wk 42"/>
    <x v="1"/>
    <d v="2022-10-22T00:00:00"/>
    <n v="3100"/>
    <n v="1000"/>
    <n v="2100"/>
    <n v="49.077340212943263"/>
    <n v="51.261108390265299"/>
    <n v="156725.66783250039"/>
    <n v="49077.340212943265"/>
    <n v="107648.32761955712"/>
    <n v="335"/>
    <n v="3000"/>
    <n v="1000"/>
    <n v="2000"/>
    <n v="1100"/>
    <n v="900"/>
    <n v="148567.56585360438"/>
    <n v="48095.793408684396"/>
    <n v="100471.77244491997"/>
    <n v="55259.47484470599"/>
    <n v="45212.297600213991"/>
    <n v="90"/>
    <n v="0"/>
    <n v="90"/>
    <n v="90"/>
    <n v="0"/>
    <n v="3048"/>
    <n v="1200"/>
    <n v="1848"/>
    <n v="1068"/>
    <n v="780"/>
    <n v="128971.65599999999"/>
    <n v="46094.400000000001"/>
    <n v="82877.255999999994"/>
    <n v="47896.59599999999"/>
    <n v="34980.659999999996"/>
    <n v="38.799999999999997"/>
    <n v="45.3"/>
    <n v="38.411999999999999"/>
    <n v="44.846999999999994"/>
    <n v="131814.00000000006"/>
    <n v="62037.743469288012"/>
    <n v="57709.724666006296"/>
    <n v="5099.3926740667284"/>
    <n v="6967.1391906390381"/>
    <n v="0"/>
    <n v="131814.00000000006"/>
    <e v="#REF!"/>
    <e v="#REF!"/>
    <e v="#REF!"/>
    <x v="10"/>
  </r>
  <r>
    <x v="42"/>
    <s v="Wk 42"/>
    <x v="6"/>
    <d v="2022-10-23T00:00:00"/>
    <n v="0"/>
    <n v="0"/>
    <n v="0"/>
    <n v="0"/>
    <n v="0"/>
    <n v="0"/>
    <n v="0"/>
    <n v="0"/>
    <n v="33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0"/>
  </r>
  <r>
    <x v="43"/>
    <s v="Wk 43"/>
    <x v="2"/>
    <d v="2022-10-24T00:00:00"/>
    <n v="2850"/>
    <n v="800"/>
    <n v="2050"/>
    <n v="46.538583432407052"/>
    <n v="49.325866154989747"/>
    <n v="138348.89236365462"/>
    <n v="37230.866745925639"/>
    <n v="101118.02561772898"/>
    <n v="338"/>
    <n v="2775"/>
    <n v="800"/>
    <n v="1975"/>
    <n v="900"/>
    <n v="1075"/>
    <n v="131956.46335398979"/>
    <n v="36486.249411007127"/>
    <n v="95470.213942982664"/>
    <n v="43505.41394870096"/>
    <n v="51964.799994281704"/>
    <n v="90"/>
    <n v="0"/>
    <n v="90"/>
    <n v="90"/>
    <n v="0"/>
    <n v="2927"/>
    <n v="1010"/>
    <n v="1917"/>
    <n v="859"/>
    <n v="1058"/>
    <n v="118688.823"/>
    <n v="33096.69"/>
    <n v="85592.133000000002"/>
    <n v="38353.491000000002"/>
    <n v="47238.642"/>
    <n v="33.1"/>
    <n v="45.1"/>
    <n v="32.769000000000005"/>
    <n v="44.649000000000001"/>
    <n v="212453"/>
    <n v="99840.950000000012"/>
    <n v="61711.03445392404"/>
    <n v="41815.74"/>
    <n v="9085.2755460759563"/>
    <n v="0"/>
    <n v="212453"/>
    <e v="#REF!"/>
    <e v="#REF!"/>
    <e v="#REF!"/>
    <x v="10"/>
  </r>
  <r>
    <x v="43"/>
    <s v="Wk 43"/>
    <x v="3"/>
    <d v="2022-10-25T00:00:00"/>
    <n v="2700"/>
    <n v="650"/>
    <n v="2050"/>
    <n v="40.909487575644114"/>
    <n v="47.708077888500966"/>
    <n v="124392.72659559565"/>
    <n v="26591.166924168676"/>
    <n v="97801.559671426978"/>
    <n v="339"/>
    <n v="2850"/>
    <n v="700"/>
    <n v="2150"/>
    <n v="1100"/>
    <n v="1050"/>
    <n v="128584.82858796339"/>
    <n v="28063.908476891862"/>
    <n v="100520.92011107154"/>
    <n v="51429.307963804044"/>
    <n v="49091.612147267493"/>
    <n v="90"/>
    <n v="0"/>
    <n v="90"/>
    <n v="90"/>
    <n v="0"/>
    <n v="2972"/>
    <n v="800"/>
    <n v="2172"/>
    <n v="1160"/>
    <n v="1012"/>
    <n v="121031.45999999999"/>
    <n v="25344"/>
    <n v="95687.459999999992"/>
    <n v="51103.8"/>
    <n v="44583.659999999996"/>
    <n v="32"/>
    <n v="44.5"/>
    <n v="31.68"/>
    <n v="44.055"/>
    <n v="148069.53233174066"/>
    <n v="71095.679999999993"/>
    <n v="61707.37384424801"/>
    <n v="6470.6363317406922"/>
    <n v="8795.8421557519887"/>
    <n v="0"/>
    <n v="148069.53233174066"/>
    <e v="#REF!"/>
    <e v="#REF!"/>
    <e v="#REF!"/>
    <x v="10"/>
  </r>
  <r>
    <x v="43"/>
    <s v="Wk 43"/>
    <x v="4"/>
    <d v="2022-10-26T00:00:00"/>
    <n v="2700"/>
    <n v="650"/>
    <n v="2050"/>
    <n v="41.531765400053118"/>
    <n v="48.078325257563478"/>
    <n v="125556.21428803966"/>
    <n v="26995.647510034527"/>
    <n v="98560.56677800513"/>
    <n v="340"/>
    <n v="2800"/>
    <n v="650"/>
    <n v="2150"/>
    <n v="1100"/>
    <n v="1050"/>
    <n v="127756.76587752008"/>
    <n v="26455.734559833836"/>
    <n v="101301.03131768625"/>
    <n v="51828.434627653427"/>
    <n v="49472.59669003282"/>
    <n v="90"/>
    <n v="0"/>
    <n v="90"/>
    <n v="90"/>
    <n v="0"/>
    <n v="2710"/>
    <n v="775"/>
    <n v="1935"/>
    <n v="1115"/>
    <n v="820"/>
    <n v="107880.29999999999"/>
    <n v="22633.875"/>
    <n v="85246.424999999988"/>
    <n v="49121.324999999997"/>
    <n v="36125.1"/>
    <n v="29.5"/>
    <n v="44.5"/>
    <n v="29.204999999999998"/>
    <n v="44.054999999999993"/>
    <n v="146553.05678119379"/>
    <n v="64874"/>
    <n v="60229.328449490873"/>
    <n v="12394.976781193782"/>
    <n v="9054.7515505091287"/>
    <n v="0"/>
    <n v="146553.05678119379"/>
    <e v="#REF!"/>
    <e v="#REF!"/>
    <e v="#REF!"/>
    <x v="10"/>
  </r>
  <r>
    <x v="43"/>
    <s v="Wk 43"/>
    <x v="5"/>
    <d v="2022-10-27T00:00:00"/>
    <n v="2600"/>
    <n v="600"/>
    <n v="2000"/>
    <n v="43.631967861485002"/>
    <n v="47.886997547659142"/>
    <n v="121953.17581220929"/>
    <n v="26179.180716891002"/>
    <n v="95773.995095318285"/>
    <n v="341"/>
    <n v="2650"/>
    <n v="600"/>
    <n v="2050"/>
    <n v="1050"/>
    <n v="1000"/>
    <n v="121860.57517580039"/>
    <n v="25655.59710255318"/>
    <n v="96204.978073247214"/>
    <n v="49275.720476541253"/>
    <n v="46929.25759670596"/>
    <n v="90"/>
    <n v="0"/>
    <n v="90"/>
    <n v="90"/>
    <n v="0"/>
    <n v="2398"/>
    <n v="560"/>
    <n v="1838"/>
    <n v="820"/>
    <n v="1018"/>
    <n v="104420.052"/>
    <n v="19625.759999999998"/>
    <n v="84794.292000000001"/>
    <n v="37829.879999999997"/>
    <n v="46964.412000000004"/>
    <n v="35.4"/>
    <n v="46.6"/>
    <n v="35.045999999999999"/>
    <n v="46.134"/>
    <n v="134170.97639887259"/>
    <n v="56235.639000000003"/>
    <n v="59429.62481155085"/>
    <n v="9161.5483988725609"/>
    <n v="9344.1641884491564"/>
    <n v="0"/>
    <n v="134170.97639887259"/>
    <e v="#REF!"/>
    <e v="#REF!"/>
    <e v="#REF!"/>
    <x v="10"/>
  </r>
  <r>
    <x v="43"/>
    <s v="Wk 43"/>
    <x v="0"/>
    <d v="2022-10-28T00:00:00"/>
    <n v="3100"/>
    <n v="950"/>
    <n v="2150"/>
    <n v="52.284124568198159"/>
    <n v="49.319616999262749"/>
    <n v="155707.09488820317"/>
    <n v="49669.918339788252"/>
    <n v="106037.17654841491"/>
    <n v="342"/>
    <n v="3150"/>
    <n v="950"/>
    <n v="2200"/>
    <n v="1150"/>
    <n v="1050"/>
    <n v="155009.61422340298"/>
    <n v="48676.519972992486"/>
    <n v="106333.09425041049"/>
    <n v="55583.208358169119"/>
    <n v="50749.885892241371"/>
    <n v="90"/>
    <n v="0"/>
    <n v="90"/>
    <n v="90"/>
    <n v="0"/>
    <n v="2979"/>
    <n v="870"/>
    <n v="2109"/>
    <n v="1122"/>
    <n v="987"/>
    <n v="148932.432"/>
    <n v="42031.44"/>
    <n v="106900.992"/>
    <n v="56871.936000000002"/>
    <n v="50029.056000000004"/>
    <n v="48.8"/>
    <n v="51.2"/>
    <n v="48.312000000000005"/>
    <n v="50.688000000000002"/>
    <n v="127591.9787497333"/>
    <n v="51792.608"/>
    <n v="61169.130750674252"/>
    <n v="5636.9707497332947"/>
    <n v="8993.2692493257564"/>
    <n v="0"/>
    <n v="127591.9787497333"/>
    <e v="#REF!"/>
    <e v="#REF!"/>
    <e v="#REF!"/>
    <x v="10"/>
  </r>
  <r>
    <x v="43"/>
    <s v="Wk 43"/>
    <x v="1"/>
    <d v="2022-10-29T00:00:00"/>
    <n v="2750"/>
    <n v="900"/>
    <n v="1850"/>
    <n v="50.903590649888258"/>
    <n v="49.820279799181336"/>
    <n v="137980.7492133849"/>
    <n v="45813.231584899433"/>
    <n v="92167.517628485468"/>
    <n v="343"/>
    <n v="2900"/>
    <n v="900"/>
    <n v="2000"/>
    <n v="1100"/>
    <n v="900"/>
    <n v="142544.71535959686"/>
    <n v="44896.966953201445"/>
    <n v="97647.748406395418"/>
    <n v="53706.261623517479"/>
    <n v="43941.486782877939"/>
    <n v="90"/>
    <n v="0"/>
    <n v="90"/>
    <n v="90"/>
    <n v="0"/>
    <n v="2830"/>
    <n v="850"/>
    <n v="1980"/>
    <n v="1030"/>
    <n v="950"/>
    <n v="143418.33000000002"/>
    <n v="42664.05"/>
    <n v="100754.28"/>
    <n v="52412.58"/>
    <n v="48341.7"/>
    <n v="50.7"/>
    <n v="51.4"/>
    <n v="50.193000000000005"/>
    <n v="50.886000000000003"/>
    <n v="128424.00000000007"/>
    <n v="60442.25323030819"/>
    <n v="56225.542662442473"/>
    <n v="4968.2462012710757"/>
    <n v="6787.9579059783318"/>
    <n v="0"/>
    <n v="128424.00000000007"/>
    <e v="#REF!"/>
    <e v="#REF!"/>
    <e v="#REF!"/>
    <x v="10"/>
  </r>
  <r>
    <x v="43"/>
    <s v="Wk 43"/>
    <x v="6"/>
    <d v="2022-10-30T00:00:00"/>
    <n v="0"/>
    <n v="0"/>
    <n v="0"/>
    <n v="0"/>
    <n v="0"/>
    <n v="0"/>
    <n v="0"/>
    <n v="0"/>
    <n v="344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0"/>
  </r>
  <r>
    <x v="44"/>
    <s v="Wk 44"/>
    <x v="2"/>
    <d v="2022-10-31T00:00:00"/>
    <n v="2700"/>
    <n v="800"/>
    <n v="1900"/>
    <n v="47.137825862313619"/>
    <n v="47.705282126489458"/>
    <n v="128350.29673018087"/>
    <n v="37710.260689850897"/>
    <n v="90640.036040329971"/>
    <n v="346"/>
    <n v="2700"/>
    <n v="800"/>
    <n v="1900"/>
    <n v="850"/>
    <n v="1050"/>
    <n v="125783.29079557725"/>
    <n v="36956.05547605388"/>
    <n v="88827.235319523374"/>
    <n v="39738.500011365715"/>
    <n v="49088.735308157651"/>
    <n v="90"/>
    <n v="0"/>
    <n v="90"/>
    <n v="90"/>
    <n v="0"/>
    <n v="2584"/>
    <n v="665"/>
    <n v="1919"/>
    <n v="837"/>
    <n v="1082"/>
    <n v="125005.617"/>
    <n v="31534.965"/>
    <n v="93470.652000000002"/>
    <n v="40768.595999999998"/>
    <n v="52702.056000000004"/>
    <n v="47.9"/>
    <n v="49.2"/>
    <n v="47.420999999999999"/>
    <n v="48.707999999999998"/>
    <n v="152201"/>
    <n v="83700.200000000012"/>
    <n v="51735.161144147642"/>
    <n v="9149.0399999999991"/>
    <n v="7616.5988558523613"/>
    <n v="55499"/>
    <n v="96702"/>
    <e v="#REF!"/>
    <e v="#REF!"/>
    <e v="#REF!"/>
    <x v="10"/>
  </r>
  <r>
    <x v="44"/>
    <s v="Wk 44"/>
    <x v="3"/>
    <d v="2022-11-01T00:00:00"/>
    <n v="0"/>
    <n v="0"/>
    <n v="0"/>
    <n v="0"/>
    <n v="0"/>
    <n v="0"/>
    <n v="0"/>
    <n v="0"/>
    <n v="347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4"/>
    <s v="Wk 44"/>
    <x v="4"/>
    <d v="2022-11-02T00:00:00"/>
    <n v="2700"/>
    <n v="750"/>
    <n v="1950"/>
    <n v="42.720562683239464"/>
    <n v="46.328789950572322"/>
    <n v="122381.56241604562"/>
    <n v="32040.422012429597"/>
    <n v="90341.140403616024"/>
    <n v="348"/>
    <n v="2750"/>
    <n v="800"/>
    <n v="1950"/>
    <n v="850"/>
    <n v="1100"/>
    <n v="122027.23873920346"/>
    <n v="33492.92114365974"/>
    <n v="88534.317595543718"/>
    <n v="38591.882028826745"/>
    <n v="49942.435566716966"/>
    <n v="90"/>
    <n v="0"/>
    <n v="90"/>
    <n v="90"/>
    <n v="0"/>
    <n v="2573"/>
    <n v="550"/>
    <n v="2023"/>
    <n v="859"/>
    <n v="1164"/>
    <n v="121708.818"/>
    <n v="24774.75"/>
    <n v="96934.067999999999"/>
    <n v="41159.843999999997"/>
    <n v="55774.223999999995"/>
    <n v="45.5"/>
    <n v="48.4"/>
    <n v="45.045000000000002"/>
    <n v="47.915999999999997"/>
    <n v="201862.75493518697"/>
    <n v="122369.5"/>
    <n v="62772.179466116009"/>
    <n v="6390.99493518695"/>
    <n v="10330.080533883996"/>
    <n v="42654"/>
    <n v="159208.75493518697"/>
    <e v="#REF!"/>
    <e v="#REF!"/>
    <e v="#REF!"/>
    <x v="11"/>
  </r>
  <r>
    <x v="44"/>
    <s v="Wk 44"/>
    <x v="5"/>
    <d v="2022-11-03T00:00:00"/>
    <n v="2800"/>
    <n v="650"/>
    <n v="2150"/>
    <n v="45.192516549830685"/>
    <n v="47.39099292386549"/>
    <n v="131265.77054370075"/>
    <n v="29375.135757389944"/>
    <n v="101890.63478631081"/>
    <n v="349"/>
    <n v="2800"/>
    <n v="650"/>
    <n v="2150"/>
    <n v="1150"/>
    <n v="1000"/>
    <n v="128640.45513282673"/>
    <n v="28787.633042242145"/>
    <n v="99852.822090584581"/>
    <n v="53409.649025196406"/>
    <n v="46443.173065388175"/>
    <n v="90"/>
    <n v="0"/>
    <n v="90"/>
    <n v="90"/>
    <n v="0"/>
    <n v="2691"/>
    <n v="500"/>
    <n v="2191"/>
    <n v="1116"/>
    <n v="1075"/>
    <n v="128640.50099999999"/>
    <n v="22572"/>
    <n v="106068.50099999999"/>
    <n v="54026.675999999999"/>
    <n v="52041.824999999997"/>
    <n v="45.6"/>
    <n v="48.9"/>
    <n v="45.143999999999998"/>
    <n v="48.410999999999994"/>
    <n v="137646.80322691254"/>
    <n v="62373.57"/>
    <n v="59418.910856300608"/>
    <n v="6015.1632269125275"/>
    <n v="9839.1591436993986"/>
    <n v="0"/>
    <n v="137646.80322691254"/>
    <e v="#REF!"/>
    <e v="#REF!"/>
    <e v="#REF!"/>
    <x v="11"/>
  </r>
  <r>
    <x v="44"/>
    <s v="Wk 44"/>
    <x v="0"/>
    <d v="2022-11-04T00:00:00"/>
    <n v="3300"/>
    <n v="1100"/>
    <n v="2200"/>
    <n v="54.31132923824569"/>
    <n v="51.007044940297959"/>
    <n v="171957.96103072577"/>
    <n v="59742.46216207026"/>
    <n v="112215.49886865552"/>
    <n v="350"/>
    <n v="3300"/>
    <n v="1100"/>
    <n v="2200"/>
    <n v="1150"/>
    <n v="1050"/>
    <n v="168518.80181011124"/>
    <n v="58547.612918828854"/>
    <n v="109971.18889128239"/>
    <n v="57484.939647715801"/>
    <n v="52486.249243566599"/>
    <n v="90"/>
    <n v="0"/>
    <n v="90"/>
    <n v="90"/>
    <n v="0"/>
    <n v="3151"/>
    <n v="918"/>
    <n v="2233"/>
    <n v="1180"/>
    <n v="1053"/>
    <n v="161638.68599999999"/>
    <n v="48894.515999999996"/>
    <n v="112744.17"/>
    <n v="59578.2"/>
    <n v="53165.97"/>
    <n v="53.8"/>
    <n v="51"/>
    <n v="53.261999999999993"/>
    <n v="50.49"/>
    <n v="173180.98253518695"/>
    <n v="93396.986000000004"/>
    <n v="61579.507875883806"/>
    <n v="6964.9465351869503"/>
    <n v="11239.542124116195"/>
    <n v="28668"/>
    <n v="144512.98253518695"/>
    <e v="#REF!"/>
    <e v="#REF!"/>
    <e v="#REF!"/>
    <x v="11"/>
  </r>
  <r>
    <x v="44"/>
    <s v="Wk 44"/>
    <x v="1"/>
    <d v="2022-11-05T00:00:00"/>
    <n v="3100"/>
    <n v="1000"/>
    <n v="2100"/>
    <n v="52.877268081419899"/>
    <n v="51.753251676808119"/>
    <n v="161559.09660271695"/>
    <n v="52877.268081419897"/>
    <n v="108681.82852129705"/>
    <n v="351"/>
    <n v="3100"/>
    <n v="1000"/>
    <n v="2100"/>
    <n v="1150"/>
    <n v="950"/>
    <n v="158327.91467066261"/>
    <n v="51819.722719791498"/>
    <n v="106508.19195087111"/>
    <n v="58325.914639762748"/>
    <n v="48182.277311108359"/>
    <n v="90"/>
    <n v="0"/>
    <n v="90"/>
    <n v="90"/>
    <n v="0"/>
    <n v="3060"/>
    <n v="970"/>
    <n v="2090"/>
    <n v="1169"/>
    <n v="921"/>
    <n v="156191.31"/>
    <n v="49839.57"/>
    <n v="106351.73999999999"/>
    <n v="59485.733999999997"/>
    <n v="46866.006000000001"/>
    <n v="51.9"/>
    <n v="51.4"/>
    <n v="51.381"/>
    <n v="50.885999999999996"/>
    <n v="115950.00000000006"/>
    <n v="54571.413926168272"/>
    <n v="50764.278263488173"/>
    <n v="4485.6736049132651"/>
    <n v="6128.6342054303523"/>
    <n v="0"/>
    <n v="115950.00000000006"/>
    <e v="#REF!"/>
    <e v="#REF!"/>
    <e v="#REF!"/>
    <x v="11"/>
  </r>
  <r>
    <x v="44"/>
    <s v="Wk 44"/>
    <x v="6"/>
    <d v="2022-11-06T00:00:00"/>
    <n v="0"/>
    <n v="0"/>
    <n v="0"/>
    <n v="0"/>
    <n v="0"/>
    <n v="0"/>
    <n v="0"/>
    <n v="0"/>
    <n v="35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5"/>
    <s v="Wk 45"/>
    <x v="2"/>
    <d v="2022-11-07T00:00:00"/>
    <n v="2575"/>
    <n v="725"/>
    <n v="1850"/>
    <n v="48.965493849741158"/>
    <n v="49.771318257777857"/>
    <n v="127576.92181795137"/>
    <n v="35499.98304106234"/>
    <n v="92076.93877688903"/>
    <n v="354"/>
    <n v="2750"/>
    <n v="800"/>
    <n v="1950"/>
    <n v="850"/>
    <n v="1100"/>
    <n v="133501.93636881057"/>
    <n v="38388.947178197071"/>
    <n v="95112.989190613487"/>
    <n v="41459.508108728958"/>
    <n v="53653.481081884529"/>
    <n v="90"/>
    <n v="0"/>
    <n v="90"/>
    <n v="90"/>
    <n v="0"/>
    <n v="2648"/>
    <n v="727"/>
    <n v="1921"/>
    <n v="858"/>
    <n v="1063"/>
    <n v="135265.185"/>
    <n v="36562.284"/>
    <n v="98702.900999999983"/>
    <n v="44084.897999999994"/>
    <n v="54618.002999999997"/>
    <n v="50.8"/>
    <n v="51.9"/>
    <n v="50.292000000000002"/>
    <n v="51.380999999999993"/>
    <n v="158417"/>
    <n v="87129.35"/>
    <n v="53854.078109212773"/>
    <n v="9505.02"/>
    <n v="7928.5518907872283"/>
    <n v="36283"/>
    <n v="122134"/>
    <e v="#REF!"/>
    <e v="#REF!"/>
    <e v="#REF!"/>
    <x v="11"/>
  </r>
  <r>
    <x v="45"/>
    <s v="Wk 45"/>
    <x v="3"/>
    <d v="2022-11-08T00:00:00"/>
    <n v="3125"/>
    <n v="800"/>
    <n v="2325"/>
    <n v="43.114570377617241"/>
    <n v="48.198008861765821"/>
    <n v="146552.02690569934"/>
    <n v="34491.65630209379"/>
    <n v="112060.37060360554"/>
    <n v="355"/>
    <n v="3050"/>
    <n v="800"/>
    <n v="2250"/>
    <n v="1200"/>
    <n v="1050"/>
    <n v="140078.43271624553"/>
    <n v="33801.823176051912"/>
    <n v="106276.60954019363"/>
    <n v="56680.858421436606"/>
    <n v="49595.751118757027"/>
    <n v="90"/>
    <n v="0"/>
    <n v="90"/>
    <n v="90"/>
    <n v="0"/>
    <n v="2991"/>
    <n v="809"/>
    <n v="2182"/>
    <n v="1146"/>
    <n v="1036"/>
    <n v="145003.71600000001"/>
    <n v="37642.769999999997"/>
    <n v="107360.94600000001"/>
    <n v="56386.638000000006"/>
    <n v="50974.308000000005"/>
    <n v="47"/>
    <n v="49.7"/>
    <n v="46.529999999999994"/>
    <n v="49.203000000000003"/>
    <n v="209236.55947101486"/>
    <n v="130567.16"/>
    <n v="63083.297514148719"/>
    <n v="6606.1074710148287"/>
    <n v="8979.9944858512827"/>
    <n v="57983"/>
    <n v="151253.55947101486"/>
    <e v="#REF!"/>
    <e v="#REF!"/>
    <e v="#REF!"/>
    <x v="11"/>
  </r>
  <r>
    <x v="45"/>
    <s v="Wk 45"/>
    <x v="4"/>
    <d v="2022-11-09T00:00:00"/>
    <n v="2975"/>
    <n v="700"/>
    <n v="2275"/>
    <n v="44.376960775275187"/>
    <n v="48.519083794371717"/>
    <n v="141444.78817488829"/>
    <n v="31063.872542692632"/>
    <n v="110380.91563219565"/>
    <n v="356"/>
    <n v="2700"/>
    <n v="400"/>
    <n v="2300"/>
    <n v="1200"/>
    <n v="1100"/>
    <n v="126757.78349642172"/>
    <n v="17395.768623907872"/>
    <n v="109362.01487251384"/>
    <n v="57058.442542181132"/>
    <n v="52303.57233033271"/>
    <n v="90"/>
    <n v="0"/>
    <n v="90"/>
    <n v="90"/>
    <n v="0"/>
    <n v="2507"/>
    <n v="341"/>
    <n v="2166"/>
    <n v="1100"/>
    <n v="1066"/>
    <n v="123985.22400000002"/>
    <n v="16339.355999999998"/>
    <n v="107645.86800000002"/>
    <n v="54667.8"/>
    <n v="52978.068000000007"/>
    <n v="48.4"/>
    <n v="50.2"/>
    <n v="47.915999999999997"/>
    <n v="49.698000000000008"/>
    <n v="159217.73559416019"/>
    <n v="73808"/>
    <n v="69927.813781950681"/>
    <n v="5917.3755941602121"/>
    <n v="9564.5462180493123"/>
    <n v="0"/>
    <n v="159217.73559416019"/>
    <e v="#REF!"/>
    <e v="#REF!"/>
    <e v="#REF!"/>
    <x v="11"/>
  </r>
  <r>
    <x v="45"/>
    <s v="Wk 45"/>
    <x v="5"/>
    <d v="2022-11-10T00:00:00"/>
    <n v="3100"/>
    <n v="850"/>
    <n v="2250"/>
    <n v="46.944759345471603"/>
    <n v="48.311375438530504"/>
    <n v="148603.64018034449"/>
    <n v="39903.045443650859"/>
    <n v="108700.59473669363"/>
    <n v="357"/>
    <n v="3200"/>
    <n v="900"/>
    <n v="2300"/>
    <n v="1200"/>
    <n v="1100"/>
    <n v="150299.11798115369"/>
    <n v="41405.277742705955"/>
    <n v="108893.84023844774"/>
    <n v="56814.177515711868"/>
    <n v="52079.662722735877"/>
    <n v="90"/>
    <n v="0"/>
    <n v="90"/>
    <n v="90"/>
    <n v="0"/>
    <n v="3097"/>
    <n v="975"/>
    <n v="2122"/>
    <n v="1095"/>
    <n v="1027"/>
    <n v="155714.52600000001"/>
    <n v="47104.2"/>
    <n v="108610.326"/>
    <n v="56045.385000000002"/>
    <n v="52564.940999999999"/>
    <n v="48.8"/>
    <n v="51.7"/>
    <n v="48.311999999999998"/>
    <n v="51.183"/>
    <n v="201027.68919416019"/>
    <n v="107011.048"/>
    <n v="77019.389025809214"/>
    <n v="6448.7931941602128"/>
    <n v="10548.458974190793"/>
    <n v="40141"/>
    <n v="160886.68919416019"/>
    <e v="#REF!"/>
    <e v="#REF!"/>
    <e v="#REF!"/>
    <x v="11"/>
  </r>
  <r>
    <x v="45"/>
    <s v="Wk 45"/>
    <x v="0"/>
    <d v="2022-11-11T00:00:00"/>
    <n v="0"/>
    <n v="0"/>
    <n v="0"/>
    <n v="0"/>
    <n v="0"/>
    <n v="0"/>
    <n v="0"/>
    <n v="0"/>
    <n v="35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5"/>
    <s v="Wk 45"/>
    <x v="1"/>
    <d v="2022-11-12T00:00:00"/>
    <n v="2750"/>
    <n v="1000"/>
    <n v="1750"/>
    <n v="52.075541399117448"/>
    <n v="52.302801241089703"/>
    <n v="143605.44357102443"/>
    <n v="52075.54139911745"/>
    <n v="91529.902171906986"/>
    <n v="359"/>
    <n v="2750"/>
    <n v="1000"/>
    <n v="1750"/>
    <n v="1000"/>
    <n v="750"/>
    <n v="140733.33469960396"/>
    <n v="51034.030571135103"/>
    <n v="89699.304128468852"/>
    <n v="51256.745216267911"/>
    <n v="38442.558912200933"/>
    <n v="90"/>
    <n v="0"/>
    <n v="90"/>
    <n v="90"/>
    <n v="0"/>
    <n v="3028"/>
    <n v="1046"/>
    <n v="1982"/>
    <n v="1083"/>
    <n v="899"/>
    <n v="156916.97999999998"/>
    <n v="54883.62"/>
    <n v="102033.35999999999"/>
    <n v="55752.84"/>
    <n v="46280.52"/>
    <n v="53"/>
    <n v="52"/>
    <n v="52.470000000000006"/>
    <n v="51.47999999999999"/>
    <n v="115213.00000000006"/>
    <n v="54224.547759168825"/>
    <n v="50441.610966548193"/>
    <n v="4457.1618201196379"/>
    <n v="6089.6794541634081"/>
    <n v="0"/>
    <n v="115213.00000000006"/>
    <e v="#REF!"/>
    <e v="#REF!"/>
    <e v="#REF!"/>
    <x v="11"/>
  </r>
  <r>
    <x v="45"/>
    <s v="Wk 45"/>
    <x v="6"/>
    <d v="2022-11-13T00:00:00"/>
    <n v="0"/>
    <n v="0"/>
    <n v="0"/>
    <n v="0"/>
    <n v="0"/>
    <n v="0"/>
    <n v="0"/>
    <n v="0"/>
    <n v="360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6"/>
    <s v="Wk 46"/>
    <x v="2"/>
    <d v="2022-11-14T00:00:00"/>
    <n v="2600"/>
    <n v="700"/>
    <n v="1900"/>
    <n v="48.798119696549577"/>
    <n v="50.16463529984577"/>
    <n v="129471.49085729168"/>
    <n v="34158.683787584705"/>
    <n v="95312.807069706963"/>
    <n v="362"/>
    <n v="2600"/>
    <n v="700"/>
    <n v="1900"/>
    <n v="850"/>
    <n v="1050"/>
    <n v="126882.06104014584"/>
    <n v="33475.510111833013"/>
    <n v="93406.550928312819"/>
    <n v="41787.141204771528"/>
    <n v="51619.409723541292"/>
    <n v="90"/>
    <n v="0"/>
    <n v="90"/>
    <n v="90"/>
    <n v="0"/>
    <n v="2653"/>
    <n v="715"/>
    <n v="1938"/>
    <n v="876"/>
    <n v="1062"/>
    <n v="130788.62160619271"/>
    <n v="34541.749027202619"/>
    <n v="96246.872578990093"/>
    <n v="43504.778317438242"/>
    <n v="52742.094261551843"/>
    <n v="48.798119696549577"/>
    <n v="50.16463529984577"/>
    <n v="48.310138499584085"/>
    <n v="49.662988946847314"/>
    <n v="185421"/>
    <n v="101431.55"/>
    <n v="62149.877"/>
    <n v="12065.26"/>
    <n v="9774.3130000000001"/>
    <n v="37094"/>
    <n v="148327"/>
    <e v="#REF!"/>
    <e v="#REF!"/>
    <e v="#REF!"/>
    <x v="11"/>
  </r>
  <r>
    <x v="46"/>
    <s v="Wk 46"/>
    <x v="3"/>
    <d v="2022-11-15T00:00:00"/>
    <n v="2925"/>
    <n v="650"/>
    <n v="2275"/>
    <n v="47.999071592183206"/>
    <n v="49.74560523865069"/>
    <n v="144370.64845284942"/>
    <n v="31199.396534919084"/>
    <n v="113171.25191793032"/>
    <n v="363"/>
    <n v="2950"/>
    <n v="650"/>
    <n v="2300"/>
    <n v="1200"/>
    <n v="1100"/>
    <n v="142702.00281213934"/>
    <n v="30575.408604220702"/>
    <n v="112126.59420791865"/>
    <n v="58500.831760653207"/>
    <n v="53625.762447265442"/>
    <n v="90"/>
    <n v="0"/>
    <n v="90"/>
    <n v="90"/>
    <n v="0"/>
    <n v="2842"/>
    <n v="580"/>
    <n v="2262"/>
    <n v="1192"/>
    <n v="1070"/>
    <n v="131411.41199999998"/>
    <n v="25264.799999999999"/>
    <n v="106146.61199999999"/>
    <n v="55935.791999999994"/>
    <n v="50210.82"/>
    <n v="44"/>
    <n v="47.4"/>
    <n v="43.56"/>
    <n v="46.925999999999995"/>
    <n v="151880.33641265429"/>
    <n v="72925.440000000002"/>
    <n v="63295.51090637684"/>
    <n v="6637.1684126542705"/>
    <n v="9022.2170936231614"/>
    <n v="0"/>
    <n v="151880.33641265429"/>
    <e v="#REF!"/>
    <e v="#REF!"/>
    <e v="#REF!"/>
    <x v="11"/>
  </r>
  <r>
    <x v="46"/>
    <s v="Wk 46"/>
    <x v="4"/>
    <d v="2022-11-16T00:00:00"/>
    <n v="2850"/>
    <n v="650"/>
    <n v="2200"/>
    <n v="47.024592825537276"/>
    <n v="50.373431777499107"/>
    <n v="141387.53524709726"/>
    <n v="30565.985336599231"/>
    <n v="110821.54991049804"/>
    <n v="364"/>
    <n v="2850"/>
    <n v="650"/>
    <n v="2200"/>
    <n v="1150"/>
    <n v="1050"/>
    <n v="138559.78454215534"/>
    <n v="29954.665629867246"/>
    <n v="108605.11891228808"/>
    <n v="56770.857613241496"/>
    <n v="51834.261299046579"/>
    <n v="90"/>
    <n v="0"/>
    <n v="90"/>
    <n v="90"/>
    <n v="0"/>
    <n v="2700"/>
    <n v="525"/>
    <n v="2175"/>
    <n v="1180"/>
    <n v="995"/>
    <n v="129224.7"/>
    <n v="23284.799999999999"/>
    <n v="105939.9"/>
    <n v="57475.44"/>
    <n v="48464.46"/>
    <n v="44.8"/>
    <n v="49.2"/>
    <n v="44.351999999999997"/>
    <n v="48.707999999999998"/>
    <n v="168619.97110995895"/>
    <n v="89377.5"/>
    <n v="64689.888320470462"/>
    <n v="5562.1711099589493"/>
    <n v="8990.4116795295395"/>
    <n v="0"/>
    <n v="168619.97110995895"/>
    <e v="#REF!"/>
    <e v="#REF!"/>
    <e v="#REF!"/>
    <x v="11"/>
  </r>
  <r>
    <x v="46"/>
    <s v="Wk 46"/>
    <x v="5"/>
    <d v="2022-11-17T00:00:00"/>
    <n v="2700"/>
    <n v="600"/>
    <n v="2100"/>
    <n v="45.779065237513166"/>
    <n v="50.61913610160363"/>
    <n v="133767.62495587554"/>
    <n v="27467.439142507901"/>
    <n v="106300.18581336763"/>
    <n v="365"/>
    <n v="2700"/>
    <n v="600"/>
    <n v="2100"/>
    <n v="1100"/>
    <n v="1000"/>
    <n v="131092.27245675802"/>
    <n v="26918.090359657741"/>
    <n v="104174.18209710027"/>
    <n v="54567.42871752871"/>
    <n v="49606.753379571557"/>
    <n v="90"/>
    <n v="0"/>
    <n v="90"/>
    <n v="90"/>
    <n v="0"/>
    <n v="2384"/>
    <n v="513"/>
    <n v="1871"/>
    <n v="876"/>
    <n v="995"/>
    <n v="111629.628"/>
    <n v="22904.936999999998"/>
    <n v="88724.690999999992"/>
    <n v="41540.796000000002"/>
    <n v="47183.894999999997"/>
    <n v="45.1"/>
    <n v="47.9"/>
    <n v="44.648999999999994"/>
    <n v="47.420999999999992"/>
    <n v="180683.12212613586"/>
    <n v="94153.157999999996"/>
    <n v="71487.923999999999"/>
    <n v="5831.5061261358533"/>
    <n v="9210.5340000000015"/>
    <n v="13684"/>
    <n v="166999.12212613586"/>
    <e v="#REF!"/>
    <e v="#REF!"/>
    <e v="#REF!"/>
    <x v="11"/>
  </r>
  <r>
    <x v="46"/>
    <s v="Wk 46"/>
    <x v="0"/>
    <d v="2022-11-18T00:00:00"/>
    <n v="3150"/>
    <n v="950"/>
    <n v="2200"/>
    <n v="51.666815650041386"/>
    <n v="48.731326039766515"/>
    <n v="156292.39215502565"/>
    <n v="49083.474867539313"/>
    <n v="107208.91728748633"/>
    <n v="366"/>
    <n v="3200"/>
    <n v="1000"/>
    <n v="2200"/>
    <n v="1150"/>
    <n v="1050"/>
    <n v="155698.21827877715"/>
    <n v="50633.479337040553"/>
    <n v="105064.73894173661"/>
    <n v="54920.204446816861"/>
    <n v="50144.534494919746"/>
    <n v="90"/>
    <n v="0"/>
    <n v="90"/>
    <n v="90"/>
    <n v="0"/>
    <n v="2968"/>
    <n v="923"/>
    <n v="2045"/>
    <n v="1085"/>
    <n v="960"/>
    <n v="148854.61799999999"/>
    <n v="47424.662999999993"/>
    <n v="101429.955"/>
    <n v="53814.915000000001"/>
    <n v="47615.040000000001"/>
    <n v="51.9"/>
    <n v="50.1"/>
    <n v="51.380999999999993"/>
    <n v="49.599000000000004"/>
    <n v="144321.8466757272"/>
    <n v="64551.784000000007"/>
    <n v="64629.08400000001"/>
    <n v="5869.8626757271759"/>
    <n v="9271.116"/>
    <n v="0"/>
    <n v="144321.8466757272"/>
    <e v="#REF!"/>
    <e v="#REF!"/>
    <e v="#REF!"/>
    <x v="11"/>
  </r>
  <r>
    <x v="46"/>
    <s v="Wk 46"/>
    <x v="1"/>
    <d v="2022-11-19T00:00:00"/>
    <n v="2950"/>
    <n v="950"/>
    <n v="2000"/>
    <n v="51.69714438658459"/>
    <n v="48.175131722890818"/>
    <n v="145462.55061303699"/>
    <n v="49112.287167255359"/>
    <n v="96350.263445781631"/>
    <n v="367"/>
    <n v="2900"/>
    <n v="900"/>
    <n v="2000"/>
    <n v="1150"/>
    <n v="850"/>
    <n v="140020.1395258336"/>
    <n v="45596.88134896761"/>
    <n v="94423.258176866002"/>
    <n v="54293.373451697953"/>
    <n v="40129.884725168049"/>
    <n v="90"/>
    <n v="0"/>
    <n v="90"/>
    <n v="90"/>
    <n v="0"/>
    <n v="2846"/>
    <n v="993"/>
    <n v="1853"/>
    <n v="1089"/>
    <n v="764"/>
    <n v="142410.41099999999"/>
    <n v="50136.57"/>
    <n v="92273.840999999986"/>
    <n v="54228.932999999997"/>
    <n v="38044.907999999996"/>
    <n v="51"/>
    <n v="50.3"/>
    <n v="50.49"/>
    <n v="49.79699999999999"/>
    <n v="145242.00000000006"/>
    <n v="73651.118259619223"/>
    <n v="59191.046515062349"/>
    <n v="5232.0092253184985"/>
    <n v="7167.826"/>
    <n v="0"/>
    <n v="145242.00000000006"/>
    <e v="#REF!"/>
    <e v="#REF!"/>
    <e v="#REF!"/>
    <x v="11"/>
  </r>
  <r>
    <x v="46"/>
    <s v="Wk 46"/>
    <x v="6"/>
    <d v="2022-11-20T00:00:00"/>
    <n v="0"/>
    <n v="0"/>
    <n v="0"/>
    <n v="0"/>
    <n v="0"/>
    <n v="0"/>
    <n v="0"/>
    <n v="0"/>
    <n v="36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7"/>
    <s v="Wk 47"/>
    <x v="2"/>
    <d v="2022-11-21T00:00:00"/>
    <n v="2725"/>
    <n v="725"/>
    <n v="2000"/>
    <n v="49.047557796087879"/>
    <n v="47.616185730158875"/>
    <n v="130791.85086248146"/>
    <n v="35559.479402163714"/>
    <n v="95232.37146031775"/>
    <n v="370"/>
    <n v="2650"/>
    <n v="750"/>
    <n v="1900"/>
    <n v="850"/>
    <n v="1050"/>
    <n v="124711.29280968042"/>
    <n v="36049.954980124596"/>
    <n v="88661.337829555821"/>
    <n v="39664.282713222347"/>
    <n v="48997.055116333482"/>
    <n v="90"/>
    <n v="0"/>
    <n v="90"/>
    <n v="90"/>
    <n v="0"/>
    <n v="2650"/>
    <n v="755"/>
    <n v="1895"/>
    <n v="776"/>
    <n v="1119"/>
    <n v="128185.2"/>
    <n v="34382.699999999997"/>
    <n v="93802.5"/>
    <n v="38412"/>
    <n v="55390.5"/>
    <n v="46"/>
    <n v="50"/>
    <n v="45.54"/>
    <n v="49.5"/>
    <n v="217154"/>
    <n v="123021.62000000001"/>
    <n v="70740.978000000003"/>
    <n v="12889.24"/>
    <n v="10502.162"/>
    <n v="66065"/>
    <n v="151089"/>
    <e v="#REF!"/>
    <e v="#REF!"/>
    <e v="#REF!"/>
    <x v="11"/>
  </r>
  <r>
    <x v="47"/>
    <s v="Wk 47"/>
    <x v="3"/>
    <d v="2022-11-22T00:00:00"/>
    <n v="3450"/>
    <n v="1000"/>
    <n v="2450"/>
    <n v="49.472312182461366"/>
    <n v="48.615994175283198"/>
    <n v="168581.4979119052"/>
    <n v="49472.312182461363"/>
    <n v="119109.18572944384"/>
    <n v="371"/>
    <n v="3450"/>
    <n v="1000"/>
    <n v="2450"/>
    <n v="1325"/>
    <n v="1125"/>
    <n v="165209.8679536671"/>
    <n v="48482.865938812138"/>
    <n v="116727.00201485495"/>
    <n v="63127.868436605233"/>
    <n v="53599.133578249726"/>
    <n v="90"/>
    <n v="0"/>
    <n v="90"/>
    <n v="90"/>
    <n v="0"/>
    <n v="2893"/>
    <n v="688"/>
    <n v="2205"/>
    <n v="1207"/>
    <n v="998"/>
    <n v="133771.07699999999"/>
    <n v="28334.592000000001"/>
    <n v="105436.48499999999"/>
    <n v="57715.118999999999"/>
    <n v="47721.365999999995"/>
    <n v="41.6"/>
    <n v="48.3"/>
    <n v="41.183999999999997"/>
    <n v="47.816999999999993"/>
    <n v="159599.91382944724"/>
    <n v="73439"/>
    <n v="69705.613318170872"/>
    <n v="6974.5138294472008"/>
    <n v="9480.7866818291404"/>
    <n v="0"/>
    <n v="159599.91382944724"/>
    <e v="#REF!"/>
    <e v="#REF!"/>
    <e v="#REF!"/>
    <x v="11"/>
  </r>
  <r>
    <x v="47"/>
    <s v="Wk 47"/>
    <x v="4"/>
    <d v="2022-11-23T00:00:00"/>
    <n v="3425"/>
    <n v="1000"/>
    <n v="2425"/>
    <n v="49.960585388135613"/>
    <n v="50.493160171224211"/>
    <n v="172406.49880335433"/>
    <n v="49960.585388135616"/>
    <n v="122445.91341521872"/>
    <n v="372"/>
    <n v="3450"/>
    <n v="1000"/>
    <n v="2450"/>
    <n v="1325"/>
    <n v="1125"/>
    <n v="170195.45125148221"/>
    <n v="48961.373680372904"/>
    <n v="121234.07757110932"/>
    <n v="65565.368482334627"/>
    <n v="55668.709088774689"/>
    <n v="90"/>
    <n v="0"/>
    <n v="90"/>
    <n v="90"/>
    <n v="0"/>
    <n v="2843"/>
    <n v="670"/>
    <n v="2173"/>
    <n v="1208"/>
    <n v="965"/>
    <n v="133767.41399999999"/>
    <n v="27924.93"/>
    <n v="105842.484"/>
    <n v="58839.264000000003"/>
    <n v="47003.22"/>
    <n v="42.1"/>
    <n v="49.2"/>
    <n v="41.679000000000002"/>
    <n v="48.707999999999998"/>
    <n v="158472.22494687315"/>
    <n v="73578.239999999991"/>
    <n v="68817.18547561008"/>
    <n v="6144.7449468731747"/>
    <n v="9932.0545243899251"/>
    <n v="0"/>
    <n v="158472.22494687315"/>
    <e v="#REF!"/>
    <e v="#REF!"/>
    <e v="#REF!"/>
    <x v="11"/>
  </r>
  <r>
    <x v="47"/>
    <s v="Wk 47"/>
    <x v="5"/>
    <d v="2022-11-24T00:00:00"/>
    <n v="3375"/>
    <n v="1000"/>
    <n v="2375"/>
    <n v="50.627842014407008"/>
    <n v="48.001309625904241"/>
    <n v="164630.95237592957"/>
    <n v="50627.842014407011"/>
    <n v="114003.11036152257"/>
    <n v="373"/>
    <n v="3450"/>
    <n v="1000"/>
    <n v="2450"/>
    <n v="1325"/>
    <n v="1125"/>
    <n v="164866.42958591494"/>
    <n v="49615.285174118872"/>
    <n v="115251.14441179608"/>
    <n v="62329.700549236652"/>
    <n v="52921.443862559427"/>
    <n v="90"/>
    <n v="0"/>
    <n v="90"/>
    <n v="90"/>
    <n v="0"/>
    <n v="2783"/>
    <n v="720"/>
    <n v="2063"/>
    <n v="948"/>
    <n v="1115"/>
    <n v="128027.49299999999"/>
    <n v="28155.599999999999"/>
    <n v="99871.892999999996"/>
    <n v="45893.627999999997"/>
    <n v="53978.264999999999"/>
    <n v="39.5"/>
    <n v="48.9"/>
    <n v="39.104999999999997"/>
    <n v="48.411000000000001"/>
    <n v="149676.00150516193"/>
    <n v="62106.488999999994"/>
    <n v="71406.581999999995"/>
    <n v="6266.053505161919"/>
    <n v="9896.8770000000004"/>
    <n v="0"/>
    <n v="149676.00150516193"/>
    <e v="#REF!"/>
    <e v="#REF!"/>
    <e v="#REF!"/>
    <x v="11"/>
  </r>
  <r>
    <x v="47"/>
    <s v="Wk 47"/>
    <x v="0"/>
    <d v="2022-11-25T00:00:00"/>
    <n v="3600"/>
    <n v="1250"/>
    <n v="2350"/>
    <n v="53.14068187559171"/>
    <n v="52.470828558081799"/>
    <n v="189732.29945598188"/>
    <n v="66425.852344489642"/>
    <n v="123306.44711149222"/>
    <n v="374"/>
    <n v="3700"/>
    <n v="1250"/>
    <n v="2450"/>
    <n v="1325"/>
    <n v="1125"/>
    <n v="191079.79466555425"/>
    <n v="65097.33529759985"/>
    <n v="125982.45936795441"/>
    <n v="68133.370882669216"/>
    <n v="57849.088485285181"/>
    <n v="90"/>
    <n v="0"/>
    <n v="90"/>
    <n v="90"/>
    <n v="0"/>
    <n v="3596"/>
    <n v="1300"/>
    <n v="2296"/>
    <n v="1230"/>
    <n v="1066"/>
    <n v="175080.31199999998"/>
    <n v="60746.400000000009"/>
    <n v="114333.91199999998"/>
    <n v="61250.31"/>
    <n v="53083.601999999992"/>
    <n v="47.2"/>
    <n v="50.3"/>
    <n v="46.728000000000009"/>
    <n v="49.79699999999999"/>
    <n v="141902.51162175019"/>
    <n v="54737.502"/>
    <n v="71185.307000000001"/>
    <n v="6195.0196217501989"/>
    <n v="9784.6830000000009"/>
    <n v="0"/>
    <n v="141902.51162175019"/>
    <e v="#REF!"/>
    <e v="#REF!"/>
    <e v="#REF!"/>
    <x v="11"/>
  </r>
  <r>
    <x v="47"/>
    <s v="Wk 47"/>
    <x v="1"/>
    <d v="2022-11-26T00:00:00"/>
    <n v="3525"/>
    <n v="1150"/>
    <n v="2375"/>
    <n v="53.171875780616709"/>
    <n v="51.945527975963934"/>
    <n v="184518.28609062356"/>
    <n v="61147.657147709215"/>
    <n v="123370.62894291434"/>
    <n v="375"/>
    <n v="3500"/>
    <n v="1150"/>
    <n v="2350"/>
    <n v="1325"/>
    <n v="1025"/>
    <n v="179555.25493339996"/>
    <n v="59924.704004755033"/>
    <n v="119630.55092864492"/>
    <n v="67451.268076789158"/>
    <n v="52179.282851855773"/>
    <n v="90"/>
    <n v="0"/>
    <n v="90"/>
    <n v="90"/>
    <n v="0"/>
    <n v="3770"/>
    <n v="1450"/>
    <n v="2320"/>
    <n v="1295"/>
    <n v="1025"/>
    <n v="184031.1"/>
    <n v="66894.3"/>
    <n v="117136.8"/>
    <n v="65384.55"/>
    <n v="51752.25"/>
    <n v="46.6"/>
    <n v="51"/>
    <n v="46.134"/>
    <n v="50.49"/>
    <n v="142746.00000000009"/>
    <n v="64327.926505431795"/>
    <n v="65330.224460441939"/>
    <n v="5522.3110341263391"/>
    <n v="7565.5379999999996"/>
    <n v="0"/>
    <n v="142746.00000000009"/>
    <e v="#REF!"/>
    <e v="#REF!"/>
    <e v="#REF!"/>
    <x v="11"/>
  </r>
  <r>
    <x v="47"/>
    <s v="Wk 47"/>
    <x v="6"/>
    <d v="2022-11-27T00:00:00"/>
    <n v="0"/>
    <n v="0"/>
    <n v="0"/>
    <n v="0"/>
    <n v="0"/>
    <n v="0"/>
    <n v="0"/>
    <n v="0"/>
    <n v="376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1"/>
  </r>
  <r>
    <x v="48"/>
    <s v="Wk 48"/>
    <x v="2"/>
    <d v="2022-11-28T00:00:00"/>
    <n v="3100"/>
    <n v="1000"/>
    <n v="2100"/>
    <n v="48.785462492122043"/>
    <n v="51.299347455523602"/>
    <n v="156514.0921487216"/>
    <n v="48785.462492122046"/>
    <n v="107728.62965659956"/>
    <n v="378"/>
    <n v="3150"/>
    <n v="1000"/>
    <n v="2150"/>
    <n v="1025"/>
    <n v="1125"/>
    <n v="155897.47833106783"/>
    <n v="47809.753242279607"/>
    <n v="108087.72508878823"/>
    <n v="51530.194519073462"/>
    <n v="56557.530569714771"/>
    <n v="90"/>
    <n v="0"/>
    <n v="90"/>
    <n v="90"/>
    <n v="0"/>
    <n v="3265"/>
    <n v="1170"/>
    <n v="2095"/>
    <n v="965"/>
    <n v="1130"/>
    <n v="154339.01999999999"/>
    <n v="49806.9"/>
    <n v="104532.12"/>
    <n v="48149.64"/>
    <n v="56382.479999999996"/>
    <n v="43"/>
    <n v="50.4"/>
    <n v="42.57"/>
    <n v="49.896000000000001"/>
    <n v="259696.81"/>
    <n v="161687"/>
    <n v="75585.111000000004"/>
    <n v="11203.38"/>
    <n v="11221.319"/>
    <n v="101687"/>
    <n v="158009.81"/>
    <e v="#REF!"/>
    <e v="#REF!"/>
    <e v="#REF!"/>
    <x v="11"/>
  </r>
  <r>
    <x v="48"/>
    <s v="Wk 48"/>
    <x v="3"/>
    <d v="2022-11-29T00:00:00"/>
    <n v="3725"/>
    <n v="1250"/>
    <n v="2475"/>
    <n v="56.155002306905345"/>
    <n v="50.261943918549548"/>
    <n v="194592.06408204179"/>
    <n v="70193.752883631678"/>
    <n v="124398.31119841013"/>
    <n v="379"/>
    <n v="3650"/>
    <n v="1150"/>
    <n v="2500"/>
    <n v="1375"/>
    <n v="1125"/>
    <n v="186428.45020032872"/>
    <n v="63286.687599882323"/>
    <n v="123141.76260044638"/>
    <n v="67727.969430245517"/>
    <n v="55413.793170200872"/>
    <n v="90"/>
    <n v="0"/>
    <n v="90"/>
    <n v="90"/>
    <n v="0"/>
    <n v="3570"/>
    <n v="1050"/>
    <n v="2520"/>
    <n v="1343"/>
    <n v="1177"/>
    <n v="171164.07"/>
    <n v="44178.75"/>
    <n v="126985.31999999999"/>
    <n v="67675.112999999998"/>
    <n v="59310.206999999995"/>
    <n v="42.5"/>
    <n v="50.9"/>
    <n v="42.075000000000003"/>
    <n v="50.390999999999998"/>
    <n v="179524.80340660611"/>
    <n v="79465.919999999998"/>
    <n v="82253.145392675564"/>
    <n v="7546.8914066060934"/>
    <n v="10258.846607324445"/>
    <n v="0"/>
    <n v="179524.80340660611"/>
    <e v="#REF!"/>
    <e v="#REF!"/>
    <e v="#REF!"/>
    <x v="11"/>
  </r>
  <r>
    <x v="48"/>
    <s v="Wk 48"/>
    <x v="4"/>
    <d v="2022-11-30T00:00:00"/>
    <n v="3550"/>
    <n v="1075"/>
    <n v="2475"/>
    <n v="50.147977395439199"/>
    <n v="52.022503830402165"/>
    <n v="182664.77268034249"/>
    <n v="53909.075700097135"/>
    <n v="128755.69698024535"/>
    <n v="380"/>
    <n v="3550"/>
    <n v="1050"/>
    <n v="2500"/>
    <n v="1375"/>
    <n v="1125"/>
    <n v="179057.40312439227"/>
    <n v="51602.26873990694"/>
    <n v="127455.13438448531"/>
    <n v="70100.323911466927"/>
    <n v="57354.810473018384"/>
    <n v="90"/>
    <n v="0"/>
    <n v="90"/>
    <n v="90"/>
    <n v="0"/>
    <n v="3599"/>
    <n v="1090"/>
    <n v="2509"/>
    <n v="1342"/>
    <n v="1167"/>
    <n v="176623.326"/>
    <n v="45969.659999999996"/>
    <n v="130653.666"/>
    <n v="69883.30799999999"/>
    <n v="60770.358"/>
    <n v="42.6"/>
    <n v="52.6"/>
    <n v="42.173999999999999"/>
    <n v="52.073999999999998"/>
    <n v="165989.06216103517"/>
    <n v="78236.160000000003"/>
    <n v="70658.350079853859"/>
    <n v="6533.7421610351266"/>
    <n v="10560.809920146146"/>
    <n v="0"/>
    <n v="165989.06216103517"/>
    <e v="#REF!"/>
    <e v="#REF!"/>
    <e v="#REF!"/>
    <x v="11"/>
  </r>
  <r>
    <x v="48"/>
    <s v="Wk 48"/>
    <x v="5"/>
    <d v="2022-12-01T00:00:00"/>
    <n v="3275"/>
    <n v="950"/>
    <n v="2325"/>
    <n v="50.627842014407001"/>
    <n v="51.662950265189139"/>
    <n v="168212.80928025139"/>
    <n v="48096.449913686651"/>
    <n v="120116.35936656475"/>
    <n v="381"/>
    <n v="3350"/>
    <n v="1000"/>
    <n v="2350"/>
    <n v="1200"/>
    <n v="1150"/>
    <n v="168595.05963484943"/>
    <n v="49615.285174118864"/>
    <n v="118979.77446073058"/>
    <n v="60755.629511862426"/>
    <n v="58224.144948868161"/>
    <n v="90"/>
    <n v="0"/>
    <n v="90"/>
    <n v="90"/>
    <n v="0"/>
    <n v="3429"/>
    <n v="942"/>
    <n v="2487"/>
    <n v="1262"/>
    <n v="1225"/>
    <n v="168609.27599999998"/>
    <n v="38608.811999999998"/>
    <n v="130000.46399999999"/>
    <n v="65967.263999999996"/>
    <n v="64033.2"/>
    <n v="41.4"/>
    <n v="52.8"/>
    <n v="40.985999999999997"/>
    <n v="52.271999999999998"/>
    <n v="158251.15288362341"/>
    <n v="66038.128999999986"/>
    <n v="71378.902000000002"/>
    <n v="10310.724883623432"/>
    <n v="10523.397000000001"/>
    <n v="0"/>
    <n v="158251.15288362341"/>
    <e v="#REF!"/>
    <e v="#REF!"/>
    <e v="#REF!"/>
    <x v="12"/>
  </r>
  <r>
    <x v="48"/>
    <s v="Wk 48"/>
    <x v="0"/>
    <d v="2022-12-02T00:00:00"/>
    <n v="3425"/>
    <n v="1050"/>
    <n v="2375"/>
    <n v="51.520878428968132"/>
    <n v="49.91508175877118"/>
    <n v="172645.24152749809"/>
    <n v="54096.922350416542"/>
    <n v="118548.31917708155"/>
    <n v="382"/>
    <n v="3450"/>
    <n v="1100"/>
    <n v="2350"/>
    <n v="1250"/>
    <n v="1100"/>
    <n v="170493.94023687765"/>
    <n v="55539.506946427638"/>
    <n v="114954.43329045002"/>
    <n v="61145.975154494692"/>
    <n v="53808.458135955334"/>
    <n v="90"/>
    <n v="0"/>
    <n v="90"/>
    <n v="90"/>
    <n v="0"/>
    <n v="3586"/>
    <n v="1155"/>
    <n v="2431"/>
    <n v="1290"/>
    <n v="1141"/>
    <n v="183571.641"/>
    <n v="56257.74"/>
    <n v="127313.901"/>
    <n v="67558.59"/>
    <n v="59755.311000000002"/>
    <n v="49.2"/>
    <n v="52.9"/>
    <n v="48.707999999999998"/>
    <n v="52.371000000000002"/>
    <n v="152984.32213609852"/>
    <n v="57431.396000000001"/>
    <n v="78786.786000000007"/>
    <n v="6499.9061360985352"/>
    <n v="10266.234"/>
    <n v="0"/>
    <n v="152984.32213609852"/>
    <e v="#REF!"/>
    <e v="#REF!"/>
    <e v="#REF!"/>
    <x v="12"/>
  </r>
  <r>
    <x v="48"/>
    <s v="Wk 48"/>
    <x v="1"/>
    <d v="2022-12-03T00:00:00"/>
    <n v="3100"/>
    <n v="1000"/>
    <n v="2100"/>
    <n v="51.572017983800016"/>
    <n v="48.900730487350025"/>
    <n v="154263.55200723506"/>
    <n v="51572.017983800019"/>
    <n v="102691.53402343506"/>
    <n v="383"/>
    <n v="3250"/>
    <n v="1000"/>
    <n v="2250"/>
    <n v="1200"/>
    <n v="1050"/>
    <n v="158366.68834873082"/>
    <n v="50540.577624124016"/>
    <n v="107826.11072460681"/>
    <n v="57507.259053123627"/>
    <n v="50318.851671483179"/>
    <n v="90"/>
    <n v="0"/>
    <n v="90"/>
    <n v="90"/>
    <n v="0"/>
    <n v="3260"/>
    <n v="1007"/>
    <n v="2253"/>
    <n v="1268"/>
    <n v="985"/>
    <n v="167192.883"/>
    <n v="49647.114000000001"/>
    <n v="117545.769"/>
    <n v="66155.364000000001"/>
    <n v="51390.404999999999"/>
    <n v="49.8"/>
    <n v="52.7"/>
    <n v="49.302"/>
    <n v="52.173000000000002"/>
    <n v="149785.00000000009"/>
    <n v="67500.024320233846"/>
    <n v="68551.746954781906"/>
    <n v="5794.6237249843334"/>
    <n v="7938.6049999999996"/>
    <n v="0"/>
    <n v="149785.00000000009"/>
    <e v="#REF!"/>
    <e v="#REF!"/>
    <e v="#REF!"/>
    <x v="12"/>
  </r>
  <r>
    <x v="48"/>
    <s v="Wk 48"/>
    <x v="6"/>
    <d v="2022-12-04T00:00:00"/>
    <n v="0"/>
    <n v="0"/>
    <n v="0"/>
    <n v="0"/>
    <n v="0"/>
    <n v="0"/>
    <n v="0"/>
    <n v="0"/>
    <n v="384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2"/>
  </r>
  <r>
    <x v="49"/>
    <s v="Wk 49"/>
    <x v="2"/>
    <d v="2022-12-05T00:00:00"/>
    <n v="2750"/>
    <n v="750"/>
    <n v="2000"/>
    <n v="48.496803230514942"/>
    <n v="48.854093662780855"/>
    <n v="134080.78974844792"/>
    <n v="36372.602422886208"/>
    <n v="97708.18732556171"/>
    <n v="386"/>
    <n v="2750"/>
    <n v="750"/>
    <n v="2000"/>
    <n v="900"/>
    <n v="1100"/>
    <n v="131399.17395347895"/>
    <n v="35645.150374428486"/>
    <n v="95754.023579050467"/>
    <n v="43089.310610572713"/>
    <n v="52664.712968477761"/>
    <n v="90"/>
    <n v="0"/>
    <n v="90"/>
    <n v="90"/>
    <n v="0"/>
    <n v="2857"/>
    <n v="775"/>
    <n v="2082"/>
    <n v="909"/>
    <n v="1173"/>
    <n v="142470.30600000001"/>
    <n v="35907.300000000003"/>
    <n v="106563.00600000001"/>
    <n v="46525.347000000002"/>
    <n v="60037.659000000007"/>
    <n v="46.8"/>
    <n v="51.7"/>
    <n v="46.332000000000001"/>
    <n v="51.183000000000007"/>
    <n v="190953.53"/>
    <n v="102602"/>
    <n v="64830.843000000008"/>
    <n v="13895.939999999999"/>
    <n v="9624.7469999999994"/>
    <n v="47602"/>
    <n v="143351.53"/>
    <e v="#REF!"/>
    <e v="#REF!"/>
    <e v="#REF!"/>
    <x v="12"/>
  </r>
  <r>
    <x v="49"/>
    <s v="Wk 49"/>
    <x v="3"/>
    <d v="2022-12-06T00:00:00"/>
    <n v="3150"/>
    <n v="750"/>
    <n v="2400"/>
    <n v="43.422563254430216"/>
    <n v="47.777988227021567"/>
    <n v="147234.09418567442"/>
    <n v="32566.922440822662"/>
    <n v="114667.17174485176"/>
    <n v="387"/>
    <n v="3150"/>
    <n v="750"/>
    <n v="2400"/>
    <n v="1275"/>
    <n v="1125"/>
    <n v="144289.41230196093"/>
    <n v="31915.58399200621"/>
    <n v="112373.82830995473"/>
    <n v="59698.596289663452"/>
    <n v="52675.232020291274"/>
    <n v="90"/>
    <n v="0"/>
    <n v="90"/>
    <n v="90"/>
    <n v="0"/>
    <n v="2959"/>
    <n v="621"/>
    <n v="2338"/>
    <n v="1238"/>
    <n v="1100"/>
    <n v="142246.56599999999"/>
    <n v="25821.18"/>
    <n v="116425.386"/>
    <n v="61648.685999999994"/>
    <n v="54776.7"/>
    <n v="42"/>
    <n v="50.3"/>
    <n v="41.58"/>
    <n v="49.796999999999997"/>
    <n v="148546.51444942487"/>
    <n v="68159.58"/>
    <n v="65114.580909447737"/>
    <n v="6473.1264494248671"/>
    <n v="8799.2270905522655"/>
    <n v="0"/>
    <n v="148546.51444942487"/>
    <e v="#REF!"/>
    <e v="#REF!"/>
    <e v="#REF!"/>
    <x v="12"/>
  </r>
  <r>
    <x v="49"/>
    <s v="Wk 49"/>
    <x v="4"/>
    <d v="2022-12-07T00:00:00"/>
    <n v="3125"/>
    <n v="725"/>
    <n v="2400"/>
    <n v="44.053031208971916"/>
    <n v="49.482723224697907"/>
    <n v="150696.98336577963"/>
    <n v="31938.44762650464"/>
    <n v="118758.53573927497"/>
    <n v="388"/>
    <n v="3125"/>
    <n v="725"/>
    <n v="2400"/>
    <n v="1275"/>
    <n v="1125"/>
    <n v="147683.04369846403"/>
    <n v="31299.678673974548"/>
    <n v="116383.36502448947"/>
    <n v="61828.662669260033"/>
    <n v="54554.702355229441"/>
    <n v="90"/>
    <n v="0"/>
    <n v="90"/>
    <n v="90"/>
    <n v="0"/>
    <n v="2719"/>
    <n v="580"/>
    <n v="2139"/>
    <n v="1221"/>
    <n v="918"/>
    <n v="130606.93799999999"/>
    <n v="25149.96"/>
    <n v="105456.978"/>
    <n v="60197.741999999998"/>
    <n v="45259.235999999997"/>
    <n v="43.8"/>
    <n v="49.8"/>
    <n v="43.362000000000002"/>
    <n v="49.302"/>
    <n v="141239.06135377733"/>
    <n v="67104.479999999996"/>
    <n v="59472.294397968304"/>
    <n v="5604.1013537773124"/>
    <n v="9058.1856020317045"/>
    <n v="0"/>
    <n v="141239.06135377733"/>
    <e v="#REF!"/>
    <e v="#REF!"/>
    <e v="#REF!"/>
    <x v="12"/>
  </r>
  <r>
    <x v="49"/>
    <s v="Wk 49"/>
    <x v="5"/>
    <d v="2022-12-08T00:00:00"/>
    <n v="2825"/>
    <n v="625"/>
    <n v="2200"/>
    <n v="41.340876081131235"/>
    <n v="49.409074952807366"/>
    <n v="134538.01244688322"/>
    <n v="25838.047550707022"/>
    <n v="108699.9648961762"/>
    <n v="389"/>
    <n v="2825"/>
    <n v="625"/>
    <n v="2200"/>
    <n v="1150"/>
    <n v="1050"/>
    <n v="131847.25219794555"/>
    <n v="25321.286599692881"/>
    <n v="106525.96559825267"/>
    <n v="55684.027471813897"/>
    <n v="50841.938126438778"/>
    <n v="90"/>
    <n v="0"/>
    <n v="90"/>
    <n v="90"/>
    <n v="0"/>
    <n v="2455"/>
    <n v="550"/>
    <n v="1905"/>
    <n v="890"/>
    <n v="1015"/>
    <n v="115624.08"/>
    <n v="22923.45"/>
    <n v="92700.63"/>
    <n v="43262.01"/>
    <n v="49438.62"/>
    <n v="42.1"/>
    <n v="49.2"/>
    <n v="41.679000000000002"/>
    <n v="48.661748031496067"/>
    <n v="140637.96071263062"/>
    <n v="56642.028999999995"/>
    <n v="69255.102000000014"/>
    <n v="5714.7327126306081"/>
    <n v="9026.0970000000016"/>
    <n v="0"/>
    <n v="140637.96071263062"/>
    <e v="#REF!"/>
    <e v="#REF!"/>
    <e v="#REF!"/>
    <x v="12"/>
  </r>
  <r>
    <x v="49"/>
    <s v="Wk 49"/>
    <x v="0"/>
    <d v="2022-12-09T00:00:00"/>
    <n v="3275"/>
    <n v="975"/>
    <n v="2300"/>
    <n v="47.857228818962689"/>
    <n v="48.414027999394968"/>
    <n v="158013.06249709707"/>
    <n v="46660.798098488624"/>
    <n v="111352.26439860843"/>
    <n v="390"/>
    <n v="3300"/>
    <n v="1000"/>
    <n v="2300"/>
    <n v="1200"/>
    <n v="1100"/>
    <n v="156025.30335321967"/>
    <n v="46900.084242583434"/>
    <n v="109125.21911063624"/>
    <n v="56934.896927288479"/>
    <n v="52190.322183347773"/>
    <n v="90"/>
    <n v="0"/>
    <n v="90"/>
    <n v="90"/>
    <n v="0"/>
    <n v="3185"/>
    <n v="980"/>
    <n v="2205"/>
    <n v="1144"/>
    <n v="1061"/>
    <n v="155765.60999999999"/>
    <n v="47054.7"/>
    <n v="108710.91"/>
    <n v="56401.487999999998"/>
    <n v="52309.421999999999"/>
    <n v="48.5"/>
    <n v="49.8"/>
    <n v="48.015000000000001"/>
    <n v="49.302"/>
    <n v="127696.96337721619"/>
    <n v="49260.162000000004"/>
    <n v="64056.116999999998"/>
    <n v="5575.1113772161816"/>
    <n v="8805.5730000000003"/>
    <n v="0"/>
    <n v="127696.96337721619"/>
    <e v="#REF!"/>
    <e v="#REF!"/>
    <e v="#REF!"/>
    <x v="12"/>
  </r>
  <r>
    <x v="49"/>
    <s v="Wk 49"/>
    <x v="1"/>
    <d v="2022-12-10T00:00:00"/>
    <n v="3050"/>
    <n v="950"/>
    <n v="2100"/>
    <n v="47.833988429279927"/>
    <n v="48.283550888571114"/>
    <n v="146837.74587381526"/>
    <n v="45442.289007815933"/>
    <n v="101395.45686599934"/>
    <n v="391"/>
    <n v="3050"/>
    <n v="950"/>
    <n v="2100"/>
    <n v="1150"/>
    <n v="950"/>
    <n v="143900.99095633897"/>
    <n v="44533.443227659613"/>
    <n v="99367.547728679347"/>
    <n v="54415.561851419647"/>
    <n v="44951.985877259707"/>
    <n v="90"/>
    <n v="0"/>
    <n v="90"/>
    <n v="90"/>
    <n v="0"/>
    <n v="2974"/>
    <n v="988"/>
    <n v="1986"/>
    <n v="1122"/>
    <n v="864"/>
    <n v="145349.622"/>
    <n v="48025.692000000003"/>
    <n v="97323.93"/>
    <n v="54983.61"/>
    <n v="42340.32"/>
    <n v="49.1"/>
    <n v="49.5"/>
    <n v="48.609000000000002"/>
    <n v="49.004999999999995"/>
    <n v="128474.00000000006"/>
    <n v="57896.305534717918"/>
    <n v="58798.391950253019"/>
    <n v="4970.1805150291239"/>
    <n v="6809.1219999999994"/>
    <n v="0"/>
    <n v="128474.00000000006"/>
    <e v="#REF!"/>
    <e v="#REF!"/>
    <e v="#REF!"/>
    <x v="12"/>
  </r>
  <r>
    <x v="49"/>
    <s v="Wk 49"/>
    <x v="6"/>
    <d v="2022-12-11T00:00:00"/>
    <n v="0"/>
    <n v="0"/>
    <n v="0"/>
    <n v="0"/>
    <n v="0"/>
    <n v="0"/>
    <n v="0"/>
    <n v="0"/>
    <n v="392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2"/>
  </r>
  <r>
    <x v="50"/>
    <s v="Wk 50"/>
    <x v="2"/>
    <d v="2022-12-12T00:00:00"/>
    <n v="2830"/>
    <n v="830"/>
    <n v="2000"/>
    <n v="44.908657780783749"/>
    <n v="47.737769298598167"/>
    <n v="132749.72455524685"/>
    <n v="37274.185958050512"/>
    <n v="95475.538597196341"/>
    <n v="394"/>
    <n v="2700"/>
    <n v="750"/>
    <n v="1950"/>
    <n v="850"/>
    <n v="1100"/>
    <n v="124234.74059849716"/>
    <n v="33007.86346887605"/>
    <n v="91226.877129621105"/>
    <n v="39765.561825732271"/>
    <n v="51461.315303888827"/>
    <n v="90"/>
    <n v="0"/>
    <n v="90"/>
    <n v="90"/>
    <n v="0"/>
    <n v="2693"/>
    <n v="770"/>
    <n v="1923"/>
    <n v="776"/>
    <n v="1147"/>
    <n v="127856.02499999999"/>
    <n v="35523.18"/>
    <n v="92332.845000000001"/>
    <n v="37259.64"/>
    <n v="55073.205000000002"/>
    <n v="46.6"/>
    <n v="48.5"/>
    <n v="46.134"/>
    <n v="48.015000000000001"/>
    <n v="215140.64499999999"/>
    <n v="127238"/>
    <n v="61429.698000000004"/>
    <n v="16953.14"/>
    <n v="9519.8069999999989"/>
    <n v="75238"/>
    <n v="139902.64499999999"/>
    <e v="#REF!"/>
    <e v="#REF!"/>
    <e v="#REF!"/>
    <x v="12"/>
  </r>
  <r>
    <x v="50"/>
    <s v="Wk 50"/>
    <x v="3"/>
    <d v="2022-12-13T00:00:00"/>
    <n v="2850"/>
    <n v="600"/>
    <n v="2250"/>
    <n v="42.269814580550147"/>
    <n v="48.315151322211342"/>
    <n v="134070.97922330559"/>
    <n v="25361.88874833009"/>
    <n v="108709.09047497551"/>
    <n v="395"/>
    <n v="2950"/>
    <n v="700"/>
    <n v="2250"/>
    <n v="1150"/>
    <n v="1100"/>
    <n v="135532.00146773341"/>
    <n v="28997.092802257397"/>
    <n v="106534.90866547602"/>
    <n v="54451.175540132186"/>
    <n v="52083.733125343824"/>
    <n v="90"/>
    <n v="0"/>
    <n v="90"/>
    <n v="90"/>
    <n v="0"/>
    <n v="2949"/>
    <n v="700"/>
    <n v="2249"/>
    <n v="1152"/>
    <n v="1097"/>
    <n v="135726.32699999999"/>
    <n v="29521.8"/>
    <n v="106204.527"/>
    <n v="54400.896000000001"/>
    <n v="51803.631000000001"/>
    <n v="42.6"/>
    <n v="47.7"/>
    <n v="42.173999999999999"/>
    <n v="47.222999999999999"/>
    <n v="146511.02142876477"/>
    <n v="69614.574999999997"/>
    <n v="61790.655780276647"/>
    <n v="6402.5294287647566"/>
    <n v="8703.2612197233539"/>
    <n v="0"/>
    <n v="146511.02142876477"/>
    <e v="#REF!"/>
    <e v="#REF!"/>
    <e v="#REF!"/>
    <x v="12"/>
  </r>
  <r>
    <x v="50"/>
    <s v="Wk 50"/>
    <x v="4"/>
    <d v="2022-12-14T00:00:00"/>
    <n v="2750"/>
    <n v="600"/>
    <n v="2150"/>
    <n v="41.806874001157375"/>
    <n v="48.839263491810826"/>
    <n v="130088.54090808771"/>
    <n v="25084.124400694425"/>
    <n v="105004.41650739328"/>
    <n v="396"/>
    <n v="2800"/>
    <n v="650"/>
    <n v="2150"/>
    <n v="1150"/>
    <n v="1000"/>
    <n v="129535.30691598266"/>
    <n v="26630.978738737245"/>
    <n v="102904.32817724541"/>
    <n v="55041.849955270802"/>
    <n v="47862.478221974605"/>
    <n v="90"/>
    <n v="0"/>
    <n v="90"/>
    <n v="90"/>
    <n v="0"/>
    <n v="2769"/>
    <n v="610"/>
    <n v="2159"/>
    <n v="1194"/>
    <n v="965"/>
    <n v="128150.15399999999"/>
    <n v="24699.51"/>
    <n v="103450.644"/>
    <n v="57211.703999999998"/>
    <n v="46238.94"/>
    <n v="40.9"/>
    <n v="48.4"/>
    <n v="40.491"/>
    <n v="47.915999999999997"/>
    <n v="158778.92987043201"/>
    <n v="68447.115000000005"/>
    <n v="75829.364577598608"/>
    <n v="5543.0098704320098"/>
    <n v="8959.4404224013979"/>
    <n v="0"/>
    <n v="158778.92987043201"/>
    <e v="#REF!"/>
    <e v="#REF!"/>
    <e v="#REF!"/>
    <x v="12"/>
  </r>
  <r>
    <x v="50"/>
    <s v="Wk 50"/>
    <x v="5"/>
    <d v="2022-12-15T00:00:00"/>
    <n v="2725"/>
    <n v="575"/>
    <n v="2150"/>
    <n v="42.356060263398483"/>
    <n v="47.233679975222273"/>
    <n v="125907.14659818202"/>
    <n v="24354.734651454128"/>
    <n v="101552.41194672789"/>
    <n v="397"/>
    <n v="2725"/>
    <n v="575"/>
    <n v="2150"/>
    <n v="1150"/>
    <n v="1000"/>
    <n v="123389.00366621837"/>
    <n v="23867.639958425043"/>
    <n v="99521.363707793324"/>
    <n v="53232.357332075502"/>
    <n v="46289.006375717829"/>
    <n v="90"/>
    <n v="0"/>
    <n v="90"/>
    <n v="90"/>
    <n v="0"/>
    <n v="2581"/>
    <n v="587"/>
    <n v="1994"/>
    <n v="947"/>
    <n v="1047"/>
    <n v="121391.91900000002"/>
    <n v="24465.573"/>
    <n v="96926.34600000002"/>
    <n v="46032.723000000005"/>
    <n v="50893.623000000007"/>
    <n v="42.1"/>
    <n v="49.1"/>
    <n v="41.679000000000002"/>
    <n v="48.609000000000009"/>
    <n v="130380.40808425107"/>
    <n v="57965.375999999997"/>
    <n v="57834.893000000004"/>
    <n v="5652.4360842510805"/>
    <n v="8927.7030000000013"/>
    <n v="0"/>
    <n v="130380.40808425107"/>
    <e v="#REF!"/>
    <e v="#REF!"/>
    <e v="#REF!"/>
    <x v="12"/>
  </r>
  <r>
    <x v="50"/>
    <s v="Wk 50"/>
    <x v="0"/>
    <d v="2022-12-16T00:00:00"/>
    <n v="3125"/>
    <n v="1175"/>
    <n v="1950"/>
    <n v="50.102915825782908"/>
    <n v="48.463883542058802"/>
    <n v="153375.49900230957"/>
    <n v="58870.926095294919"/>
    <n v="94504.572907014663"/>
    <n v="398"/>
    <n v="3350"/>
    <n v="1150"/>
    <n v="2200"/>
    <n v="1200"/>
    <n v="1000"/>
    <n v="160954.11905233611"/>
    <n v="56465.986135657338"/>
    <n v="104488.13291667878"/>
    <n v="56993.527045461153"/>
    <n v="47494.605871217624"/>
    <n v="90"/>
    <n v="0"/>
    <n v="90"/>
    <n v="90"/>
    <n v="0"/>
    <n v="3033"/>
    <n v="958"/>
    <n v="2075"/>
    <n v="1140"/>
    <n v="935"/>
    <n v="143385.16499999998"/>
    <n v="44575.74"/>
    <n v="98809.424999999988"/>
    <n v="54285.659999999996"/>
    <n v="44523.764999999999"/>
    <n v="47"/>
    <n v="48.1"/>
    <n v="46.53"/>
    <n v="47.618999999999993"/>
    <n v="129145.39976846729"/>
    <n v="50616.626000000004"/>
    <n v="64304.83600000001"/>
    <n v="5514.3437684672872"/>
    <n v="8709.594000000001"/>
    <n v="0"/>
    <n v="129145.39976846729"/>
    <e v="#REF!"/>
    <e v="#REF!"/>
    <e v="#REF!"/>
    <x v="12"/>
  </r>
  <r>
    <x v="50"/>
    <s v="Wk 50"/>
    <x v="1"/>
    <d v="2022-12-17T00:00:00"/>
    <n v="2850"/>
    <n v="1000"/>
    <n v="1850"/>
    <n v="51.776169028955216"/>
    <n v="51.062105146553321"/>
    <n v="146241.06355007886"/>
    <n v="51776.169028955213"/>
    <n v="94464.894521123642"/>
    <n v="399"/>
    <n v="2850"/>
    <n v="1000"/>
    <n v="1850"/>
    <n v="1000"/>
    <n v="850"/>
    <n v="143316.2422790773"/>
    <n v="50740.645648376107"/>
    <n v="92575.596630701184"/>
    <n v="50040.863043622259"/>
    <n v="42534.733587078917"/>
    <n v="90"/>
    <n v="0"/>
    <n v="90"/>
    <n v="90"/>
    <n v="0"/>
    <n v="2813"/>
    <n v="972"/>
    <n v="1841"/>
    <n v="1014"/>
    <n v="827"/>
    <n v="134265.78"/>
    <n v="45323.388000000006"/>
    <n v="88942.391999999993"/>
    <n v="48988.367999999995"/>
    <n v="39954.023999999998"/>
    <n v="47.1"/>
    <n v="48.8"/>
    <n v="46.629000000000005"/>
    <n v="48.311999999999998"/>
    <n v="127073.00000000009"/>
    <n v="59171.045365157232"/>
    <n v="56251.104591314222"/>
    <n v="4915.981043528619"/>
    <n v="6734.8689999999997"/>
    <n v="0"/>
    <n v="127073.00000000009"/>
    <e v="#REF!"/>
    <e v="#REF!"/>
    <e v="#REF!"/>
    <x v="12"/>
  </r>
  <r>
    <x v="50"/>
    <s v="Wk 50"/>
    <x v="6"/>
    <d v="2022-12-18T00:00:00"/>
    <n v="0"/>
    <n v="0"/>
    <n v="0"/>
    <n v="0"/>
    <n v="0"/>
    <n v="0"/>
    <n v="0"/>
    <n v="0"/>
    <n v="400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2"/>
  </r>
  <r>
    <x v="51"/>
    <s v="Wk 51"/>
    <x v="2"/>
    <d v="2022-12-19T00:00:00"/>
    <n v="2650"/>
    <n v="750"/>
    <n v="1900"/>
    <n v="47.769999999999996"/>
    <n v="52.5"/>
    <n v="135577.5"/>
    <n v="35827.5"/>
    <n v="99750"/>
    <n v="402"/>
    <n v="2650"/>
    <n v="750"/>
    <n v="1900"/>
    <n v="800"/>
    <n v="1100"/>
    <n v="132865.95000000001"/>
    <n v="35110.949999999997"/>
    <n v="97755"/>
    <n v="41160"/>
    <n v="56595"/>
    <n v="90"/>
    <n v="0"/>
    <n v="90"/>
    <n v="90"/>
    <n v="0"/>
    <n v="2630"/>
    <n v="775"/>
    <n v="1855"/>
    <n v="801"/>
    <n v="1054"/>
    <n v="123254.505"/>
    <n v="33452.1"/>
    <n v="89802.404999999999"/>
    <n v="38777.211000000003"/>
    <n v="51025.193999999996"/>
    <n v="43.6"/>
    <n v="48.9"/>
    <n v="43.164000000000001"/>
    <n v="48.411000000000001"/>
    <n v="158932.94499999998"/>
    <n v="80000"/>
    <n v="59329.817999999999"/>
    <n v="10408.74"/>
    <n v="9194.3870000000006"/>
    <n v="0"/>
    <n v="158932.94499999998"/>
    <e v="#REF!"/>
    <e v="#REF!"/>
    <e v="#REF!"/>
    <x v="12"/>
  </r>
  <r>
    <x v="51"/>
    <s v="Wk 51"/>
    <x v="3"/>
    <d v="2022-12-20T00:00:00"/>
    <n v="3400"/>
    <n v="900"/>
    <n v="2500"/>
    <n v="45.47"/>
    <n v="49.85"/>
    <n v="165548"/>
    <n v="40923"/>
    <n v="124625"/>
    <n v="403"/>
    <n v="3400"/>
    <n v="900"/>
    <n v="2500"/>
    <n v="1300"/>
    <n v="1200"/>
    <n v="162237.04"/>
    <n v="40104.54"/>
    <n v="122132.5"/>
    <n v="63508.9"/>
    <n v="58623.6"/>
    <n v="90"/>
    <n v="0"/>
    <n v="90"/>
    <n v="90"/>
    <n v="0"/>
    <n v="3102"/>
    <n v="780"/>
    <n v="2322"/>
    <n v="1222"/>
    <n v="1100"/>
    <n v="141148.65599999999"/>
    <n v="30347.459999999995"/>
    <n v="110801.196"/>
    <n v="58311.396000000001"/>
    <n v="52489.8"/>
    <n v="39.299999999999997"/>
    <n v="48.2"/>
    <n v="38.906999999999996"/>
    <n v="47.717999999999996"/>
    <n v="170405.51712646379"/>
    <n v="77948.45"/>
    <n v="75542.894094822899"/>
    <n v="7169.0051264637932"/>
    <n v="9745.1679051771098"/>
    <n v="0"/>
    <n v="170405.51712646379"/>
    <e v="#REF!"/>
    <e v="#REF!"/>
    <e v="#REF!"/>
    <x v="12"/>
  </r>
  <r>
    <x v="51"/>
    <s v="Wk 51"/>
    <x v="4"/>
    <d v="2022-12-21T00:00:00"/>
    <n v="3400"/>
    <n v="900"/>
    <n v="2500"/>
    <n v="41.73"/>
    <n v="48.95"/>
    <n v="159932"/>
    <n v="37557"/>
    <n v="122375"/>
    <n v="404"/>
    <n v="3400"/>
    <n v="900"/>
    <n v="2500"/>
    <n v="1300"/>
    <n v="1200"/>
    <n v="156733.35999999999"/>
    <n v="36805.86"/>
    <n v="119927.5"/>
    <n v="62362.3"/>
    <n v="57565.2"/>
    <n v="90"/>
    <n v="0"/>
    <n v="90"/>
    <n v="90"/>
    <n v="0"/>
    <n v="3500"/>
    <n v="1070"/>
    <n v="2430"/>
    <n v="1305"/>
    <n v="1125"/>
    <n v="164409.30000000002"/>
    <n v="43643.159999999996"/>
    <n v="120766.14000000001"/>
    <n v="64855.890000000007"/>
    <n v="55910.25"/>
    <n v="41.2"/>
    <n v="50.2"/>
    <n v="40.787999999999997"/>
    <n v="49.698000000000008"/>
    <n v="159752.34883800431"/>
    <n v="76588.38"/>
    <n v="66936.562117375754"/>
    <n v="6202.3088380043127"/>
    <n v="10025.097882624254"/>
    <n v="0"/>
    <n v="159752.34883800431"/>
    <e v="#REF!"/>
    <e v="#REF!"/>
    <e v="#REF!"/>
    <x v="12"/>
  </r>
  <r>
    <x v="51"/>
    <s v="Wk 51"/>
    <x v="5"/>
    <d v="2022-12-22T00:00:00"/>
    <n v="4025"/>
    <n v="1550"/>
    <n v="2475"/>
    <n v="43.099999999999994"/>
    <n v="50.17"/>
    <n v="190975.75"/>
    <n v="66804.999999999985"/>
    <n v="124170.75"/>
    <n v="405"/>
    <n v="4050"/>
    <n v="1550"/>
    <n v="2500"/>
    <n v="1300"/>
    <n v="1200"/>
    <n v="188385.4"/>
    <n v="65468.899999999987"/>
    <n v="122916.5"/>
    <n v="63916.58"/>
    <n v="58999.92"/>
    <n v="90"/>
    <n v="0"/>
    <n v="90"/>
    <n v="90"/>
    <n v="0"/>
    <n v="4100"/>
    <n v="1550"/>
    <n v="2550"/>
    <n v="1350"/>
    <n v="1200"/>
    <n v="184719.15"/>
    <n v="60766.2"/>
    <n v="123952.95"/>
    <n v="65622.149999999994"/>
    <n v="58330.8"/>
    <n v="39.6"/>
    <n v="49.1"/>
    <n v="39.204000000000001"/>
    <n v="48.609000000000002"/>
    <n v="162624.45923800432"/>
    <n v="69316.351999999999"/>
    <n v="75872.835999999996"/>
    <n v="6759.3152380043139"/>
    <n v="10675.956"/>
    <n v="0"/>
    <n v="162624.45923800432"/>
    <e v="#REF!"/>
    <e v="#REF!"/>
    <e v="#REF!"/>
    <x v="12"/>
  </r>
  <r>
    <x v="51"/>
    <s v="Wk 51"/>
    <x v="0"/>
    <d v="2022-12-23T00:00:00"/>
    <n v="4325"/>
    <n v="1925"/>
    <n v="2400"/>
    <n v="41.7"/>
    <n v="49.55"/>
    <n v="199192.5"/>
    <n v="80272.5"/>
    <n v="118920"/>
    <n v="406"/>
    <n v="4375"/>
    <n v="1925"/>
    <n v="2450"/>
    <n v="1275"/>
    <n v="1175"/>
    <n v="197636.59999999998"/>
    <n v="78667.05"/>
    <n v="118969.54999999999"/>
    <n v="61912.724999999999"/>
    <n v="57056.824999999997"/>
    <n v="90"/>
    <n v="0"/>
    <n v="90"/>
    <n v="90"/>
    <n v="0"/>
    <n v="4375"/>
    <n v="1925"/>
    <n v="2450"/>
    <n v="1275"/>
    <n v="1175"/>
    <n v="199653.3"/>
    <n v="78135.75"/>
    <n v="121517.54999999999"/>
    <n v="63238.724999999999"/>
    <n v="58278.824999999997"/>
    <n v="41"/>
    <n v="50.1"/>
    <n v="40.590000000000003"/>
    <n v="49.598999999999997"/>
    <n v="141766.87177786542"/>
    <n v="56404.259000000005"/>
    <n v="69512.274000000005"/>
    <n v="6144.8677778654164"/>
    <n v="9705.4710000000014"/>
    <n v="0"/>
    <n v="141766.87177786542"/>
    <e v="#REF!"/>
    <e v="#REF!"/>
    <e v="#REF!"/>
    <x v="12"/>
  </r>
  <r>
    <x v="51"/>
    <s v="Wk 51"/>
    <x v="1"/>
    <d v="2022-12-24T00:00:00"/>
    <n v="3750"/>
    <n v="1975"/>
    <n v="1775"/>
    <n v="36.61"/>
    <n v="45.69"/>
    <n v="153404.5"/>
    <n v="72304.75"/>
    <n v="81099.75"/>
    <n v="407"/>
    <n v="3275"/>
    <n v="1975"/>
    <n v="1300"/>
    <n v="1300"/>
    <n v="0"/>
    <n v="129067.715"/>
    <n v="70858.654999999999"/>
    <n v="58209.06"/>
    <n v="58209.06"/>
    <n v="0"/>
    <n v="90"/>
    <n v="0"/>
    <n v="90"/>
    <n v="90"/>
    <n v="0"/>
    <n v="3275"/>
    <n v="1975"/>
    <n v="1300"/>
    <n v="1300"/>
    <n v="0"/>
    <n v="126556.65000000001"/>
    <n v="64523.25"/>
    <n v="62033.400000000009"/>
    <n v="62033.400000000009"/>
    <n v="0"/>
    <n v="33"/>
    <n v="45.69"/>
    <n v="32.67"/>
    <n v="47.718000000000004"/>
    <n v="150036.00000000009"/>
    <n v="69863.676488370707"/>
    <n v="66416.08153157965"/>
    <n v="5804.3339800497342"/>
    <n v="7951.9079999999994"/>
    <n v="0"/>
    <n v="150036.00000000009"/>
    <e v="#REF!"/>
    <e v="#REF!"/>
    <e v="#REF!"/>
    <x v="12"/>
  </r>
  <r>
    <x v="51"/>
    <s v="Wk 51"/>
    <x v="6"/>
    <d v="2022-12-25T00:00:0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90"/>
    <n v="0"/>
    <n v="90"/>
    <n v="90"/>
    <n v="0"/>
    <n v="0"/>
    <n v="0"/>
    <n v="0"/>
    <n v="0"/>
    <n v="0"/>
    <n v="0"/>
    <n v="0"/>
    <n v="0"/>
    <n v="0"/>
    <n v="0"/>
    <n v="0"/>
    <n v="0"/>
    <s v="-"/>
    <s v="-"/>
    <n v="0"/>
    <n v="0"/>
    <n v="0"/>
    <n v="0"/>
    <n v="0"/>
    <n v="0"/>
    <n v="0"/>
    <e v="#REF!"/>
    <e v="#REF!"/>
    <e v="#REF!"/>
    <x v="12"/>
  </r>
  <r>
    <x v="52"/>
    <s v="Wk 52"/>
    <x v="2"/>
    <d v="2022-12-26T00:00:00"/>
    <n v="2825"/>
    <n v="775"/>
    <n v="2050"/>
    <n v="41.71"/>
    <n v="47.21"/>
    <n v="129105.75"/>
    <n v="32325.25"/>
    <n v="96780.5"/>
    <n v="410"/>
    <n v="2375"/>
    <n v="800"/>
    <n v="1575"/>
    <n v="400"/>
    <n v="1175"/>
    <n v="105569.27500000001"/>
    <n v="32700.639999999999"/>
    <n v="72868.635000000009"/>
    <n v="18506.32"/>
    <n v="54362.315000000002"/>
    <n v="90"/>
    <n v="0"/>
    <n v="90"/>
    <n v="90"/>
    <n v="0"/>
    <n v="2375"/>
    <n v="800"/>
    <n v="1575"/>
    <n v="400"/>
    <n v="1175"/>
    <n v="106646.51250000001"/>
    <n v="33034.32"/>
    <n v="73612.192500000005"/>
    <n v="18695.16"/>
    <n v="54917.032500000001"/>
    <n v="41.71"/>
    <n v="47.21"/>
    <n v="41.292900000000003"/>
    <n v="46.737900000000003"/>
    <n v="179071.57"/>
    <n v="95488"/>
    <n v="59321.268000000004"/>
    <n v="15069.24"/>
    <n v="9193.0619999999999"/>
    <n v="35488"/>
    <n v="143583.57"/>
    <e v="#REF!"/>
    <e v="#REF!"/>
    <e v="#REF!"/>
    <x v="12"/>
  </r>
  <r>
    <x v="52"/>
    <s v="Wk 52"/>
    <x v="3"/>
    <d v="2022-12-27T00:00:00"/>
    <n v="3500"/>
    <n v="900"/>
    <n v="2600"/>
    <n v="42.589999999999996"/>
    <n v="45.68"/>
    <n v="157099"/>
    <n v="38331"/>
    <n v="118768"/>
    <n v="411"/>
    <n v="3500"/>
    <n v="900"/>
    <n v="2600"/>
    <n v="1350"/>
    <n v="1250"/>
    <n v="153957.01999999999"/>
    <n v="37564.379999999997"/>
    <n v="116392.64"/>
    <n v="60434.64"/>
    <n v="55958"/>
    <n v="90"/>
    <n v="0"/>
    <n v="90"/>
    <n v="90"/>
    <n v="0"/>
    <n v="3500"/>
    <n v="900"/>
    <n v="2600"/>
    <n v="1350"/>
    <n v="1250"/>
    <n v="155528.01"/>
    <n v="37947.69"/>
    <n v="117580.32"/>
    <n v="61051.32"/>
    <n v="56529"/>
    <n v="42.589999999999996"/>
    <n v="45.68"/>
    <n v="42.164100000000005"/>
    <n v="45.223200000000006"/>
    <n v="152177.92935260007"/>
    <n v="71268.05"/>
    <n v="65445.298218175507"/>
    <n v="6554.601352600057"/>
    <n v="8909.9797818244951"/>
    <n v="0"/>
    <n v="152177.92935260007"/>
    <e v="#REF!"/>
    <e v="#REF!"/>
    <e v="#REF!"/>
    <x v="12"/>
  </r>
  <r>
    <x v="52"/>
    <s v="Wk 52"/>
    <x v="4"/>
    <d v="2022-12-28T00:00:00"/>
    <n v="3500"/>
    <n v="900"/>
    <n v="2600"/>
    <n v="41.52"/>
    <n v="45.79"/>
    <n v="156422"/>
    <n v="37368"/>
    <n v="119054"/>
    <n v="412"/>
    <n v="3525"/>
    <n v="900"/>
    <n v="2625"/>
    <n v="1375"/>
    <n v="1250"/>
    <n v="154415.41499999998"/>
    <n v="36620.639999999999"/>
    <n v="117794.77499999999"/>
    <n v="61702.025000000001"/>
    <n v="56092.75"/>
    <n v="90"/>
    <n v="0"/>
    <n v="90"/>
    <n v="90"/>
    <n v="0"/>
    <n v="3525"/>
    <n v="900"/>
    <n v="2625"/>
    <n v="1375"/>
    <n v="1250"/>
    <n v="155991.08249999999"/>
    <n v="36994.32"/>
    <n v="118996.7625"/>
    <n v="62331.637499999997"/>
    <n v="56665.125"/>
    <n v="41.52"/>
    <n v="45.79"/>
    <n v="41.104799999999997"/>
    <n v="45.332099999999997"/>
    <n v="147782.49566293758"/>
    <n v="71693.324999999997"/>
    <n v="60898.919296748514"/>
    <n v="5805.8956629375834"/>
    <n v="9384.3557032514927"/>
    <n v="0"/>
    <n v="147782.49566293758"/>
    <e v="#REF!"/>
    <e v="#REF!"/>
    <e v="#REF!"/>
    <x v="12"/>
  </r>
  <r>
    <x v="52"/>
    <s v="Wk 52"/>
    <x v="5"/>
    <d v="2022-12-29T00:00:00"/>
    <n v="3750"/>
    <n v="1150"/>
    <n v="2600"/>
    <n v="40.799999999999997"/>
    <n v="46.05"/>
    <n v="166650"/>
    <n v="46920"/>
    <n v="119729.99999999999"/>
    <n v="413"/>
    <n v="4025"/>
    <n v="1400"/>
    <n v="2625"/>
    <n v="1375"/>
    <n v="1250"/>
    <n v="174441.22499999998"/>
    <n v="55977.599999999991"/>
    <n v="118463.625"/>
    <n v="62052.374999999993"/>
    <n v="56411.25"/>
    <n v="90"/>
    <n v="0"/>
    <n v="90"/>
    <n v="90"/>
    <n v="0"/>
    <n v="4025"/>
    <n v="1400"/>
    <n v="2625"/>
    <n v="1375"/>
    <n v="1250"/>
    <n v="176221.23749999999"/>
    <n v="56548.799999999996"/>
    <n v="119672.4375"/>
    <n v="62685.562499999993"/>
    <n v="56986.875"/>
    <n v="40.799999999999997"/>
    <n v="46.05"/>
    <n v="40.391999999999996"/>
    <n v="45.589500000000001"/>
    <n v="150521.82691106229"/>
    <n v="60223.295999999995"/>
    <n v="75150.452999999994"/>
    <n v="5872.6149110623164"/>
    <n v="9275.4630000000016"/>
    <n v="0"/>
    <n v="150521.82691106229"/>
    <e v="#REF!"/>
    <e v="#REF!"/>
    <e v="#REF!"/>
    <x v="12"/>
  </r>
  <r>
    <x v="52"/>
    <s v="Wk 52"/>
    <x v="0"/>
    <d v="2022-12-30T00:00:00"/>
    <n v="4450"/>
    <n v="1850"/>
    <n v="2600"/>
    <n v="40.350000000000009"/>
    <n v="45.55"/>
    <n v="193077.5"/>
    <n v="74647.500000000015"/>
    <n v="118429.99999999999"/>
    <n v="414"/>
    <n v="4475"/>
    <n v="1850"/>
    <n v="2625"/>
    <n v="1375"/>
    <n v="1250"/>
    <n v="190331.92500000002"/>
    <n v="73154.550000000017"/>
    <n v="117177.375"/>
    <n v="61378.624999999993"/>
    <n v="55798.75"/>
    <n v="90"/>
    <n v="0"/>
    <n v="90"/>
    <n v="90"/>
    <n v="0"/>
    <n v="4475"/>
    <n v="1850"/>
    <n v="2625"/>
    <n v="1375"/>
    <n v="1250"/>
    <n v="192274.08750000002"/>
    <n v="73901.025000000009"/>
    <n v="118373.0625"/>
    <n v="62004.937499999993"/>
    <n v="56368.125"/>
    <n v="40.350000000000009"/>
    <n v="45.55"/>
    <n v="39.946500000000007"/>
    <n v="45.094499999999996"/>
    <n v="130329.1872219644"/>
    <n v="52166.491000000002"/>
    <n v="63503.226000000002"/>
    <n v="5683.1912219643955"/>
    <n v="8976.2790000000005"/>
    <n v="0"/>
    <n v="130329.1872219644"/>
    <e v="#REF!"/>
    <e v="#REF!"/>
    <e v="#REF!"/>
    <x v="12"/>
  </r>
  <r>
    <x v="52"/>
    <s v="Wk 52"/>
    <x v="1"/>
    <d v="2022-12-31T00:00:00"/>
    <n v="3600"/>
    <n v="1950"/>
    <n v="1650"/>
    <n v="35.340000000000003"/>
    <n v="45.09"/>
    <n v="143311.5"/>
    <n v="68913"/>
    <n v="74398.5"/>
    <n v="415"/>
    <n v="3250"/>
    <n v="1950"/>
    <n v="1300"/>
    <n v="1300"/>
    <n v="0"/>
    <n v="124979.40000000001"/>
    <n v="67534.740000000005"/>
    <n v="57444.66"/>
    <n v="57444.66"/>
    <n v="0"/>
    <n v="90"/>
    <n v="0"/>
    <n v="90"/>
    <n v="90"/>
    <n v="0"/>
    <n v="3250"/>
    <n v="1950"/>
    <n v="1300"/>
    <n v="1300"/>
    <n v="0"/>
    <n v="126254.70000000001"/>
    <n v="68223.87"/>
    <n v="58030.830000000009"/>
    <n v="58030.830000000009"/>
    <n v="0"/>
    <n v="35.340000000000003"/>
    <n v="45.09"/>
    <n v="34.986599999999996"/>
    <n v="44.639100000000006"/>
    <n v="134427.00000000006"/>
    <n v="62595.406697740604"/>
    <n v="59506.482391197154"/>
    <n v="5200.4799110623162"/>
    <n v="7124.6309999999994"/>
    <n v="0"/>
    <n v="134427.00000000006"/>
    <e v="#REF!"/>
    <e v="#REF!"/>
    <e v="#REF!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698C7-732B-47A7-8E4B-611716E5AA0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">
  <location ref="B45:J58" firstHeaderRow="1" firstDataRow="2" firstDataCol="1"/>
  <pivotFields count="53">
    <pivotField axis="axisRow" numFmtId="1" showAl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/>
    <pivotField axis="axisCol" showAll="0">
      <items count="8">
        <item x="2"/>
        <item x="3"/>
        <item x="4"/>
        <item x="5"/>
        <item x="0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-FC-All Picks" fld="9" baseField="0" baseItem="43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grandRow="1" outline="0" collapsedLevelsAreSubtotals="1" fieldPosition="0"/>
    </format>
  </format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50D42-27C8-43E6-BF5E-3AA2CA35426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0">
  <location ref="B2:D16" firstHeaderRow="0" firstDataRow="1" firstDataCol="1"/>
  <pivotFields count="53">
    <pivotField numFmtId="1" showAll="0">
      <items count="5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</pivotFields>
  <rowFields count="1">
    <field x="5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FC-All Picks" fld="9" baseField="0" baseItem="43"/>
    <dataField name="Sum of Act-All Orders" fld="28" baseField="0" baseItem="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9D3FC-658E-4FDF-AA2B-8CD281D76428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1">
  <location ref="B548:J602" firstHeaderRow="1" firstDataRow="2" firstDataCol="1"/>
  <pivotFields count="53">
    <pivotField axis="axisRow" numFmtId="1" showAll="0">
      <items count="5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 sortType="ascending"/>
    <pivotField axis="axisCol" showAll="0">
      <items count="8">
        <item x="2"/>
        <item x="3"/>
        <item x="4"/>
        <item x="5"/>
        <item x="0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Act-All Picks" fld="33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41212-8B61-4070-9B16-A4E3F5595D7A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1">
  <location ref="B636:D649" firstHeaderRow="0" firstDataRow="1" firstDataCol="1"/>
  <pivotFields count="53">
    <pivotField numFmtId="1"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t="default"/>
      </items>
    </pivotField>
  </pivotFields>
  <rowFields count="1">
    <field x="5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t-All Picks" fld="33" baseField="0" baseItem="0"/>
    <dataField name="Sum of Act-Orders-HD" fld="30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A7190-A59B-4892-BE52-BAD5A573BC4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B129:D147" firstHeaderRow="0" firstDataRow="1" firstDataCol="1"/>
  <pivotFields count="53">
    <pivotField axis="axisRow" numFmtId="1" showAl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8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FC-All Picks" fld="9" baseField="0" baseItem="43"/>
    <dataField name="Sum of Sales-FC-All-Orders" fld="4" baseField="0" baseItem="0"/>
  </dataFields>
  <formats count="1">
    <format dxfId="4">
      <pivotArea field="52" grandRow="1" outline="0" collapsedLevelsAreSubtotals="1">
        <references count="1">
          <reference field="4294967294" count="1" selected="0">
            <x v="0"/>
          </reference>
        </references>
      </pivotArea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FC7D9-9FA9-483D-9517-E33179A4B20C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B111:D125" firstHeaderRow="0" firstDataRow="1" firstDataCol="1"/>
  <pivotFields count="53">
    <pivotField numFmtI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</pivotFields>
  <rowFields count="1">
    <field x="5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-FC-All Picks" fld="9" baseField="0" baseItem="43"/>
    <dataField name="Sum of Sales-FC-All-Orders" fld="4" baseField="0" baseItem="0"/>
  </dataFields>
  <formats count="1">
    <format dxfId="5">
      <pivotArea field="5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3BE95-7BCB-4680-AD7E-1F031B59F207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0">
  <location ref="B191:J199" firstHeaderRow="1" firstDataRow="2" firstDataCol="1"/>
  <pivotFields count="53">
    <pivotField axis="axisRow" numFmtId="1" showAll="0">
      <items count="54">
        <item h="1" x="0"/>
        <item x="1"/>
        <item x="2"/>
        <item x="3"/>
        <item x="4"/>
        <item x="5"/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t="default"/>
      </items>
    </pivotField>
    <pivotField showAll="0"/>
    <pivotField axis="axisCol" showAll="0">
      <items count="8">
        <item x="2"/>
        <item x="3"/>
        <item x="4"/>
        <item x="5"/>
        <item x="0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-FC-All Picks" fld="9" baseField="0" baseItem="43"/>
  </dataFields>
  <formats count="2">
    <format dxfId="7">
      <pivotArea field="52" grandRow="1" outline="0" collapsedLevelsAreSubtotals="1">
        <references count="1">
          <reference field="4294967294" count="1" selected="0">
            <x v="0"/>
          </reference>
        </references>
      </pivotArea>
    </format>
    <format dxfId="6">
      <pivotArea collapsedLevelsAreSubtotals="1" fieldPosition="0">
        <references count="1">
          <reference field="0" count="0"/>
        </references>
      </pivotArea>
    </format>
  </format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E1306A-9D8C-43CD-AE16-DBFE0602C2BC}" name="DB" displayName="DB" ref="A2:BA367" totalsRowShown="0" headerRowDxfId="57" dataDxfId="55" headerRowBorderDxfId="56" tableBorderDxfId="54">
  <autoFilter ref="A2:BA367" xr:uid="{BC755F12-275B-4EA0-9E22-489D6E11B475}"/>
  <tableColumns count="53">
    <tableColumn id="1" xr3:uid="{DE8DE8F0-03C0-4919-A608-674057E60B17}" name="weeknum">
      <calculatedColumnFormula>WEEKNUM(D3,2)</calculatedColumnFormula>
    </tableColumn>
    <tableColumn id="2" xr3:uid="{E0DDD161-3554-4B28-A9FB-3872B672B3FD}" name="week">
      <calculatedColumnFormula>"Wk "&amp;A3</calculatedColumnFormula>
    </tableColumn>
    <tableColumn id="3" xr3:uid="{7357B048-1C07-4E57-8B6A-D46524D31047}" name="Dag"/>
    <tableColumn id="4" xr3:uid="{CEBC3F40-33DB-49FB-AB57-78D7109E9DA7}" name="Datum" dataDxfId="53"/>
    <tableColumn id="45" xr3:uid="{D6CA0732-07DD-44EF-A0BE-089C3CBD824F}" name="Sales-FC-All-Orders" dataDxfId="52">
      <calculatedColumnFormula>DB[[#This Row],[Sales-FC-Orders-Collect]]+DB[[#This Row],[Sales-FC-Orders-HD]]</calculatedColumnFormula>
    </tableColumn>
    <tableColumn id="5" xr3:uid="{C867F26A-90FC-4156-ABE2-328D7B834971}" name="Sales-FC-Orders-Collect" dataDxfId="51">
      <calculatedColumnFormula array="1">INDEX('LT Collect Forecast'!$K$1:$Q$10,MATCH(B3,'LT Collect Forecast'!$A:$A,0)+1,MATCH(C3,'LT Collect Forecast'!$K$2:$Q$2,0))</calculatedColumnFormula>
    </tableColumn>
    <tableColumn id="6" xr3:uid="{DE9C25E8-31A1-4B14-8B70-99D7652EA442}" name="Sales-FC-Orders-HD" dataDxfId="50">
      <calculatedColumnFormula array="1">INDEX('LT HD Forecast'!$K$1:$Q$24,MATCH(B3,'LT HD Forecast'!$A:$A,0)+1,MATCH(C3,'LT HD Forecast'!$K$2:$Q$2,0))</calculatedColumnFormula>
    </tableColumn>
    <tableColumn id="7" xr3:uid="{DE1A874A-63F4-4A69-B8CD-8D19E427E7DD}" name="Sales-FC-Buckets-Collect" dataDxfId="49">
      <calculatedColumnFormula array="1">INDEX('LT Collect Forecast'!$AA$1:$AG$10,MATCH(B3,'LT Collect Forecast'!$A:$A,0)+1,MATCH(C3,'LT Collect Forecast'!$AA$2:$AG$2,0))</calculatedColumnFormula>
    </tableColumn>
    <tableColumn id="8" xr3:uid="{2EA41F93-6705-4F86-BF04-ED90B78F4473}" name="Sales-FC-Buckets-HD" dataDxfId="48">
      <calculatedColumnFormula array="1">INDEX('LT HD Forecast'!$AA$1:$AG$24,MATCH(B3,'LT HD Forecast'!$A:$A,0)+1,MATCH(C3,'LT HD Forecast'!$AA$2:$AG$2,0))</calculatedColumnFormula>
    </tableColumn>
    <tableColumn id="46" xr3:uid="{819A4901-CC90-4302-AAA9-79118FD4A35C}" name="Sales-FC-All Picks" dataDxfId="47">
      <calculatedColumnFormula>SUM(DB[[#This Row],[Sales-FC-Picks-Collect]:[Sales-FC-Picks-HD]])</calculatedColumnFormula>
    </tableColumn>
    <tableColumn id="9" xr3:uid="{E44A17A3-7D7D-4BD9-9E94-CE75CD6E9AE0}" name="Sales-FC-Picks-Collect" dataDxfId="46">
      <calculatedColumnFormula>F3*H3</calculatedColumnFormula>
    </tableColumn>
    <tableColumn id="10" xr3:uid="{B4B6B642-4CE2-43E4-A47A-8596D07C001D}" name="Sales-FC-Picks-HD" dataDxfId="45">
      <calculatedColumnFormula>G3*I3</calculatedColumnFormula>
    </tableColumn>
    <tableColumn id="11" xr3:uid="{EEA96EAC-22E6-46F7-8512-72EB9F337BF1}" name="Help-column 1" dataDxfId="44">
      <calculatedColumnFormula>IFERROR(IF(B3=B2,M2+1,MATCH(B3,'ST Forecast'!$E$2:$RK$2,0)+1),"")</calculatedColumnFormula>
    </tableColumn>
    <tableColumn id="47" xr3:uid="{EF33CEE1-BB8E-45B4-B42E-895FDB077038}" name="Ops-FC-All Orders" dataDxfId="43">
      <calculatedColumnFormula>SUM(DB[[#This Row],[Ops-FC-Orders-Collect]:[Ops-FC-Orders-HD]])</calculatedColumnFormula>
    </tableColumn>
    <tableColumn id="12" xr3:uid="{BF145D93-CBC5-4008-B5CC-ACD31FC5794F}" name="Ops-FC-Orders-Collect" dataDxfId="42">
      <calculatedColumnFormula array="1">IFERROR(INDEX('ST Forecast'!$E$2:$RK$36,13,M3),"")</calculatedColumnFormula>
    </tableColumn>
    <tableColumn id="13" xr3:uid="{A1A228F2-5D0E-4160-A055-FAA308CE786F}" name="Ops-FC-Orders-HD" dataDxfId="41">
      <calculatedColumnFormula>IFERROR(Q3+R3,"")</calculatedColumnFormula>
    </tableColumn>
    <tableColumn id="14" xr3:uid="{B7A711A2-8030-4F02-B384-BB46FE220CCE}" name="Ops-FC-Orders-AM" dataDxfId="40">
      <calculatedColumnFormula array="1">IFERROR(INDEX('ST Forecast'!$E$2:$RK$36,14,M3),"")</calculatedColumnFormula>
    </tableColumn>
    <tableColumn id="15" xr3:uid="{EA6AC872-ACBB-461D-B807-C59480D47954}" name="Ops-FC-Orders-PM" dataDxfId="39">
      <calculatedColumnFormula array="1">IFERROR(INDEX('ST Forecast'!$E$2:$RK$36,15,M3),"")</calculatedColumnFormula>
    </tableColumn>
    <tableColumn id="48" xr3:uid="{6B3DC1F6-59F8-4828-8F26-23E3656A26B4}" name="Ops-FC-All Picks" dataDxfId="38">
      <calculatedColumnFormula>SUM(DB[[#This Row],[Ops-FC-Picks-Collect]:[Ops-FC-Picks-HD]])</calculatedColumnFormula>
    </tableColumn>
    <tableColumn id="16" xr3:uid="{F149E890-7F0F-4BA1-86C8-112AF5693847}" name="Ops-FC-Picks-Collect" dataDxfId="37">
      <calculatedColumnFormula>IFERROR(O3*H3*$B$1,"")</calculatedColumnFormula>
    </tableColumn>
    <tableColumn id="17" xr3:uid="{B40D4499-49D1-4BD7-8120-389BE6238E84}" name="Ops-FC-Picks-HD" dataDxfId="36">
      <calculatedColumnFormula>IFERROR(V3+W3,"")</calculatedColumnFormula>
    </tableColumn>
    <tableColumn id="18" xr3:uid="{7E55ED3F-083E-4387-8060-649821852901}" name="Ops-FC-Picks-AM" dataDxfId="35">
      <calculatedColumnFormula>IFERROR(Q3*I3*$B$1,"")</calculatedColumnFormula>
    </tableColumn>
    <tableColumn id="19" xr3:uid="{20201D01-FE9D-4006-B4D7-EEEA8213CCB4}" name="Ops-FC-Picks-PM" dataDxfId="34">
      <calculatedColumnFormula>IFERROR(R3*I3*$B$1,"")</calculatedColumnFormula>
    </tableColumn>
    <tableColumn id="49" xr3:uid="{AEC68A26-A182-4C41-9619-135F15C37D6D}" name="Capped all orders" dataDxfId="33">
      <calculatedColumnFormula>SUM(DB[[#This Row],[Capped-Orders-Collect]:[Capped-Orders-HD]])</calculatedColumnFormula>
    </tableColumn>
    <tableColumn id="20" xr3:uid="{8905A036-0909-4024-B164-4593EE70982D}" name="Capped-Orders-Collect">
      <calculatedColumnFormula>INDEX('Operations Forecast'!$A$2:$BGY$47,3,MATCH(DB!D3,'Operations Forecast'!$A$2:$BGY$2))</calculatedColumnFormula>
    </tableColumn>
    <tableColumn id="21" xr3:uid="{EECA95BA-A462-4917-A2C1-E0F7674D5C5B}" name="Capped-Orders-HD">
      <calculatedColumnFormula>SUM(AA3:AB3)</calculatedColumnFormula>
    </tableColumn>
    <tableColumn id="22" xr3:uid="{BB40AC68-D225-4F81-8BBA-5B3BFFE7237F}" name="Capped-Orders-AM">
      <calculatedColumnFormula>INDEX('Operations Forecast'!$A$2:$BGY$47,10,MATCH(DB!D3,'Operations Forecast'!$A$2:$BGY$2))</calculatedColumnFormula>
    </tableColumn>
    <tableColumn id="23" xr3:uid="{B1AFE43D-C32F-4CDF-8E87-2381D52D764F}" name="Capped-Orders-PM">
      <calculatedColumnFormula>INDEX('Operations Forecast'!$A$2:$BGY$47,21,MATCH(DB!D3,'Operations Forecast'!$A$2:$BGY$2))</calculatedColumnFormula>
    </tableColumn>
    <tableColumn id="50" xr3:uid="{A517BCC3-15D2-45B7-8D2C-59F7D3FF82DE}" name="Act-All Orders" dataDxfId="32">
      <calculatedColumnFormula>SUM(DB[[#This Row],[Act-Orders-Collect]:[Act-Orders-HD]])</calculatedColumnFormula>
    </tableColumn>
    <tableColumn id="24" xr3:uid="{53FDADB2-933C-4391-AE7B-796B54D80302}" name="Act-Orders-Collect" dataDxfId="31">
      <calculatedColumnFormula>#REF!</calculatedColumnFormula>
    </tableColumn>
    <tableColumn id="25" xr3:uid="{8E05A842-556C-4666-82C2-30A24C44A26B}" name="Act-Orders-HD" dataDxfId="30">
      <calculatedColumnFormula>AF3+AG3</calculatedColumnFormula>
    </tableColumn>
    <tableColumn id="26" xr3:uid="{BDA555D2-339E-46F5-BCEF-3C7859229CD2}" name="Act-Orders-AM" dataDxfId="29">
      <calculatedColumnFormula>#REF!</calculatedColumnFormula>
    </tableColumn>
    <tableColumn id="27" xr3:uid="{03A690EA-1582-45EE-9F47-9D4F8F6DBB85}" name="Act-Orders-PM" dataDxfId="28">
      <calculatedColumnFormula>#REF!</calculatedColumnFormula>
    </tableColumn>
    <tableColumn id="51" xr3:uid="{2176C841-F0FA-4038-9047-CF5A1F441B4A}" name="Act-All Picks" dataDxfId="27">
      <calculatedColumnFormula>AI3+AJ3</calculatedColumnFormula>
    </tableColumn>
    <tableColumn id="28" xr3:uid="{AC97D5C4-6A7A-498A-A46C-8CCB50BDB0E7}" name="Act-Picks-Collect" dataDxfId="26">
      <calculatedColumnFormula>#REF!</calculatedColumnFormula>
    </tableColumn>
    <tableColumn id="29" xr3:uid="{EA6BBB06-3819-4A91-9360-9CEF88C10445}" name="Act-Picks-HD" dataDxfId="25">
      <calculatedColumnFormula>AK3+AL3</calculatedColumnFormula>
    </tableColumn>
    <tableColumn id="30" xr3:uid="{FC524645-DD8B-4366-8E20-140BE8EC5D44}" name="Act-Picks-AM" dataDxfId="24">
      <calculatedColumnFormula>IFERROR(INDEX('Operations Forecast_new'!$15:$15,MATCH(DB[[#This Row],[Datum]],'Operations Forecast_new'!$2:$2,0)),0)</calculatedColumnFormula>
    </tableColumn>
    <tableColumn id="31" xr3:uid="{96CC9139-ADE1-4C1F-BA80-8BF9B77E6DE4}" name="Act-Picks-PM" dataDxfId="23">
      <calculatedColumnFormula>IFERROR(INDEX('Operations Forecast_new'!$21:$21,MATCH(DB[[#This Row],[Datum]],'Operations Forecast_new'!$2:$2,0)),0)</calculatedColumnFormula>
    </tableColumn>
    <tableColumn id="32" xr3:uid="{A4B28238-4BFC-4AB5-9E4A-DB4C6023297E}" name="Act-Bucket-order-Collect" dataDxfId="22">
      <calculatedColumnFormula>IFERROR(INDEX('Operations Forecast_new'!$8:$8,MATCH(DB[[#This Row],[Datum]],'Operations Forecast_new'!$2:$2,0)),0)</calculatedColumnFormula>
    </tableColumn>
    <tableColumn id="33" xr3:uid="{2620FF3C-E172-4510-B9FA-92FC1165FFE8}" name="Act-Bucket-order-HD" dataDxfId="21">
      <calculatedColumnFormula>IFERROR(INDEX('Operations Forecast_new'!$20:$20,MATCH(DB[[#This Row],[Datum]],'Operations Forecast_new'!$2:$2,0)),0)</calculatedColumnFormula>
    </tableColumn>
    <tableColumn id="34" xr3:uid="{BFFBB87A-F891-4EF5-AA75-19F2480A4E8E}" name="Act-Bucket-Collect" dataDxfId="20">
      <calculatedColumnFormula>IFERROR(AI3/AD3,"-")</calculatedColumnFormula>
    </tableColumn>
    <tableColumn id="35" xr3:uid="{7C2BF429-19B0-41A6-86D9-6E64F4EEB5CD}" name="Act-Bucket-HD" dataDxfId="19">
      <calculatedColumnFormula>IFERROR(AJ3/AE3,"-")</calculatedColumnFormula>
    </tableColumn>
    <tableColumn id="36" xr3:uid="{E995DDA2-C745-49CD-90C4-4267B92D11E9}" name="Inbound FC" dataDxfId="18">
      <calculatedColumnFormula>SUM(AR3:AU3)</calculatedColumnFormula>
    </tableColumn>
    <tableColumn id="37" xr3:uid="{EF6A7D28-6953-4038-B6DA-A5E44C6E9560}" name="Inbound Act - Sec" dataDxfId="17">
      <calculatedColumnFormula array="1">IFERROR(INDEX('ST Forecast'!$E$2:$RK$36,25,M3)+(INDEX('ST Forecast'!$E$2:$RK$36,29,M3)),"")</calculatedColumnFormula>
    </tableColumn>
    <tableColumn id="38" xr3:uid="{8362DACD-BB67-401F-BB88-D1C874F1F382}" name="Inbound Act - Fresh" dataDxfId="16">
      <calculatedColumnFormula array="1">IFERROR(INDEX('ST Forecast'!$E$2:$RK$36,26,M3)+INDEX('ST Forecast'!$E$2:$RK$36,30,M3),"")</calculatedColumnFormula>
    </tableColumn>
    <tableColumn id="39" xr3:uid="{1E5EA634-AF5C-4060-87BC-E7AD1300B797}" name="Inbound Act - Frozen" dataDxfId="15">
      <calculatedColumnFormula array="1">IFERROR(INDEX('ST Forecast'!$E$2:$RK$36,27,M3)+INDEX('ST Forecast'!$E$2:$RK$36,31,M3),"")</calculatedColumnFormula>
    </tableColumn>
    <tableColumn id="40" xr3:uid="{1778C18D-5D4C-4E1A-B798-330BB6462E64}" name="Inbound Act - Ultrafresh" dataDxfId="14">
      <calculatedColumnFormula>INDEX('Operations Forecast'!$A$2:$BGY$47,40,MATCH(DB!D3,'Operations Forecast'!$A$2:$BGY$2))</calculatedColumnFormula>
    </tableColumn>
    <tableColumn id="53" xr3:uid="{E054A9F4-565C-4387-80F2-47F52B4CE30C}" name="Inbound Act - Ultrafresh2" dataDxfId="13">
      <calculatedColumnFormula array="1">IFERROR(INDEX('ST Forecast'!$E$2:$RK$36,29,M3),"")</calculatedColumnFormula>
    </tableColumn>
    <tableColumn id="41" xr3:uid="{55AE8FE1-4552-463F-A92B-8A6EC1946F28}" name="Inbound Act" dataDxfId="12">
      <calculatedColumnFormula>SUM(AX3:AY3)</calculatedColumnFormula>
    </tableColumn>
    <tableColumn id="42" xr3:uid="{9256557D-3F71-4E2D-92B5-DC746EC4CF26}" name="Inbound FC - Sec" dataDxfId="11">
      <calculatedColumnFormula>#REF!</calculatedColumnFormula>
    </tableColumn>
    <tableColumn id="43" xr3:uid="{DD2BDFC5-C8F9-43BB-8BF4-A4E8EAF7E75D}" name="Inbound FC - Fresh" dataDxfId="10">
      <calculatedColumnFormula>#REF!</calculatedColumnFormula>
    </tableColumn>
    <tableColumn id="44" xr3:uid="{E5569DAB-DA9A-46A3-BFE4-2BC5ABCF61CF}" name="Inbound FC - Frozen" dataDxfId="9">
      <calculatedColumnFormula>#REF!</calculatedColumnFormula>
    </tableColumn>
    <tableColumn id="52" xr3:uid="{0CDCBB64-F690-4E88-8D9E-A603977D6787}" name="Month" dataDxfId="8">
      <calculatedColumnFormula>MONTH(DB[[#This Row],[Datum]])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7" dT="2020-03-30T14:19:28.68" personId="{15C9052E-A8AA-40C6-B84B-86E80E7B8721}" id="{BD4235C0-CA13-4078-83C2-92686CC63BC9}">
    <text xml:space="preserve">6-8 chauffeurs supplementaires pour diviser les commandes suite au retard de préparation - depart entre 19 et 20h
</text>
  </threadedComment>
  <threadedComment ref="D27" dT="2020-03-30T14:19:01.22" personId="{15C9052E-A8AA-40C6-B84B-86E80E7B8721}" id="{B30AD8FC-996A-4D48-8F4D-ECCA984B009C}">
    <text xml:space="preserve">6-8 chauffeurs supplementaires pour diviser les commandes suite au retard de préparation - depart entre 19 et 20h
</text>
  </threadedComment>
  <threadedComment ref="E27" dT="2020-03-30T14:19:40.99" personId="{15C9052E-A8AA-40C6-B84B-86E80E7B8721}" id="{6913DD99-F51E-4507-9DAD-F182550CBFFB}">
    <text xml:space="preserve">6-8 chauffeurs supplementaires pour diviser les commandes suite au retard de préparation - depart entre 19 et 20h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H4" dT="2020-10-27T07:30:39.41" personId="{6E39CA57-12CA-4910-9B86-B00AFF3DFE1A}" id="{A17F9A4A-FC03-46B9-809A-3CA023A87FC3}">
    <text>Aanpassing Shuttle vroeger</text>
  </threadedComment>
  <threadedComment ref="HI4" dT="2020-10-29T07:12:43.99" personId="{6E39CA57-12CA-4910-9B86-B00AFF3DFE1A}" id="{D33D43DD-186F-4A5E-BEBF-91C1A7EAB219}">
    <text>Tijdelijke close wegens ops achterstand</text>
  </threadedComment>
  <threadedComment ref="HL4" dT="2020-10-27T07:30:51.60" personId="{6E39CA57-12CA-4910-9B86-B00AFF3DFE1A}" id="{4A88BB4F-FA94-4803-9EA5-0F385E19F905}">
    <text>Aanpassing shuttle vroeger</text>
  </threadedComment>
  <threadedComment ref="HO4" dT="2020-10-30T19:01:32.52" personId="{6E39CA57-12CA-4910-9B86-B00AFF3DFE1A}" id="{8DB29D7C-4B60-4634-B578-7E6F03DA9971}">
    <text>Mandjes 15% hoger dan normaal</text>
  </threadedComment>
  <threadedComment ref="J24" dT="2020-04-06T07:00:55.17" personId="{3D088D29-4217-4BCC-9F07-EB72AAB58A15}" id="{565EA999-6A14-4680-8938-67EA1B1A3970}">
    <text xml:space="preserve">15.000 picks annuleren
</text>
  </threadedComment>
  <threadedComment ref="X24" dT="2020-04-06T07:00:55.17" personId="{3D088D29-4217-4BCC-9F07-EB72AAB58A15}" id="{51A73436-34B3-43E3-8B86-19F9086C2081}">
    <text xml:space="preserve">15.000 picks annuleren
</text>
  </threadedComment>
  <threadedComment ref="IH41" dT="2020-11-24T12:41:54.26" personId="{D9611C8C-623C-4B43-B4EE-D586F87FE57B}" id="{5BD5ABA0-41FF-4430-9F5E-BEAB387A425C}">
    <text>Max 80.000 in frigo!</text>
  </threadedComment>
  <threadedComment ref="HD42" dT="2020-10-27T07:37:23.42" personId="{6E39CA57-12CA-4910-9B86-B00AFF3DFE1A}" id="{37D0FF94-F675-4F03-A762-B72750E5DCA3}">
    <text>Alle preorders binnen</text>
  </threadedComment>
  <threadedComment ref="HR42" dT="2020-11-09T07:40:13.94" personId="{6E39CA57-12CA-4910-9B86-B00AFF3DFE1A}" id="{8C2D880F-A73B-464A-AFFE-42B44909B4DD}">
    <text>70K preorders on top</text>
  </threadedComment>
  <threadedComment ref="HU42" dT="2020-11-12T07:33:06.61" personId="{6E39CA57-12CA-4910-9B86-B00AFF3DFE1A}" id="{32F0A922-C4BE-41C7-9F09-813304198D88}">
    <text>Preorders erbij: 170.000</text>
  </threadedComment>
  <threadedComment ref="HU42" dT="2020-11-13T07:41:01.37" personId="{6E39CA57-12CA-4910-9B86-B00AFF3DFE1A}" id="{825605CE-909B-4BF3-9CED-1D05F2D799E4}" parentId="{32F0A922-C4BE-41C7-9F09-813304198D88}">
    <text>185.000 met preorders</text>
  </threadedComment>
  <threadedComment ref="HV42" dT="2020-11-13T07:42:12.28" personId="{6E39CA57-12CA-4910-9B86-B00AFF3DFE1A}" id="{B37D45AB-4942-4CB2-BE3E-4C104AC81C97}">
    <text>135.000 kant Distrilog?</text>
  </threadedComment>
  <threadedComment ref="IA42" dT="2020-11-18T07:34:19.97" personId="{6E39CA57-12CA-4910-9B86-B00AFF3DFE1A}" id="{8AFAF50F-D6D6-4B4C-BD94-B846FE18BA3F}">
    <text>130k zonder pallets</text>
  </threadedComment>
  <threadedComment ref="IX67" dT="2020-12-10T07:44:01.72" personId="{6E39CA57-12CA-4910-9B86-B00AFF3DFE1A}" id="{15691BE1-6E7E-4276-BDD1-9CFDB0A2EB34}">
    <text>10.000 laat binnen gekomen 's avonds (bon)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O41" dT="2022-04-13T06:34:15.86" personId="{FC26ADBE-44F2-4AB0-8482-FA632A412182}" id="{16D16576-608F-4022-AC6C-A25E6B8E2CC8}">
    <text>80% van bestelling gisteren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B32" dT="2022-02-02T12:34:17.40" personId="{139F0E3B-A703-4A0D-BD64-F870A3037977}" id="{04233046-E416-4437-BD7A-F71588ADB811}">
    <text>waarvan 68410 preorders Winefair</text>
  </threadedComment>
  <threadedComment ref="FJ32" dT="2022-05-11T12:31:57.11" personId="{139F0E3B-A703-4A0D-BD64-F870A3037977}" id="{0BFBC37D-0B59-4892-95F7-30A08FD1F4D3}">
    <text>Waarvan 28k (73 pal) Vranken 2+2</text>
  </threadedComment>
  <threadedComment ref="KH32" dT="2022-08-31T10:02:21.62" personId="{CE62BFCF-717F-456B-A399-0065CDCE9E66}" id="{36C5D7F5-4714-458E-952F-9D43F18E82CC}">
    <text>Wine Fair included (94.4k)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7.bin"/><Relationship Id="rId3" Type="http://schemas.openxmlformats.org/officeDocument/2006/relationships/customProperty" Target="../customProperty2.bin"/><Relationship Id="rId7" Type="http://schemas.openxmlformats.org/officeDocument/2006/relationships/customProperty" Target="../customProperty6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11" Type="http://schemas.openxmlformats.org/officeDocument/2006/relationships/customProperty" Target="../customProperty10.bin"/><Relationship Id="rId5" Type="http://schemas.openxmlformats.org/officeDocument/2006/relationships/customProperty" Target="../customProperty4.bin"/><Relationship Id="rId10" Type="http://schemas.openxmlformats.org/officeDocument/2006/relationships/customProperty" Target="../customProperty9.bin"/><Relationship Id="rId4" Type="http://schemas.openxmlformats.org/officeDocument/2006/relationships/customProperty" Target="../customProperty3.bin"/><Relationship Id="rId9" Type="http://schemas.openxmlformats.org/officeDocument/2006/relationships/customProperty" Target="../customProperty8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2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8.bin"/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6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9.bin"/><Relationship Id="rId6" Type="http://schemas.microsoft.com/office/2017/10/relationships/threadedComment" Target="../threadedComments/threadedComment4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8.bin"/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.bin"/><Relationship Id="rId13" Type="http://schemas.openxmlformats.org/officeDocument/2006/relationships/comments" Target="../comments5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vmlDrawing" Target="../drawings/vmlDrawing5.v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customProperty" Target="../customProperty30.bin"/><Relationship Id="rId4" Type="http://schemas.openxmlformats.org/officeDocument/2006/relationships/pivotTable" Target="../pivotTables/pivotTable4.xml"/><Relationship Id="rId9" Type="http://schemas.openxmlformats.org/officeDocument/2006/relationships/customProperty" Target="../customProperty2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2.bin"/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12.bin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6B08-E876-4B4E-9A20-F0222C21CA51}">
  <sheetPr codeName="Sheet1"/>
  <dimension ref="A1:I20"/>
  <sheetViews>
    <sheetView topLeftCell="A8" workbookViewId="0">
      <selection activeCell="B13" sqref="B13"/>
    </sheetView>
  </sheetViews>
  <sheetFormatPr defaultRowHeight="14.4" x14ac:dyDescent="0.3"/>
  <cols>
    <col min="1" max="1" width="20" customWidth="1"/>
    <col min="2" max="2" width="18.5546875" style="33" customWidth="1"/>
    <col min="3" max="3" width="16.5546875" style="33" customWidth="1"/>
    <col min="4" max="4" width="11.5546875" style="33" customWidth="1"/>
    <col min="5" max="5" width="12.5546875" style="33" customWidth="1"/>
    <col min="6" max="7" width="25.44140625" style="33" customWidth="1"/>
    <col min="9" max="9" width="16.44140625" style="33" customWidth="1"/>
  </cols>
  <sheetData>
    <row r="1" spans="1:9" ht="15.6" x14ac:dyDescent="0.3">
      <c r="A1" s="32" t="s">
        <v>0</v>
      </c>
    </row>
    <row r="3" spans="1:9" ht="15" thickBot="1" x14ac:dyDescent="0.35"/>
    <row r="4" spans="1:9" ht="15" thickBot="1" x14ac:dyDescent="0.35">
      <c r="A4" s="35"/>
      <c r="B4" s="40" t="s">
        <v>1</v>
      </c>
      <c r="C4" s="36"/>
      <c r="D4" s="40" t="s">
        <v>2</v>
      </c>
      <c r="E4" s="40" t="s">
        <v>3</v>
      </c>
      <c r="F4" s="40" t="s">
        <v>4</v>
      </c>
      <c r="G4" s="40" t="s">
        <v>5</v>
      </c>
      <c r="I4" s="41" t="s">
        <v>6</v>
      </c>
    </row>
    <row r="5" spans="1:9" x14ac:dyDescent="0.3">
      <c r="A5" s="31"/>
      <c r="B5" s="34"/>
    </row>
    <row r="6" spans="1:9" x14ac:dyDescent="0.3">
      <c r="A6" s="37" t="s">
        <v>7</v>
      </c>
      <c r="B6" s="38" t="s">
        <v>8</v>
      </c>
      <c r="C6" s="38" t="s">
        <v>8</v>
      </c>
      <c r="D6" s="38"/>
      <c r="E6" s="38" t="s">
        <v>9</v>
      </c>
      <c r="F6" s="38" t="s">
        <v>10</v>
      </c>
      <c r="G6" s="38" t="s">
        <v>9</v>
      </c>
      <c r="I6" s="38"/>
    </row>
    <row r="7" spans="1:9" x14ac:dyDescent="0.3">
      <c r="A7" s="39"/>
      <c r="B7" s="38"/>
      <c r="C7" s="38"/>
      <c r="D7" s="38"/>
      <c r="E7" s="38"/>
      <c r="F7" s="38" t="s">
        <v>11</v>
      </c>
      <c r="G7" s="38"/>
      <c r="I7" s="38"/>
    </row>
    <row r="8" spans="1:9" x14ac:dyDescent="0.3">
      <c r="A8" s="39" t="s">
        <v>12</v>
      </c>
      <c r="B8" s="38" t="s">
        <v>13</v>
      </c>
      <c r="C8" s="38" t="s">
        <v>14</v>
      </c>
      <c r="D8" s="38"/>
      <c r="E8" s="38" t="s">
        <v>14</v>
      </c>
      <c r="F8" s="38"/>
      <c r="G8" s="38" t="s">
        <v>15</v>
      </c>
      <c r="I8" s="38"/>
    </row>
    <row r="9" spans="1:9" x14ac:dyDescent="0.3">
      <c r="A9" s="39"/>
      <c r="B9" s="38"/>
      <c r="C9" s="38"/>
      <c r="D9" s="38"/>
      <c r="E9" s="38"/>
      <c r="F9" s="38"/>
      <c r="G9" s="38"/>
      <c r="I9" s="38"/>
    </row>
    <row r="10" spans="1:9" x14ac:dyDescent="0.3">
      <c r="A10" s="39" t="s">
        <v>16</v>
      </c>
      <c r="B10" s="38">
        <v>96</v>
      </c>
      <c r="C10" s="38">
        <v>80</v>
      </c>
      <c r="D10" s="38"/>
      <c r="E10" s="38">
        <v>90</v>
      </c>
      <c r="F10" s="38"/>
      <c r="G10" s="38">
        <v>90</v>
      </c>
      <c r="I10" s="38"/>
    </row>
    <row r="11" spans="1:9" x14ac:dyDescent="0.3">
      <c r="A11" s="39"/>
      <c r="B11" s="38"/>
      <c r="C11" s="38"/>
      <c r="D11" s="38"/>
      <c r="E11" s="38"/>
      <c r="F11" s="38"/>
      <c r="G11" s="38"/>
      <c r="I11" s="38"/>
    </row>
    <row r="12" spans="1:9" x14ac:dyDescent="0.3">
      <c r="A12" s="39" t="s">
        <v>17</v>
      </c>
      <c r="B12" s="38">
        <v>50</v>
      </c>
      <c r="C12" s="38">
        <v>3</v>
      </c>
      <c r="D12" s="38">
        <v>0</v>
      </c>
      <c r="E12" s="38">
        <v>2</v>
      </c>
      <c r="F12" s="38">
        <v>2</v>
      </c>
      <c r="G12" s="38">
        <v>8</v>
      </c>
      <c r="I12" s="38"/>
    </row>
    <row r="13" spans="1:9" x14ac:dyDescent="0.3">
      <c r="F13" s="33" t="s">
        <v>18</v>
      </c>
    </row>
    <row r="14" spans="1:9" x14ac:dyDescent="0.3">
      <c r="G14" s="38" t="s">
        <v>19</v>
      </c>
    </row>
    <row r="16" spans="1:9" x14ac:dyDescent="0.3">
      <c r="G16" s="38">
        <f>B12+C12+D12+E12+F12+G12</f>
        <v>65</v>
      </c>
    </row>
    <row r="18" spans="1:2" x14ac:dyDescent="0.3">
      <c r="A18" t="s">
        <v>20</v>
      </c>
      <c r="B18" s="33">
        <v>29</v>
      </c>
    </row>
    <row r="19" spans="1:2" x14ac:dyDescent="0.3">
      <c r="A19" t="s">
        <v>21</v>
      </c>
      <c r="B19" s="33">
        <v>7</v>
      </c>
    </row>
    <row r="20" spans="1:2" x14ac:dyDescent="0.3">
      <c r="A20" t="s">
        <v>22</v>
      </c>
      <c r="B20" s="33">
        <f>G16-B18-B19</f>
        <v>29</v>
      </c>
    </row>
  </sheetData>
  <pageMargins left="0.7" right="0.7" top="0.75" bottom="0.75" header="0.3" footer="0.3"/>
  <pageSetup paperSize="9" orientation="portrait" r:id="rId1"/>
  <customProperties>
    <customPr name="_pios_id" r:id="rId2"/>
    <customPr name="EpmWorksheetKeyString_GUID" r:id="rId3"/>
    <customPr name="ORB_SHEETNAME" r:id="rId4"/>
    <customPr name="RB_CASE" r:id="rId5"/>
    <customPr name="RB_COMPANY" r:id="rId6"/>
    <customPr name="RB_DECIMAL_SEPARATOR" r:id="rId7"/>
    <customPr name="RB_PATH_SEPARATOR" r:id="rId8"/>
    <customPr name="RB_THOUSAND_SEPARATOR" r:id="rId9"/>
    <customPr name="RB_WORKBOOK_DATARECENCY_CURRENT" r:id="rId10"/>
    <customPr name="RB_WORKBOOK_VERSION" r:id="rId1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5D65-8751-4FD8-A3C3-6C5EBEF7B94C}">
  <sheetPr codeName="Sheet2"/>
  <dimension ref="A1:AR63"/>
  <sheetViews>
    <sheetView zoomScale="120" zoomScaleNormal="120" workbookViewId="0">
      <pane xSplit="1" ySplit="2" topLeftCell="R3" activePane="bottomRight" state="frozen"/>
      <selection pane="topRight" activeCell="B1" sqref="B1"/>
      <selection pane="bottomLeft" activeCell="A3" sqref="A3"/>
      <selection pane="bottomRight" activeCell="AB17" sqref="AB17"/>
    </sheetView>
  </sheetViews>
  <sheetFormatPr defaultRowHeight="14.4" outlineLevelRow="1" x14ac:dyDescent="0.3"/>
  <cols>
    <col min="1" max="1" width="36.44140625" bestFit="1" customWidth="1"/>
    <col min="2" max="19" width="8.44140625" bestFit="1" customWidth="1"/>
    <col min="20" max="21" width="8.5546875" bestFit="1" customWidth="1"/>
    <col min="22" max="22" width="8.44140625" bestFit="1" customWidth="1"/>
    <col min="23" max="23" width="5.5546875" style="43" customWidth="1"/>
    <col min="24" max="29" width="8.5546875" bestFit="1" customWidth="1"/>
    <col min="30" max="33" width="5.5546875" customWidth="1"/>
  </cols>
  <sheetData>
    <row r="1" spans="1:44" x14ac:dyDescent="0.3">
      <c r="B1" s="13" t="s">
        <v>23</v>
      </c>
      <c r="C1" s="13" t="s">
        <v>24</v>
      </c>
      <c r="D1" s="13" t="s">
        <v>25</v>
      </c>
      <c r="E1" s="13" t="s">
        <v>26</v>
      </c>
      <c r="F1" s="13" t="s">
        <v>27</v>
      </c>
      <c r="G1" s="13" t="s">
        <v>28</v>
      </c>
      <c r="H1" s="13" t="s">
        <v>29</v>
      </c>
      <c r="I1" s="13" t="s">
        <v>23</v>
      </c>
      <c r="J1" s="13" t="s">
        <v>24</v>
      </c>
      <c r="K1" s="13" t="s">
        <v>25</v>
      </c>
      <c r="L1" s="13" t="s">
        <v>26</v>
      </c>
      <c r="M1" s="13" t="s">
        <v>27</v>
      </c>
      <c r="N1" s="13" t="s">
        <v>28</v>
      </c>
      <c r="O1" s="13" t="s">
        <v>29</v>
      </c>
      <c r="P1" s="13" t="s">
        <v>23</v>
      </c>
      <c r="Q1" s="13" t="s">
        <v>24</v>
      </c>
      <c r="R1" s="13" t="s">
        <v>25</v>
      </c>
      <c r="S1" s="13" t="s">
        <v>26</v>
      </c>
      <c r="T1" s="13" t="s">
        <v>27</v>
      </c>
      <c r="U1" s="13" t="s">
        <v>28</v>
      </c>
      <c r="V1" s="13" t="s">
        <v>29</v>
      </c>
      <c r="X1" s="13" t="s">
        <v>24</v>
      </c>
      <c r="Y1" s="13" t="s">
        <v>25</v>
      </c>
      <c r="Z1" s="13" t="s">
        <v>26</v>
      </c>
      <c r="AA1" s="13" t="s">
        <v>27</v>
      </c>
      <c r="AB1" s="13" t="s">
        <v>28</v>
      </c>
      <c r="AC1" s="13" t="s">
        <v>29</v>
      </c>
    </row>
    <row r="2" spans="1:44" x14ac:dyDescent="0.3">
      <c r="B2" s="23">
        <v>43913</v>
      </c>
      <c r="C2" s="23">
        <v>43914</v>
      </c>
      <c r="D2" s="23">
        <v>43915</v>
      </c>
      <c r="E2" s="23">
        <v>43916</v>
      </c>
      <c r="F2" s="23">
        <v>43917</v>
      </c>
      <c r="G2" s="23">
        <v>43918</v>
      </c>
      <c r="H2" s="23">
        <v>43919</v>
      </c>
      <c r="I2" s="23">
        <v>43920</v>
      </c>
      <c r="J2" s="23">
        <v>43921</v>
      </c>
      <c r="K2" s="23">
        <v>43922</v>
      </c>
      <c r="L2" s="23">
        <v>43923</v>
      </c>
      <c r="M2" s="23">
        <v>43924</v>
      </c>
      <c r="N2" s="23">
        <v>43925</v>
      </c>
      <c r="O2" s="23">
        <v>43926</v>
      </c>
      <c r="P2" s="23">
        <v>43927</v>
      </c>
      <c r="Q2" s="23">
        <v>43928</v>
      </c>
      <c r="R2" s="23">
        <v>43929</v>
      </c>
      <c r="S2" s="23">
        <v>43930</v>
      </c>
      <c r="T2" s="23">
        <v>43931</v>
      </c>
      <c r="U2" s="23">
        <v>43932</v>
      </c>
      <c r="V2" s="23">
        <v>43933</v>
      </c>
      <c r="X2" s="23">
        <v>43935</v>
      </c>
      <c r="Y2" s="23">
        <v>43936</v>
      </c>
      <c r="Z2" s="23">
        <v>43937</v>
      </c>
      <c r="AA2" s="23">
        <v>43938</v>
      </c>
      <c r="AB2" s="23">
        <v>43939</v>
      </c>
      <c r="AC2" s="23">
        <v>43940</v>
      </c>
    </row>
    <row r="3" spans="1:44" ht="5.25" customHeight="1" x14ac:dyDescent="0.3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44" ht="23.4" x14ac:dyDescent="0.45">
      <c r="A4" s="922" t="s">
        <v>30</v>
      </c>
      <c r="B4" s="922"/>
      <c r="C4" s="922"/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 t="s">
        <v>30</v>
      </c>
      <c r="X4" s="922"/>
      <c r="Y4" s="922"/>
      <c r="Z4" s="922"/>
      <c r="AA4" s="922"/>
      <c r="AB4" s="922"/>
      <c r="AC4" s="922"/>
      <c r="AD4" s="922"/>
      <c r="AE4" s="922"/>
      <c r="AF4" s="922"/>
      <c r="AG4" s="922"/>
      <c r="AH4" s="922"/>
      <c r="AI4" s="922"/>
      <c r="AJ4" s="922"/>
      <c r="AK4" s="922"/>
      <c r="AL4" s="922"/>
      <c r="AM4" s="922"/>
      <c r="AN4" s="922"/>
      <c r="AO4" s="922"/>
      <c r="AP4" s="922"/>
      <c r="AQ4" s="922"/>
      <c r="AR4" s="922"/>
    </row>
    <row r="5" spans="1:44" x14ac:dyDescent="0.3">
      <c r="A5" s="15" t="s">
        <v>31</v>
      </c>
      <c r="B5" s="24">
        <f t="shared" ref="B5:V5" si="0">IFERROR(SUM(B6:B7),"-")</f>
        <v>10</v>
      </c>
      <c r="C5" s="25">
        <f t="shared" si="0"/>
        <v>10</v>
      </c>
      <c r="D5" s="25">
        <f t="shared" si="0"/>
        <v>10</v>
      </c>
      <c r="E5" s="25">
        <f t="shared" si="0"/>
        <v>10</v>
      </c>
      <c r="F5" s="25">
        <f t="shared" si="0"/>
        <v>10</v>
      </c>
      <c r="G5" s="25">
        <f t="shared" si="0"/>
        <v>10</v>
      </c>
      <c r="H5" s="25">
        <f t="shared" si="0"/>
        <v>4</v>
      </c>
      <c r="I5" s="25">
        <f t="shared" si="0"/>
        <v>0</v>
      </c>
      <c r="J5" s="25">
        <f t="shared" si="0"/>
        <v>0</v>
      </c>
      <c r="K5" s="25">
        <f t="shared" si="0"/>
        <v>0</v>
      </c>
      <c r="L5" s="25">
        <f t="shared" si="0"/>
        <v>0</v>
      </c>
      <c r="M5" s="25">
        <f t="shared" si="0"/>
        <v>0</v>
      </c>
      <c r="N5" s="25">
        <f t="shared" si="0"/>
        <v>0</v>
      </c>
      <c r="O5" s="25">
        <f t="shared" si="0"/>
        <v>0</v>
      </c>
      <c r="P5" s="25">
        <f t="shared" si="0"/>
        <v>0</v>
      </c>
      <c r="Q5" s="25">
        <f t="shared" si="0"/>
        <v>0</v>
      </c>
      <c r="R5" s="25">
        <f t="shared" si="0"/>
        <v>0</v>
      </c>
      <c r="S5" s="25">
        <f t="shared" si="0"/>
        <v>12</v>
      </c>
      <c r="T5" s="25">
        <f t="shared" si="0"/>
        <v>12</v>
      </c>
      <c r="U5" s="25">
        <f t="shared" si="0"/>
        <v>16</v>
      </c>
      <c r="V5" s="26">
        <f t="shared" si="0"/>
        <v>0</v>
      </c>
      <c r="X5" s="25">
        <f t="shared" ref="X5:AC5" si="1">IFERROR(SUM(X6:X7),"-")</f>
        <v>11</v>
      </c>
      <c r="Y5" s="25">
        <f t="shared" si="1"/>
        <v>12</v>
      </c>
      <c r="Z5" s="25">
        <f t="shared" si="1"/>
        <v>12</v>
      </c>
      <c r="AA5" s="25">
        <f t="shared" si="1"/>
        <v>12</v>
      </c>
      <c r="AB5" s="25">
        <f t="shared" si="1"/>
        <v>16</v>
      </c>
      <c r="AC5" s="26">
        <f t="shared" si="1"/>
        <v>0</v>
      </c>
    </row>
    <row r="6" spans="1:44" outlineLevel="1" x14ac:dyDescent="0.3">
      <c r="A6" s="14" t="s">
        <v>32</v>
      </c>
      <c r="B6" s="5">
        <v>8</v>
      </c>
      <c r="C6" s="5">
        <v>8</v>
      </c>
      <c r="D6" s="5">
        <v>8</v>
      </c>
      <c r="E6" s="5">
        <v>8</v>
      </c>
      <c r="F6" s="5">
        <v>8</v>
      </c>
      <c r="G6" s="5">
        <v>8</v>
      </c>
      <c r="H6" s="5">
        <v>4</v>
      </c>
      <c r="I6" s="5"/>
      <c r="J6" s="5"/>
      <c r="K6" s="5"/>
      <c r="L6" s="5"/>
      <c r="M6" s="5"/>
      <c r="N6" s="5"/>
      <c r="O6" s="5"/>
      <c r="P6" s="5"/>
      <c r="Q6" s="5"/>
      <c r="R6" s="5"/>
      <c r="S6" s="5">
        <v>8</v>
      </c>
      <c r="T6" s="5">
        <v>8</v>
      </c>
      <c r="U6" s="5">
        <v>12</v>
      </c>
      <c r="V6" s="5"/>
      <c r="X6" s="5">
        <v>8</v>
      </c>
      <c r="Y6" s="5">
        <v>8</v>
      </c>
      <c r="Z6" s="5">
        <v>8</v>
      </c>
      <c r="AA6" s="5">
        <v>8</v>
      </c>
      <c r="AB6" s="5">
        <v>12</v>
      </c>
      <c r="AC6" s="5"/>
    </row>
    <row r="7" spans="1:44" outlineLevel="1" x14ac:dyDescent="0.3">
      <c r="A7" s="14" t="s">
        <v>33</v>
      </c>
      <c r="B7" s="5">
        <v>2</v>
      </c>
      <c r="C7" s="5">
        <v>2</v>
      </c>
      <c r="D7" s="5">
        <v>2</v>
      </c>
      <c r="E7" s="5">
        <v>2</v>
      </c>
      <c r="F7" s="5">
        <v>2</v>
      </c>
      <c r="G7" s="5">
        <v>2</v>
      </c>
      <c r="H7" s="5"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>
        <v>4</v>
      </c>
      <c r="T7" s="5">
        <v>4</v>
      </c>
      <c r="U7" s="5">
        <v>4</v>
      </c>
      <c r="V7" s="5"/>
      <c r="X7" s="5">
        <v>3</v>
      </c>
      <c r="Y7" s="5">
        <v>4</v>
      </c>
      <c r="Z7" s="5">
        <v>4</v>
      </c>
      <c r="AA7" s="5">
        <v>4</v>
      </c>
      <c r="AB7" s="5">
        <v>4</v>
      </c>
      <c r="AC7" s="5"/>
    </row>
    <row r="8" spans="1:44" ht="7.5" customHeight="1" x14ac:dyDescent="0.3">
      <c r="A8" s="21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X8" s="7"/>
      <c r="Y8" s="7"/>
      <c r="Z8" s="7"/>
      <c r="AA8" s="7"/>
      <c r="AB8" s="7"/>
      <c r="AC8" s="7"/>
    </row>
    <row r="9" spans="1:44" x14ac:dyDescent="0.3">
      <c r="A9" s="15" t="s">
        <v>34</v>
      </c>
      <c r="B9" s="24">
        <f t="shared" ref="B9:V9" si="2">IFERROR(SUM(B10:B15),"-")</f>
        <v>66</v>
      </c>
      <c r="C9" s="25">
        <f t="shared" si="2"/>
        <v>66</v>
      </c>
      <c r="D9" s="25">
        <f t="shared" si="2"/>
        <v>66</v>
      </c>
      <c r="E9" s="25">
        <f t="shared" si="2"/>
        <v>66</v>
      </c>
      <c r="F9" s="25">
        <f t="shared" si="2"/>
        <v>65</v>
      </c>
      <c r="G9" s="25">
        <f t="shared" si="2"/>
        <v>65</v>
      </c>
      <c r="H9" s="25">
        <f t="shared" si="2"/>
        <v>65</v>
      </c>
      <c r="I9" s="25">
        <f t="shared" si="2"/>
        <v>65</v>
      </c>
      <c r="J9" s="25">
        <f t="shared" si="2"/>
        <v>65</v>
      </c>
      <c r="K9" s="25">
        <f>IFERROR(SUM(K10:K15),"-")</f>
        <v>68</v>
      </c>
      <c r="L9" s="25">
        <f t="shared" si="2"/>
        <v>68</v>
      </c>
      <c r="M9" s="25">
        <f t="shared" si="2"/>
        <v>70</v>
      </c>
      <c r="N9" s="25">
        <f t="shared" si="2"/>
        <v>70</v>
      </c>
      <c r="O9" s="25">
        <f t="shared" si="2"/>
        <v>70</v>
      </c>
      <c r="P9" s="25">
        <f t="shared" si="2"/>
        <v>70</v>
      </c>
      <c r="Q9" s="25">
        <f t="shared" si="2"/>
        <v>70</v>
      </c>
      <c r="R9" s="25">
        <f t="shared" si="2"/>
        <v>70</v>
      </c>
      <c r="S9" s="25">
        <f t="shared" si="2"/>
        <v>70</v>
      </c>
      <c r="T9" s="25">
        <f t="shared" si="2"/>
        <v>70</v>
      </c>
      <c r="U9" s="25">
        <f t="shared" si="2"/>
        <v>65</v>
      </c>
      <c r="V9" s="26">
        <f t="shared" si="2"/>
        <v>65</v>
      </c>
      <c r="X9" s="25">
        <f t="shared" ref="X9:AC9" si="3">IFERROR(SUM(X10:X15),"-")</f>
        <v>70</v>
      </c>
      <c r="Y9" s="25">
        <f t="shared" si="3"/>
        <v>70</v>
      </c>
      <c r="Z9" s="25">
        <f t="shared" si="3"/>
        <v>70</v>
      </c>
      <c r="AA9" s="25">
        <f t="shared" si="3"/>
        <v>70</v>
      </c>
      <c r="AB9" s="25">
        <f t="shared" si="3"/>
        <v>65</v>
      </c>
      <c r="AC9" s="26">
        <f t="shared" si="3"/>
        <v>65</v>
      </c>
    </row>
    <row r="10" spans="1:44" outlineLevel="1" x14ac:dyDescent="0.3">
      <c r="A10" s="14" t="s">
        <v>35</v>
      </c>
      <c r="B10" s="5">
        <v>51</v>
      </c>
      <c r="C10" s="5">
        <v>51</v>
      </c>
      <c r="D10" s="5">
        <v>51</v>
      </c>
      <c r="E10" s="5">
        <v>51</v>
      </c>
      <c r="F10" s="5">
        <v>50</v>
      </c>
      <c r="G10" s="5">
        <v>50</v>
      </c>
      <c r="H10" s="5">
        <v>50</v>
      </c>
      <c r="I10" s="5">
        <v>50</v>
      </c>
      <c r="J10" s="5">
        <v>50</v>
      </c>
      <c r="K10" s="5">
        <v>48</v>
      </c>
      <c r="L10" s="5">
        <v>50</v>
      </c>
      <c r="M10" s="5">
        <v>50</v>
      </c>
      <c r="N10" s="5">
        <v>50</v>
      </c>
      <c r="O10" s="5">
        <v>50</v>
      </c>
      <c r="P10" s="5">
        <v>50</v>
      </c>
      <c r="Q10" s="5">
        <v>50</v>
      </c>
      <c r="R10" s="5">
        <v>50</v>
      </c>
      <c r="S10" s="5">
        <v>50</v>
      </c>
      <c r="T10" s="5">
        <v>50</v>
      </c>
      <c r="U10" s="5">
        <v>50</v>
      </c>
      <c r="V10" s="5">
        <v>50</v>
      </c>
      <c r="X10" s="5">
        <v>50</v>
      </c>
      <c r="Y10" s="5">
        <v>50</v>
      </c>
      <c r="Z10" s="5">
        <v>50</v>
      </c>
      <c r="AA10" s="5">
        <v>50</v>
      </c>
      <c r="AB10" s="5">
        <v>50</v>
      </c>
      <c r="AC10" s="5">
        <v>50</v>
      </c>
    </row>
    <row r="11" spans="1:44" outlineLevel="1" x14ac:dyDescent="0.3">
      <c r="A11" s="14" t="s">
        <v>36</v>
      </c>
      <c r="B11" s="5">
        <v>3</v>
      </c>
      <c r="C11" s="5">
        <v>3</v>
      </c>
      <c r="D11" s="5">
        <v>3</v>
      </c>
      <c r="E11" s="5">
        <v>3</v>
      </c>
      <c r="F11" s="5">
        <v>3</v>
      </c>
      <c r="G11" s="5">
        <v>3</v>
      </c>
      <c r="H11" s="5">
        <v>3</v>
      </c>
      <c r="I11" s="5">
        <v>3</v>
      </c>
      <c r="J11" s="5">
        <v>3</v>
      </c>
      <c r="K11" s="5">
        <v>3</v>
      </c>
      <c r="L11" s="5">
        <v>3</v>
      </c>
      <c r="M11" s="5">
        <v>3</v>
      </c>
      <c r="N11" s="5">
        <v>3</v>
      </c>
      <c r="O11" s="5">
        <v>3</v>
      </c>
      <c r="P11" s="5">
        <v>3</v>
      </c>
      <c r="Q11" s="5">
        <v>3</v>
      </c>
      <c r="R11" s="5">
        <v>3</v>
      </c>
      <c r="S11" s="5">
        <v>3</v>
      </c>
      <c r="T11" s="5">
        <v>3</v>
      </c>
      <c r="U11" s="5">
        <v>3</v>
      </c>
      <c r="V11" s="5">
        <v>3</v>
      </c>
      <c r="X11" s="5">
        <v>3</v>
      </c>
      <c r="Y11" s="5">
        <v>3</v>
      </c>
      <c r="Z11" s="5">
        <v>3</v>
      </c>
      <c r="AA11" s="5">
        <v>3</v>
      </c>
      <c r="AB11" s="5">
        <v>3</v>
      </c>
      <c r="AC11" s="5">
        <v>3</v>
      </c>
    </row>
    <row r="12" spans="1:44" outlineLevel="1" x14ac:dyDescent="0.3">
      <c r="A12" s="14" t="s">
        <v>37</v>
      </c>
      <c r="B12" s="5">
        <v>1</v>
      </c>
      <c r="C12" s="5">
        <v>1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</row>
    <row r="13" spans="1:44" outlineLevel="1" x14ac:dyDescent="0.3">
      <c r="A13" s="14" t="s">
        <v>38</v>
      </c>
      <c r="B13" s="5">
        <v>2</v>
      </c>
      <c r="C13" s="5">
        <v>2</v>
      </c>
      <c r="D13" s="5">
        <v>2</v>
      </c>
      <c r="E13" s="5">
        <v>2</v>
      </c>
      <c r="F13" s="5">
        <v>2</v>
      </c>
      <c r="G13" s="5">
        <v>2</v>
      </c>
      <c r="H13" s="5">
        <v>2</v>
      </c>
      <c r="I13" s="5">
        <v>2</v>
      </c>
      <c r="J13" s="5">
        <v>2</v>
      </c>
      <c r="K13" s="5">
        <v>2</v>
      </c>
      <c r="L13" s="5">
        <v>2</v>
      </c>
      <c r="M13" s="5">
        <v>2</v>
      </c>
      <c r="N13" s="5">
        <v>2</v>
      </c>
      <c r="O13" s="5">
        <v>2</v>
      </c>
      <c r="P13" s="5">
        <v>2</v>
      </c>
      <c r="Q13" s="5">
        <v>2</v>
      </c>
      <c r="R13" s="5">
        <v>2</v>
      </c>
      <c r="S13" s="5">
        <v>2</v>
      </c>
      <c r="T13" s="5">
        <v>2</v>
      </c>
      <c r="U13" s="5">
        <v>2</v>
      </c>
      <c r="V13" s="5">
        <v>2</v>
      </c>
      <c r="X13" s="5">
        <v>2</v>
      </c>
      <c r="Y13" s="5">
        <v>2</v>
      </c>
      <c r="Z13" s="5">
        <v>2</v>
      </c>
      <c r="AA13" s="5">
        <v>2</v>
      </c>
      <c r="AB13" s="5">
        <v>2</v>
      </c>
      <c r="AC13" s="5">
        <v>2</v>
      </c>
    </row>
    <row r="14" spans="1:44" outlineLevel="1" x14ac:dyDescent="0.3">
      <c r="A14" s="14" t="s">
        <v>39</v>
      </c>
      <c r="B14" s="5">
        <v>1</v>
      </c>
      <c r="C14" s="5">
        <v>1</v>
      </c>
      <c r="D14" s="5">
        <v>2</v>
      </c>
      <c r="E14" s="5">
        <v>2</v>
      </c>
      <c r="F14" s="5">
        <v>2</v>
      </c>
      <c r="G14" s="5">
        <v>2</v>
      </c>
      <c r="H14" s="5">
        <v>2</v>
      </c>
      <c r="I14" s="5">
        <v>2</v>
      </c>
      <c r="J14" s="5">
        <v>2</v>
      </c>
      <c r="K14" s="5">
        <v>2</v>
      </c>
      <c r="L14" s="5">
        <v>2</v>
      </c>
      <c r="M14" s="5">
        <v>2</v>
      </c>
      <c r="N14" s="5">
        <v>2</v>
      </c>
      <c r="O14" s="5">
        <v>2</v>
      </c>
      <c r="P14" s="5">
        <v>2</v>
      </c>
      <c r="Q14" s="5">
        <v>2</v>
      </c>
      <c r="R14" s="5">
        <v>2</v>
      </c>
      <c r="S14" s="5">
        <v>2</v>
      </c>
      <c r="T14" s="5">
        <v>2</v>
      </c>
      <c r="U14" s="5">
        <v>2</v>
      </c>
      <c r="V14" s="5">
        <v>2</v>
      </c>
      <c r="X14" s="5">
        <v>2</v>
      </c>
      <c r="Y14" s="5">
        <v>2</v>
      </c>
      <c r="Z14" s="5">
        <v>2</v>
      </c>
      <c r="AA14" s="5">
        <v>2</v>
      </c>
      <c r="AB14" s="5">
        <v>2</v>
      </c>
      <c r="AC14" s="5">
        <v>2</v>
      </c>
    </row>
    <row r="15" spans="1:44" outlineLevel="1" x14ac:dyDescent="0.3">
      <c r="A15" s="14" t="s">
        <v>40</v>
      </c>
      <c r="B15" s="5">
        <v>8</v>
      </c>
      <c r="C15" s="5">
        <v>8</v>
      </c>
      <c r="D15" s="5">
        <v>8</v>
      </c>
      <c r="E15" s="5">
        <v>8</v>
      </c>
      <c r="F15" s="5">
        <v>8</v>
      </c>
      <c r="G15" s="5">
        <v>8</v>
      </c>
      <c r="H15" s="5">
        <v>8</v>
      </c>
      <c r="I15" s="5">
        <v>8</v>
      </c>
      <c r="J15" s="5">
        <v>8</v>
      </c>
      <c r="K15" s="5">
        <v>13</v>
      </c>
      <c r="L15" s="5">
        <v>11</v>
      </c>
      <c r="M15" s="5">
        <v>13</v>
      </c>
      <c r="N15" s="5">
        <v>13</v>
      </c>
      <c r="O15" s="5">
        <v>13</v>
      </c>
      <c r="P15" s="5">
        <v>13</v>
      </c>
      <c r="Q15" s="5">
        <v>13</v>
      </c>
      <c r="R15" s="5">
        <v>13</v>
      </c>
      <c r="S15" s="5">
        <v>13</v>
      </c>
      <c r="T15" s="5">
        <v>13</v>
      </c>
      <c r="U15" s="5">
        <v>8</v>
      </c>
      <c r="V15" s="5">
        <v>8</v>
      </c>
      <c r="X15" s="5">
        <v>13</v>
      </c>
      <c r="Y15" s="5">
        <v>13</v>
      </c>
      <c r="Z15" s="5">
        <v>13</v>
      </c>
      <c r="AA15" s="5">
        <v>13</v>
      </c>
      <c r="AB15" s="5">
        <v>8</v>
      </c>
      <c r="AC15" s="5">
        <v>8</v>
      </c>
    </row>
    <row r="16" spans="1:44" ht="7.5" customHeight="1" x14ac:dyDescent="0.3">
      <c r="A16" s="2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X16" s="6"/>
      <c r="Y16" s="6"/>
      <c r="Z16" s="6"/>
      <c r="AA16" s="6"/>
      <c r="AB16" s="6"/>
      <c r="AC16" s="6"/>
    </row>
    <row r="17" spans="1:29" x14ac:dyDescent="0.3">
      <c r="A17" s="15" t="s">
        <v>41</v>
      </c>
      <c r="B17" s="24">
        <f t="shared" ref="B17:V17" si="4">IFERROR(SUM(B18:B23),"-")</f>
        <v>60</v>
      </c>
      <c r="C17" s="25">
        <f t="shared" si="4"/>
        <v>59</v>
      </c>
      <c r="D17" s="25">
        <f t="shared" si="4"/>
        <v>58</v>
      </c>
      <c r="E17" s="25">
        <f t="shared" si="4"/>
        <v>60</v>
      </c>
      <c r="F17" s="25">
        <f t="shared" si="4"/>
        <v>61</v>
      </c>
      <c r="G17" s="25">
        <f t="shared" si="4"/>
        <v>60</v>
      </c>
      <c r="H17" s="25">
        <f t="shared" si="4"/>
        <v>28</v>
      </c>
      <c r="I17" s="25">
        <f t="shared" si="4"/>
        <v>0</v>
      </c>
      <c r="J17" s="25">
        <f t="shared" si="4"/>
        <v>0</v>
      </c>
      <c r="K17" s="25">
        <f t="shared" si="4"/>
        <v>0</v>
      </c>
      <c r="L17" s="25">
        <f t="shared" si="4"/>
        <v>0</v>
      </c>
      <c r="M17" s="25">
        <f t="shared" si="4"/>
        <v>0</v>
      </c>
      <c r="N17" s="25">
        <f t="shared" si="4"/>
        <v>0</v>
      </c>
      <c r="O17" s="25">
        <f t="shared" si="4"/>
        <v>0</v>
      </c>
      <c r="P17" s="25">
        <f t="shared" si="4"/>
        <v>0</v>
      </c>
      <c r="Q17" s="25">
        <f t="shared" si="4"/>
        <v>0</v>
      </c>
      <c r="R17" s="25">
        <f t="shared" si="4"/>
        <v>0</v>
      </c>
      <c r="S17" s="25">
        <f t="shared" si="4"/>
        <v>0</v>
      </c>
      <c r="T17" s="25">
        <f t="shared" si="4"/>
        <v>0</v>
      </c>
      <c r="U17" s="25">
        <f t="shared" si="4"/>
        <v>0</v>
      </c>
      <c r="V17" s="26">
        <f t="shared" si="4"/>
        <v>0</v>
      </c>
      <c r="X17" s="25">
        <f t="shared" ref="X17:AC17" si="5">IFERROR(SUM(X18:X23),"-")</f>
        <v>0</v>
      </c>
      <c r="Y17" s="25">
        <f t="shared" si="5"/>
        <v>0</v>
      </c>
      <c r="Z17" s="25">
        <f t="shared" si="5"/>
        <v>0</v>
      </c>
      <c r="AA17" s="25">
        <f t="shared" si="5"/>
        <v>0</v>
      </c>
      <c r="AB17" s="25">
        <f t="shared" si="5"/>
        <v>0</v>
      </c>
      <c r="AC17" s="26">
        <f t="shared" si="5"/>
        <v>0</v>
      </c>
    </row>
    <row r="18" spans="1:29" outlineLevel="1" x14ac:dyDescent="0.3">
      <c r="A18" s="14" t="s">
        <v>35</v>
      </c>
      <c r="B18" s="5">
        <v>52</v>
      </c>
      <c r="C18" s="5">
        <v>51</v>
      </c>
      <c r="D18" s="5">
        <v>51</v>
      </c>
      <c r="E18" s="5">
        <v>51</v>
      </c>
      <c r="F18" s="5">
        <v>51</v>
      </c>
      <c r="G18" s="5">
        <v>51</v>
      </c>
      <c r="H18" s="5">
        <v>28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X18" s="5"/>
      <c r="Y18" s="5"/>
      <c r="Z18" s="5"/>
      <c r="AA18" s="5"/>
      <c r="AB18" s="5"/>
      <c r="AC18" s="5"/>
    </row>
    <row r="19" spans="1:29" outlineLevel="1" x14ac:dyDescent="0.3">
      <c r="A19" s="14" t="s">
        <v>36</v>
      </c>
      <c r="B19" s="5">
        <v>2</v>
      </c>
      <c r="C19" s="5">
        <v>2</v>
      </c>
      <c r="D19" s="5">
        <v>2</v>
      </c>
      <c r="E19" s="5">
        <v>2</v>
      </c>
      <c r="F19" s="5">
        <v>3</v>
      </c>
      <c r="G19" s="5">
        <v>2</v>
      </c>
      <c r="H19" s="5">
        <v>0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X19" s="5"/>
      <c r="Y19" s="5"/>
      <c r="Z19" s="5"/>
      <c r="AA19" s="5"/>
      <c r="AB19" s="5"/>
      <c r="AC19" s="5"/>
    </row>
    <row r="20" spans="1:29" outlineLevel="1" x14ac:dyDescent="0.3">
      <c r="A20" s="14" t="s">
        <v>37</v>
      </c>
      <c r="B20" s="5">
        <v>1</v>
      </c>
      <c r="C20" s="5">
        <v>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X20" s="5"/>
      <c r="Y20" s="5"/>
      <c r="Z20" s="5"/>
      <c r="AA20" s="5"/>
      <c r="AB20" s="5"/>
      <c r="AC20" s="5"/>
    </row>
    <row r="21" spans="1:29" outlineLevel="1" x14ac:dyDescent="0.3">
      <c r="A21" s="14" t="s">
        <v>38</v>
      </c>
      <c r="B21" s="5">
        <v>2</v>
      </c>
      <c r="C21" s="5">
        <v>2</v>
      </c>
      <c r="D21" s="5">
        <v>2</v>
      </c>
      <c r="E21" s="5">
        <v>2</v>
      </c>
      <c r="F21" s="5">
        <v>2</v>
      </c>
      <c r="G21" s="5">
        <v>2</v>
      </c>
      <c r="H21" s="5">
        <v>0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X21" s="5"/>
      <c r="Y21" s="5"/>
      <c r="Z21" s="5"/>
      <c r="AA21" s="5"/>
      <c r="AB21" s="5"/>
      <c r="AC21" s="5"/>
    </row>
    <row r="22" spans="1:29" outlineLevel="1" x14ac:dyDescent="0.3">
      <c r="A22" s="14" t="s">
        <v>39</v>
      </c>
      <c r="B22" s="5"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0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X22" s="5"/>
      <c r="Y22" s="5"/>
      <c r="Z22" s="5"/>
      <c r="AA22" s="5"/>
      <c r="AB22" s="5"/>
      <c r="AC22" s="5"/>
    </row>
    <row r="23" spans="1:29" outlineLevel="1" x14ac:dyDescent="0.3">
      <c r="A23" s="14" t="s">
        <v>40</v>
      </c>
      <c r="B23" s="5">
        <v>2</v>
      </c>
      <c r="C23" s="5">
        <v>2</v>
      </c>
      <c r="D23" s="5">
        <v>2</v>
      </c>
      <c r="E23" s="5">
        <v>4</v>
      </c>
      <c r="F23" s="5">
        <v>4</v>
      </c>
      <c r="G23" s="5">
        <v>4</v>
      </c>
      <c r="H23" s="5">
        <v>0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X23" s="5"/>
      <c r="Y23" s="5"/>
      <c r="Z23" s="5"/>
      <c r="AA23" s="5"/>
      <c r="AB23" s="5"/>
      <c r="AC23" s="5"/>
    </row>
    <row r="24" spans="1:29" ht="7.5" customHeight="1" x14ac:dyDescent="0.3">
      <c r="A24" s="1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X24" s="6"/>
      <c r="Y24" s="6"/>
      <c r="Z24" s="6"/>
      <c r="AA24" s="6"/>
      <c r="AB24" s="6"/>
      <c r="AC24" s="6"/>
    </row>
    <row r="25" spans="1:29" x14ac:dyDescent="0.3">
      <c r="A25" s="19" t="s">
        <v>42</v>
      </c>
      <c r="B25" s="27">
        <f t="shared" ref="B25:V25" si="6">B9-B17</f>
        <v>6</v>
      </c>
      <c r="C25" s="28">
        <f t="shared" si="6"/>
        <v>7</v>
      </c>
      <c r="D25" s="28">
        <f t="shared" si="6"/>
        <v>8</v>
      </c>
      <c r="E25" s="28">
        <f t="shared" si="6"/>
        <v>6</v>
      </c>
      <c r="F25" s="28">
        <f t="shared" si="6"/>
        <v>4</v>
      </c>
      <c r="G25" s="28">
        <f t="shared" si="6"/>
        <v>5</v>
      </c>
      <c r="H25" s="28">
        <f t="shared" si="6"/>
        <v>37</v>
      </c>
      <c r="I25" s="28">
        <f t="shared" si="6"/>
        <v>65</v>
      </c>
      <c r="J25" s="28">
        <f t="shared" si="6"/>
        <v>65</v>
      </c>
      <c r="K25" s="28">
        <f t="shared" si="6"/>
        <v>68</v>
      </c>
      <c r="L25" s="28">
        <f t="shared" si="6"/>
        <v>68</v>
      </c>
      <c r="M25" s="28">
        <f t="shared" si="6"/>
        <v>70</v>
      </c>
      <c r="N25" s="28">
        <f t="shared" si="6"/>
        <v>70</v>
      </c>
      <c r="O25" s="28">
        <f t="shared" si="6"/>
        <v>70</v>
      </c>
      <c r="P25" s="28">
        <f t="shared" si="6"/>
        <v>70</v>
      </c>
      <c r="Q25" s="28">
        <f t="shared" si="6"/>
        <v>70</v>
      </c>
      <c r="R25" s="28">
        <f t="shared" si="6"/>
        <v>70</v>
      </c>
      <c r="S25" s="28">
        <f t="shared" si="6"/>
        <v>70</v>
      </c>
      <c r="T25" s="28">
        <f t="shared" si="6"/>
        <v>70</v>
      </c>
      <c r="U25" s="28">
        <f t="shared" si="6"/>
        <v>65</v>
      </c>
      <c r="V25" s="29">
        <f t="shared" si="6"/>
        <v>65</v>
      </c>
      <c r="X25" s="28">
        <f t="shared" ref="X25:AC25" si="7">X9-X17</f>
        <v>70</v>
      </c>
      <c r="Y25" s="28">
        <f t="shared" si="7"/>
        <v>70</v>
      </c>
      <c r="Z25" s="28">
        <f t="shared" si="7"/>
        <v>70</v>
      </c>
      <c r="AA25" s="28">
        <f t="shared" si="7"/>
        <v>70</v>
      </c>
      <c r="AB25" s="28">
        <f t="shared" si="7"/>
        <v>65</v>
      </c>
      <c r="AC25" s="29">
        <f t="shared" si="7"/>
        <v>65</v>
      </c>
    </row>
    <row r="26" spans="1:29" ht="7.5" customHeight="1" x14ac:dyDescent="0.3">
      <c r="A26" s="2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X26" s="6"/>
      <c r="Y26" s="6"/>
      <c r="Z26" s="6"/>
      <c r="AA26" s="6"/>
      <c r="AB26" s="6"/>
      <c r="AC26" s="6"/>
    </row>
    <row r="27" spans="1:29" x14ac:dyDescent="0.3">
      <c r="A27" s="15" t="s">
        <v>43</v>
      </c>
      <c r="B27" s="24">
        <f t="shared" ref="B27:V27" si="8">IFERROR(SUM(B28:B31),"-")</f>
        <v>107</v>
      </c>
      <c r="C27" s="25">
        <f>IFERROR(SUM(C28:C31),"-")</f>
        <v>120</v>
      </c>
      <c r="D27" s="25">
        <f>IFERROR(SUM(D28:D31),"-")</f>
        <v>111</v>
      </c>
      <c r="E27" s="25">
        <f>IFERROR(SUM(E28:E31),"-")</f>
        <v>119</v>
      </c>
      <c r="F27" s="25">
        <f t="shared" si="8"/>
        <v>113</v>
      </c>
      <c r="G27" s="25">
        <f t="shared" si="8"/>
        <v>104</v>
      </c>
      <c r="H27" s="25">
        <f t="shared" si="8"/>
        <v>24</v>
      </c>
      <c r="I27" s="25">
        <f t="shared" si="8"/>
        <v>75</v>
      </c>
      <c r="J27" s="25">
        <f t="shared" si="8"/>
        <v>110</v>
      </c>
      <c r="K27" s="25">
        <f t="shared" si="8"/>
        <v>125</v>
      </c>
      <c r="L27" s="25">
        <f t="shared" si="8"/>
        <v>107</v>
      </c>
      <c r="M27" s="25">
        <f t="shared" si="8"/>
        <v>80</v>
      </c>
      <c r="N27" s="25">
        <f t="shared" si="8"/>
        <v>117</v>
      </c>
      <c r="O27" s="25">
        <f t="shared" si="8"/>
        <v>35</v>
      </c>
      <c r="P27" s="25">
        <f t="shared" si="8"/>
        <v>62</v>
      </c>
      <c r="Q27" s="25">
        <f t="shared" si="8"/>
        <v>79</v>
      </c>
      <c r="R27" s="25">
        <f t="shared" si="8"/>
        <v>111</v>
      </c>
      <c r="S27" s="25">
        <f t="shared" si="8"/>
        <v>112</v>
      </c>
      <c r="T27" s="25">
        <f t="shared" si="8"/>
        <v>119</v>
      </c>
      <c r="U27" s="25">
        <f t="shared" si="8"/>
        <v>114</v>
      </c>
      <c r="V27" s="26">
        <f t="shared" si="8"/>
        <v>0</v>
      </c>
      <c r="X27" s="25">
        <f t="shared" ref="X27:AC27" si="9">IFERROR(SUM(X28:X31),"-")</f>
        <v>125</v>
      </c>
      <c r="Y27" s="25">
        <f t="shared" si="9"/>
        <v>112</v>
      </c>
      <c r="Z27" s="25">
        <f t="shared" si="9"/>
        <v>111</v>
      </c>
      <c r="AA27" s="25">
        <f t="shared" si="9"/>
        <v>115</v>
      </c>
      <c r="AB27" s="25">
        <f t="shared" si="9"/>
        <v>123</v>
      </c>
      <c r="AC27" s="26">
        <f t="shared" si="9"/>
        <v>22</v>
      </c>
    </row>
    <row r="28" spans="1:29" outlineLevel="1" x14ac:dyDescent="0.3">
      <c r="A28" s="14" t="s">
        <v>35</v>
      </c>
      <c r="B28" s="42">
        <v>10</v>
      </c>
      <c r="C28" s="42">
        <v>13</v>
      </c>
      <c r="D28" s="42">
        <v>11</v>
      </c>
      <c r="E28" s="42">
        <v>14</v>
      </c>
      <c r="F28" s="42">
        <v>13</v>
      </c>
      <c r="G28" s="42">
        <v>9</v>
      </c>
      <c r="H28" s="42">
        <v>2</v>
      </c>
      <c r="I28" s="42">
        <v>10</v>
      </c>
      <c r="J28" s="42">
        <v>12</v>
      </c>
      <c r="K28" s="42">
        <v>14</v>
      </c>
      <c r="L28" s="42">
        <v>12</v>
      </c>
      <c r="M28" s="42">
        <v>11</v>
      </c>
      <c r="N28" s="42">
        <v>14</v>
      </c>
      <c r="O28" s="42">
        <v>2</v>
      </c>
      <c r="P28" s="42">
        <v>5</v>
      </c>
      <c r="Q28" s="42">
        <v>18</v>
      </c>
      <c r="R28" s="42">
        <v>12</v>
      </c>
      <c r="S28" s="42">
        <v>13</v>
      </c>
      <c r="T28" s="42">
        <v>16</v>
      </c>
      <c r="U28" s="42">
        <v>10</v>
      </c>
      <c r="V28" s="42">
        <v>0</v>
      </c>
      <c r="X28" s="42">
        <v>17</v>
      </c>
      <c r="Y28" s="42">
        <v>17</v>
      </c>
      <c r="Z28" s="42">
        <v>14</v>
      </c>
      <c r="AA28" s="42">
        <v>18</v>
      </c>
      <c r="AB28" s="42">
        <v>13</v>
      </c>
      <c r="AC28" s="42">
        <v>0</v>
      </c>
    </row>
    <row r="29" spans="1:29" outlineLevel="1" x14ac:dyDescent="0.3">
      <c r="A29" s="14" t="s">
        <v>44</v>
      </c>
      <c r="B29" s="42">
        <v>82</v>
      </c>
      <c r="C29" s="42">
        <v>90</v>
      </c>
      <c r="D29" s="42">
        <v>85</v>
      </c>
      <c r="E29" s="42">
        <v>91</v>
      </c>
      <c r="F29" s="42">
        <v>84</v>
      </c>
      <c r="G29" s="42">
        <v>79</v>
      </c>
      <c r="H29" s="42">
        <v>22</v>
      </c>
      <c r="I29" s="42">
        <v>51</v>
      </c>
      <c r="J29" s="42">
        <v>82</v>
      </c>
      <c r="K29" s="42">
        <v>97</v>
      </c>
      <c r="L29" s="42">
        <v>87</v>
      </c>
      <c r="M29" s="42">
        <v>61</v>
      </c>
      <c r="N29" s="42">
        <v>87</v>
      </c>
      <c r="O29" s="42">
        <v>28</v>
      </c>
      <c r="P29" s="42">
        <v>47</v>
      </c>
      <c r="Q29" s="42">
        <v>49</v>
      </c>
      <c r="R29" s="42">
        <v>83</v>
      </c>
      <c r="S29" s="42">
        <v>81</v>
      </c>
      <c r="T29" s="42">
        <v>81</v>
      </c>
      <c r="U29" s="42">
        <v>80</v>
      </c>
      <c r="V29" s="42">
        <v>0</v>
      </c>
      <c r="X29" s="42">
        <v>82</v>
      </c>
      <c r="Y29" s="42">
        <v>73</v>
      </c>
      <c r="Z29" s="42">
        <v>74</v>
      </c>
      <c r="AA29" s="42">
        <v>74</v>
      </c>
      <c r="AB29" s="42">
        <v>84</v>
      </c>
      <c r="AC29" s="42">
        <v>22</v>
      </c>
    </row>
    <row r="30" spans="1:29" outlineLevel="1" x14ac:dyDescent="0.3">
      <c r="A30" s="14" t="s">
        <v>45</v>
      </c>
      <c r="B30" s="42">
        <v>14</v>
      </c>
      <c r="C30" s="42">
        <v>16</v>
      </c>
      <c r="D30" s="42">
        <v>15</v>
      </c>
      <c r="E30" s="42">
        <v>14</v>
      </c>
      <c r="F30" s="42">
        <v>16</v>
      </c>
      <c r="G30" s="42">
        <v>16</v>
      </c>
      <c r="H30" s="42">
        <v>0</v>
      </c>
      <c r="I30" s="42">
        <v>14</v>
      </c>
      <c r="J30" s="42">
        <v>16</v>
      </c>
      <c r="K30" s="42">
        <v>14</v>
      </c>
      <c r="L30" s="42">
        <v>8</v>
      </c>
      <c r="M30" s="42">
        <v>8</v>
      </c>
      <c r="N30" s="42">
        <v>16</v>
      </c>
      <c r="O30" s="42">
        <v>5</v>
      </c>
      <c r="P30" s="42">
        <v>10</v>
      </c>
      <c r="Q30" s="42">
        <v>12</v>
      </c>
      <c r="R30" s="42">
        <v>16</v>
      </c>
      <c r="S30" s="42">
        <v>18</v>
      </c>
      <c r="T30" s="42">
        <v>22</v>
      </c>
      <c r="U30" s="42">
        <v>24</v>
      </c>
      <c r="V30" s="42">
        <v>0</v>
      </c>
      <c r="X30" s="42">
        <v>26</v>
      </c>
      <c r="Y30" s="42">
        <v>22</v>
      </c>
      <c r="Z30" s="42">
        <v>23</v>
      </c>
      <c r="AA30" s="42">
        <v>23</v>
      </c>
      <c r="AB30" s="42">
        <v>26</v>
      </c>
      <c r="AC30" s="42">
        <v>0</v>
      </c>
    </row>
    <row r="31" spans="1:29" outlineLevel="1" x14ac:dyDescent="0.3">
      <c r="A31" s="14" t="s">
        <v>37</v>
      </c>
      <c r="B31" s="9">
        <v>1</v>
      </c>
      <c r="C31" s="9">
        <v>1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</row>
    <row r="32" spans="1:29" ht="15.75" customHeight="1" x14ac:dyDescent="0.3">
      <c r="A32" s="4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44" ht="23.4" x14ac:dyDescent="0.45">
      <c r="A33" s="923" t="s">
        <v>46</v>
      </c>
      <c r="B33" s="923"/>
      <c r="C33" s="923"/>
      <c r="D33" s="923"/>
      <c r="E33" s="923"/>
      <c r="F33" s="923"/>
      <c r="G33" s="923"/>
      <c r="H33" s="923"/>
      <c r="I33" s="923"/>
      <c r="J33" s="923"/>
      <c r="K33" s="923"/>
      <c r="L33" s="923"/>
      <c r="M33" s="923"/>
      <c r="N33" s="923"/>
      <c r="O33" s="923"/>
      <c r="P33" s="923"/>
      <c r="Q33" s="923"/>
      <c r="R33" s="923"/>
      <c r="S33" s="923"/>
      <c r="T33" s="923"/>
      <c r="U33" s="923"/>
      <c r="V33" s="923"/>
      <c r="W33" s="923" t="s">
        <v>46</v>
      </c>
      <c r="X33" s="923"/>
      <c r="Y33" s="923"/>
      <c r="Z33" s="923"/>
      <c r="AA33" s="923"/>
      <c r="AB33" s="923"/>
      <c r="AC33" s="923"/>
      <c r="AD33" s="923"/>
      <c r="AE33" s="923"/>
      <c r="AF33" s="923"/>
      <c r="AG33" s="923"/>
      <c r="AH33" s="923"/>
      <c r="AI33" s="923"/>
      <c r="AJ33" s="923"/>
      <c r="AK33" s="923"/>
      <c r="AL33" s="923"/>
      <c r="AM33" s="923"/>
      <c r="AN33" s="923"/>
      <c r="AO33" s="923"/>
      <c r="AP33" s="923"/>
      <c r="AQ33" s="923"/>
      <c r="AR33" s="923"/>
    </row>
    <row r="34" spans="1:44" x14ac:dyDescent="0.3">
      <c r="A34" s="17" t="s">
        <v>47</v>
      </c>
      <c r="B34" s="24">
        <f t="shared" ref="B34:V34" si="10">IFERROR(SUM(B35:B37),"-")</f>
        <v>7</v>
      </c>
      <c r="C34" s="25">
        <f t="shared" si="10"/>
        <v>14</v>
      </c>
      <c r="D34" s="25">
        <f t="shared" si="10"/>
        <v>14</v>
      </c>
      <c r="E34" s="25">
        <f t="shared" si="10"/>
        <v>14</v>
      </c>
      <c r="F34" s="25">
        <f t="shared" si="10"/>
        <v>14</v>
      </c>
      <c r="G34" s="25">
        <f t="shared" si="10"/>
        <v>44</v>
      </c>
      <c r="H34" s="25">
        <f t="shared" si="10"/>
        <v>44</v>
      </c>
      <c r="I34" s="25">
        <f t="shared" si="10"/>
        <v>44</v>
      </c>
      <c r="J34" s="25">
        <f t="shared" si="10"/>
        <v>97</v>
      </c>
      <c r="K34" s="25">
        <f t="shared" si="10"/>
        <v>97</v>
      </c>
      <c r="L34" s="25">
        <f t="shared" si="10"/>
        <v>97</v>
      </c>
      <c r="M34" s="25">
        <f t="shared" si="10"/>
        <v>97</v>
      </c>
      <c r="N34" s="25">
        <f t="shared" si="10"/>
        <v>90</v>
      </c>
      <c r="O34" s="25">
        <f t="shared" si="10"/>
        <v>90</v>
      </c>
      <c r="P34" s="25">
        <f t="shared" si="10"/>
        <v>90</v>
      </c>
      <c r="Q34" s="25">
        <f t="shared" si="10"/>
        <v>90</v>
      </c>
      <c r="R34" s="25">
        <f t="shared" si="10"/>
        <v>90</v>
      </c>
      <c r="S34" s="25">
        <f t="shared" si="10"/>
        <v>90</v>
      </c>
      <c r="T34" s="25">
        <f t="shared" si="10"/>
        <v>90</v>
      </c>
      <c r="U34" s="25">
        <f t="shared" si="10"/>
        <v>90</v>
      </c>
      <c r="V34" s="26">
        <f t="shared" si="10"/>
        <v>90</v>
      </c>
      <c r="X34" s="25">
        <f t="shared" ref="X34:AC34" si="11">IFERROR(SUM(X35:X37),"-")</f>
        <v>90</v>
      </c>
      <c r="Y34" s="25">
        <f t="shared" si="11"/>
        <v>90</v>
      </c>
      <c r="Z34" s="25">
        <f t="shared" si="11"/>
        <v>90</v>
      </c>
      <c r="AA34" s="25">
        <f t="shared" si="11"/>
        <v>90</v>
      </c>
      <c r="AB34" s="25">
        <f t="shared" si="11"/>
        <v>90</v>
      </c>
      <c r="AC34" s="26">
        <f t="shared" si="11"/>
        <v>90</v>
      </c>
    </row>
    <row r="35" spans="1:44" outlineLevel="1" x14ac:dyDescent="0.3">
      <c r="A35" s="16" t="s">
        <v>48</v>
      </c>
      <c r="B35" s="2"/>
      <c r="C35" s="2"/>
      <c r="D35" s="2"/>
      <c r="E35" s="2"/>
      <c r="F35" s="2"/>
      <c r="G35" s="5">
        <v>30</v>
      </c>
      <c r="H35" s="5">
        <v>30</v>
      </c>
      <c r="I35" s="5">
        <v>30</v>
      </c>
      <c r="J35" s="5">
        <v>83</v>
      </c>
      <c r="K35" s="5">
        <v>83</v>
      </c>
      <c r="L35" s="5">
        <v>83</v>
      </c>
      <c r="M35" s="5">
        <v>83</v>
      </c>
      <c r="N35" s="5">
        <v>83</v>
      </c>
      <c r="O35" s="5">
        <v>83</v>
      </c>
      <c r="P35" s="5">
        <v>83</v>
      </c>
      <c r="Q35" s="5">
        <v>83</v>
      </c>
      <c r="R35" s="5">
        <v>83</v>
      </c>
      <c r="S35" s="5">
        <v>83</v>
      </c>
      <c r="T35" s="5">
        <v>83</v>
      </c>
      <c r="U35" s="5">
        <v>83</v>
      </c>
      <c r="V35" s="5">
        <v>83</v>
      </c>
      <c r="X35" s="5">
        <v>83</v>
      </c>
      <c r="Y35" s="5">
        <v>83</v>
      </c>
      <c r="Z35" s="5">
        <v>83</v>
      </c>
      <c r="AA35" s="5">
        <v>83</v>
      </c>
      <c r="AB35" s="5">
        <v>83</v>
      </c>
      <c r="AC35" s="5">
        <v>83</v>
      </c>
    </row>
    <row r="36" spans="1:44" outlineLevel="1" x14ac:dyDescent="0.3">
      <c r="A36" s="16" t="s">
        <v>49</v>
      </c>
      <c r="B36" s="5">
        <v>7</v>
      </c>
      <c r="C36" s="5">
        <v>7</v>
      </c>
      <c r="D36" s="5">
        <v>7</v>
      </c>
      <c r="E36" s="5">
        <v>7</v>
      </c>
      <c r="F36" s="5">
        <v>7</v>
      </c>
      <c r="G36" s="5">
        <v>7</v>
      </c>
      <c r="H36" s="5">
        <v>7</v>
      </c>
      <c r="I36" s="5">
        <v>7</v>
      </c>
      <c r="J36" s="5">
        <v>7</v>
      </c>
      <c r="K36" s="5">
        <v>7</v>
      </c>
      <c r="L36" s="5">
        <v>7</v>
      </c>
      <c r="M36" s="5">
        <v>7</v>
      </c>
      <c r="N36" s="5"/>
      <c r="O36" s="5"/>
      <c r="P36" s="5"/>
      <c r="Q36" s="5"/>
      <c r="R36" s="5"/>
      <c r="S36" s="5"/>
      <c r="T36" s="5"/>
      <c r="U36" s="5"/>
      <c r="V36" s="5"/>
      <c r="X36" s="5"/>
      <c r="Y36" s="5"/>
      <c r="Z36" s="5"/>
      <c r="AA36" s="5"/>
      <c r="AB36" s="5"/>
      <c r="AC36" s="5"/>
    </row>
    <row r="37" spans="1:44" outlineLevel="1" x14ac:dyDescent="0.3">
      <c r="A37" s="16" t="s">
        <v>50</v>
      </c>
      <c r="B37" s="5">
        <v>0</v>
      </c>
      <c r="C37" s="5">
        <v>7</v>
      </c>
      <c r="D37" s="5">
        <v>7</v>
      </c>
      <c r="E37" s="5">
        <v>7</v>
      </c>
      <c r="F37" s="5">
        <v>7</v>
      </c>
      <c r="G37" s="5">
        <v>7</v>
      </c>
      <c r="H37" s="5">
        <v>7</v>
      </c>
      <c r="I37" s="5">
        <v>7</v>
      </c>
      <c r="J37" s="5">
        <v>7</v>
      </c>
      <c r="K37" s="5">
        <v>7</v>
      </c>
      <c r="L37" s="5">
        <v>7</v>
      </c>
      <c r="M37" s="5">
        <v>7</v>
      </c>
      <c r="N37" s="5">
        <v>7</v>
      </c>
      <c r="O37" s="5">
        <v>7</v>
      </c>
      <c r="P37" s="5">
        <v>7</v>
      </c>
      <c r="Q37" s="5">
        <v>7</v>
      </c>
      <c r="R37" s="5">
        <v>7</v>
      </c>
      <c r="S37" s="5">
        <v>7</v>
      </c>
      <c r="T37" s="5">
        <v>7</v>
      </c>
      <c r="U37" s="5">
        <v>7</v>
      </c>
      <c r="V37" s="5">
        <v>7</v>
      </c>
      <c r="X37" s="5">
        <v>7</v>
      </c>
      <c r="Y37" s="5">
        <v>7</v>
      </c>
      <c r="Z37" s="5">
        <v>7</v>
      </c>
      <c r="AA37" s="5">
        <v>7</v>
      </c>
      <c r="AB37" s="5">
        <v>7</v>
      </c>
      <c r="AC37" s="5">
        <v>7</v>
      </c>
    </row>
    <row r="38" spans="1:44" ht="7.5" customHeight="1" x14ac:dyDescent="0.3">
      <c r="A38" s="21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X38" s="7"/>
      <c r="Y38" s="7"/>
      <c r="Z38" s="7"/>
      <c r="AA38" s="7"/>
      <c r="AB38" s="7"/>
      <c r="AC38" s="7"/>
    </row>
    <row r="39" spans="1:44" x14ac:dyDescent="0.3">
      <c r="A39" s="17" t="s">
        <v>51</v>
      </c>
      <c r="B39" s="24">
        <f t="shared" ref="B39:V39" si="12">IFERROR(SUM(B40:B41),"-")</f>
        <v>0</v>
      </c>
      <c r="C39" s="25">
        <f t="shared" si="12"/>
        <v>0</v>
      </c>
      <c r="D39" s="25">
        <f t="shared" si="12"/>
        <v>0</v>
      </c>
      <c r="E39" s="25">
        <f t="shared" si="12"/>
        <v>25</v>
      </c>
      <c r="F39" s="25">
        <f t="shared" si="12"/>
        <v>25</v>
      </c>
      <c r="G39" s="25">
        <f t="shared" si="12"/>
        <v>25</v>
      </c>
      <c r="H39" s="25">
        <f t="shared" si="12"/>
        <v>25</v>
      </c>
      <c r="I39" s="25">
        <f t="shared" si="12"/>
        <v>25</v>
      </c>
      <c r="J39" s="25">
        <f t="shared" si="12"/>
        <v>75</v>
      </c>
      <c r="K39" s="25">
        <f t="shared" si="12"/>
        <v>75</v>
      </c>
      <c r="L39" s="25">
        <f t="shared" si="12"/>
        <v>75</v>
      </c>
      <c r="M39" s="25">
        <f t="shared" si="12"/>
        <v>75</v>
      </c>
      <c r="N39" s="25">
        <f t="shared" si="12"/>
        <v>75</v>
      </c>
      <c r="O39" s="25">
        <f t="shared" si="12"/>
        <v>75</v>
      </c>
      <c r="P39" s="25">
        <f t="shared" si="12"/>
        <v>75</v>
      </c>
      <c r="Q39" s="25">
        <f t="shared" si="12"/>
        <v>75</v>
      </c>
      <c r="R39" s="25">
        <f t="shared" si="12"/>
        <v>75</v>
      </c>
      <c r="S39" s="25">
        <f t="shared" si="12"/>
        <v>75</v>
      </c>
      <c r="T39" s="25">
        <f t="shared" si="12"/>
        <v>75</v>
      </c>
      <c r="U39" s="25">
        <f t="shared" si="12"/>
        <v>75</v>
      </c>
      <c r="V39" s="26">
        <f t="shared" si="12"/>
        <v>75</v>
      </c>
      <c r="X39" s="25">
        <f t="shared" ref="X39:AC39" si="13">IFERROR(SUM(X40:X41),"-")</f>
        <v>75</v>
      </c>
      <c r="Y39" s="25">
        <f t="shared" si="13"/>
        <v>75</v>
      </c>
      <c r="Z39" s="25">
        <f t="shared" si="13"/>
        <v>75</v>
      </c>
      <c r="AA39" s="25">
        <f t="shared" si="13"/>
        <v>75</v>
      </c>
      <c r="AB39" s="25">
        <f t="shared" si="13"/>
        <v>75</v>
      </c>
      <c r="AC39" s="26">
        <f t="shared" si="13"/>
        <v>75</v>
      </c>
    </row>
    <row r="40" spans="1:44" x14ac:dyDescent="0.3">
      <c r="A40" s="16" t="s">
        <v>48</v>
      </c>
      <c r="B40" s="5"/>
      <c r="C40" s="5"/>
      <c r="D40" s="5"/>
      <c r="E40" s="5">
        <v>10</v>
      </c>
      <c r="F40" s="5">
        <v>10</v>
      </c>
      <c r="G40" s="5">
        <v>10</v>
      </c>
      <c r="H40" s="5">
        <v>10</v>
      </c>
      <c r="I40" s="5">
        <v>10</v>
      </c>
      <c r="J40" s="5">
        <v>60</v>
      </c>
      <c r="K40" s="5">
        <v>60</v>
      </c>
      <c r="L40" s="5">
        <v>60</v>
      </c>
      <c r="M40" s="5">
        <v>60</v>
      </c>
      <c r="N40" s="5">
        <v>60</v>
      </c>
      <c r="O40" s="5">
        <v>60</v>
      </c>
      <c r="P40" s="5">
        <v>60</v>
      </c>
      <c r="Q40" s="5">
        <v>60</v>
      </c>
      <c r="R40" s="5">
        <v>60</v>
      </c>
      <c r="S40" s="5">
        <v>60</v>
      </c>
      <c r="T40" s="5">
        <v>60</v>
      </c>
      <c r="U40" s="5">
        <v>60</v>
      </c>
      <c r="V40" s="5">
        <v>60</v>
      </c>
      <c r="X40" s="5">
        <v>60</v>
      </c>
      <c r="Y40" s="5">
        <v>60</v>
      </c>
      <c r="Z40" s="5">
        <v>60</v>
      </c>
      <c r="AA40" s="5">
        <v>60</v>
      </c>
      <c r="AB40" s="5">
        <v>60</v>
      </c>
      <c r="AC40" s="5">
        <v>60</v>
      </c>
    </row>
    <row r="41" spans="1:44" x14ac:dyDescent="0.3">
      <c r="A41" s="16" t="s">
        <v>52</v>
      </c>
      <c r="B41" s="5">
        <v>0</v>
      </c>
      <c r="C41" s="5">
        <v>0</v>
      </c>
      <c r="D41" s="5">
        <v>0</v>
      </c>
      <c r="E41" s="5">
        <v>15</v>
      </c>
      <c r="F41" s="5">
        <v>15</v>
      </c>
      <c r="G41" s="5">
        <v>15</v>
      </c>
      <c r="H41" s="5">
        <v>15</v>
      </c>
      <c r="I41" s="5">
        <v>15</v>
      </c>
      <c r="J41" s="5">
        <v>15</v>
      </c>
      <c r="K41" s="5">
        <v>15</v>
      </c>
      <c r="L41" s="5">
        <v>15</v>
      </c>
      <c r="M41" s="5">
        <v>15</v>
      </c>
      <c r="N41" s="5">
        <v>15</v>
      </c>
      <c r="O41" s="5">
        <v>15</v>
      </c>
      <c r="P41" s="5">
        <v>15</v>
      </c>
      <c r="Q41" s="5">
        <v>15</v>
      </c>
      <c r="R41" s="5">
        <v>15</v>
      </c>
      <c r="S41" s="5">
        <v>15</v>
      </c>
      <c r="T41" s="5">
        <v>15</v>
      </c>
      <c r="U41" s="5">
        <v>15</v>
      </c>
      <c r="V41" s="5">
        <v>15</v>
      </c>
      <c r="X41" s="5">
        <v>15</v>
      </c>
      <c r="Y41" s="5">
        <v>15</v>
      </c>
      <c r="Z41" s="5">
        <v>15</v>
      </c>
      <c r="AA41" s="5">
        <v>15</v>
      </c>
      <c r="AB41" s="5">
        <v>15</v>
      </c>
      <c r="AC41" s="5">
        <v>15</v>
      </c>
    </row>
    <row r="42" spans="1:44" x14ac:dyDescent="0.3">
      <c r="A42" s="4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44" ht="23.4" x14ac:dyDescent="0.45">
      <c r="A43" s="924" t="s">
        <v>53</v>
      </c>
      <c r="B43" s="924"/>
      <c r="C43" s="924"/>
      <c r="D43" s="924"/>
      <c r="E43" s="924"/>
      <c r="F43" s="924"/>
      <c r="G43" s="924"/>
      <c r="H43" s="924"/>
      <c r="I43" s="924"/>
      <c r="J43" s="924"/>
      <c r="K43" s="924"/>
      <c r="L43" s="924"/>
      <c r="M43" s="924"/>
      <c r="N43" s="924"/>
      <c r="O43" s="924"/>
      <c r="P43" s="924"/>
      <c r="Q43" s="924"/>
      <c r="R43" s="924"/>
      <c r="S43" s="924"/>
      <c r="T43" s="924"/>
      <c r="U43" s="924"/>
      <c r="V43" s="924"/>
      <c r="W43" s="924" t="s">
        <v>53</v>
      </c>
      <c r="X43" s="924"/>
      <c r="Y43" s="924"/>
      <c r="Z43" s="924"/>
      <c r="AA43" s="924"/>
      <c r="AB43" s="924"/>
      <c r="AC43" s="924"/>
      <c r="AD43" s="924"/>
      <c r="AE43" s="924"/>
      <c r="AF43" s="924"/>
      <c r="AG43" s="924"/>
      <c r="AH43" s="924"/>
      <c r="AI43" s="924"/>
      <c r="AJ43" s="924"/>
      <c r="AK43" s="924"/>
      <c r="AL43" s="924"/>
      <c r="AM43" s="924"/>
      <c r="AN43" s="924"/>
      <c r="AO43" s="924"/>
      <c r="AP43" s="924"/>
      <c r="AQ43" s="924"/>
      <c r="AR43" s="924"/>
    </row>
    <row r="44" spans="1:44" x14ac:dyDescent="0.3">
      <c r="A44" s="18" t="s">
        <v>54</v>
      </c>
      <c r="B44" s="12">
        <f>IFERROR(B9*$B$59*$B$61, "-")</f>
        <v>1623.6000000000001</v>
      </c>
      <c r="C44" s="12">
        <f t="shared" ref="C44:V44" si="14">IFERROR(C9*$B$59*$B$61, "-")</f>
        <v>1623.6000000000001</v>
      </c>
      <c r="D44" s="12">
        <f t="shared" si="14"/>
        <v>1623.6000000000001</v>
      </c>
      <c r="E44" s="12">
        <f t="shared" si="14"/>
        <v>1623.6000000000001</v>
      </c>
      <c r="F44" s="12">
        <f t="shared" si="14"/>
        <v>1599</v>
      </c>
      <c r="G44" s="12">
        <f t="shared" si="14"/>
        <v>1599</v>
      </c>
      <c r="H44" s="12">
        <f>IFERROR(H9*$B$59*$B$61, "-")</f>
        <v>1599</v>
      </c>
      <c r="I44" s="12">
        <f t="shared" si="14"/>
        <v>1599</v>
      </c>
      <c r="J44" s="12">
        <f t="shared" si="14"/>
        <v>1599</v>
      </c>
      <c r="K44" s="12">
        <f t="shared" si="14"/>
        <v>1672.8000000000002</v>
      </c>
      <c r="L44" s="12">
        <f t="shared" si="14"/>
        <v>1672.8000000000002</v>
      </c>
      <c r="M44" s="12">
        <f t="shared" si="14"/>
        <v>1722</v>
      </c>
      <c r="N44" s="12">
        <f t="shared" si="14"/>
        <v>1722</v>
      </c>
      <c r="O44" s="12">
        <f t="shared" si="14"/>
        <v>1722</v>
      </c>
      <c r="P44" s="12">
        <f t="shared" si="14"/>
        <v>1722</v>
      </c>
      <c r="Q44" s="12">
        <f t="shared" si="14"/>
        <v>1722</v>
      </c>
      <c r="R44" s="12">
        <f t="shared" si="14"/>
        <v>1722</v>
      </c>
      <c r="S44" s="12">
        <f t="shared" si="14"/>
        <v>1722</v>
      </c>
      <c r="T44" s="12">
        <f t="shared" si="14"/>
        <v>1722</v>
      </c>
      <c r="U44" s="12">
        <f t="shared" si="14"/>
        <v>1599</v>
      </c>
      <c r="V44" s="12">
        <f t="shared" si="14"/>
        <v>1599</v>
      </c>
      <c r="X44" s="12">
        <f>IFERROR(X9*$B$59*$B$61, "-")</f>
        <v>1722</v>
      </c>
      <c r="Y44" s="12">
        <f t="shared" ref="Y44:AC44" si="15">IFERROR(Y9*$B$59*$B$61, "-")</f>
        <v>1722</v>
      </c>
      <c r="Z44" s="12">
        <f t="shared" si="15"/>
        <v>1722</v>
      </c>
      <c r="AA44" s="12">
        <f t="shared" si="15"/>
        <v>1722</v>
      </c>
      <c r="AB44" s="12">
        <f>IFERROR(AB9*$B$59*$B$61, "-")</f>
        <v>1599</v>
      </c>
      <c r="AC44" s="12">
        <f t="shared" si="15"/>
        <v>1599</v>
      </c>
    </row>
    <row r="45" spans="1:44" x14ac:dyDescent="0.3">
      <c r="A45" s="18" t="s">
        <v>55</v>
      </c>
      <c r="B45" s="10">
        <v>1302</v>
      </c>
      <c r="C45" s="10">
        <v>1446</v>
      </c>
      <c r="D45" s="10">
        <v>1457</v>
      </c>
      <c r="E45" s="10">
        <v>1429</v>
      </c>
      <c r="F45" s="10">
        <v>1547</v>
      </c>
      <c r="G45" s="10">
        <v>1363</v>
      </c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X45" s="10"/>
      <c r="Y45" s="10"/>
      <c r="Z45" s="10"/>
      <c r="AA45" s="10"/>
      <c r="AB45" s="10"/>
      <c r="AC45" s="10"/>
    </row>
    <row r="46" spans="1:44" x14ac:dyDescent="0.3">
      <c r="A46" s="18" t="s">
        <v>56</v>
      </c>
      <c r="B46" s="12">
        <f>IFERROR(B44-B45,"-")</f>
        <v>321.60000000000014</v>
      </c>
      <c r="C46" s="12">
        <f t="shared" ref="C46:V46" si="16">IFERROR(C44-C45,"-")</f>
        <v>177.60000000000014</v>
      </c>
      <c r="D46" s="12">
        <f t="shared" si="16"/>
        <v>166.60000000000014</v>
      </c>
      <c r="E46" s="12">
        <f t="shared" si="16"/>
        <v>194.60000000000014</v>
      </c>
      <c r="F46" s="12">
        <f t="shared" si="16"/>
        <v>52</v>
      </c>
      <c r="G46" s="12">
        <f t="shared" si="16"/>
        <v>236</v>
      </c>
      <c r="H46" s="12">
        <f t="shared" si="16"/>
        <v>1599</v>
      </c>
      <c r="I46" s="12">
        <f t="shared" si="16"/>
        <v>1599</v>
      </c>
      <c r="J46" s="12">
        <f t="shared" si="16"/>
        <v>1599</v>
      </c>
      <c r="K46" s="12">
        <f t="shared" si="16"/>
        <v>1672.8000000000002</v>
      </c>
      <c r="L46" s="12">
        <f t="shared" si="16"/>
        <v>1672.8000000000002</v>
      </c>
      <c r="M46" s="12">
        <f t="shared" si="16"/>
        <v>1722</v>
      </c>
      <c r="N46" s="12">
        <f t="shared" si="16"/>
        <v>1722</v>
      </c>
      <c r="O46" s="12">
        <f t="shared" si="16"/>
        <v>1722</v>
      </c>
      <c r="P46" s="12">
        <f t="shared" si="16"/>
        <v>1722</v>
      </c>
      <c r="Q46" s="12">
        <f t="shared" si="16"/>
        <v>1722</v>
      </c>
      <c r="R46" s="12">
        <f t="shared" si="16"/>
        <v>1722</v>
      </c>
      <c r="S46" s="12">
        <f t="shared" si="16"/>
        <v>1722</v>
      </c>
      <c r="T46" s="12">
        <f t="shared" si="16"/>
        <v>1722</v>
      </c>
      <c r="U46" s="12">
        <f t="shared" si="16"/>
        <v>1599</v>
      </c>
      <c r="V46" s="12">
        <f t="shared" si="16"/>
        <v>1599</v>
      </c>
      <c r="X46" s="12">
        <f t="shared" ref="X46:AC46" si="17">IFERROR(X44-X45,"-")</f>
        <v>1722</v>
      </c>
      <c r="Y46" s="12">
        <f t="shared" si="17"/>
        <v>1722</v>
      </c>
      <c r="Z46" s="12">
        <f t="shared" si="17"/>
        <v>1722</v>
      </c>
      <c r="AA46" s="12">
        <f t="shared" si="17"/>
        <v>1722</v>
      </c>
      <c r="AB46" s="12">
        <f t="shared" si="17"/>
        <v>1599</v>
      </c>
      <c r="AC46" s="12">
        <f t="shared" si="17"/>
        <v>1599</v>
      </c>
    </row>
    <row r="47" spans="1:44" ht="7.5" customHeight="1" x14ac:dyDescent="0.3">
      <c r="A47" s="4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X47" s="11"/>
      <c r="Y47" s="11"/>
      <c r="Z47" s="11"/>
      <c r="AA47" s="11"/>
      <c r="AB47" s="11"/>
      <c r="AC47" s="11"/>
    </row>
    <row r="48" spans="1:44" x14ac:dyDescent="0.3">
      <c r="A48" s="18" t="s">
        <v>57</v>
      </c>
      <c r="B48" s="12">
        <f>B44*$B$60</f>
        <v>92545.200000000012</v>
      </c>
      <c r="C48" s="12">
        <f t="shared" ref="C48:V48" si="18">C44*$B$60</f>
        <v>92545.200000000012</v>
      </c>
      <c r="D48" s="12">
        <f t="shared" si="18"/>
        <v>92545.200000000012</v>
      </c>
      <c r="E48" s="12">
        <f t="shared" si="18"/>
        <v>92545.200000000012</v>
      </c>
      <c r="F48" s="12">
        <f t="shared" si="18"/>
        <v>91143</v>
      </c>
      <c r="G48" s="12">
        <f t="shared" si="18"/>
        <v>91143</v>
      </c>
      <c r="H48" s="12">
        <f t="shared" si="18"/>
        <v>91143</v>
      </c>
      <c r="I48" s="12">
        <f t="shared" si="18"/>
        <v>91143</v>
      </c>
      <c r="J48" s="12">
        <f t="shared" si="18"/>
        <v>91143</v>
      </c>
      <c r="K48" s="12">
        <f t="shared" si="18"/>
        <v>95349.6</v>
      </c>
      <c r="L48" s="12">
        <f t="shared" si="18"/>
        <v>95349.6</v>
      </c>
      <c r="M48" s="12">
        <f t="shared" si="18"/>
        <v>98154</v>
      </c>
      <c r="N48" s="12">
        <f t="shared" si="18"/>
        <v>98154</v>
      </c>
      <c r="O48" s="12">
        <f t="shared" si="18"/>
        <v>98154</v>
      </c>
      <c r="P48" s="12">
        <f t="shared" si="18"/>
        <v>98154</v>
      </c>
      <c r="Q48" s="12">
        <f t="shared" si="18"/>
        <v>98154</v>
      </c>
      <c r="R48" s="12">
        <f t="shared" si="18"/>
        <v>98154</v>
      </c>
      <c r="S48" s="12">
        <f t="shared" si="18"/>
        <v>98154</v>
      </c>
      <c r="T48" s="12">
        <f t="shared" si="18"/>
        <v>98154</v>
      </c>
      <c r="U48" s="12">
        <f t="shared" si="18"/>
        <v>91143</v>
      </c>
      <c r="V48" s="12">
        <f t="shared" si="18"/>
        <v>91143</v>
      </c>
      <c r="X48" s="12">
        <f>(X44*$B$60)+($B$62*$B$63)</f>
        <v>115204</v>
      </c>
      <c r="Y48" s="12">
        <f t="shared" ref="Y48:AC48" si="19">(Y44*$B$60)+($B$62*$B$63)</f>
        <v>115204</v>
      </c>
      <c r="Z48" s="12">
        <f t="shared" si="19"/>
        <v>115204</v>
      </c>
      <c r="AA48" s="12">
        <f t="shared" si="19"/>
        <v>115204</v>
      </c>
      <c r="AB48" s="12">
        <f t="shared" si="19"/>
        <v>108193</v>
      </c>
      <c r="AC48" s="12">
        <f t="shared" si="19"/>
        <v>108193</v>
      </c>
    </row>
    <row r="49" spans="1:44" x14ac:dyDescent="0.3">
      <c r="A49" s="18" t="s">
        <v>58</v>
      </c>
      <c r="B49" s="12">
        <f>B45*$B$60</f>
        <v>74214</v>
      </c>
      <c r="C49" s="12">
        <f t="shared" ref="C49:R49" si="20">C45*$B$60</f>
        <v>82422</v>
      </c>
      <c r="D49" s="12">
        <f t="shared" si="20"/>
        <v>83049</v>
      </c>
      <c r="E49" s="12">
        <f t="shared" si="20"/>
        <v>81453</v>
      </c>
      <c r="F49" s="12">
        <f t="shared" si="20"/>
        <v>88179</v>
      </c>
      <c r="G49" s="12">
        <f t="shared" si="20"/>
        <v>77691</v>
      </c>
      <c r="H49" s="12">
        <f t="shared" si="20"/>
        <v>0</v>
      </c>
      <c r="I49" s="12">
        <f t="shared" si="20"/>
        <v>0</v>
      </c>
      <c r="J49" s="12">
        <f t="shared" si="20"/>
        <v>0</v>
      </c>
      <c r="K49" s="12">
        <f t="shared" si="20"/>
        <v>0</v>
      </c>
      <c r="L49" s="12">
        <f t="shared" si="20"/>
        <v>0</v>
      </c>
      <c r="M49" s="12">
        <f t="shared" si="20"/>
        <v>0</v>
      </c>
      <c r="N49" s="12">
        <f t="shared" si="20"/>
        <v>0</v>
      </c>
      <c r="O49" s="12">
        <f t="shared" si="20"/>
        <v>0</v>
      </c>
      <c r="P49" s="12">
        <f t="shared" si="20"/>
        <v>0</v>
      </c>
      <c r="Q49" s="12">
        <f t="shared" si="20"/>
        <v>0</v>
      </c>
      <c r="R49" s="12">
        <f t="shared" si="20"/>
        <v>0</v>
      </c>
      <c r="S49" s="12">
        <v>89000</v>
      </c>
      <c r="T49" s="12">
        <v>113000</v>
      </c>
      <c r="U49" s="12">
        <v>113000</v>
      </c>
      <c r="V49" s="12">
        <v>20000</v>
      </c>
      <c r="X49" s="12">
        <v>70000</v>
      </c>
      <c r="Y49" s="12">
        <v>102000</v>
      </c>
      <c r="Z49" s="12">
        <v>102000</v>
      </c>
      <c r="AA49" s="12">
        <v>113000</v>
      </c>
      <c r="AB49" s="12">
        <v>113000</v>
      </c>
      <c r="AC49" s="12">
        <v>20000</v>
      </c>
    </row>
    <row r="50" spans="1:44" x14ac:dyDescent="0.3">
      <c r="A50" s="18" t="s">
        <v>59</v>
      </c>
      <c r="B50" s="12">
        <f>IFERROR(B48-B49,"-")</f>
        <v>18331.200000000012</v>
      </c>
      <c r="C50" s="12">
        <f t="shared" ref="C50" si="21">IFERROR(C48-C49,"-")</f>
        <v>10123.200000000012</v>
      </c>
      <c r="D50" s="12">
        <f t="shared" ref="D50" si="22">IFERROR(D48-D49,"-")</f>
        <v>9496.2000000000116</v>
      </c>
      <c r="E50" s="12">
        <f t="shared" ref="E50" si="23">IFERROR(E48-E49,"-")</f>
        <v>11092.200000000012</v>
      </c>
      <c r="F50" s="12">
        <f t="shared" ref="F50" si="24">IFERROR(F48-F49,"-")</f>
        <v>2964</v>
      </c>
      <c r="G50" s="12">
        <f t="shared" ref="G50" si="25">IFERROR(G48-G49,"-")</f>
        <v>13452</v>
      </c>
      <c r="H50" s="12">
        <f t="shared" ref="H50" si="26">IFERROR(H48-H49,"-")</f>
        <v>91143</v>
      </c>
      <c r="I50" s="12">
        <f t="shared" ref="I50" si="27">IFERROR(I48-I49,"-")</f>
        <v>91143</v>
      </c>
      <c r="J50" s="12">
        <f t="shared" ref="J50" si="28">IFERROR(J48-J49,"-")</f>
        <v>91143</v>
      </c>
      <c r="K50" s="12">
        <f t="shared" ref="K50" si="29">IFERROR(K48-K49,"-")</f>
        <v>95349.6</v>
      </c>
      <c r="L50" s="12">
        <f t="shared" ref="L50" si="30">IFERROR(L48-L49,"-")</f>
        <v>95349.6</v>
      </c>
      <c r="M50" s="12">
        <f t="shared" ref="M50" si="31">IFERROR(M48-M49,"-")</f>
        <v>98154</v>
      </c>
      <c r="N50" s="12">
        <f t="shared" ref="N50" si="32">IFERROR(N48-N49,"-")</f>
        <v>98154</v>
      </c>
      <c r="O50" s="12">
        <f t="shared" ref="O50" si="33">IFERROR(O48-O49,"-")</f>
        <v>98154</v>
      </c>
      <c r="P50" s="12">
        <f t="shared" ref="P50" si="34">IFERROR(P48-P49,"-")</f>
        <v>98154</v>
      </c>
      <c r="Q50" s="12">
        <f t="shared" ref="Q50" si="35">IFERROR(Q48-Q49,"-")</f>
        <v>98154</v>
      </c>
      <c r="R50" s="12">
        <f t="shared" ref="R50" si="36">IFERROR(R48-R49,"-")</f>
        <v>98154</v>
      </c>
      <c r="S50" s="12">
        <f t="shared" ref="S50" si="37">IFERROR(S48-S49,"-")</f>
        <v>9154</v>
      </c>
      <c r="T50" s="12">
        <f t="shared" ref="T50" si="38">IFERROR(T48-T49,"-")</f>
        <v>-14846</v>
      </c>
      <c r="U50" s="12">
        <f t="shared" ref="U50" si="39">IFERROR(U48-U49,"-")</f>
        <v>-21857</v>
      </c>
      <c r="V50" s="12">
        <f t="shared" ref="V50" si="40">IFERROR(V48-V49,"-")</f>
        <v>71143</v>
      </c>
      <c r="X50" s="12">
        <f t="shared" ref="X50:AC50" si="41">IFERROR(X48-X49,"-")</f>
        <v>45204</v>
      </c>
      <c r="Y50" s="12">
        <f t="shared" si="41"/>
        <v>13204</v>
      </c>
      <c r="Z50" s="12">
        <f t="shared" si="41"/>
        <v>13204</v>
      </c>
      <c r="AA50" s="12">
        <f t="shared" si="41"/>
        <v>2204</v>
      </c>
      <c r="AB50" s="12">
        <f t="shared" si="41"/>
        <v>-4807</v>
      </c>
      <c r="AC50" s="12">
        <f t="shared" si="41"/>
        <v>88193</v>
      </c>
    </row>
    <row r="51" spans="1:44" x14ac:dyDescent="0.3">
      <c r="A51" s="4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</row>
    <row r="52" spans="1:44" ht="23.4" x14ac:dyDescent="0.45">
      <c r="A52" s="925" t="s">
        <v>60</v>
      </c>
      <c r="B52" s="925"/>
      <c r="C52" s="925"/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 t="s">
        <v>60</v>
      </c>
      <c r="X52" s="925"/>
      <c r="Y52" s="925"/>
      <c r="Z52" s="925"/>
      <c r="AA52" s="925"/>
      <c r="AB52" s="925"/>
      <c r="AC52" s="925"/>
      <c r="AD52" s="925"/>
      <c r="AE52" s="925"/>
      <c r="AF52" s="925"/>
      <c r="AG52" s="925"/>
      <c r="AH52" s="925"/>
      <c r="AI52" s="925"/>
      <c r="AJ52" s="925"/>
      <c r="AK52" s="925"/>
      <c r="AL52" s="925"/>
      <c r="AM52" s="925"/>
      <c r="AN52" s="925"/>
      <c r="AO52" s="925"/>
      <c r="AP52" s="925"/>
      <c r="AQ52" s="925"/>
      <c r="AR52" s="925"/>
    </row>
    <row r="53" spans="1:44" x14ac:dyDescent="0.3">
      <c r="A53" s="20" t="s">
        <v>61</v>
      </c>
      <c r="B53" s="3"/>
      <c r="C53" s="3">
        <v>0</v>
      </c>
      <c r="D53" s="3">
        <v>0</v>
      </c>
      <c r="E53" s="3">
        <v>0</v>
      </c>
      <c r="F53" s="3">
        <v>25</v>
      </c>
      <c r="G53" s="3">
        <v>0</v>
      </c>
      <c r="H53" s="3">
        <v>0</v>
      </c>
      <c r="I53" s="3">
        <v>25</v>
      </c>
      <c r="J53" s="3">
        <v>25</v>
      </c>
      <c r="K53" s="3">
        <v>25</v>
      </c>
      <c r="L53" s="3">
        <v>25</v>
      </c>
      <c r="M53" s="3">
        <v>25</v>
      </c>
      <c r="N53" s="3">
        <v>0</v>
      </c>
      <c r="O53" s="3">
        <v>0</v>
      </c>
      <c r="P53" s="3">
        <v>25</v>
      </c>
      <c r="Q53" s="3">
        <v>25</v>
      </c>
      <c r="R53" s="3">
        <v>25</v>
      </c>
      <c r="S53" s="3">
        <v>25</v>
      </c>
      <c r="T53" s="3">
        <v>25</v>
      </c>
      <c r="U53" s="3">
        <v>0</v>
      </c>
      <c r="V53" s="3">
        <v>0</v>
      </c>
      <c r="X53" s="3">
        <v>25</v>
      </c>
      <c r="Y53" s="3">
        <v>25</v>
      </c>
      <c r="Z53" s="3">
        <v>25</v>
      </c>
      <c r="AA53" s="3">
        <v>25</v>
      </c>
      <c r="AB53" s="3">
        <v>0</v>
      </c>
      <c r="AC53" s="3">
        <v>0</v>
      </c>
    </row>
    <row r="54" spans="1:44" x14ac:dyDescent="0.3">
      <c r="A54" s="20" t="s">
        <v>62</v>
      </c>
      <c r="B54" s="30">
        <f>B53*$B$60</f>
        <v>0</v>
      </c>
      <c r="C54" s="30">
        <f t="shared" ref="C54:V54" si="42">C53*$B$60</f>
        <v>0</v>
      </c>
      <c r="D54" s="30">
        <f t="shared" si="42"/>
        <v>0</v>
      </c>
      <c r="E54" s="30">
        <f>E53*$B$60</f>
        <v>0</v>
      </c>
      <c r="F54" s="30">
        <f t="shared" si="42"/>
        <v>1425</v>
      </c>
      <c r="G54" s="30">
        <f t="shared" si="42"/>
        <v>0</v>
      </c>
      <c r="H54" s="30">
        <f t="shared" si="42"/>
        <v>0</v>
      </c>
      <c r="I54" s="30">
        <f t="shared" si="42"/>
        <v>1425</v>
      </c>
      <c r="J54" s="30">
        <f t="shared" si="42"/>
        <v>1425</v>
      </c>
      <c r="K54" s="30">
        <f t="shared" si="42"/>
        <v>1425</v>
      </c>
      <c r="L54" s="30">
        <f t="shared" si="42"/>
        <v>1425</v>
      </c>
      <c r="M54" s="30">
        <f t="shared" si="42"/>
        <v>1425</v>
      </c>
      <c r="N54" s="30">
        <f t="shared" si="42"/>
        <v>0</v>
      </c>
      <c r="O54" s="30">
        <f t="shared" si="42"/>
        <v>0</v>
      </c>
      <c r="P54" s="30">
        <f t="shared" si="42"/>
        <v>1425</v>
      </c>
      <c r="Q54" s="30">
        <f t="shared" si="42"/>
        <v>1425</v>
      </c>
      <c r="R54" s="30">
        <f t="shared" si="42"/>
        <v>1425</v>
      </c>
      <c r="S54" s="30">
        <f t="shared" si="42"/>
        <v>1425</v>
      </c>
      <c r="T54" s="30">
        <f t="shared" si="42"/>
        <v>1425</v>
      </c>
      <c r="U54" s="30">
        <f t="shared" si="42"/>
        <v>0</v>
      </c>
      <c r="V54" s="30">
        <f t="shared" si="42"/>
        <v>0</v>
      </c>
      <c r="X54" s="30">
        <f t="shared" ref="X54:AC54" si="43">X53*$B$60</f>
        <v>1425</v>
      </c>
      <c r="Y54" s="30">
        <f t="shared" si="43"/>
        <v>1425</v>
      </c>
      <c r="Z54" s="30">
        <f t="shared" si="43"/>
        <v>1425</v>
      </c>
      <c r="AA54" s="30">
        <f t="shared" si="43"/>
        <v>1425</v>
      </c>
      <c r="AB54" s="30">
        <f t="shared" si="43"/>
        <v>0</v>
      </c>
      <c r="AC54" s="30">
        <f t="shared" si="43"/>
        <v>0</v>
      </c>
    </row>
    <row r="55" spans="1:44" x14ac:dyDescent="0.3">
      <c r="A55" s="20" t="s">
        <v>63</v>
      </c>
      <c r="B55" s="3">
        <v>0</v>
      </c>
      <c r="C55" s="3">
        <v>0</v>
      </c>
      <c r="D55" s="3">
        <v>0</v>
      </c>
      <c r="E55" s="3">
        <v>0</v>
      </c>
      <c r="F55" s="3">
        <v>5000</v>
      </c>
      <c r="G55" s="3">
        <v>5000</v>
      </c>
      <c r="H55" s="3">
        <v>5000</v>
      </c>
      <c r="I55" s="3">
        <v>5000</v>
      </c>
      <c r="J55" s="3">
        <v>5000</v>
      </c>
      <c r="K55" s="3">
        <v>5000</v>
      </c>
      <c r="L55" s="3">
        <v>5000</v>
      </c>
      <c r="M55" s="3">
        <v>5000</v>
      </c>
      <c r="N55" s="3">
        <v>5000</v>
      </c>
      <c r="O55" s="3">
        <v>5000</v>
      </c>
      <c r="P55" s="3">
        <v>5000</v>
      </c>
      <c r="Q55" s="3">
        <v>5000</v>
      </c>
      <c r="R55" s="3">
        <v>5000</v>
      </c>
      <c r="S55" s="3">
        <v>5000</v>
      </c>
      <c r="T55" s="3">
        <v>5000</v>
      </c>
      <c r="U55" s="3">
        <v>5000</v>
      </c>
      <c r="V55" s="3">
        <v>5000</v>
      </c>
      <c r="X55" s="3">
        <v>5000</v>
      </c>
      <c r="Y55" s="3">
        <v>5000</v>
      </c>
      <c r="Z55" s="3">
        <v>5000</v>
      </c>
      <c r="AA55" s="3">
        <v>5000</v>
      </c>
      <c r="AB55" s="3">
        <v>5000</v>
      </c>
      <c r="AC55" s="3">
        <v>5000</v>
      </c>
    </row>
    <row r="56" spans="1:44" x14ac:dyDescent="0.3">
      <c r="A56" s="20" t="s">
        <v>64</v>
      </c>
      <c r="B56" s="30">
        <f>B55-B54</f>
        <v>0</v>
      </c>
      <c r="C56" s="30">
        <f t="shared" ref="C56:V56" si="44">C55-C54</f>
        <v>0</v>
      </c>
      <c r="D56" s="30">
        <f t="shared" si="44"/>
        <v>0</v>
      </c>
      <c r="E56" s="30">
        <f t="shared" si="44"/>
        <v>0</v>
      </c>
      <c r="F56" s="30">
        <f t="shared" si="44"/>
        <v>3575</v>
      </c>
      <c r="G56" s="30">
        <f t="shared" si="44"/>
        <v>5000</v>
      </c>
      <c r="H56" s="30">
        <f t="shared" si="44"/>
        <v>5000</v>
      </c>
      <c r="I56" s="30">
        <f t="shared" si="44"/>
        <v>3575</v>
      </c>
      <c r="J56" s="30">
        <f t="shared" si="44"/>
        <v>3575</v>
      </c>
      <c r="K56" s="30">
        <f t="shared" si="44"/>
        <v>3575</v>
      </c>
      <c r="L56" s="30">
        <f t="shared" si="44"/>
        <v>3575</v>
      </c>
      <c r="M56" s="30">
        <f t="shared" si="44"/>
        <v>3575</v>
      </c>
      <c r="N56" s="30">
        <f t="shared" si="44"/>
        <v>5000</v>
      </c>
      <c r="O56" s="30">
        <f t="shared" si="44"/>
        <v>5000</v>
      </c>
      <c r="P56" s="30">
        <f t="shared" si="44"/>
        <v>3575</v>
      </c>
      <c r="Q56" s="30">
        <f t="shared" si="44"/>
        <v>3575</v>
      </c>
      <c r="R56" s="30">
        <f t="shared" si="44"/>
        <v>3575</v>
      </c>
      <c r="S56" s="30">
        <f t="shared" si="44"/>
        <v>3575</v>
      </c>
      <c r="T56" s="30">
        <f t="shared" si="44"/>
        <v>3575</v>
      </c>
      <c r="U56" s="30">
        <f t="shared" si="44"/>
        <v>5000</v>
      </c>
      <c r="V56" s="30">
        <f t="shared" si="44"/>
        <v>5000</v>
      </c>
      <c r="X56" s="30">
        <f t="shared" ref="X56:AC56" si="45">X55-X54</f>
        <v>3575</v>
      </c>
      <c r="Y56" s="30">
        <f t="shared" si="45"/>
        <v>3575</v>
      </c>
      <c r="Z56" s="30">
        <f t="shared" si="45"/>
        <v>3575</v>
      </c>
      <c r="AA56" s="30">
        <f t="shared" si="45"/>
        <v>3575</v>
      </c>
      <c r="AB56" s="30">
        <f t="shared" si="45"/>
        <v>5000</v>
      </c>
      <c r="AC56" s="30">
        <f t="shared" si="45"/>
        <v>5000</v>
      </c>
    </row>
    <row r="58" spans="1:44" ht="23.4" x14ac:dyDescent="0.45">
      <c r="A58" s="926" t="s">
        <v>65</v>
      </c>
      <c r="B58" s="926"/>
    </row>
    <row r="59" spans="1:44" x14ac:dyDescent="0.3">
      <c r="A59" s="8" t="s">
        <v>66</v>
      </c>
      <c r="B59" s="3">
        <v>12.3</v>
      </c>
    </row>
    <row r="60" spans="1:44" x14ac:dyDescent="0.3">
      <c r="A60" s="8" t="s">
        <v>67</v>
      </c>
      <c r="B60" s="3">
        <v>57</v>
      </c>
    </row>
    <row r="61" spans="1:44" x14ac:dyDescent="0.3">
      <c r="A61" s="8" t="s">
        <v>68</v>
      </c>
      <c r="B61" s="3">
        <v>2</v>
      </c>
    </row>
    <row r="62" spans="1:44" x14ac:dyDescent="0.3">
      <c r="A62" s="8" t="s">
        <v>69</v>
      </c>
      <c r="B62" s="3">
        <v>310</v>
      </c>
    </row>
    <row r="63" spans="1:44" x14ac:dyDescent="0.3">
      <c r="A63" s="8" t="s">
        <v>70</v>
      </c>
      <c r="B63" s="3">
        <v>55</v>
      </c>
    </row>
  </sheetData>
  <mergeCells count="9">
    <mergeCell ref="W4:AR4"/>
    <mergeCell ref="W33:AR33"/>
    <mergeCell ref="W43:AR43"/>
    <mergeCell ref="W52:AR52"/>
    <mergeCell ref="A58:B58"/>
    <mergeCell ref="A52:V52"/>
    <mergeCell ref="A43:V43"/>
    <mergeCell ref="A4:V4"/>
    <mergeCell ref="A33:V33"/>
  </mergeCells>
  <conditionalFormatting sqref="B25:V61 X33:AR33 X43:AR43 X52:AR52 B64:V250 C62:V63">
    <cfRule type="cellIs" dxfId="1591" priority="7" operator="lessThan">
      <formula>0</formula>
    </cfRule>
  </conditionalFormatting>
  <conditionalFormatting sqref="X53:AC56">
    <cfRule type="cellIs" dxfId="1590" priority="5" operator="lessThan">
      <formula>0</formula>
    </cfRule>
  </conditionalFormatting>
  <conditionalFormatting sqref="X44:AC50">
    <cfRule type="cellIs" dxfId="1589" priority="4" operator="lessThan">
      <formula>0</formula>
    </cfRule>
  </conditionalFormatting>
  <conditionalFormatting sqref="X34:AC41">
    <cfRule type="cellIs" dxfId="1588" priority="3" operator="lessThan">
      <formula>0</formula>
    </cfRule>
  </conditionalFormatting>
  <conditionalFormatting sqref="X25:AC31">
    <cfRule type="cellIs" dxfId="1587" priority="2" operator="lessThan">
      <formula>0</formula>
    </cfRule>
  </conditionalFormatting>
  <conditionalFormatting sqref="B62:B63">
    <cfRule type="cellIs" dxfId="1586" priority="1" operator="lessThan">
      <formula>0</formula>
    </cfRule>
  </conditionalFormatting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ADB7-AD61-445C-8ED3-07441B769A97}">
  <sheetPr codeName="Sheet3"/>
  <dimension ref="A1:D14"/>
  <sheetViews>
    <sheetView workbookViewId="0"/>
  </sheetViews>
  <sheetFormatPr defaultRowHeight="14.4" x14ac:dyDescent="0.3"/>
  <cols>
    <col min="2" max="2" width="89.44140625" customWidth="1"/>
    <col min="3" max="3" width="16.5546875" bestFit="1" customWidth="1"/>
  </cols>
  <sheetData>
    <row r="1" spans="1:4" x14ac:dyDescent="0.3">
      <c r="A1" s="314" t="s">
        <v>71</v>
      </c>
      <c r="B1" s="314" t="s">
        <v>72</v>
      </c>
      <c r="C1" s="314" t="s">
        <v>73</v>
      </c>
      <c r="D1" s="314" t="s">
        <v>74</v>
      </c>
    </row>
    <row r="2" spans="1:4" ht="43.2" x14ac:dyDescent="0.3">
      <c r="A2" s="321">
        <v>44060</v>
      </c>
      <c r="B2" s="322" t="s">
        <v>75</v>
      </c>
      <c r="C2" s="323" t="s">
        <v>76</v>
      </c>
      <c r="D2" s="323" t="s">
        <v>77</v>
      </c>
    </row>
    <row r="3" spans="1:4" x14ac:dyDescent="0.3">
      <c r="A3" s="313">
        <v>44057</v>
      </c>
      <c r="B3" t="s">
        <v>78</v>
      </c>
      <c r="C3" t="s">
        <v>79</v>
      </c>
      <c r="D3" t="s">
        <v>80</v>
      </c>
    </row>
    <row r="4" spans="1:4" x14ac:dyDescent="0.3">
      <c r="A4" s="313">
        <v>44060</v>
      </c>
      <c r="B4" t="s">
        <v>81</v>
      </c>
      <c r="C4" t="s">
        <v>82</v>
      </c>
      <c r="D4" t="s">
        <v>77</v>
      </c>
    </row>
    <row r="5" spans="1:4" ht="28.8" x14ac:dyDescent="0.3">
      <c r="A5" s="319">
        <v>44060</v>
      </c>
      <c r="B5" s="317" t="s">
        <v>83</v>
      </c>
      <c r="C5" s="318" t="s">
        <v>84</v>
      </c>
      <c r="D5" s="318" t="s">
        <v>85</v>
      </c>
    </row>
    <row r="6" spans="1:4" x14ac:dyDescent="0.3">
      <c r="A6" s="313">
        <v>44060</v>
      </c>
      <c r="B6" t="s">
        <v>86</v>
      </c>
      <c r="C6" t="s">
        <v>87</v>
      </c>
      <c r="D6" t="s">
        <v>77</v>
      </c>
    </row>
    <row r="7" spans="1:4" ht="57.6" x14ac:dyDescent="0.3">
      <c r="A7" s="313">
        <v>44060</v>
      </c>
      <c r="B7" s="315" t="s">
        <v>88</v>
      </c>
      <c r="C7" t="s">
        <v>89</v>
      </c>
      <c r="D7" t="s">
        <v>77</v>
      </c>
    </row>
    <row r="8" spans="1:4" x14ac:dyDescent="0.3">
      <c r="A8" s="313">
        <v>44061</v>
      </c>
      <c r="B8" t="s">
        <v>90</v>
      </c>
      <c r="C8" t="s">
        <v>84</v>
      </c>
      <c r="D8" t="s">
        <v>77</v>
      </c>
    </row>
    <row r="9" spans="1:4" ht="57.6" x14ac:dyDescent="0.3">
      <c r="A9" s="319">
        <v>44061</v>
      </c>
      <c r="B9" s="317" t="s">
        <v>91</v>
      </c>
      <c r="C9" s="318" t="s">
        <v>84</v>
      </c>
      <c r="D9" s="318" t="s">
        <v>92</v>
      </c>
    </row>
    <row r="10" spans="1:4" ht="72" x14ac:dyDescent="0.3">
      <c r="A10" s="316">
        <v>44061</v>
      </c>
      <c r="B10" s="317" t="s">
        <v>93</v>
      </c>
      <c r="C10" s="318" t="s">
        <v>94</v>
      </c>
      <c r="D10" s="318" t="s">
        <v>92</v>
      </c>
    </row>
    <row r="11" spans="1:4" ht="57.6" x14ac:dyDescent="0.3">
      <c r="A11" s="313">
        <v>44061</v>
      </c>
      <c r="B11" s="315" t="s">
        <v>95</v>
      </c>
      <c r="C11" t="s">
        <v>96</v>
      </c>
      <c r="D11" s="318" t="s">
        <v>77</v>
      </c>
    </row>
    <row r="12" spans="1:4" x14ac:dyDescent="0.3">
      <c r="A12" s="313">
        <v>44062</v>
      </c>
      <c r="B12" t="s">
        <v>97</v>
      </c>
      <c r="C12" t="s">
        <v>87</v>
      </c>
      <c r="D12" t="s">
        <v>80</v>
      </c>
    </row>
    <row r="13" spans="1:4" x14ac:dyDescent="0.3">
      <c r="A13" s="313">
        <v>44062</v>
      </c>
      <c r="B13" t="s">
        <v>98</v>
      </c>
      <c r="C13" t="s">
        <v>82</v>
      </c>
      <c r="D13" t="s">
        <v>77</v>
      </c>
    </row>
    <row r="14" spans="1:4" x14ac:dyDescent="0.3">
      <c r="A14" s="313">
        <v>44063</v>
      </c>
      <c r="B14" t="s">
        <v>99</v>
      </c>
      <c r="C14" t="s">
        <v>96</v>
      </c>
      <c r="D14" t="s">
        <v>80</v>
      </c>
    </row>
  </sheetData>
  <autoFilter ref="A1:D14" xr:uid="{15BB71BD-5E70-4819-84F3-6DDF88A48B78}"/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AB5A-15E5-4D94-9994-0E0B01950BCD}">
  <sheetPr codeName="Sheet4"/>
  <dimension ref="A1:KB72"/>
  <sheetViews>
    <sheetView zoomScaleNormal="100" workbookViewId="0">
      <pane xSplit="1" ySplit="3" topLeftCell="JQ4" activePane="bottomRight" state="frozen"/>
      <selection pane="topRight" activeCell="B1" sqref="B1"/>
      <selection pane="bottomLeft" activeCell="A4" sqref="A4"/>
      <selection pane="bottomRight" activeCell="JU12" sqref="JU12"/>
    </sheetView>
  </sheetViews>
  <sheetFormatPr defaultColWidth="9.44140625" defaultRowHeight="14.4" x14ac:dyDescent="0.3"/>
  <cols>
    <col min="1" max="1" width="31.5546875" bestFit="1" customWidth="1"/>
    <col min="2" max="4" width="8.44140625" hidden="1" customWidth="1"/>
    <col min="5" max="6" width="9.44140625" hidden="1" customWidth="1"/>
    <col min="7" max="7" width="8.44140625" hidden="1" customWidth="1"/>
    <col min="8" max="8" width="9.44140625" hidden="1" customWidth="1"/>
    <col min="9" max="10" width="8.44140625" hidden="1" customWidth="1"/>
    <col min="11" max="11" width="9.44140625" hidden="1" customWidth="1"/>
    <col min="12" max="12" width="8.44140625" hidden="1" customWidth="1"/>
    <col min="13" max="15" width="9.44140625" hidden="1" customWidth="1"/>
    <col min="16" max="16" width="8.44140625" style="73" hidden="1" customWidth="1"/>
    <col min="17" max="21" width="12.44140625" hidden="1" customWidth="1"/>
    <col min="22" max="22" width="9.44140625" style="68" hidden="1" customWidth="1"/>
    <col min="23" max="23" width="8.44140625" style="73" hidden="1" customWidth="1"/>
    <col min="24" max="24" width="9.44140625" hidden="1" customWidth="1"/>
    <col min="25" max="25" width="8.44140625" hidden="1" customWidth="1"/>
    <col min="26" max="28" width="9.44140625" hidden="1" customWidth="1"/>
    <col min="29" max="29" width="9.44140625" style="68" hidden="1" customWidth="1"/>
    <col min="30" max="30" width="8.44140625" style="73" hidden="1" customWidth="1"/>
    <col min="31" max="31" width="8.44140625" hidden="1" customWidth="1"/>
    <col min="32" max="33" width="9.44140625" hidden="1" customWidth="1"/>
    <col min="34" max="35" width="8.44140625" hidden="1" customWidth="1"/>
    <col min="36" max="36" width="9.44140625" style="68" hidden="1" customWidth="1"/>
    <col min="37" max="37" width="9.44140625" style="73" hidden="1" customWidth="1"/>
    <col min="38" max="42" width="9.44140625" hidden="1" customWidth="1"/>
    <col min="43" max="43" width="9.44140625" style="68" hidden="1" customWidth="1"/>
    <col min="44" max="51" width="9.44140625" hidden="1" customWidth="1"/>
    <col min="52" max="52" width="8.44140625" hidden="1" customWidth="1"/>
    <col min="53" max="53" width="9.44140625" hidden="1" customWidth="1"/>
    <col min="54" max="54" width="8.44140625" hidden="1" customWidth="1"/>
    <col min="55" max="64" width="9.44140625" hidden="1" customWidth="1"/>
    <col min="65" max="66" width="8.44140625" hidden="1" customWidth="1"/>
    <col min="67" max="71" width="9.44140625" hidden="1" customWidth="1"/>
    <col min="72" max="75" width="8.44140625" hidden="1" customWidth="1"/>
    <col min="76" max="78" width="9.44140625" hidden="1" customWidth="1"/>
    <col min="79" max="82" width="8.44140625" hidden="1" customWidth="1"/>
    <col min="83" max="85" width="9.44140625" hidden="1" customWidth="1"/>
    <col min="86" max="86" width="8.44140625" hidden="1" customWidth="1"/>
    <col min="87" max="88" width="8.5546875" hidden="1" customWidth="1"/>
    <col min="89" max="89" width="8.44140625" hidden="1" customWidth="1"/>
    <col min="90" max="92" width="9.44140625" hidden="1" customWidth="1"/>
    <col min="93" max="96" width="8.44140625" hidden="1" customWidth="1"/>
    <col min="97" max="99" width="9.44140625" hidden="1" customWidth="1"/>
    <col min="100" max="103" width="8.44140625" hidden="1" customWidth="1"/>
    <col min="104" max="104" width="9.44140625" hidden="1" customWidth="1"/>
    <col min="105" max="105" width="8.44140625" hidden="1" customWidth="1"/>
    <col min="106" max="106" width="9.44140625" hidden="1" customWidth="1"/>
    <col min="107" max="111" width="8.44140625" hidden="1" customWidth="1"/>
    <col min="112" max="113" width="8.5546875" hidden="1" customWidth="1"/>
    <col min="114" max="114" width="8.44140625" hidden="1" customWidth="1"/>
    <col min="115" max="115" width="8" hidden="1" customWidth="1"/>
    <col min="116" max="117" width="8.44140625" hidden="1" customWidth="1"/>
    <col min="118" max="118" width="9.44140625" hidden="1" customWidth="1"/>
    <col min="119" max="124" width="8.44140625" hidden="1" customWidth="1"/>
    <col min="125" max="126" width="9.44140625" hidden="1" customWidth="1"/>
    <col min="127" max="131" width="8.44140625" hidden="1" customWidth="1"/>
    <col min="132" max="133" width="9.44140625" hidden="1" customWidth="1"/>
    <col min="134" max="138" width="8.44140625" hidden="1" customWidth="1"/>
    <col min="139" max="139" width="9.44140625" hidden="1" customWidth="1"/>
    <col min="140" max="140" width="8.5546875" hidden="1" customWidth="1"/>
    <col min="141" max="141" width="8.44140625" hidden="1" customWidth="1"/>
    <col min="142" max="142" width="11.44140625" hidden="1" customWidth="1"/>
    <col min="143" max="143" width="12.44140625" hidden="1" customWidth="1"/>
    <col min="144" max="145" width="8.44140625" hidden="1" customWidth="1"/>
    <col min="146" max="146" width="12.44140625" hidden="1" customWidth="1"/>
    <col min="147" max="147" width="9.44140625" hidden="1" customWidth="1"/>
    <col min="148" max="149" width="8.44140625" hidden="1" customWidth="1"/>
    <col min="150" max="150" width="9.44140625" hidden="1" customWidth="1"/>
    <col min="151" max="152" width="8.44140625" hidden="1" customWidth="1"/>
    <col min="153" max="153" width="12.44140625" hidden="1" customWidth="1"/>
    <col min="154" max="154" width="9.44140625" hidden="1" customWidth="1"/>
    <col min="155" max="155" width="8.5546875" hidden="1" customWidth="1"/>
    <col min="156" max="156" width="8.44140625" hidden="1" customWidth="1"/>
    <col min="157" max="158" width="9.44140625" hidden="1" customWidth="1"/>
    <col min="159" max="159" width="8.44140625" hidden="1" customWidth="1"/>
    <col min="160" max="161" width="9.44140625" hidden="1" customWidth="1"/>
    <col min="162" max="162" width="8.44140625" hidden="1" customWidth="1"/>
    <col min="163" max="163" width="69.5546875" hidden="1" customWidth="1"/>
    <col min="164" max="168" width="9.44140625" hidden="1" customWidth="1"/>
    <col min="169" max="169" width="8.44140625" hidden="1" customWidth="1"/>
    <col min="170" max="172" width="9.44140625" hidden="1" customWidth="1"/>
    <col min="173" max="173" width="8.44140625" hidden="1" customWidth="1"/>
    <col min="174" max="175" width="9.44140625" hidden="1" customWidth="1"/>
    <col min="176" max="176" width="8.44140625" hidden="1" customWidth="1"/>
    <col min="177" max="179" width="9.44140625" hidden="1" customWidth="1"/>
    <col min="180" max="180" width="8.44140625" hidden="1" customWidth="1"/>
    <col min="181" max="182" width="9.44140625" hidden="1" customWidth="1"/>
    <col min="183" max="183" width="8.44140625" hidden="1" customWidth="1"/>
    <col min="184" max="189" width="9.44140625" hidden="1" customWidth="1"/>
    <col min="190" max="190" width="8.44140625" hidden="1" customWidth="1"/>
    <col min="191" max="196" width="9.44140625" hidden="1" customWidth="1"/>
    <col min="197" max="197" width="12.44140625" hidden="1" customWidth="1"/>
    <col min="198" max="203" width="9.44140625" hidden="1" customWidth="1"/>
    <col min="204" max="204" width="8.44140625" hidden="1" customWidth="1"/>
    <col min="205" max="219" width="10.5546875" hidden="1" customWidth="1"/>
    <col min="220" max="220" width="14" hidden="1" customWidth="1"/>
    <col min="221" max="228" width="10.5546875" hidden="1" customWidth="1"/>
    <col min="229" max="232" width="10.44140625" hidden="1" customWidth="1"/>
    <col min="233" max="233" width="9.5546875" hidden="1" customWidth="1"/>
    <col min="234" max="239" width="10.44140625" hidden="1" customWidth="1"/>
    <col min="240" max="240" width="11.44140625" hidden="1" customWidth="1"/>
    <col min="241" max="245" width="9.5546875" hidden="1" customWidth="1"/>
    <col min="246" max="246" width="9.44140625" hidden="1" customWidth="1"/>
    <col min="247" max="259" width="9.5546875" hidden="1" customWidth="1"/>
    <col min="260" max="260" width="8.5546875" hidden="1" customWidth="1"/>
    <col min="261" max="266" width="9.5546875" bestFit="1" customWidth="1"/>
    <col min="267" max="267" width="8.5546875" bestFit="1" customWidth="1"/>
    <col min="268" max="271" width="9.44140625" bestFit="1" customWidth="1"/>
    <col min="272" max="274" width="9.5546875" bestFit="1" customWidth="1"/>
    <col min="275" max="278" width="9.44140625" bestFit="1" customWidth="1"/>
    <col min="279" max="279" width="8.5546875" bestFit="1" customWidth="1"/>
    <col min="280" max="280" width="9.5546875" bestFit="1" customWidth="1"/>
    <col min="281" max="281" width="8.5546875" bestFit="1" customWidth="1"/>
  </cols>
  <sheetData>
    <row r="1" spans="1:288" s="406" customFormat="1" ht="15" thickBot="1" x14ac:dyDescent="0.35">
      <c r="A1" s="501">
        <v>0.97</v>
      </c>
      <c r="B1" s="406" t="str">
        <f>"Wk "&amp;WEEKNUM(B2)</f>
        <v>Wk 14</v>
      </c>
      <c r="I1" s="406" t="str">
        <f>"Wk "&amp;WEEKNUM(I2)</f>
        <v>Wk 15</v>
      </c>
      <c r="P1" s="406" t="str">
        <f>"Wk "&amp;WEEKNUM(P2)</f>
        <v>Wk 16</v>
      </c>
      <c r="V1" s="407"/>
      <c r="W1" s="406" t="str">
        <f>"Wk "&amp;WEEKNUM(W2)</f>
        <v>Wk 17</v>
      </c>
      <c r="AC1" s="407"/>
      <c r="AD1" s="406" t="str">
        <f>"Wk "&amp;WEEKNUM(AD2)</f>
        <v>Wk 18</v>
      </c>
      <c r="AJ1" s="407"/>
      <c r="AK1" s="408"/>
      <c r="AQ1" s="407"/>
      <c r="AR1" s="406" t="str">
        <f>"Wk "&amp;WEEKNUM(AR2)</f>
        <v>Wk 20</v>
      </c>
      <c r="AY1" s="406" t="str">
        <f>"Wk "&amp;WEEKNUM(AY2)</f>
        <v>Wk 21</v>
      </c>
      <c r="BF1" s="406" t="str">
        <f>"Wk "&amp;WEEKNUM(BF2)</f>
        <v>Wk 22</v>
      </c>
      <c r="BM1" s="406" t="str">
        <f>"Wk "&amp;WEEKNUM(BM2)</f>
        <v>Wk 23</v>
      </c>
      <c r="BT1" s="406" t="str">
        <f>"Wk "&amp;WEEKNUM(BT2)</f>
        <v>Wk 24</v>
      </c>
      <c r="CA1" s="406" t="str">
        <f>"Wk "&amp;WEEKNUM(CA2)</f>
        <v>Wk 25</v>
      </c>
      <c r="CH1" s="406" t="str">
        <f>"Wk "&amp;WEEKNUM(CH2)</f>
        <v>Wk 26</v>
      </c>
      <c r="CO1" s="406" t="str">
        <f>"Wk "&amp;WEEKNUM(CO2)</f>
        <v>Wk 27</v>
      </c>
      <c r="CV1" s="406" t="str">
        <f>"Wk "&amp;WEEKNUM(CV2)</f>
        <v>Wk 28</v>
      </c>
      <c r="DC1" s="406" t="str">
        <f>"Wk "&amp;WEEKNUM(DC2)</f>
        <v>Wk 29</v>
      </c>
      <c r="DJ1" s="406" t="str">
        <f>"Wk "&amp;WEEKNUM(DJ2)</f>
        <v>Wk 30</v>
      </c>
      <c r="DQ1" s="406" t="str">
        <f>"Wk "&amp;WEEKNUM(DQ2)</f>
        <v>Wk 31</v>
      </c>
      <c r="DX1" s="406" t="str">
        <f>"Wk "&amp;WEEKNUM(DX2)</f>
        <v>Wk 32</v>
      </c>
      <c r="EE1" s="406" t="str">
        <f>"Wk "&amp;WEEKNUM(EE2)</f>
        <v>Wk 33</v>
      </c>
      <c r="EL1" s="406" t="str">
        <f>"Wk "&amp;WEEKNUM(EL2)</f>
        <v>Wk 34</v>
      </c>
      <c r="ES1" s="406" t="str">
        <f>"Wk "&amp;WEEKNUM(ES2)</f>
        <v>Wk 35</v>
      </c>
      <c r="EZ1" s="406" t="str">
        <f>"Wk "&amp;WEEKNUM(EZ2)</f>
        <v>Wk 36</v>
      </c>
      <c r="FG1" s="406" t="str">
        <f>"Wk "&amp;WEEKNUM(FG2)</f>
        <v>Wk 37</v>
      </c>
      <c r="FN1" s="406" t="str">
        <f>"Wk "&amp;WEEKNUM(FN2)</f>
        <v>Wk 38</v>
      </c>
      <c r="FU1" s="406" t="str">
        <f>"Wk "&amp;WEEKNUM(FU2)</f>
        <v>Wk 39</v>
      </c>
      <c r="GB1" s="406" t="str">
        <f>"Wk "&amp;WEEKNUM(GB2)</f>
        <v>Wk 40</v>
      </c>
      <c r="GI1" s="406" t="str">
        <f>"Wk "&amp;WEEKNUM(GI2)</f>
        <v>Wk 41</v>
      </c>
      <c r="GP1" s="406" t="s">
        <v>100</v>
      </c>
      <c r="GW1" s="406" t="s">
        <v>101</v>
      </c>
      <c r="HD1" s="406" t="s">
        <v>102</v>
      </c>
      <c r="HK1" s="406" t="s">
        <v>103</v>
      </c>
      <c r="HR1" s="406" t="s">
        <v>104</v>
      </c>
      <c r="HY1" s="406" t="s">
        <v>105</v>
      </c>
      <c r="IF1" s="406" t="s">
        <v>106</v>
      </c>
      <c r="IM1" s="406" t="s">
        <v>107</v>
      </c>
      <c r="IT1" s="406" t="s">
        <v>108</v>
      </c>
      <c r="JA1" s="406" t="s">
        <v>109</v>
      </c>
      <c r="JH1" s="406" t="s">
        <v>110</v>
      </c>
      <c r="JO1" s="406" t="s">
        <v>111</v>
      </c>
      <c r="JV1" s="406" t="s">
        <v>112</v>
      </c>
    </row>
    <row r="2" spans="1:288" s="33" customFormat="1" x14ac:dyDescent="0.3">
      <c r="A2"/>
      <c r="B2" s="424">
        <v>43920</v>
      </c>
      <c r="C2" s="425">
        <v>43921</v>
      </c>
      <c r="D2" s="425">
        <v>43922</v>
      </c>
      <c r="E2" s="425">
        <v>43923</v>
      </c>
      <c r="F2" s="425">
        <v>43924</v>
      </c>
      <c r="G2" s="425">
        <v>43925</v>
      </c>
      <c r="H2" s="426">
        <v>43926</v>
      </c>
      <c r="I2" s="424">
        <v>43927</v>
      </c>
      <c r="J2" s="425">
        <v>43928</v>
      </c>
      <c r="K2" s="425">
        <v>43929</v>
      </c>
      <c r="L2" s="425">
        <v>43930</v>
      </c>
      <c r="M2" s="425">
        <v>43931</v>
      </c>
      <c r="N2" s="425">
        <v>43932</v>
      </c>
      <c r="O2" s="426">
        <v>43933</v>
      </c>
      <c r="P2" s="424">
        <v>43934</v>
      </c>
      <c r="Q2" s="425">
        <v>43935</v>
      </c>
      <c r="R2" s="425">
        <v>43936</v>
      </c>
      <c r="S2" s="425">
        <v>43937</v>
      </c>
      <c r="T2" s="425">
        <v>43938</v>
      </c>
      <c r="U2" s="425">
        <v>43939</v>
      </c>
      <c r="V2" s="426">
        <v>43940</v>
      </c>
      <c r="W2" s="427">
        <v>43941</v>
      </c>
      <c r="X2" s="427">
        <v>43942</v>
      </c>
      <c r="Y2" s="427">
        <v>43943</v>
      </c>
      <c r="Z2" s="427">
        <v>43944</v>
      </c>
      <c r="AA2" s="427">
        <v>43945</v>
      </c>
      <c r="AB2" s="427">
        <v>43946</v>
      </c>
      <c r="AC2" s="427">
        <v>43947</v>
      </c>
      <c r="AD2" s="427">
        <v>43948</v>
      </c>
      <c r="AE2" s="427">
        <v>43949</v>
      </c>
      <c r="AF2" s="427">
        <v>43950</v>
      </c>
      <c r="AG2" s="427">
        <v>43951</v>
      </c>
      <c r="AH2" s="427">
        <v>43952</v>
      </c>
      <c r="AI2" s="427">
        <v>43953</v>
      </c>
      <c r="AJ2" s="427">
        <v>43954</v>
      </c>
      <c r="AK2" s="427">
        <v>43955</v>
      </c>
      <c r="AL2" s="427">
        <v>43956</v>
      </c>
      <c r="AM2" s="427">
        <v>43957</v>
      </c>
      <c r="AN2" s="427">
        <v>43958</v>
      </c>
      <c r="AO2" s="427">
        <v>43959</v>
      </c>
      <c r="AP2" s="427">
        <v>43960</v>
      </c>
      <c r="AQ2" s="427">
        <v>43961</v>
      </c>
      <c r="AR2" s="427">
        <v>43962</v>
      </c>
      <c r="AS2" s="427">
        <v>43963</v>
      </c>
      <c r="AT2" s="427">
        <v>43964</v>
      </c>
      <c r="AU2" s="427">
        <v>43965</v>
      </c>
      <c r="AV2" s="427">
        <v>43966</v>
      </c>
      <c r="AW2" s="427">
        <v>43967</v>
      </c>
      <c r="AX2" s="427">
        <v>43968</v>
      </c>
      <c r="AY2" s="427">
        <v>43969</v>
      </c>
      <c r="AZ2" s="427">
        <v>43970</v>
      </c>
      <c r="BA2" s="427">
        <v>43971</v>
      </c>
      <c r="BB2" s="427">
        <v>43972</v>
      </c>
      <c r="BC2" s="427">
        <v>43973</v>
      </c>
      <c r="BD2" s="427">
        <v>43974</v>
      </c>
      <c r="BE2" s="427">
        <v>43975</v>
      </c>
      <c r="BF2" s="427">
        <v>43976</v>
      </c>
      <c r="BG2" s="427">
        <v>43977</v>
      </c>
      <c r="BH2" s="427">
        <v>43978</v>
      </c>
      <c r="BI2" s="427">
        <v>43979</v>
      </c>
      <c r="BJ2" s="427">
        <v>43980</v>
      </c>
      <c r="BK2" s="427">
        <v>43981</v>
      </c>
      <c r="BL2" s="427">
        <v>43982</v>
      </c>
      <c r="BM2" s="427">
        <v>43983</v>
      </c>
      <c r="BN2" s="427">
        <v>43984</v>
      </c>
      <c r="BO2" s="427">
        <v>43985</v>
      </c>
      <c r="BP2" s="427">
        <v>43986</v>
      </c>
      <c r="BQ2" s="427">
        <v>43987</v>
      </c>
      <c r="BR2" s="427">
        <v>43988</v>
      </c>
      <c r="BS2" s="427">
        <v>43989</v>
      </c>
      <c r="BT2" s="427">
        <v>43990</v>
      </c>
      <c r="BU2" s="427">
        <v>43991</v>
      </c>
      <c r="BV2" s="427">
        <v>43992</v>
      </c>
      <c r="BW2" s="427">
        <v>43993</v>
      </c>
      <c r="BX2" s="427">
        <v>43994</v>
      </c>
      <c r="BY2" s="427">
        <v>43995</v>
      </c>
      <c r="BZ2" s="427">
        <v>43996</v>
      </c>
      <c r="CA2" s="427">
        <v>43997</v>
      </c>
      <c r="CB2" s="427">
        <v>43998</v>
      </c>
      <c r="CC2" s="427">
        <v>43999</v>
      </c>
      <c r="CD2" s="427">
        <v>44000</v>
      </c>
      <c r="CE2" s="427">
        <v>44001</v>
      </c>
      <c r="CF2" s="427">
        <v>44002</v>
      </c>
      <c r="CG2" s="427">
        <v>44003</v>
      </c>
      <c r="CH2" s="427">
        <v>44004</v>
      </c>
      <c r="CI2" s="427">
        <v>44005</v>
      </c>
      <c r="CJ2" s="427">
        <v>44006</v>
      </c>
      <c r="CK2" s="427">
        <v>44007</v>
      </c>
      <c r="CL2" s="427">
        <v>44008</v>
      </c>
      <c r="CM2" s="427">
        <v>44009</v>
      </c>
      <c r="CN2" s="427">
        <v>44010</v>
      </c>
      <c r="CO2" s="427">
        <v>44011</v>
      </c>
      <c r="CP2" s="427">
        <v>44012</v>
      </c>
      <c r="CQ2" s="427">
        <v>44013</v>
      </c>
      <c r="CR2" s="427">
        <v>44014</v>
      </c>
      <c r="CS2" s="427">
        <v>44015</v>
      </c>
      <c r="CT2" s="427">
        <v>44016</v>
      </c>
      <c r="CU2" s="427">
        <v>44017</v>
      </c>
      <c r="CV2" s="427">
        <v>44018</v>
      </c>
      <c r="CW2" s="427">
        <v>44019</v>
      </c>
      <c r="CX2" s="427">
        <v>44020</v>
      </c>
      <c r="CY2" s="427">
        <v>44021</v>
      </c>
      <c r="CZ2" s="427">
        <v>44022</v>
      </c>
      <c r="DA2" s="427">
        <v>44023</v>
      </c>
      <c r="DB2" s="427">
        <v>44024</v>
      </c>
      <c r="DC2" s="427">
        <v>44025</v>
      </c>
      <c r="DD2" s="427">
        <v>44026</v>
      </c>
      <c r="DE2" s="427">
        <v>44027</v>
      </c>
      <c r="DF2" s="427">
        <v>44028</v>
      </c>
      <c r="DG2" s="427">
        <v>44029</v>
      </c>
      <c r="DH2" s="427">
        <v>44030</v>
      </c>
      <c r="DI2" s="427">
        <v>44031</v>
      </c>
      <c r="DJ2" s="427">
        <v>44032</v>
      </c>
      <c r="DK2" s="427">
        <v>44033</v>
      </c>
      <c r="DL2" s="427">
        <v>44034</v>
      </c>
      <c r="DM2" s="427">
        <v>44035</v>
      </c>
      <c r="DN2" s="427">
        <v>44036</v>
      </c>
      <c r="DO2" s="427">
        <v>44037</v>
      </c>
      <c r="DP2" s="427">
        <v>44038</v>
      </c>
      <c r="DQ2" s="427">
        <v>44039</v>
      </c>
      <c r="DR2" s="427">
        <v>44040</v>
      </c>
      <c r="DS2" s="427">
        <v>44041</v>
      </c>
      <c r="DT2" s="427">
        <v>44042</v>
      </c>
      <c r="DU2" s="427">
        <v>44043</v>
      </c>
      <c r="DV2" s="427">
        <v>44044</v>
      </c>
      <c r="DW2" s="427">
        <v>44045</v>
      </c>
      <c r="DX2" s="427">
        <v>44046</v>
      </c>
      <c r="DY2" s="427">
        <v>44047</v>
      </c>
      <c r="DZ2" s="427">
        <v>44048</v>
      </c>
      <c r="EA2" s="427">
        <v>44049</v>
      </c>
      <c r="EB2" s="427">
        <v>44050</v>
      </c>
      <c r="EC2" s="427">
        <v>44051</v>
      </c>
      <c r="ED2" s="427">
        <v>44052</v>
      </c>
      <c r="EE2" s="427">
        <v>44053</v>
      </c>
      <c r="EF2" s="427">
        <v>44054</v>
      </c>
      <c r="EG2" s="427">
        <v>44055</v>
      </c>
      <c r="EH2" s="427">
        <v>44056</v>
      </c>
      <c r="EI2" s="427">
        <v>44057</v>
      </c>
      <c r="EJ2" s="427">
        <v>44058</v>
      </c>
      <c r="EK2" s="427">
        <v>44059</v>
      </c>
      <c r="EL2" s="427">
        <v>44060</v>
      </c>
      <c r="EM2" s="427">
        <v>44061</v>
      </c>
      <c r="EN2" s="427">
        <v>44062</v>
      </c>
      <c r="EO2" s="427">
        <v>44063</v>
      </c>
      <c r="EP2" s="427">
        <v>44064</v>
      </c>
      <c r="EQ2" s="427">
        <v>44065</v>
      </c>
      <c r="ER2" s="427">
        <v>44066</v>
      </c>
      <c r="ES2" s="427">
        <v>44067</v>
      </c>
      <c r="ET2" s="427">
        <v>44068</v>
      </c>
      <c r="EU2" s="427">
        <v>44069</v>
      </c>
      <c r="EV2" s="427">
        <v>44070</v>
      </c>
      <c r="EW2" s="427">
        <v>44071</v>
      </c>
      <c r="EX2" s="427">
        <v>44072</v>
      </c>
      <c r="EY2" s="427">
        <v>44073</v>
      </c>
      <c r="EZ2" s="492">
        <v>44074</v>
      </c>
      <c r="FA2" s="492">
        <v>44075</v>
      </c>
      <c r="FB2" s="492">
        <v>44076</v>
      </c>
      <c r="FC2" s="492">
        <v>44077</v>
      </c>
      <c r="FD2" s="492">
        <v>44078</v>
      </c>
      <c r="FE2" s="492">
        <v>44079</v>
      </c>
      <c r="FF2" s="492">
        <v>44080</v>
      </c>
      <c r="FG2" s="492">
        <v>44081</v>
      </c>
      <c r="FH2" s="492">
        <v>44082</v>
      </c>
      <c r="FI2" s="492">
        <v>44083</v>
      </c>
      <c r="FJ2" s="492">
        <v>44084</v>
      </c>
      <c r="FK2" s="492">
        <v>44085</v>
      </c>
      <c r="FL2" s="492">
        <v>44086</v>
      </c>
      <c r="FM2" s="492">
        <v>44087</v>
      </c>
      <c r="FN2" s="492">
        <v>44088</v>
      </c>
      <c r="FO2" s="492">
        <v>44089</v>
      </c>
      <c r="FP2" s="492">
        <v>44090</v>
      </c>
      <c r="FQ2" s="492">
        <v>44091</v>
      </c>
      <c r="FR2" s="492">
        <v>44092</v>
      </c>
      <c r="FS2" s="492">
        <v>44093</v>
      </c>
      <c r="FT2" s="492">
        <v>44094</v>
      </c>
      <c r="FU2" s="492">
        <v>44095</v>
      </c>
      <c r="FV2" s="492">
        <v>44096</v>
      </c>
      <c r="FW2" s="492">
        <v>44097</v>
      </c>
      <c r="FX2" s="492">
        <v>44098</v>
      </c>
      <c r="FY2" s="492">
        <v>44099</v>
      </c>
      <c r="FZ2" s="492">
        <v>44100</v>
      </c>
      <c r="GA2" s="492">
        <v>44101</v>
      </c>
      <c r="GB2" s="492">
        <v>44102</v>
      </c>
      <c r="GC2" s="492">
        <v>44103</v>
      </c>
      <c r="GD2" s="492">
        <v>44104</v>
      </c>
      <c r="GE2" s="492">
        <v>44105</v>
      </c>
      <c r="GF2" s="492">
        <v>44106</v>
      </c>
      <c r="GG2" s="492">
        <v>44107</v>
      </c>
      <c r="GH2" s="492">
        <v>44108</v>
      </c>
      <c r="GI2" s="492">
        <v>44109</v>
      </c>
      <c r="GJ2" s="492">
        <v>44110</v>
      </c>
      <c r="GK2" s="492">
        <v>44111</v>
      </c>
      <c r="GL2" s="492">
        <v>44112</v>
      </c>
      <c r="GM2" s="492">
        <v>44113</v>
      </c>
      <c r="GN2" s="492">
        <v>44114</v>
      </c>
      <c r="GO2" s="492">
        <v>44115</v>
      </c>
      <c r="GP2" s="427">
        <v>44116</v>
      </c>
      <c r="GQ2" s="427">
        <v>44117</v>
      </c>
      <c r="GR2" s="427">
        <v>44118</v>
      </c>
      <c r="GS2" s="427">
        <v>44119</v>
      </c>
      <c r="GT2" s="427">
        <v>44120</v>
      </c>
      <c r="GU2" s="427">
        <v>44121</v>
      </c>
      <c r="GV2" s="427">
        <v>44122</v>
      </c>
      <c r="GW2" s="427">
        <v>44123</v>
      </c>
      <c r="GX2" s="427">
        <v>44124</v>
      </c>
      <c r="GY2" s="427">
        <v>44125</v>
      </c>
      <c r="GZ2" s="427">
        <v>44126</v>
      </c>
      <c r="HA2" s="427">
        <v>44127</v>
      </c>
      <c r="HB2" s="427">
        <v>44128</v>
      </c>
      <c r="HC2" s="427">
        <v>44129</v>
      </c>
      <c r="HD2" s="427">
        <v>44130</v>
      </c>
      <c r="HE2" s="427">
        <v>44131</v>
      </c>
      <c r="HF2" s="427">
        <v>44132</v>
      </c>
      <c r="HG2" s="427">
        <v>44133</v>
      </c>
      <c r="HH2" s="427">
        <v>44134</v>
      </c>
      <c r="HI2" s="427">
        <v>44135</v>
      </c>
      <c r="HJ2" s="427">
        <v>44136</v>
      </c>
      <c r="HK2" s="427">
        <v>44137</v>
      </c>
      <c r="HL2" s="427">
        <v>44138</v>
      </c>
      <c r="HM2" s="427">
        <v>44139</v>
      </c>
      <c r="HN2" s="427">
        <v>44140</v>
      </c>
      <c r="HO2" s="427">
        <v>44141</v>
      </c>
      <c r="HP2" s="427">
        <v>44142</v>
      </c>
      <c r="HQ2" s="427">
        <v>44143</v>
      </c>
      <c r="HR2" s="427">
        <v>44144</v>
      </c>
      <c r="HS2" s="427">
        <v>44145</v>
      </c>
      <c r="HT2" s="427">
        <v>44146</v>
      </c>
      <c r="HU2" s="427">
        <v>44147</v>
      </c>
      <c r="HV2" s="427">
        <v>44148</v>
      </c>
      <c r="HW2" s="427">
        <v>44149</v>
      </c>
      <c r="HX2" s="427">
        <v>44150</v>
      </c>
      <c r="HY2" s="427">
        <v>44151</v>
      </c>
      <c r="HZ2" s="427">
        <v>44152</v>
      </c>
      <c r="IA2" s="427">
        <v>44153</v>
      </c>
      <c r="IB2" s="427">
        <v>44154</v>
      </c>
      <c r="IC2" s="427">
        <v>44155</v>
      </c>
      <c r="ID2" s="427">
        <v>44156</v>
      </c>
      <c r="IE2" s="427">
        <v>44157</v>
      </c>
      <c r="IF2" s="427">
        <v>44158</v>
      </c>
      <c r="IG2" s="427">
        <v>44159</v>
      </c>
      <c r="IH2" s="427">
        <v>44160</v>
      </c>
      <c r="II2" s="427">
        <v>44161</v>
      </c>
      <c r="IJ2" s="427">
        <v>44162</v>
      </c>
      <c r="IK2" s="427">
        <v>44163</v>
      </c>
      <c r="IL2" s="427">
        <v>44164</v>
      </c>
      <c r="IM2" s="427">
        <v>44165</v>
      </c>
      <c r="IN2" s="427">
        <v>44166</v>
      </c>
      <c r="IO2" s="427">
        <v>44167</v>
      </c>
      <c r="IP2" s="427">
        <v>44168</v>
      </c>
      <c r="IQ2" s="427">
        <v>44169</v>
      </c>
      <c r="IR2" s="427">
        <v>44170</v>
      </c>
      <c r="IS2" s="427">
        <v>44171</v>
      </c>
      <c r="IT2" s="427">
        <v>44172</v>
      </c>
      <c r="IU2" s="427">
        <v>44173</v>
      </c>
      <c r="IV2" s="427">
        <v>44174</v>
      </c>
      <c r="IW2" s="427">
        <v>44175</v>
      </c>
      <c r="IX2" s="427">
        <v>44176</v>
      </c>
      <c r="IY2" s="427">
        <v>44177</v>
      </c>
      <c r="IZ2" s="427">
        <v>44178</v>
      </c>
      <c r="JA2" s="427">
        <v>44179</v>
      </c>
      <c r="JB2" s="427">
        <v>44180</v>
      </c>
      <c r="JC2" s="427">
        <v>44181</v>
      </c>
      <c r="JD2" s="427">
        <v>44182</v>
      </c>
      <c r="JE2" s="427">
        <v>44183</v>
      </c>
      <c r="JF2" s="427">
        <v>44184</v>
      </c>
      <c r="JG2" s="427">
        <v>44185</v>
      </c>
      <c r="JH2" s="427">
        <v>44186</v>
      </c>
      <c r="JI2" s="427">
        <v>44187</v>
      </c>
      <c r="JJ2" s="427">
        <v>44188</v>
      </c>
      <c r="JK2" s="427">
        <v>44189</v>
      </c>
      <c r="JL2" s="427">
        <v>44190</v>
      </c>
      <c r="JM2" s="427">
        <v>44191</v>
      </c>
      <c r="JN2" s="427">
        <v>44192</v>
      </c>
      <c r="JO2" s="427">
        <v>44193</v>
      </c>
      <c r="JP2" s="427">
        <v>44194</v>
      </c>
      <c r="JQ2" s="427">
        <v>44195</v>
      </c>
      <c r="JR2" s="427">
        <v>44196</v>
      </c>
      <c r="JS2" s="427">
        <v>44197</v>
      </c>
      <c r="JT2" s="427">
        <v>44198</v>
      </c>
      <c r="JU2" s="427">
        <v>44199</v>
      </c>
      <c r="JV2" s="427">
        <v>44193</v>
      </c>
      <c r="JW2" s="427">
        <v>44194</v>
      </c>
      <c r="JX2" s="427">
        <v>44195</v>
      </c>
      <c r="JY2" s="427">
        <v>44196</v>
      </c>
      <c r="JZ2" s="427">
        <v>44197</v>
      </c>
      <c r="KA2" s="427">
        <v>44198</v>
      </c>
      <c r="KB2" s="427">
        <v>44199</v>
      </c>
    </row>
    <row r="3" spans="1:288" s="33" customFormat="1" ht="15" thickBot="1" x14ac:dyDescent="0.35">
      <c r="A3"/>
      <c r="B3" s="428" t="s">
        <v>113</v>
      </c>
      <c r="C3" s="429" t="s">
        <v>114</v>
      </c>
      <c r="D3" s="429" t="s">
        <v>115</v>
      </c>
      <c r="E3" s="429" t="s">
        <v>116</v>
      </c>
      <c r="F3" s="429" t="s">
        <v>117</v>
      </c>
      <c r="G3" s="429" t="s">
        <v>118</v>
      </c>
      <c r="H3" s="430" t="s">
        <v>119</v>
      </c>
      <c r="I3" s="428" t="s">
        <v>113</v>
      </c>
      <c r="J3" s="429" t="s">
        <v>114</v>
      </c>
      <c r="K3" s="429" t="s">
        <v>115</v>
      </c>
      <c r="L3" s="429" t="s">
        <v>116</v>
      </c>
      <c r="M3" s="429" t="s">
        <v>117</v>
      </c>
      <c r="N3" s="429" t="s">
        <v>118</v>
      </c>
      <c r="O3" s="430" t="s">
        <v>119</v>
      </c>
      <c r="P3" s="428" t="s">
        <v>113</v>
      </c>
      <c r="Q3" s="429" t="s">
        <v>114</v>
      </c>
      <c r="R3" s="429" t="s">
        <v>115</v>
      </c>
      <c r="S3" s="429" t="s">
        <v>116</v>
      </c>
      <c r="T3" s="429" t="s">
        <v>117</v>
      </c>
      <c r="U3" s="429" t="s">
        <v>118</v>
      </c>
      <c r="V3" s="430" t="s">
        <v>119</v>
      </c>
      <c r="W3" s="429" t="s">
        <v>113</v>
      </c>
      <c r="X3" s="429" t="s">
        <v>114</v>
      </c>
      <c r="Y3" s="429" t="s">
        <v>115</v>
      </c>
      <c r="Z3" s="429" t="s">
        <v>116</v>
      </c>
      <c r="AA3" s="429" t="s">
        <v>117</v>
      </c>
      <c r="AB3" s="429" t="s">
        <v>118</v>
      </c>
      <c r="AC3" s="429" t="s">
        <v>119</v>
      </c>
      <c r="AD3" s="429" t="s">
        <v>113</v>
      </c>
      <c r="AE3" s="429" t="s">
        <v>114</v>
      </c>
      <c r="AF3" s="429" t="s">
        <v>115</v>
      </c>
      <c r="AG3" s="429" t="s">
        <v>116</v>
      </c>
      <c r="AH3" s="429" t="s">
        <v>117</v>
      </c>
      <c r="AI3" s="429" t="s">
        <v>118</v>
      </c>
      <c r="AJ3" s="429" t="s">
        <v>119</v>
      </c>
      <c r="AK3" s="429" t="s">
        <v>113</v>
      </c>
      <c r="AL3" s="429" t="s">
        <v>114</v>
      </c>
      <c r="AM3" s="429" t="s">
        <v>115</v>
      </c>
      <c r="AN3" s="429" t="s">
        <v>116</v>
      </c>
      <c r="AO3" s="429" t="s">
        <v>117</v>
      </c>
      <c r="AP3" s="429" t="s">
        <v>118</v>
      </c>
      <c r="AQ3" s="429" t="s">
        <v>119</v>
      </c>
      <c r="AR3" s="429" t="s">
        <v>113</v>
      </c>
      <c r="AS3" s="429" t="s">
        <v>114</v>
      </c>
      <c r="AT3" s="429" t="s">
        <v>115</v>
      </c>
      <c r="AU3" s="429" t="s">
        <v>116</v>
      </c>
      <c r="AV3" s="429" t="s">
        <v>117</v>
      </c>
      <c r="AW3" s="429" t="s">
        <v>118</v>
      </c>
      <c r="AX3" s="429" t="s">
        <v>119</v>
      </c>
      <c r="AY3" s="429" t="s">
        <v>113</v>
      </c>
      <c r="AZ3" s="429" t="s">
        <v>114</v>
      </c>
      <c r="BA3" s="429" t="s">
        <v>115</v>
      </c>
      <c r="BB3" s="429" t="s">
        <v>116</v>
      </c>
      <c r="BC3" s="429" t="s">
        <v>117</v>
      </c>
      <c r="BD3" s="429" t="s">
        <v>118</v>
      </c>
      <c r="BE3" s="429" t="s">
        <v>119</v>
      </c>
      <c r="BF3" s="429" t="s">
        <v>113</v>
      </c>
      <c r="BG3" s="429" t="s">
        <v>114</v>
      </c>
      <c r="BH3" s="429" t="s">
        <v>115</v>
      </c>
      <c r="BI3" s="429" t="s">
        <v>116</v>
      </c>
      <c r="BJ3" s="429" t="s">
        <v>117</v>
      </c>
      <c r="BK3" s="429" t="s">
        <v>118</v>
      </c>
      <c r="BL3" s="429" t="s">
        <v>119</v>
      </c>
      <c r="BM3" s="429" t="s">
        <v>113</v>
      </c>
      <c r="BN3" s="429" t="s">
        <v>114</v>
      </c>
      <c r="BO3" s="429" t="s">
        <v>115</v>
      </c>
      <c r="BP3" s="429" t="s">
        <v>116</v>
      </c>
      <c r="BQ3" s="429" t="s">
        <v>117</v>
      </c>
      <c r="BR3" s="429" t="s">
        <v>118</v>
      </c>
      <c r="BS3" s="429" t="s">
        <v>119</v>
      </c>
      <c r="BT3" s="429" t="s">
        <v>113</v>
      </c>
      <c r="BU3" s="429" t="s">
        <v>114</v>
      </c>
      <c r="BV3" s="429" t="s">
        <v>115</v>
      </c>
      <c r="BW3" s="429" t="s">
        <v>116</v>
      </c>
      <c r="BX3" s="429" t="s">
        <v>117</v>
      </c>
      <c r="BY3" s="429" t="s">
        <v>118</v>
      </c>
      <c r="BZ3" s="429" t="s">
        <v>119</v>
      </c>
      <c r="CA3" s="429" t="s">
        <v>113</v>
      </c>
      <c r="CB3" s="429" t="s">
        <v>114</v>
      </c>
      <c r="CC3" s="429" t="s">
        <v>115</v>
      </c>
      <c r="CD3" s="429" t="s">
        <v>116</v>
      </c>
      <c r="CE3" s="429" t="s">
        <v>117</v>
      </c>
      <c r="CF3" s="429" t="s">
        <v>118</v>
      </c>
      <c r="CG3" s="429" t="s">
        <v>119</v>
      </c>
      <c r="CH3" s="429" t="s">
        <v>113</v>
      </c>
      <c r="CI3" s="429" t="s">
        <v>114</v>
      </c>
      <c r="CJ3" s="429" t="s">
        <v>115</v>
      </c>
      <c r="CK3" s="429" t="s">
        <v>116</v>
      </c>
      <c r="CL3" s="429" t="s">
        <v>117</v>
      </c>
      <c r="CM3" s="429" t="s">
        <v>118</v>
      </c>
      <c r="CN3" s="429" t="s">
        <v>119</v>
      </c>
      <c r="CO3" s="429" t="s">
        <v>113</v>
      </c>
      <c r="CP3" s="429" t="s">
        <v>114</v>
      </c>
      <c r="CQ3" s="429" t="s">
        <v>115</v>
      </c>
      <c r="CR3" s="429" t="s">
        <v>116</v>
      </c>
      <c r="CS3" s="429" t="s">
        <v>117</v>
      </c>
      <c r="CT3" s="429" t="s">
        <v>118</v>
      </c>
      <c r="CU3" s="429" t="s">
        <v>119</v>
      </c>
      <c r="CV3" s="429" t="s">
        <v>113</v>
      </c>
      <c r="CW3" s="429" t="s">
        <v>114</v>
      </c>
      <c r="CX3" s="429" t="s">
        <v>115</v>
      </c>
      <c r="CY3" s="429" t="s">
        <v>116</v>
      </c>
      <c r="CZ3" s="429" t="s">
        <v>117</v>
      </c>
      <c r="DA3" s="429" t="s">
        <v>118</v>
      </c>
      <c r="DB3" s="429" t="s">
        <v>119</v>
      </c>
      <c r="DC3" s="429" t="s">
        <v>113</v>
      </c>
      <c r="DD3" s="429" t="s">
        <v>114</v>
      </c>
      <c r="DE3" s="429" t="s">
        <v>115</v>
      </c>
      <c r="DF3" s="429" t="s">
        <v>116</v>
      </c>
      <c r="DG3" s="429" t="s">
        <v>117</v>
      </c>
      <c r="DH3" s="429" t="s">
        <v>118</v>
      </c>
      <c r="DI3" s="429" t="s">
        <v>119</v>
      </c>
      <c r="DJ3" s="429" t="s">
        <v>113</v>
      </c>
      <c r="DK3" s="429" t="s">
        <v>114</v>
      </c>
      <c r="DL3" s="429" t="s">
        <v>115</v>
      </c>
      <c r="DM3" s="429" t="s">
        <v>116</v>
      </c>
      <c r="DN3" s="429" t="s">
        <v>117</v>
      </c>
      <c r="DO3" s="429" t="s">
        <v>118</v>
      </c>
      <c r="DP3" s="429" t="s">
        <v>119</v>
      </c>
      <c r="DQ3" s="429" t="s">
        <v>113</v>
      </c>
      <c r="DR3" s="429" t="s">
        <v>114</v>
      </c>
      <c r="DS3" s="429" t="s">
        <v>115</v>
      </c>
      <c r="DT3" s="429" t="s">
        <v>116</v>
      </c>
      <c r="DU3" s="429" t="s">
        <v>117</v>
      </c>
      <c r="DV3" s="429" t="s">
        <v>118</v>
      </c>
      <c r="DW3" s="429" t="s">
        <v>119</v>
      </c>
      <c r="DX3" s="429" t="s">
        <v>113</v>
      </c>
      <c r="DY3" s="429" t="s">
        <v>114</v>
      </c>
      <c r="DZ3" s="429" t="s">
        <v>115</v>
      </c>
      <c r="EA3" s="429" t="s">
        <v>116</v>
      </c>
      <c r="EB3" s="429" t="s">
        <v>117</v>
      </c>
      <c r="EC3" s="429" t="s">
        <v>118</v>
      </c>
      <c r="ED3" s="429" t="s">
        <v>119</v>
      </c>
      <c r="EE3" s="429" t="s">
        <v>113</v>
      </c>
      <c r="EF3" s="429" t="s">
        <v>114</v>
      </c>
      <c r="EG3" s="429" t="s">
        <v>115</v>
      </c>
      <c r="EH3" s="429" t="s">
        <v>116</v>
      </c>
      <c r="EI3" s="429" t="s">
        <v>117</v>
      </c>
      <c r="EJ3" s="429" t="s">
        <v>118</v>
      </c>
      <c r="EK3" s="429" t="s">
        <v>119</v>
      </c>
      <c r="EL3" s="429" t="s">
        <v>113</v>
      </c>
      <c r="EM3" s="429" t="s">
        <v>114</v>
      </c>
      <c r="EN3" s="429" t="s">
        <v>115</v>
      </c>
      <c r="EO3" s="429" t="s">
        <v>116</v>
      </c>
      <c r="EP3" s="429" t="s">
        <v>117</v>
      </c>
      <c r="EQ3" s="429" t="s">
        <v>118</v>
      </c>
      <c r="ER3" s="429" t="s">
        <v>119</v>
      </c>
      <c r="ES3" s="429" t="s">
        <v>113</v>
      </c>
      <c r="ET3" s="429" t="s">
        <v>114</v>
      </c>
      <c r="EU3" s="429" t="s">
        <v>115</v>
      </c>
      <c r="EV3" s="429" t="s">
        <v>116</v>
      </c>
      <c r="EW3" s="429" t="s">
        <v>117</v>
      </c>
      <c r="EX3" s="429" t="s">
        <v>118</v>
      </c>
      <c r="EY3" s="429" t="s">
        <v>119</v>
      </c>
      <c r="EZ3" s="491" t="s">
        <v>113</v>
      </c>
      <c r="FA3" s="491" t="s">
        <v>114</v>
      </c>
      <c r="FB3" s="491" t="s">
        <v>115</v>
      </c>
      <c r="FC3" s="491" t="s">
        <v>116</v>
      </c>
      <c r="FD3" s="491" t="s">
        <v>117</v>
      </c>
      <c r="FE3" s="491" t="s">
        <v>118</v>
      </c>
      <c r="FF3" s="491" t="s">
        <v>119</v>
      </c>
      <c r="FG3" s="491" t="s">
        <v>113</v>
      </c>
      <c r="FH3" s="491" t="s">
        <v>114</v>
      </c>
      <c r="FI3" s="491" t="s">
        <v>115</v>
      </c>
      <c r="FJ3" s="491" t="s">
        <v>116</v>
      </c>
      <c r="FK3" s="491" t="s">
        <v>117</v>
      </c>
      <c r="FL3" s="491" t="s">
        <v>118</v>
      </c>
      <c r="FM3" s="491" t="s">
        <v>119</v>
      </c>
      <c r="FN3" s="491" t="s">
        <v>113</v>
      </c>
      <c r="FO3" s="491" t="s">
        <v>114</v>
      </c>
      <c r="FP3" s="491" t="s">
        <v>115</v>
      </c>
      <c r="FQ3" s="491" t="s">
        <v>116</v>
      </c>
      <c r="FR3" s="491" t="s">
        <v>117</v>
      </c>
      <c r="FS3" s="491" t="s">
        <v>118</v>
      </c>
      <c r="FT3" s="491" t="s">
        <v>119</v>
      </c>
      <c r="FU3" s="516" t="s">
        <v>113</v>
      </c>
      <c r="FV3" s="491" t="s">
        <v>114</v>
      </c>
      <c r="FW3" s="491" t="s">
        <v>115</v>
      </c>
      <c r="FX3" s="491" t="s">
        <v>116</v>
      </c>
      <c r="FY3" s="491" t="s">
        <v>117</v>
      </c>
      <c r="FZ3" s="491" t="s">
        <v>118</v>
      </c>
      <c r="GA3" s="491" t="s">
        <v>119</v>
      </c>
      <c r="GB3" s="516" t="s">
        <v>113</v>
      </c>
      <c r="GC3" s="491" t="s">
        <v>114</v>
      </c>
      <c r="GD3" s="491" t="s">
        <v>115</v>
      </c>
      <c r="GE3" s="491" t="s">
        <v>116</v>
      </c>
      <c r="GF3" s="491" t="s">
        <v>117</v>
      </c>
      <c r="GG3" s="491" t="s">
        <v>118</v>
      </c>
      <c r="GH3" s="491" t="s">
        <v>119</v>
      </c>
      <c r="GI3" s="491" t="s">
        <v>113</v>
      </c>
      <c r="GJ3" s="491" t="s">
        <v>114</v>
      </c>
      <c r="GK3" s="491" t="s">
        <v>115</v>
      </c>
      <c r="GL3" s="491" t="s">
        <v>116</v>
      </c>
      <c r="GM3" s="491" t="s">
        <v>117</v>
      </c>
      <c r="GN3" s="491" t="s">
        <v>118</v>
      </c>
      <c r="GO3" s="491" t="s">
        <v>119</v>
      </c>
      <c r="GP3" s="429" t="s">
        <v>113</v>
      </c>
      <c r="GQ3" s="429" t="s">
        <v>114</v>
      </c>
      <c r="GR3" s="429" t="s">
        <v>115</v>
      </c>
      <c r="GS3" s="429" t="s">
        <v>116</v>
      </c>
      <c r="GT3" s="429" t="s">
        <v>117</v>
      </c>
      <c r="GU3" s="429" t="s">
        <v>118</v>
      </c>
      <c r="GV3" s="429" t="s">
        <v>119</v>
      </c>
      <c r="GW3" s="429" t="s">
        <v>113</v>
      </c>
      <c r="GX3" s="429" t="s">
        <v>114</v>
      </c>
      <c r="GY3" s="429" t="s">
        <v>115</v>
      </c>
      <c r="GZ3" s="429" t="s">
        <v>116</v>
      </c>
      <c r="HA3" s="429" t="s">
        <v>117</v>
      </c>
      <c r="HB3" s="429" t="s">
        <v>118</v>
      </c>
      <c r="HC3" s="429" t="s">
        <v>119</v>
      </c>
      <c r="HD3" s="429" t="s">
        <v>113</v>
      </c>
      <c r="HE3" s="429" t="s">
        <v>114</v>
      </c>
      <c r="HF3" s="429" t="s">
        <v>115</v>
      </c>
      <c r="HG3" s="429" t="s">
        <v>116</v>
      </c>
      <c r="HH3" s="429" t="s">
        <v>117</v>
      </c>
      <c r="HI3" s="429" t="s">
        <v>118</v>
      </c>
      <c r="HJ3" s="429" t="s">
        <v>119</v>
      </c>
      <c r="HK3" s="429" t="s">
        <v>113</v>
      </c>
      <c r="HL3" s="429" t="s">
        <v>114</v>
      </c>
      <c r="HM3" s="429" t="s">
        <v>115</v>
      </c>
      <c r="HN3" s="429" t="s">
        <v>116</v>
      </c>
      <c r="HO3" s="429" t="s">
        <v>117</v>
      </c>
      <c r="HP3" s="429" t="s">
        <v>118</v>
      </c>
      <c r="HQ3" s="429" t="s">
        <v>119</v>
      </c>
      <c r="HR3" s="429" t="s">
        <v>113</v>
      </c>
      <c r="HS3" s="429" t="s">
        <v>114</v>
      </c>
      <c r="HT3" s="429" t="s">
        <v>115</v>
      </c>
      <c r="HU3" s="429" t="s">
        <v>116</v>
      </c>
      <c r="HV3" s="429" t="s">
        <v>117</v>
      </c>
      <c r="HW3" s="429" t="s">
        <v>118</v>
      </c>
      <c r="HX3" s="429" t="s">
        <v>119</v>
      </c>
      <c r="HY3" s="429" t="s">
        <v>113</v>
      </c>
      <c r="HZ3" s="429" t="s">
        <v>114</v>
      </c>
      <c r="IA3" s="429" t="s">
        <v>115</v>
      </c>
      <c r="IB3" s="429" t="s">
        <v>116</v>
      </c>
      <c r="IC3" s="429" t="s">
        <v>117</v>
      </c>
      <c r="ID3" s="429" t="s">
        <v>118</v>
      </c>
      <c r="IE3" s="429" t="s">
        <v>119</v>
      </c>
      <c r="IF3" s="429" t="s">
        <v>113</v>
      </c>
      <c r="IG3" s="429" t="s">
        <v>114</v>
      </c>
      <c r="IH3" s="429" t="s">
        <v>115</v>
      </c>
      <c r="II3" s="429" t="s">
        <v>116</v>
      </c>
      <c r="IJ3" s="429" t="s">
        <v>117</v>
      </c>
      <c r="IK3" s="429" t="s">
        <v>118</v>
      </c>
      <c r="IL3" s="429" t="s">
        <v>119</v>
      </c>
      <c r="IM3" s="429" t="s">
        <v>113</v>
      </c>
      <c r="IN3" s="429" t="s">
        <v>114</v>
      </c>
      <c r="IO3" s="429" t="s">
        <v>115</v>
      </c>
      <c r="IP3" s="429" t="s">
        <v>116</v>
      </c>
      <c r="IQ3" s="429" t="s">
        <v>117</v>
      </c>
      <c r="IR3" s="429" t="s">
        <v>118</v>
      </c>
      <c r="IS3" s="429" t="s">
        <v>119</v>
      </c>
      <c r="IT3" s="429" t="s">
        <v>113</v>
      </c>
      <c r="IU3" s="429" t="s">
        <v>114</v>
      </c>
      <c r="IV3" s="429" t="s">
        <v>115</v>
      </c>
      <c r="IW3" s="429" t="s">
        <v>116</v>
      </c>
      <c r="IX3" s="429" t="s">
        <v>117</v>
      </c>
      <c r="IY3" s="429" t="s">
        <v>118</v>
      </c>
      <c r="IZ3" s="429" t="s">
        <v>119</v>
      </c>
      <c r="JA3" s="429" t="s">
        <v>113</v>
      </c>
      <c r="JB3" s="429" t="s">
        <v>114</v>
      </c>
      <c r="JC3" s="429" t="s">
        <v>115</v>
      </c>
      <c r="JD3" s="429" t="s">
        <v>116</v>
      </c>
      <c r="JE3" s="429" t="s">
        <v>117</v>
      </c>
      <c r="JF3" s="429" t="s">
        <v>118</v>
      </c>
      <c r="JG3" s="429" t="s">
        <v>119</v>
      </c>
      <c r="JH3" s="429" t="s">
        <v>113</v>
      </c>
      <c r="JI3" s="429" t="s">
        <v>114</v>
      </c>
      <c r="JJ3" s="429" t="s">
        <v>115</v>
      </c>
      <c r="JK3" s="429" t="s">
        <v>116</v>
      </c>
      <c r="JL3" s="429" t="s">
        <v>117</v>
      </c>
      <c r="JM3" s="429" t="s">
        <v>118</v>
      </c>
      <c r="JN3" s="429" t="s">
        <v>119</v>
      </c>
      <c r="JO3" s="429" t="s">
        <v>113</v>
      </c>
      <c r="JP3" s="429" t="s">
        <v>114</v>
      </c>
      <c r="JQ3" s="429" t="s">
        <v>115</v>
      </c>
      <c r="JR3" s="429" t="s">
        <v>116</v>
      </c>
      <c r="JS3" s="429" t="s">
        <v>117</v>
      </c>
      <c r="JT3" s="429" t="s">
        <v>118</v>
      </c>
      <c r="JU3" s="429" t="s">
        <v>119</v>
      </c>
      <c r="JV3" s="429" t="s">
        <v>113</v>
      </c>
      <c r="JW3" s="429" t="s">
        <v>114</v>
      </c>
      <c r="JX3" s="429" t="s">
        <v>115</v>
      </c>
      <c r="JY3" s="429" t="s">
        <v>116</v>
      </c>
      <c r="JZ3" s="429" t="s">
        <v>117</v>
      </c>
      <c r="KA3" s="429" t="s">
        <v>118</v>
      </c>
      <c r="KB3" s="429" t="s">
        <v>119</v>
      </c>
    </row>
    <row r="4" spans="1:288" ht="15" thickBot="1" x14ac:dyDescent="0.35">
      <c r="A4" s="432" t="s">
        <v>120</v>
      </c>
      <c r="B4" s="433"/>
      <c r="C4" s="84"/>
      <c r="D4" s="84"/>
      <c r="E4" s="84"/>
      <c r="F4" s="84"/>
      <c r="G4" s="434"/>
      <c r="H4" s="435"/>
      <c r="I4" s="433">
        <v>193</v>
      </c>
      <c r="J4" s="84">
        <v>173</v>
      </c>
      <c r="K4" s="84">
        <v>196</v>
      </c>
      <c r="L4" s="84">
        <v>297</v>
      </c>
      <c r="M4" s="84">
        <v>290</v>
      </c>
      <c r="N4" s="434">
        <v>304</v>
      </c>
      <c r="O4" s="435"/>
      <c r="P4" s="436"/>
      <c r="Q4" s="437">
        <v>225</v>
      </c>
      <c r="R4" s="437">
        <v>310</v>
      </c>
      <c r="S4" s="437">
        <v>299</v>
      </c>
      <c r="T4" s="437">
        <v>304</v>
      </c>
      <c r="U4" s="437">
        <v>305</v>
      </c>
      <c r="V4" s="435"/>
      <c r="W4" s="438">
        <v>295</v>
      </c>
      <c r="X4" s="84">
        <v>292</v>
      </c>
      <c r="Y4" s="84">
        <v>297</v>
      </c>
      <c r="Z4" s="84">
        <v>301</v>
      </c>
      <c r="AA4" s="84">
        <v>295</v>
      </c>
      <c r="AB4" s="84">
        <v>310</v>
      </c>
      <c r="AC4" s="439"/>
      <c r="AD4" s="438">
        <v>100</v>
      </c>
      <c r="AE4" s="84">
        <v>197</v>
      </c>
      <c r="AF4" s="84">
        <v>278</v>
      </c>
      <c r="AG4" s="84">
        <v>340</v>
      </c>
      <c r="AH4" s="440"/>
      <c r="AI4" s="84">
        <v>370</v>
      </c>
      <c r="AJ4" s="439"/>
      <c r="AK4" s="438">
        <v>226</v>
      </c>
      <c r="AL4" s="84">
        <v>350</v>
      </c>
      <c r="AM4" s="84">
        <v>360</v>
      </c>
      <c r="AN4" s="84">
        <v>371</v>
      </c>
      <c r="AO4" s="84">
        <v>321</v>
      </c>
      <c r="AP4" s="84">
        <v>416</v>
      </c>
      <c r="AQ4" s="439"/>
      <c r="AR4" s="438">
        <v>378</v>
      </c>
      <c r="AS4" s="84">
        <v>303</v>
      </c>
      <c r="AT4" s="84">
        <v>406</v>
      </c>
      <c r="AU4" s="84">
        <v>404</v>
      </c>
      <c r="AV4" s="84">
        <v>450</v>
      </c>
      <c r="AW4" s="84">
        <f>530-67</f>
        <v>463</v>
      </c>
      <c r="AX4" s="439"/>
      <c r="AY4" s="438">
        <v>360</v>
      </c>
      <c r="AZ4" s="84">
        <v>274</v>
      </c>
      <c r="BA4" s="84">
        <v>600</v>
      </c>
      <c r="BB4" s="441"/>
      <c r="BC4" s="84">
        <v>480</v>
      </c>
      <c r="BD4" s="84">
        <v>500</v>
      </c>
      <c r="BE4" s="439"/>
      <c r="BF4" s="438">
        <v>531</v>
      </c>
      <c r="BG4" s="84">
        <v>320</v>
      </c>
      <c r="BH4" s="84">
        <v>400</v>
      </c>
      <c r="BI4" s="84">
        <v>300</v>
      </c>
      <c r="BJ4" s="84">
        <v>568</v>
      </c>
      <c r="BK4" s="84">
        <v>600</v>
      </c>
      <c r="BL4" s="439"/>
      <c r="BM4" s="442"/>
      <c r="BN4" s="84">
        <v>700</v>
      </c>
      <c r="BO4" s="84">
        <v>440</v>
      </c>
      <c r="BP4" s="84">
        <v>550</v>
      </c>
      <c r="BQ4" s="84">
        <v>486</v>
      </c>
      <c r="BR4" s="84">
        <v>450</v>
      </c>
      <c r="BS4" s="439"/>
      <c r="BT4" s="84">
        <v>600</v>
      </c>
      <c r="BU4" s="84">
        <v>432</v>
      </c>
      <c r="BV4" s="84">
        <v>350</v>
      </c>
      <c r="BW4" s="84">
        <v>300</v>
      </c>
      <c r="BX4" s="84">
        <v>650</v>
      </c>
      <c r="BY4" s="84">
        <v>530</v>
      </c>
      <c r="BZ4" s="440"/>
      <c r="CA4" s="137">
        <v>658</v>
      </c>
      <c r="CB4" s="84">
        <v>500</v>
      </c>
      <c r="CC4" s="84">
        <v>414</v>
      </c>
      <c r="CD4" s="84">
        <v>400</v>
      </c>
      <c r="CE4" s="84">
        <v>660</v>
      </c>
      <c r="CF4" s="84">
        <v>800</v>
      </c>
      <c r="CG4" s="443"/>
      <c r="CH4" s="137">
        <v>500</v>
      </c>
      <c r="CI4" s="84">
        <v>390</v>
      </c>
      <c r="CJ4" s="84">
        <v>387</v>
      </c>
      <c r="CK4" s="84">
        <v>400</v>
      </c>
      <c r="CL4" s="84">
        <v>630</v>
      </c>
      <c r="CM4" s="84">
        <v>630</v>
      </c>
      <c r="CN4" s="443"/>
      <c r="CO4" s="137">
        <v>350</v>
      </c>
      <c r="CP4" s="84">
        <v>300</v>
      </c>
      <c r="CQ4" s="84">
        <v>361</v>
      </c>
      <c r="CR4" s="84">
        <v>400</v>
      </c>
      <c r="CS4" s="84">
        <v>630</v>
      </c>
      <c r="CT4" s="84">
        <v>800</v>
      </c>
      <c r="CU4" s="443"/>
      <c r="CV4" s="137">
        <v>400</v>
      </c>
      <c r="CW4" s="84">
        <v>272</v>
      </c>
      <c r="CX4" s="84">
        <v>387</v>
      </c>
      <c r="CY4" s="84">
        <v>417</v>
      </c>
      <c r="CZ4" s="84">
        <v>780</v>
      </c>
      <c r="DA4" s="84">
        <v>782</v>
      </c>
      <c r="DB4" s="443"/>
      <c r="DC4" s="137">
        <v>515</v>
      </c>
      <c r="DD4" s="84">
        <v>305</v>
      </c>
      <c r="DE4" s="84">
        <v>368</v>
      </c>
      <c r="DF4" s="84">
        <v>436</v>
      </c>
      <c r="DG4" s="84">
        <v>645</v>
      </c>
      <c r="DH4" s="84">
        <v>633</v>
      </c>
      <c r="DI4" s="443"/>
      <c r="DJ4" s="137">
        <v>450</v>
      </c>
      <c r="DK4" s="441"/>
      <c r="DL4" s="84">
        <v>381</v>
      </c>
      <c r="DM4" s="84">
        <v>305</v>
      </c>
      <c r="DN4" s="84">
        <v>630</v>
      </c>
      <c r="DO4" s="84">
        <v>630</v>
      </c>
      <c r="DP4" s="443"/>
      <c r="DQ4" s="137">
        <v>500</v>
      </c>
      <c r="DR4" s="84">
        <v>200</v>
      </c>
      <c r="DS4" s="84">
        <v>400</v>
      </c>
      <c r="DT4" s="84">
        <v>400</v>
      </c>
      <c r="DU4" s="84">
        <v>500</v>
      </c>
      <c r="DV4" s="84">
        <v>600</v>
      </c>
      <c r="DW4" s="443"/>
      <c r="DX4" s="137">
        <v>400</v>
      </c>
      <c r="DY4" s="84">
        <v>392</v>
      </c>
      <c r="DZ4" s="84">
        <v>400</v>
      </c>
      <c r="EA4" s="84">
        <v>450</v>
      </c>
      <c r="EB4" s="84">
        <v>630</v>
      </c>
      <c r="EC4" s="84">
        <v>680</v>
      </c>
      <c r="ED4" s="443"/>
      <c r="EE4" s="137">
        <v>450</v>
      </c>
      <c r="EF4" s="84">
        <v>400</v>
      </c>
      <c r="EG4" s="84">
        <v>500</v>
      </c>
      <c r="EH4" s="84">
        <v>490</v>
      </c>
      <c r="EI4" s="84">
        <v>650</v>
      </c>
      <c r="EJ4" s="443"/>
      <c r="EK4" s="443"/>
      <c r="EL4" s="137">
        <v>450</v>
      </c>
      <c r="EM4" s="84">
        <v>450</v>
      </c>
      <c r="EN4" s="84">
        <v>450</v>
      </c>
      <c r="EO4" s="84">
        <v>500</v>
      </c>
      <c r="EP4" s="84">
        <v>800</v>
      </c>
      <c r="EQ4" s="84">
        <v>750</v>
      </c>
      <c r="ER4" s="443">
        <v>0</v>
      </c>
      <c r="ES4" s="137">
        <v>400</v>
      </c>
      <c r="ET4" s="84">
        <v>550</v>
      </c>
      <c r="EU4" s="84">
        <v>500</v>
      </c>
      <c r="EV4" s="84">
        <v>500</v>
      </c>
      <c r="EW4" s="84">
        <v>850</v>
      </c>
      <c r="EX4" s="84">
        <v>600</v>
      </c>
      <c r="EY4" s="502">
        <v>0</v>
      </c>
      <c r="EZ4" s="84">
        <v>400</v>
      </c>
      <c r="FA4" s="84">
        <v>600</v>
      </c>
      <c r="FB4" s="84">
        <v>550</v>
      </c>
      <c r="FC4" s="84">
        <v>550</v>
      </c>
      <c r="FD4" s="84">
        <v>700</v>
      </c>
      <c r="FE4" s="84">
        <v>700</v>
      </c>
      <c r="FF4" s="502">
        <v>0</v>
      </c>
      <c r="FG4" s="84">
        <v>450</v>
      </c>
      <c r="FH4" s="84">
        <v>650</v>
      </c>
      <c r="FI4" s="84">
        <v>650</v>
      </c>
      <c r="FJ4" s="84">
        <v>600</v>
      </c>
      <c r="FK4" s="84">
        <v>800</v>
      </c>
      <c r="FL4" s="84">
        <v>850</v>
      </c>
      <c r="FM4" s="502">
        <v>0</v>
      </c>
      <c r="FN4" s="84">
        <v>650</v>
      </c>
      <c r="FO4" s="84">
        <v>600</v>
      </c>
      <c r="FP4" s="84">
        <v>600</v>
      </c>
      <c r="FQ4" s="84">
        <v>600</v>
      </c>
      <c r="FR4" s="84">
        <v>850</v>
      </c>
      <c r="FS4" s="84" t="e">
        <f>INDEX(DB!#REF!,MATCH('Operations Forecast'!FS2,DB!#REF!),15)</f>
        <v>#REF!</v>
      </c>
      <c r="FT4" s="502" t="e">
        <f>INDEX(DB!#REF!,MATCH('Operations Forecast'!FT2,DB!#REF!),15)</f>
        <v>#REF!</v>
      </c>
      <c r="FU4" s="84">
        <v>550</v>
      </c>
      <c r="FV4" s="84" t="e">
        <f>INDEX(DB!#REF!,MATCH('Operations Forecast'!FV2,DB!#REF!),15)</f>
        <v>#REF!</v>
      </c>
      <c r="FW4" s="84" t="e">
        <f>INDEX(DB!#REF!,MATCH('Operations Forecast'!FW2,DB!#REF!),15)</f>
        <v>#REF!</v>
      </c>
      <c r="FX4" s="84">
        <v>500</v>
      </c>
      <c r="FY4" s="84" t="e">
        <f>INDEX(DB!#REF!,MATCH('Operations Forecast'!FY2,DB!#REF!),15)</f>
        <v>#REF!</v>
      </c>
      <c r="FZ4" s="84">
        <v>850</v>
      </c>
      <c r="GA4" s="502" t="e">
        <f>INDEX(DB!#REF!,MATCH('Operations Forecast'!GA2,DB!#REF!),15)</f>
        <v>#REF!</v>
      </c>
      <c r="GB4" s="539">
        <v>600</v>
      </c>
      <c r="GC4" s="84">
        <v>400</v>
      </c>
      <c r="GD4" s="84">
        <v>650</v>
      </c>
      <c r="GE4" s="84">
        <v>550</v>
      </c>
      <c r="GF4" s="84" t="e">
        <f>INDEX(DB!#REF!,MATCH('Operations Forecast'!GF2,DB!#REF!),15)</f>
        <v>#REF!</v>
      </c>
      <c r="GG4" s="84" t="e">
        <f>INDEX(DB!#REF!,MATCH('Operations Forecast'!GG2,DB!#REF!),15)</f>
        <v>#REF!</v>
      </c>
      <c r="GH4" s="502" t="e">
        <f>INDEX(DB!#REF!,MATCH('Operations Forecast'!GH2,DB!#REF!),15)</f>
        <v>#REF!</v>
      </c>
      <c r="GI4" s="84">
        <v>670</v>
      </c>
      <c r="GJ4" s="84" t="e">
        <f>INDEX(DB!#REF!,MATCH('Operations Forecast'!GJ2,DB!#REF!),15)</f>
        <v>#REF!</v>
      </c>
      <c r="GK4" s="84">
        <v>550</v>
      </c>
      <c r="GL4" s="138">
        <v>550</v>
      </c>
      <c r="GM4" s="138">
        <v>950</v>
      </c>
      <c r="GN4" s="539">
        <v>1000</v>
      </c>
      <c r="GO4" s="443" t="e">
        <f>INDEX(DB!#REF!,MATCH('Operations Forecast'!GO2,DB!#REF!),12)</f>
        <v>#REF!</v>
      </c>
      <c r="GP4" s="84">
        <v>650</v>
      </c>
      <c r="GQ4" s="84">
        <v>600</v>
      </c>
      <c r="GR4" s="84">
        <v>600</v>
      </c>
      <c r="GS4" s="84">
        <v>550</v>
      </c>
      <c r="GT4" s="539">
        <v>950</v>
      </c>
      <c r="GU4" s="539">
        <v>900</v>
      </c>
      <c r="GV4" s="441" t="e">
        <f>INDEX(DB!$3:$84,MATCH('Operations Forecast'!GV2,DB!$D$3:$D$84),15)</f>
        <v>#N/A</v>
      </c>
      <c r="GW4" s="84">
        <v>600</v>
      </c>
      <c r="GX4" s="84">
        <v>550</v>
      </c>
      <c r="GY4" s="84">
        <v>500</v>
      </c>
      <c r="GZ4" s="84" t="e">
        <f>INDEX(DB!$3:$84,MATCH('Operations Forecast'!GZ2,DB!$D$3:$D$84),15)</f>
        <v>#N/A</v>
      </c>
      <c r="HA4" s="84" t="e">
        <f>INDEX(DB!$3:$84,MATCH('Operations Forecast'!HA2,DB!$D$3:$D$84),15)</f>
        <v>#N/A</v>
      </c>
      <c r="HB4" s="84">
        <v>950</v>
      </c>
      <c r="HC4" s="441" t="e">
        <f>INDEX(DB!$3:$84,MATCH('Operations Forecast'!HC2,DB!$D$3:$D$84),15)</f>
        <v>#N/A</v>
      </c>
      <c r="HD4" s="138">
        <v>450</v>
      </c>
      <c r="HE4" s="138">
        <v>400</v>
      </c>
      <c r="HF4" s="539">
        <v>650</v>
      </c>
      <c r="HG4" s="84">
        <v>550</v>
      </c>
      <c r="HH4" s="607">
        <v>800</v>
      </c>
      <c r="HI4" s="607">
        <v>710</v>
      </c>
      <c r="HJ4" s="441" t="e">
        <f>INDEX(DB!$3:$84,MATCH('Operations Forecast'!HJ2,DB!$D$3:$D$84),15)</f>
        <v>#N/A</v>
      </c>
      <c r="HK4" s="84">
        <v>650</v>
      </c>
      <c r="HL4" s="611">
        <v>500</v>
      </c>
      <c r="HM4" s="611">
        <v>450</v>
      </c>
      <c r="HN4" s="84">
        <v>400</v>
      </c>
      <c r="HO4" s="611">
        <v>800</v>
      </c>
      <c r="HP4" s="611">
        <v>850</v>
      </c>
      <c r="HQ4" s="612" t="e">
        <f>INDEX(DB!$3:$84,MATCH('Operations Forecast'!HQ2,DB!$D$3:$D$84),15)</f>
        <v>#N/A</v>
      </c>
      <c r="HR4" s="84">
        <v>650</v>
      </c>
      <c r="HS4" s="84">
        <v>650</v>
      </c>
      <c r="HT4" s="84" t="e">
        <f>INDEX(DB!$3:$84,MATCH('Operations Forecast'!HT2,DB!$D$3:$D$84),15)</f>
        <v>#N/A</v>
      </c>
      <c r="HU4" s="84">
        <v>810</v>
      </c>
      <c r="HV4" s="84">
        <v>991</v>
      </c>
      <c r="HW4" s="84">
        <v>1100</v>
      </c>
      <c r="HX4" s="612" t="e">
        <f>INDEX(DB!$3:$84,MATCH('Operations Forecast'!HX2,DB!$D$3:$D$84),15)</f>
        <v>#N/A</v>
      </c>
      <c r="HY4" s="84">
        <v>780</v>
      </c>
      <c r="HZ4" s="84">
        <v>400</v>
      </c>
      <c r="IA4" s="84">
        <v>638</v>
      </c>
      <c r="IB4" s="84">
        <v>770</v>
      </c>
      <c r="IC4" s="84">
        <v>1200</v>
      </c>
      <c r="ID4" s="611">
        <v>1300</v>
      </c>
      <c r="IE4" s="441" t="e">
        <f>INDEX(DB!$3:$84,MATCH('Operations Forecast'!IE2,DB!$D$3:$D$84),15)</f>
        <v>#N/A</v>
      </c>
      <c r="IF4" s="84">
        <v>800</v>
      </c>
      <c r="IG4" s="84">
        <v>550</v>
      </c>
      <c r="IH4" s="84">
        <v>800</v>
      </c>
      <c r="II4" s="84">
        <v>800</v>
      </c>
      <c r="IJ4" s="84">
        <v>1100</v>
      </c>
      <c r="IK4" s="84">
        <v>1150</v>
      </c>
      <c r="IL4" s="441" t="e">
        <f>INDEX(DB!$3:$84,MATCH('Operations Forecast'!IL2,DB!$D$3:$D$84),15)</f>
        <v>#N/A</v>
      </c>
      <c r="IM4" s="84">
        <v>1368</v>
      </c>
      <c r="IN4" s="84">
        <v>904</v>
      </c>
      <c r="IO4" s="84" t="e">
        <f>INDEX(DB!$3:$84,MATCH('Operations Forecast'!IO2,DB!$D$3:$D$84),15)</f>
        <v>#N/A</v>
      </c>
      <c r="IP4" s="84">
        <v>750</v>
      </c>
      <c r="IQ4" s="84">
        <v>1150</v>
      </c>
      <c r="IR4" s="84">
        <v>1150</v>
      </c>
      <c r="IS4" s="441" t="e">
        <f>INDEX(DB!$3:$84,MATCH('Operations Forecast'!IS2,DB!$D$3:$D$84),15)</f>
        <v>#N/A</v>
      </c>
      <c r="IT4" s="84">
        <v>799</v>
      </c>
      <c r="IU4" s="84">
        <v>595</v>
      </c>
      <c r="IV4" s="84">
        <v>750</v>
      </c>
      <c r="IW4" s="84" t="e">
        <f>INDEX(DB!$3:$84,MATCH('Operations Forecast'!IW2,DB!$D$3:$D$84),15)</f>
        <v>#N/A</v>
      </c>
      <c r="IX4" s="84" t="e">
        <f>INDEX(DB!$3:$84,MATCH('Operations Forecast'!IX2,DB!$D$3:$D$84),15)</f>
        <v>#N/A</v>
      </c>
      <c r="IY4" s="84" t="e">
        <f>INDEX(DB!$3:$84,MATCH('Operations Forecast'!IY2,DB!$D$3:$D$84),15)</f>
        <v>#N/A</v>
      </c>
      <c r="IZ4" s="441" t="e">
        <f>INDEX(DB!$3:$84,MATCH('Operations Forecast'!IZ2,DB!$D$3:$D$84),15)</f>
        <v>#N/A</v>
      </c>
      <c r="JA4" s="84">
        <v>830</v>
      </c>
      <c r="JB4" s="84">
        <v>750</v>
      </c>
      <c r="JC4" s="84" t="e">
        <f>INDEX(DB!$3:$84,MATCH('Operations Forecast'!JC2,DB!$D$3:$D$84),15)</f>
        <v>#N/A</v>
      </c>
      <c r="JD4" s="84">
        <v>700</v>
      </c>
      <c r="JE4" s="84">
        <v>1050</v>
      </c>
      <c r="JF4" s="84">
        <v>1200</v>
      </c>
      <c r="JG4" s="441" t="e">
        <f>INDEX(DB!$3:$84,MATCH('Operations Forecast'!JG2,DB!$D$3:$D$84),15)</f>
        <v>#N/A</v>
      </c>
      <c r="JH4" s="84" t="e">
        <f>INDEX(DB!$3:$84,MATCH('Operations Forecast'!JH2,DB!$D$3:$D$84),15)</f>
        <v>#N/A</v>
      </c>
      <c r="JI4" s="84" t="e">
        <f>INDEX(DB!$3:$84,MATCH('Operations Forecast'!JI2,DB!$D$3:$D$84),15)</f>
        <v>#N/A</v>
      </c>
      <c r="JJ4" s="84">
        <v>1500</v>
      </c>
      <c r="JK4" s="84">
        <v>1500</v>
      </c>
      <c r="JL4" s="84" t="e">
        <f>INDEX(DB!$3:$84,MATCH('Operations Forecast'!JL2,DB!$D$3:$D$84),15)</f>
        <v>#N/A</v>
      </c>
      <c r="JM4" s="84" t="e">
        <f>INDEX(DB!$3:$84,MATCH('Operations Forecast'!JM2,DB!$D$3:$D$84),15)</f>
        <v>#N/A</v>
      </c>
      <c r="JN4" s="441" t="e">
        <f>INDEX(DB!$3:$84,MATCH('Operations Forecast'!JN2,DB!$D$3:$D$84),15)</f>
        <v>#N/A</v>
      </c>
      <c r="JO4" s="84" t="e">
        <f>INDEX(DB!$3:$84,MATCH('Operations Forecast'!JO2,DB!$D$3:$D$84),15)</f>
        <v>#N/A</v>
      </c>
      <c r="JP4" s="84" t="e">
        <f>INDEX(DB!$3:$84,MATCH('Operations Forecast'!JP2,DB!$D$3:$D$84),15)</f>
        <v>#N/A</v>
      </c>
      <c r="JQ4" s="84" t="e">
        <f>INDEX(DB!$3:$84,MATCH('Operations Forecast'!JQ2,DB!$D$3:$D$84),15)</f>
        <v>#N/A</v>
      </c>
      <c r="JR4" s="84" t="e">
        <f>INDEX(DB!$3:$84,MATCH('Operations Forecast'!JR2,DB!$D$3:$D$84),15)</f>
        <v>#N/A</v>
      </c>
      <c r="JS4" s="84">
        <v>0</v>
      </c>
      <c r="JT4" s="84">
        <v>1126</v>
      </c>
      <c r="JU4" s="441">
        <v>0</v>
      </c>
      <c r="JV4" s="84" t="e">
        <f>INDEX(DB!$3:$84,MATCH('Operations Forecast'!JV2,DB!$D$3:$D$84),15)</f>
        <v>#N/A</v>
      </c>
      <c r="JW4" s="84" t="e">
        <f>INDEX(DB!$3:$84,MATCH('Operations Forecast'!JW2,DB!$D$3:$D$84),15)</f>
        <v>#N/A</v>
      </c>
      <c r="JX4" s="84" t="e">
        <f>INDEX(DB!$3:$84,MATCH('Operations Forecast'!JX2,DB!$D$3:$D$84),15)</f>
        <v>#N/A</v>
      </c>
      <c r="JY4" s="84" t="e">
        <f>INDEX(DB!$3:$84,MATCH('Operations Forecast'!JY2,DB!$D$3:$D$84),15)</f>
        <v>#N/A</v>
      </c>
      <c r="JZ4" s="84">
        <v>0</v>
      </c>
      <c r="KA4" s="84">
        <v>1126</v>
      </c>
      <c r="KB4" s="441">
        <v>0</v>
      </c>
    </row>
    <row r="5" spans="1:288" x14ac:dyDescent="0.3">
      <c r="A5" s="431" t="s">
        <v>121</v>
      </c>
      <c r="B5" s="83"/>
      <c r="H5" s="150"/>
      <c r="I5" s="165">
        <v>54</v>
      </c>
      <c r="J5" s="44">
        <v>55</v>
      </c>
      <c r="K5" s="44">
        <v>56</v>
      </c>
      <c r="L5" s="44">
        <v>55</v>
      </c>
      <c r="M5" s="44">
        <v>58</v>
      </c>
      <c r="N5" s="44">
        <v>58</v>
      </c>
      <c r="O5" s="150"/>
      <c r="P5" s="83"/>
      <c r="Q5">
        <v>59</v>
      </c>
      <c r="R5">
        <v>58</v>
      </c>
      <c r="S5">
        <v>56</v>
      </c>
      <c r="T5">
        <v>56</v>
      </c>
      <c r="U5">
        <v>56</v>
      </c>
      <c r="V5" s="150"/>
      <c r="W5" s="73">
        <v>49</v>
      </c>
      <c r="X5">
        <v>57</v>
      </c>
      <c r="Y5">
        <v>56</v>
      </c>
      <c r="Z5">
        <v>56</v>
      </c>
      <c r="AA5">
        <v>55</v>
      </c>
      <c r="AB5">
        <v>47</v>
      </c>
      <c r="AC5" s="66"/>
      <c r="AD5" s="73">
        <v>39</v>
      </c>
      <c r="AE5">
        <v>48</v>
      </c>
      <c r="AF5">
        <v>53</v>
      </c>
      <c r="AG5">
        <v>53</v>
      </c>
      <c r="AH5" s="43"/>
      <c r="AI5">
        <v>53</v>
      </c>
      <c r="AJ5" s="66"/>
      <c r="AK5" s="73">
        <v>52</v>
      </c>
      <c r="AL5">
        <v>52</v>
      </c>
      <c r="AM5">
        <v>53</v>
      </c>
      <c r="AN5">
        <v>53</v>
      </c>
      <c r="AO5">
        <v>53</v>
      </c>
      <c r="AP5">
        <v>55</v>
      </c>
      <c r="AQ5" s="66"/>
      <c r="AR5" s="73">
        <v>52</v>
      </c>
      <c r="AS5">
        <v>52</v>
      </c>
      <c r="AT5">
        <v>51</v>
      </c>
      <c r="AU5">
        <v>51</v>
      </c>
      <c r="AV5">
        <v>51</v>
      </c>
      <c r="AW5">
        <v>51</v>
      </c>
      <c r="AX5" s="66"/>
      <c r="AY5" s="73">
        <v>49</v>
      </c>
      <c r="AZ5">
        <v>47.3</v>
      </c>
      <c r="BA5" s="93">
        <v>55</v>
      </c>
      <c r="BB5" s="86"/>
      <c r="BC5">
        <v>51</v>
      </c>
      <c r="BD5">
        <v>51</v>
      </c>
      <c r="BE5" s="66"/>
      <c r="BF5" s="73">
        <v>51</v>
      </c>
      <c r="BG5">
        <v>54</v>
      </c>
      <c r="BH5">
        <v>53.2</v>
      </c>
      <c r="BI5">
        <v>53.9</v>
      </c>
      <c r="BJ5">
        <v>56</v>
      </c>
      <c r="BK5">
        <v>51</v>
      </c>
      <c r="BL5" s="66"/>
      <c r="BM5" s="95">
        <v>51</v>
      </c>
      <c r="BN5">
        <v>43.3</v>
      </c>
      <c r="BO5">
        <v>45</v>
      </c>
      <c r="BP5">
        <v>48</v>
      </c>
      <c r="BQ5">
        <v>52</v>
      </c>
      <c r="BR5">
        <v>51</v>
      </c>
      <c r="BS5" s="66"/>
      <c r="BT5">
        <v>47</v>
      </c>
      <c r="BU5">
        <v>49</v>
      </c>
      <c r="BV5">
        <v>55</v>
      </c>
      <c r="BW5">
        <v>57</v>
      </c>
      <c r="BX5">
        <v>55.8</v>
      </c>
      <c r="BY5">
        <v>55</v>
      </c>
      <c r="BZ5" s="43"/>
      <c r="CA5" s="125">
        <v>51</v>
      </c>
      <c r="CB5">
        <v>50</v>
      </c>
      <c r="CC5">
        <v>51</v>
      </c>
      <c r="CD5">
        <v>56</v>
      </c>
      <c r="CE5">
        <v>52</v>
      </c>
      <c r="CF5">
        <v>53.6</v>
      </c>
      <c r="CG5" s="150"/>
      <c r="CH5" s="155">
        <v>49</v>
      </c>
      <c r="CI5" s="156">
        <v>47</v>
      </c>
      <c r="CJ5" s="156">
        <v>50</v>
      </c>
      <c r="CK5" s="156">
        <v>51</v>
      </c>
      <c r="CL5">
        <v>53</v>
      </c>
      <c r="CM5">
        <v>53</v>
      </c>
      <c r="CN5" s="150"/>
      <c r="CO5" s="125">
        <v>49</v>
      </c>
      <c r="CP5">
        <v>48</v>
      </c>
      <c r="CQ5">
        <v>50</v>
      </c>
      <c r="CR5">
        <v>50</v>
      </c>
      <c r="CS5">
        <v>50</v>
      </c>
      <c r="CT5">
        <v>54</v>
      </c>
      <c r="CU5" s="150"/>
      <c r="CV5" s="125">
        <v>48</v>
      </c>
      <c r="CW5">
        <v>45</v>
      </c>
      <c r="CX5">
        <v>50</v>
      </c>
      <c r="CY5">
        <v>50</v>
      </c>
      <c r="CZ5">
        <v>50</v>
      </c>
      <c r="DA5">
        <v>53</v>
      </c>
      <c r="DB5" s="150"/>
      <c r="DC5" s="125">
        <v>47</v>
      </c>
      <c r="DD5">
        <v>46</v>
      </c>
      <c r="DE5">
        <v>43</v>
      </c>
      <c r="DF5">
        <v>48</v>
      </c>
      <c r="DG5">
        <v>52</v>
      </c>
      <c r="DH5">
        <v>52</v>
      </c>
      <c r="DI5" s="150"/>
      <c r="DJ5" s="125">
        <v>49</v>
      </c>
      <c r="DK5" s="86">
        <v>49</v>
      </c>
      <c r="DL5">
        <v>48</v>
      </c>
      <c r="DM5">
        <v>48</v>
      </c>
      <c r="DN5">
        <v>52</v>
      </c>
      <c r="DO5">
        <v>52</v>
      </c>
      <c r="DP5" s="150"/>
      <c r="DQ5" s="125">
        <v>49</v>
      </c>
      <c r="DR5">
        <v>48</v>
      </c>
      <c r="DS5">
        <v>48</v>
      </c>
      <c r="DT5">
        <v>48</v>
      </c>
      <c r="DU5">
        <v>54</v>
      </c>
      <c r="DV5">
        <v>52</v>
      </c>
      <c r="DW5" s="150"/>
      <c r="DX5" s="125">
        <v>52</v>
      </c>
      <c r="DY5">
        <v>45</v>
      </c>
      <c r="DZ5">
        <v>49</v>
      </c>
      <c r="EA5">
        <v>49</v>
      </c>
      <c r="EB5">
        <v>50</v>
      </c>
      <c r="EC5">
        <v>50</v>
      </c>
      <c r="ED5" s="150"/>
      <c r="EE5" s="125">
        <v>52</v>
      </c>
      <c r="EF5">
        <v>45</v>
      </c>
      <c r="EG5">
        <v>48</v>
      </c>
      <c r="EH5">
        <v>50</v>
      </c>
      <c r="EI5">
        <v>50</v>
      </c>
      <c r="EJ5" s="150"/>
      <c r="EK5" s="150"/>
      <c r="EL5" s="136">
        <v>43.556036024090545</v>
      </c>
      <c r="EM5" s="53">
        <v>40.641002959649455</v>
      </c>
      <c r="EN5" s="53">
        <v>42.686044032340185</v>
      </c>
      <c r="EO5" s="53">
        <v>46</v>
      </c>
      <c r="EP5" s="53">
        <v>50</v>
      </c>
      <c r="EQ5" s="53">
        <v>52</v>
      </c>
      <c r="ER5" s="461">
        <v>0</v>
      </c>
      <c r="ES5" s="136">
        <v>54</v>
      </c>
      <c r="ET5" s="53">
        <v>51</v>
      </c>
      <c r="EU5" s="53">
        <v>53</v>
      </c>
      <c r="EV5" s="53">
        <v>50</v>
      </c>
      <c r="EW5" s="53">
        <v>50</v>
      </c>
      <c r="EX5" s="53">
        <v>53</v>
      </c>
      <c r="EY5" s="522">
        <v>0</v>
      </c>
      <c r="EZ5" s="44">
        <v>54</v>
      </c>
      <c r="FA5" s="44">
        <v>51</v>
      </c>
      <c r="FB5" s="44">
        <v>53</v>
      </c>
      <c r="FC5" s="44">
        <v>50</v>
      </c>
      <c r="FD5" s="44">
        <v>50</v>
      </c>
      <c r="FE5" s="44">
        <v>50</v>
      </c>
      <c r="FF5" s="522">
        <v>0</v>
      </c>
      <c r="FG5" s="44">
        <v>48.414902020978943</v>
      </c>
      <c r="FH5" s="44">
        <v>45</v>
      </c>
      <c r="FI5" s="44">
        <v>48.559211849176513</v>
      </c>
      <c r="FJ5" s="44">
        <v>48.070740882378956</v>
      </c>
      <c r="FK5" s="44">
        <v>49.651070863972606</v>
      </c>
      <c r="FL5" s="44">
        <v>49.353192561469747</v>
      </c>
      <c r="FM5" s="503">
        <v>0</v>
      </c>
      <c r="FN5" s="44" t="e">
        <f>INDEX(DB!#REF!,MATCH('Operations Forecast'!FN2,DB!#REF!),8)</f>
        <v>#REF!</v>
      </c>
      <c r="FO5" s="44" t="e">
        <f>INDEX(DB!#REF!,MATCH('Operations Forecast'!FO2,DB!#REF!),8)</f>
        <v>#REF!</v>
      </c>
      <c r="FP5" s="44" t="e">
        <f>INDEX(DB!#REF!,MATCH('Operations Forecast'!FP2,DB!#REF!),8)</f>
        <v>#REF!</v>
      </c>
      <c r="FQ5" s="44" t="e">
        <f>INDEX(DB!#REF!,MATCH('Operations Forecast'!FQ2,DB!#REF!),8)</f>
        <v>#REF!</v>
      </c>
      <c r="FR5" s="44" t="e">
        <f>INDEX(DB!#REF!,MATCH('Operations Forecast'!FR2,DB!#REF!),8)</f>
        <v>#REF!</v>
      </c>
      <c r="FS5" s="44" t="e">
        <f>INDEX(DB!#REF!,MATCH('Operations Forecast'!FS2,DB!#REF!),8)</f>
        <v>#REF!</v>
      </c>
      <c r="FT5" s="503" t="e">
        <f>INDEX(DB!#REF!,MATCH('Operations Forecast'!FT2,DB!#REF!),8)</f>
        <v>#REF!</v>
      </c>
      <c r="FU5" s="44" t="e">
        <f>INDEX(DB!#REF!,MATCH('Operations Forecast'!FU2,DB!#REF!),8)</f>
        <v>#REF!</v>
      </c>
      <c r="FV5" s="44" t="e">
        <f>INDEX(DB!#REF!,MATCH('Operations Forecast'!FV2,DB!#REF!),8)</f>
        <v>#REF!</v>
      </c>
      <c r="FW5" s="44" t="e">
        <f>INDEX(DB!#REF!,MATCH('Operations Forecast'!FW2,DB!#REF!),8)</f>
        <v>#REF!</v>
      </c>
      <c r="FX5" s="44" t="e">
        <f>INDEX(DB!#REF!,MATCH('Operations Forecast'!FX2,DB!#REF!),8)</f>
        <v>#REF!</v>
      </c>
      <c r="FY5" s="44" t="e">
        <f>INDEX(DB!#REF!,MATCH('Operations Forecast'!FY2,DB!#REF!),8)</f>
        <v>#REF!</v>
      </c>
      <c r="FZ5" s="44" t="e">
        <f>INDEX(DB!#REF!,MATCH('Operations Forecast'!FZ2,DB!#REF!),8)</f>
        <v>#REF!</v>
      </c>
      <c r="GA5" s="503" t="e">
        <f>INDEX(DB!#REF!,MATCH('Operations Forecast'!GA2,DB!#REF!),8)</f>
        <v>#REF!</v>
      </c>
      <c r="GB5" s="44">
        <v>49</v>
      </c>
      <c r="GC5" s="44" t="e">
        <f>INDEX(DB!#REF!,MATCH('Operations Forecast'!GC2,DB!#REF!),8)</f>
        <v>#REF!</v>
      </c>
      <c r="GD5" s="44" t="e">
        <f>INDEX(DB!#REF!,MATCH('Operations Forecast'!GD2,DB!#REF!),8)</f>
        <v>#REF!</v>
      </c>
      <c r="GE5" s="44" t="e">
        <f>INDEX(DB!#REF!,MATCH('Operations Forecast'!GE2,DB!#REF!),8)</f>
        <v>#REF!</v>
      </c>
      <c r="GF5" s="44" t="e">
        <f>INDEX(DB!#REF!,MATCH('Operations Forecast'!GF2,DB!#REF!),8)</f>
        <v>#REF!</v>
      </c>
      <c r="GG5" s="44" t="e">
        <f>INDEX(DB!#REF!,MATCH('Operations Forecast'!GG2,DB!#REF!),8)</f>
        <v>#REF!</v>
      </c>
      <c r="GH5" s="503" t="e">
        <f>INDEX(DB!#REF!,MATCH('Operations Forecast'!GH2,DB!#REF!),8)</f>
        <v>#REF!</v>
      </c>
      <c r="GI5" s="44" t="e">
        <f>INDEX(DB!#REF!,MATCH('Operations Forecast'!GI2,DB!#REF!),8)</f>
        <v>#REF!</v>
      </c>
      <c r="GJ5" s="44" t="e">
        <f>INDEX(DB!#REF!,MATCH('Operations Forecast'!GJ2,DB!#REF!),8)</f>
        <v>#REF!</v>
      </c>
      <c r="GK5" s="44" t="e">
        <f>INDEX(DB!#REF!,MATCH('Operations Forecast'!GK2,DB!#REF!),8)</f>
        <v>#REF!</v>
      </c>
      <c r="GL5" s="44">
        <v>47</v>
      </c>
      <c r="GM5" s="44">
        <v>51</v>
      </c>
      <c r="GN5" s="44">
        <v>48</v>
      </c>
      <c r="GO5" s="414" t="e">
        <f>INDEX(DB!#REF!,MATCH('Operations Forecast'!GO2,DB!#REF!),8)</f>
        <v>#REF!</v>
      </c>
      <c r="GP5" s="44">
        <v>47</v>
      </c>
      <c r="GQ5" s="44">
        <v>48</v>
      </c>
      <c r="GR5" s="44">
        <v>48</v>
      </c>
      <c r="GS5" s="44">
        <v>49</v>
      </c>
      <c r="GT5" s="44">
        <v>51</v>
      </c>
      <c r="GU5" s="44">
        <v>51</v>
      </c>
      <c r="GV5" s="414" t="e">
        <f>INDEX(DB!$3:$84,MATCH('Operations Forecast'!GV2,DB!$D$3:$D$84),8)</f>
        <v>#N/A</v>
      </c>
      <c r="GW5" s="44" t="e">
        <f>INDEX(DB!$3:$84,MATCH('Operations Forecast'!GW2,DB!$D$3:$D$84),8)</f>
        <v>#N/A</v>
      </c>
      <c r="GX5" s="44">
        <v>47</v>
      </c>
      <c r="GY5" s="44">
        <v>48</v>
      </c>
      <c r="GZ5" s="44" t="e">
        <f>INDEX(DB!$3:$84,MATCH('Operations Forecast'!GZ2,DB!$D$3:$D$84),8)</f>
        <v>#N/A</v>
      </c>
      <c r="HA5" s="44" t="e">
        <f>INDEX(DB!$3:$84,MATCH('Operations Forecast'!HA2,DB!$D$3:$D$84),8)</f>
        <v>#N/A</v>
      </c>
      <c r="HB5" s="44" t="e">
        <f>INDEX(DB!$3:$84,MATCH('Operations Forecast'!HB2,DB!$D$3:$D$84),8)</f>
        <v>#N/A</v>
      </c>
      <c r="HC5" s="414" t="e">
        <f>INDEX(DB!$3:$84,MATCH('Operations Forecast'!HC2,DB!$D$3:$D$84),8)</f>
        <v>#N/A</v>
      </c>
      <c r="HD5" s="44">
        <v>50</v>
      </c>
      <c r="HE5" s="44">
        <v>50</v>
      </c>
      <c r="HF5" s="44">
        <v>49</v>
      </c>
      <c r="HG5" s="44">
        <v>50</v>
      </c>
      <c r="HH5" s="53">
        <v>53</v>
      </c>
      <c r="HI5" s="53">
        <v>52.5</v>
      </c>
      <c r="HJ5" s="414" t="e">
        <f>INDEX(DB!$3:$84,MATCH('Operations Forecast'!HJ2,DB!$D$3:$D$84),8)</f>
        <v>#N/A</v>
      </c>
      <c r="HK5" s="53">
        <v>54.2</v>
      </c>
      <c r="HL5" s="53">
        <v>55</v>
      </c>
      <c r="HM5" s="53">
        <v>60.8</v>
      </c>
      <c r="HN5" s="53">
        <v>56.8</v>
      </c>
      <c r="HO5" s="53">
        <v>57.6</v>
      </c>
      <c r="HP5" s="53">
        <v>56.6</v>
      </c>
      <c r="HQ5" s="613" t="e">
        <f>INDEX(DB!$3:$84,MATCH('Operations Forecast'!HQ2,DB!$D$3:$D$84),8)</f>
        <v>#N/A</v>
      </c>
      <c r="HR5" s="44">
        <v>55.2</v>
      </c>
      <c r="HS5" s="44">
        <v>51</v>
      </c>
      <c r="HT5" s="44" t="e">
        <f>INDEX(DB!$3:$84,MATCH('Operations Forecast'!HT2,DB!$D$3:$D$84),8)</f>
        <v>#N/A</v>
      </c>
      <c r="HU5" s="44">
        <v>53.9</v>
      </c>
      <c r="HV5" s="44">
        <v>50</v>
      </c>
      <c r="HW5" s="44">
        <v>48.7</v>
      </c>
      <c r="HX5" s="613" t="e">
        <f>INDEX(DB!$3:$84,MATCH('Operations Forecast'!HX2,DB!$D$3:$D$84),8)</f>
        <v>#N/A</v>
      </c>
      <c r="HY5" s="44">
        <v>50</v>
      </c>
      <c r="HZ5" s="44">
        <v>44</v>
      </c>
      <c r="IA5" s="44">
        <v>46.9</v>
      </c>
      <c r="IB5" s="44">
        <v>47</v>
      </c>
      <c r="IC5" s="44">
        <v>44.5</v>
      </c>
      <c r="ID5" s="44">
        <v>46</v>
      </c>
      <c r="IE5" s="414" t="e">
        <f>INDEX(DB!$3:$84,MATCH('Operations Forecast'!IE2,DB!$D$3:$D$84),8)</f>
        <v>#N/A</v>
      </c>
      <c r="IF5" s="44">
        <v>44</v>
      </c>
      <c r="IG5" s="44">
        <v>43</v>
      </c>
      <c r="IH5" s="44">
        <v>47</v>
      </c>
      <c r="II5" s="44">
        <v>51</v>
      </c>
      <c r="IJ5" s="44">
        <v>50</v>
      </c>
      <c r="IK5" s="44">
        <v>51</v>
      </c>
      <c r="IL5" s="414">
        <v>0</v>
      </c>
      <c r="IM5" s="44">
        <v>47</v>
      </c>
      <c r="IN5" s="44">
        <v>45</v>
      </c>
      <c r="IO5" s="44">
        <v>50</v>
      </c>
      <c r="IP5" s="44">
        <v>49</v>
      </c>
      <c r="IQ5" s="44">
        <v>51</v>
      </c>
      <c r="IR5" s="44">
        <v>49.5</v>
      </c>
      <c r="IS5" s="414" t="e">
        <f>INDEX(DB!$3:$84,MATCH('Operations Forecast'!IS2,DB!$D$3:$D$84),8)</f>
        <v>#N/A</v>
      </c>
      <c r="IT5" s="637">
        <v>47</v>
      </c>
      <c r="IU5" s="330">
        <v>46</v>
      </c>
      <c r="IV5" s="330">
        <v>47</v>
      </c>
      <c r="IW5" s="44">
        <v>47</v>
      </c>
      <c r="IX5" s="44">
        <v>49.8</v>
      </c>
      <c r="IY5" s="44">
        <v>48</v>
      </c>
      <c r="IZ5" s="652">
        <v>0</v>
      </c>
      <c r="JA5" s="637">
        <v>49</v>
      </c>
      <c r="JB5" s="330">
        <v>44.3</v>
      </c>
      <c r="JC5" s="330">
        <v>51</v>
      </c>
      <c r="JD5" s="44">
        <v>49</v>
      </c>
      <c r="JE5" s="44">
        <v>48</v>
      </c>
      <c r="JF5" s="44">
        <v>48</v>
      </c>
      <c r="JG5" s="652">
        <v>0</v>
      </c>
      <c r="JH5" s="44">
        <v>47.256594481971128</v>
      </c>
      <c r="JI5" s="44">
        <v>50.808144404287532</v>
      </c>
      <c r="JJ5" s="44">
        <v>50</v>
      </c>
      <c r="JK5" s="44">
        <v>47.188431139435977</v>
      </c>
      <c r="JL5" s="44">
        <v>0</v>
      </c>
      <c r="JM5" s="44">
        <v>48.44460371541367</v>
      </c>
      <c r="JN5" s="414">
        <v>0</v>
      </c>
      <c r="JO5" s="44">
        <v>54.02352354349884</v>
      </c>
      <c r="JP5" s="44">
        <v>45</v>
      </c>
      <c r="JQ5" s="44">
        <v>45</v>
      </c>
      <c r="JR5" s="44">
        <v>44</v>
      </c>
      <c r="JS5" s="44">
        <v>52.237387855274143</v>
      </c>
      <c r="JT5" s="44">
        <v>45</v>
      </c>
      <c r="JU5" s="414">
        <v>0</v>
      </c>
      <c r="JV5" s="44">
        <v>54.02352354349884</v>
      </c>
      <c r="JW5" s="44">
        <v>45</v>
      </c>
      <c r="JX5" s="44">
        <v>45</v>
      </c>
      <c r="JY5" s="44">
        <v>44</v>
      </c>
      <c r="JZ5" s="44">
        <v>52.237387855274143</v>
      </c>
      <c r="KA5" s="44">
        <v>45</v>
      </c>
      <c r="KB5" s="414">
        <v>0</v>
      </c>
    </row>
    <row r="6" spans="1:288" x14ac:dyDescent="0.3">
      <c r="A6" s="19" t="s">
        <v>122</v>
      </c>
      <c r="B6" s="83"/>
      <c r="H6" s="150"/>
      <c r="I6" s="165">
        <f>I5*I4</f>
        <v>10422</v>
      </c>
      <c r="J6" s="44">
        <f t="shared" ref="J6:K6" si="0">J5*J4</f>
        <v>9515</v>
      </c>
      <c r="K6" s="44">
        <f t="shared" si="0"/>
        <v>10976</v>
      </c>
      <c r="L6" s="44">
        <f>L5*L4</f>
        <v>16335</v>
      </c>
      <c r="M6" s="44">
        <f t="shared" ref="M6:N6" si="1">M5*M4</f>
        <v>16820</v>
      </c>
      <c r="N6" s="44">
        <f t="shared" si="1"/>
        <v>17632</v>
      </c>
      <c r="O6" s="150"/>
      <c r="P6" s="83"/>
      <c r="Q6">
        <f>Q5*Q4</f>
        <v>13275</v>
      </c>
      <c r="R6">
        <f t="shared" ref="R6:U6" si="2">R5*R4</f>
        <v>17980</v>
      </c>
      <c r="S6">
        <f t="shared" si="2"/>
        <v>16744</v>
      </c>
      <c r="T6">
        <f t="shared" si="2"/>
        <v>17024</v>
      </c>
      <c r="U6">
        <f t="shared" si="2"/>
        <v>17080</v>
      </c>
      <c r="V6" s="150"/>
      <c r="W6" s="62">
        <f>W5*W4</f>
        <v>14455</v>
      </c>
      <c r="X6" s="45">
        <f t="shared" ref="X6:Y6" si="3">X5*X4</f>
        <v>16644</v>
      </c>
      <c r="Y6" s="45">
        <f t="shared" si="3"/>
        <v>16632</v>
      </c>
      <c r="Z6" s="45">
        <f>Z5*Z4</f>
        <v>16856</v>
      </c>
      <c r="AA6" s="45">
        <f>AA5*AA4</f>
        <v>16225</v>
      </c>
      <c r="AB6" s="45">
        <f t="shared" ref="AB6" si="4">AB5*AB4</f>
        <v>14570</v>
      </c>
      <c r="AC6" s="66"/>
      <c r="AD6" s="62">
        <f>AD5*AD4</f>
        <v>3900</v>
      </c>
      <c r="AE6" s="45">
        <f>AE5*AE4</f>
        <v>9456</v>
      </c>
      <c r="AF6" s="45">
        <f t="shared" ref="AF6:AI6" si="5">AF5*AF4</f>
        <v>14734</v>
      </c>
      <c r="AG6" s="45">
        <f t="shared" si="5"/>
        <v>18020</v>
      </c>
      <c r="AH6" s="56"/>
      <c r="AI6" s="45">
        <f t="shared" si="5"/>
        <v>19610</v>
      </c>
      <c r="AJ6" s="66"/>
      <c r="AK6" s="62">
        <f>AK5*AK4</f>
        <v>11752</v>
      </c>
      <c r="AL6" s="45">
        <f>AL5*AL4</f>
        <v>18200</v>
      </c>
      <c r="AM6" s="45">
        <f t="shared" ref="AM6:AO6" si="6">AM5*AM4</f>
        <v>19080</v>
      </c>
      <c r="AN6" s="45">
        <f t="shared" si="6"/>
        <v>19663</v>
      </c>
      <c r="AO6" s="45">
        <f t="shared" si="6"/>
        <v>17013</v>
      </c>
      <c r="AP6" s="45">
        <f t="shared" ref="AP6" si="7">AP5*AP4</f>
        <v>22880</v>
      </c>
      <c r="AQ6" s="66"/>
      <c r="AR6" s="62">
        <f>AR5*AR4</f>
        <v>19656</v>
      </c>
      <c r="AS6" s="45">
        <f>AS5*AS4</f>
        <v>15756</v>
      </c>
      <c r="AT6" s="45">
        <f t="shared" ref="AT6:AW6" si="8">AT5*AT4</f>
        <v>20706</v>
      </c>
      <c r="AU6" s="45">
        <f t="shared" si="8"/>
        <v>20604</v>
      </c>
      <c r="AV6" s="45">
        <f t="shared" si="8"/>
        <v>22950</v>
      </c>
      <c r="AW6" s="45">
        <f t="shared" si="8"/>
        <v>23613</v>
      </c>
      <c r="AX6" s="66"/>
      <c r="AY6" s="62">
        <f>AY5*AY4</f>
        <v>17640</v>
      </c>
      <c r="AZ6" s="45">
        <f>AZ5*AZ4</f>
        <v>12960.199999999999</v>
      </c>
      <c r="BA6" s="45">
        <f t="shared" ref="BA6:BD6" si="9">BA5*BA4</f>
        <v>33000</v>
      </c>
      <c r="BB6" s="87"/>
      <c r="BC6" s="45">
        <f t="shared" si="9"/>
        <v>24480</v>
      </c>
      <c r="BD6" s="45">
        <f t="shared" si="9"/>
        <v>25500</v>
      </c>
      <c r="BE6" s="66"/>
      <c r="BF6" s="62">
        <f>BF5*BF4</f>
        <v>27081</v>
      </c>
      <c r="BG6" s="45">
        <f>BG5*BG4</f>
        <v>17280</v>
      </c>
      <c r="BH6" s="45">
        <f t="shared" ref="BH6:BK6" si="10">BH5*BH4</f>
        <v>21280</v>
      </c>
      <c r="BI6" s="45">
        <f t="shared" si="10"/>
        <v>16170</v>
      </c>
      <c r="BJ6" s="45">
        <f t="shared" si="10"/>
        <v>31808</v>
      </c>
      <c r="BK6" s="45">
        <f t="shared" si="10"/>
        <v>30600</v>
      </c>
      <c r="BL6" s="66"/>
      <c r="BM6" s="96">
        <f>BM5*BM4</f>
        <v>0</v>
      </c>
      <c r="BN6" s="45">
        <f>BN5*BN4</f>
        <v>30309.999999999996</v>
      </c>
      <c r="BO6" s="45">
        <f t="shared" ref="BO6:BR6" si="11">BO5*BO4</f>
        <v>19800</v>
      </c>
      <c r="BP6" s="45">
        <f t="shared" si="11"/>
        <v>26400</v>
      </c>
      <c r="BQ6" s="45">
        <f t="shared" si="11"/>
        <v>25272</v>
      </c>
      <c r="BR6" s="45">
        <f t="shared" si="11"/>
        <v>22950</v>
      </c>
      <c r="BS6" s="66"/>
      <c r="BT6" s="45">
        <f>BT5*BT4</f>
        <v>28200</v>
      </c>
      <c r="BU6" s="45">
        <f>BU5*BU4</f>
        <v>21168</v>
      </c>
      <c r="BV6" s="45">
        <f t="shared" ref="BV6:BY6" si="12">BV5*BV4</f>
        <v>19250</v>
      </c>
      <c r="BW6" s="45">
        <f t="shared" si="12"/>
        <v>17100</v>
      </c>
      <c r="BX6" s="45">
        <f t="shared" si="12"/>
        <v>36270</v>
      </c>
      <c r="BY6" s="45">
        <f t="shared" si="12"/>
        <v>29150</v>
      </c>
      <c r="BZ6" s="43"/>
      <c r="CA6" s="147">
        <f>CA5*CA4</f>
        <v>33558</v>
      </c>
      <c r="CB6" s="45">
        <f>CB5*CB4</f>
        <v>25000</v>
      </c>
      <c r="CC6" s="45">
        <f t="shared" ref="CC6:CF6" si="13">CC5*CC4</f>
        <v>21114</v>
      </c>
      <c r="CD6" s="45">
        <f t="shared" si="13"/>
        <v>22400</v>
      </c>
      <c r="CE6" s="45">
        <f t="shared" si="13"/>
        <v>34320</v>
      </c>
      <c r="CF6" s="45">
        <f t="shared" si="13"/>
        <v>42880</v>
      </c>
      <c r="CG6" s="150"/>
      <c r="CH6" s="147">
        <f>CH5*CH4</f>
        <v>24500</v>
      </c>
      <c r="CI6" s="45">
        <f>CI5*CI4</f>
        <v>18330</v>
      </c>
      <c r="CJ6" s="45">
        <f t="shared" ref="CJ6:CM6" si="14">CJ5*CJ4</f>
        <v>19350</v>
      </c>
      <c r="CK6" s="45">
        <f>CK5*CK4</f>
        <v>20400</v>
      </c>
      <c r="CL6" s="45">
        <f t="shared" si="14"/>
        <v>33390</v>
      </c>
      <c r="CM6" s="45">
        <f t="shared" si="14"/>
        <v>33390</v>
      </c>
      <c r="CN6" s="150"/>
      <c r="CO6" s="147">
        <f>CO5*CO4</f>
        <v>17150</v>
      </c>
      <c r="CP6" s="45">
        <f>CP5*CP4</f>
        <v>14400</v>
      </c>
      <c r="CQ6" s="45">
        <f t="shared" ref="CQ6:CT6" si="15">CQ5*CQ4</f>
        <v>18050</v>
      </c>
      <c r="CR6" s="45">
        <f t="shared" si="15"/>
        <v>20000</v>
      </c>
      <c r="CS6" s="45">
        <f t="shared" si="15"/>
        <v>31500</v>
      </c>
      <c r="CT6" s="45">
        <f t="shared" si="15"/>
        <v>43200</v>
      </c>
      <c r="CU6" s="150"/>
      <c r="CV6" s="147">
        <f>CV5*CV4</f>
        <v>19200</v>
      </c>
      <c r="CW6" s="45">
        <f>CW5*CW4</f>
        <v>12240</v>
      </c>
      <c r="CX6" s="45">
        <f t="shared" ref="CX6:DA6" si="16">CX5*CX4</f>
        <v>19350</v>
      </c>
      <c r="CY6" s="45">
        <f t="shared" si="16"/>
        <v>20850</v>
      </c>
      <c r="CZ6" s="45">
        <f t="shared" si="16"/>
        <v>39000</v>
      </c>
      <c r="DA6" s="45">
        <f t="shared" si="16"/>
        <v>41446</v>
      </c>
      <c r="DB6" s="150"/>
      <c r="DC6" s="147">
        <f t="shared" ref="DC6:DH6" si="17">DC5*DC4</f>
        <v>24205</v>
      </c>
      <c r="DD6" s="45">
        <f t="shared" si="17"/>
        <v>14030</v>
      </c>
      <c r="DE6" s="45">
        <f t="shared" si="17"/>
        <v>15824</v>
      </c>
      <c r="DF6" s="45">
        <f t="shared" si="17"/>
        <v>20928</v>
      </c>
      <c r="DG6" s="45">
        <f t="shared" si="17"/>
        <v>33540</v>
      </c>
      <c r="DH6" s="45">
        <f t="shared" si="17"/>
        <v>32916</v>
      </c>
      <c r="DI6" s="150"/>
      <c r="DJ6" s="147">
        <f t="shared" ref="DJ6:DO6" si="18">DJ5*DJ4</f>
        <v>22050</v>
      </c>
      <c r="DK6" s="87">
        <f t="shared" si="18"/>
        <v>0</v>
      </c>
      <c r="DL6" s="45">
        <f t="shared" si="18"/>
        <v>18288</v>
      </c>
      <c r="DM6" s="45">
        <f t="shared" si="18"/>
        <v>14640</v>
      </c>
      <c r="DN6" s="45">
        <f t="shared" si="18"/>
        <v>32760</v>
      </c>
      <c r="DO6" s="45">
        <f t="shared" si="18"/>
        <v>32760</v>
      </c>
      <c r="DP6" s="150"/>
      <c r="DQ6" s="147">
        <f t="shared" ref="DQ6:DV6" si="19">DQ5*DQ4</f>
        <v>24500</v>
      </c>
      <c r="DR6" s="45">
        <f t="shared" ref="DR6" si="20">DR5*DR4</f>
        <v>9600</v>
      </c>
      <c r="DS6" s="45">
        <f t="shared" si="19"/>
        <v>19200</v>
      </c>
      <c r="DT6" s="45">
        <f t="shared" si="19"/>
        <v>19200</v>
      </c>
      <c r="DU6" s="45">
        <f t="shared" si="19"/>
        <v>27000</v>
      </c>
      <c r="DV6" s="45">
        <f t="shared" si="19"/>
        <v>31200</v>
      </c>
      <c r="DW6" s="150"/>
      <c r="DX6" s="147">
        <f t="shared" ref="DX6:EC6" si="21">DX5*DX4</f>
        <v>20800</v>
      </c>
      <c r="DY6" s="45">
        <f t="shared" si="21"/>
        <v>17640</v>
      </c>
      <c r="DZ6" s="45">
        <f t="shared" si="21"/>
        <v>19600</v>
      </c>
      <c r="EA6" s="45">
        <f t="shared" si="21"/>
        <v>22050</v>
      </c>
      <c r="EB6" s="45">
        <f t="shared" si="21"/>
        <v>31500</v>
      </c>
      <c r="EC6" s="45">
        <f t="shared" si="21"/>
        <v>34000</v>
      </c>
      <c r="ED6" s="150"/>
      <c r="EE6" s="147">
        <f t="shared" ref="EE6:EI6" si="22">EE5*EE4</f>
        <v>23400</v>
      </c>
      <c r="EF6" s="45">
        <f t="shared" si="22"/>
        <v>18000</v>
      </c>
      <c r="EG6" s="45">
        <f t="shared" si="22"/>
        <v>24000</v>
      </c>
      <c r="EH6" s="45">
        <f t="shared" si="22"/>
        <v>24500</v>
      </c>
      <c r="EI6" s="45">
        <f t="shared" si="22"/>
        <v>32500</v>
      </c>
      <c r="EJ6" s="150"/>
      <c r="EK6" s="150"/>
      <c r="EL6" s="147">
        <f t="shared" ref="EL6:EQ6" si="23">EL5*EL4</f>
        <v>19600.216210840746</v>
      </c>
      <c r="EM6" s="45">
        <f t="shared" si="23"/>
        <v>18288.451331842254</v>
      </c>
      <c r="EN6" s="45">
        <f t="shared" si="23"/>
        <v>19208.719814553082</v>
      </c>
      <c r="EO6" s="45">
        <f t="shared" si="23"/>
        <v>23000</v>
      </c>
      <c r="EP6" s="45">
        <f t="shared" si="23"/>
        <v>40000</v>
      </c>
      <c r="EQ6" s="45">
        <f t="shared" si="23"/>
        <v>39000</v>
      </c>
      <c r="ER6" s="150"/>
      <c r="ES6" s="147">
        <f t="shared" ref="ES6:EX6" si="24">ES5*ES4</f>
        <v>21600</v>
      </c>
      <c r="ET6" s="45">
        <f t="shared" si="24"/>
        <v>28050</v>
      </c>
      <c r="EU6" s="45">
        <f t="shared" si="24"/>
        <v>26500</v>
      </c>
      <c r="EV6" s="45">
        <f t="shared" si="24"/>
        <v>25000</v>
      </c>
      <c r="EW6" s="45">
        <f t="shared" si="24"/>
        <v>42500</v>
      </c>
      <c r="EX6" s="45">
        <f t="shared" si="24"/>
        <v>31800</v>
      </c>
      <c r="EY6" s="504"/>
      <c r="EZ6" s="45">
        <f t="shared" ref="EZ6:FE6" si="25">EZ5*EZ4</f>
        <v>21600</v>
      </c>
      <c r="FA6" s="45">
        <f t="shared" si="25"/>
        <v>30600</v>
      </c>
      <c r="FB6" s="45">
        <f t="shared" si="25"/>
        <v>29150</v>
      </c>
      <c r="FC6" s="45">
        <f t="shared" si="25"/>
        <v>27500</v>
      </c>
      <c r="FD6" s="45">
        <f t="shared" si="25"/>
        <v>35000</v>
      </c>
      <c r="FE6" s="45">
        <f t="shared" si="25"/>
        <v>35000</v>
      </c>
      <c r="FF6" s="522">
        <v>0</v>
      </c>
      <c r="FG6" s="45">
        <f t="shared" ref="FG6:FM6" si="26">FG4*FG5*$A$1</f>
        <v>21133.104732157306</v>
      </c>
      <c r="FH6" s="45">
        <f t="shared" si="26"/>
        <v>28372.5</v>
      </c>
      <c r="FI6" s="45">
        <f t="shared" si="26"/>
        <v>30616.583070905788</v>
      </c>
      <c r="FJ6" s="45">
        <f t="shared" si="26"/>
        <v>27977.171193544553</v>
      </c>
      <c r="FK6" s="45">
        <f t="shared" si="26"/>
        <v>38529.230990442746</v>
      </c>
      <c r="FL6" s="45">
        <f t="shared" si="26"/>
        <v>40691.707266931808</v>
      </c>
      <c r="FM6" s="504">
        <f t="shared" si="26"/>
        <v>0</v>
      </c>
      <c r="FN6" s="45" t="e">
        <f>FN4*FN5*$A$1</f>
        <v>#REF!</v>
      </c>
      <c r="FO6" s="45" t="e">
        <f>FO4*FO5*$A$1</f>
        <v>#REF!</v>
      </c>
      <c r="FP6" s="45" t="e">
        <f t="shared" ref="FP6:FS6" si="27">FP4*FP5</f>
        <v>#REF!</v>
      </c>
      <c r="FQ6" s="45" t="e">
        <f t="shared" si="27"/>
        <v>#REF!</v>
      </c>
      <c r="FR6" s="45" t="e">
        <f t="shared" si="27"/>
        <v>#REF!</v>
      </c>
      <c r="FS6" s="45" t="e">
        <f t="shared" si="27"/>
        <v>#REF!</v>
      </c>
      <c r="FT6" s="504"/>
      <c r="FU6" s="45" t="e">
        <f>FU4*FU5*$A$1</f>
        <v>#REF!</v>
      </c>
      <c r="FV6" s="45" t="e">
        <f>FV4*FV5*$A$1</f>
        <v>#REF!</v>
      </c>
      <c r="FW6" s="45" t="e">
        <f t="shared" ref="FW6:GO6" si="28">FW4*FW5*$A$1</f>
        <v>#REF!</v>
      </c>
      <c r="FX6" s="45" t="e">
        <f t="shared" si="28"/>
        <v>#REF!</v>
      </c>
      <c r="FY6" s="45" t="e">
        <f>FY4*FY5*$A$1</f>
        <v>#REF!</v>
      </c>
      <c r="FZ6" s="45" t="e">
        <f t="shared" si="28"/>
        <v>#REF!</v>
      </c>
      <c r="GA6" s="504" t="e">
        <f t="shared" si="28"/>
        <v>#REF!</v>
      </c>
      <c r="GB6" s="45">
        <f t="shared" si="28"/>
        <v>28518</v>
      </c>
      <c r="GC6" s="45" t="e">
        <f t="shared" si="28"/>
        <v>#REF!</v>
      </c>
      <c r="GD6" s="45" t="e">
        <f t="shared" si="28"/>
        <v>#REF!</v>
      </c>
      <c r="GE6" s="45" t="e">
        <f t="shared" si="28"/>
        <v>#REF!</v>
      </c>
      <c r="GF6" s="45" t="e">
        <f t="shared" si="28"/>
        <v>#REF!</v>
      </c>
      <c r="GG6" s="45" t="e">
        <f t="shared" si="28"/>
        <v>#REF!</v>
      </c>
      <c r="GH6" s="504" t="e">
        <f t="shared" si="28"/>
        <v>#REF!</v>
      </c>
      <c r="GI6" s="45" t="e">
        <f t="shared" si="28"/>
        <v>#REF!</v>
      </c>
      <c r="GJ6" s="45" t="e">
        <f t="shared" si="28"/>
        <v>#REF!</v>
      </c>
      <c r="GK6" s="45" t="e">
        <f t="shared" si="28"/>
        <v>#REF!</v>
      </c>
      <c r="GL6" s="45">
        <f t="shared" si="28"/>
        <v>25074.5</v>
      </c>
      <c r="GM6" s="45">
        <f t="shared" si="28"/>
        <v>46996.5</v>
      </c>
      <c r="GN6" s="45">
        <f>GN4*GN5*$A$1</f>
        <v>46560</v>
      </c>
      <c r="GO6" s="150" t="e">
        <f t="shared" si="28"/>
        <v>#REF!</v>
      </c>
      <c r="GP6" s="45">
        <f t="shared" ref="GP6:GV6" si="29">GP4*GP5*$A$1</f>
        <v>29633.5</v>
      </c>
      <c r="GQ6" s="45">
        <f t="shared" si="29"/>
        <v>27936</v>
      </c>
      <c r="GR6" s="45">
        <f t="shared" si="29"/>
        <v>27936</v>
      </c>
      <c r="GS6" s="45">
        <f t="shared" si="29"/>
        <v>26141.5</v>
      </c>
      <c r="GT6" s="45">
        <f t="shared" si="29"/>
        <v>46996.5</v>
      </c>
      <c r="GU6" s="45">
        <f t="shared" si="29"/>
        <v>44523</v>
      </c>
      <c r="GV6" s="150" t="e">
        <f t="shared" si="29"/>
        <v>#N/A</v>
      </c>
      <c r="GW6" s="45" t="e">
        <f t="shared" ref="GW6:IE6" si="30">GW4*GW5*$A$1</f>
        <v>#N/A</v>
      </c>
      <c r="GX6" s="45">
        <f t="shared" si="30"/>
        <v>25074.5</v>
      </c>
      <c r="GY6" s="45">
        <f t="shared" si="30"/>
        <v>23280</v>
      </c>
      <c r="GZ6" s="45" t="e">
        <f t="shared" si="30"/>
        <v>#N/A</v>
      </c>
      <c r="HA6" s="45" t="e">
        <f t="shared" si="30"/>
        <v>#N/A</v>
      </c>
      <c r="HB6" s="45" t="e">
        <f t="shared" si="30"/>
        <v>#N/A</v>
      </c>
      <c r="HC6" s="150" t="e">
        <f t="shared" si="30"/>
        <v>#N/A</v>
      </c>
      <c r="HD6" s="45">
        <f t="shared" si="30"/>
        <v>21825</v>
      </c>
      <c r="HE6" s="45">
        <f t="shared" si="30"/>
        <v>19400</v>
      </c>
      <c r="HF6" s="45">
        <f t="shared" si="30"/>
        <v>30894.5</v>
      </c>
      <c r="HG6" s="45">
        <f t="shared" si="30"/>
        <v>26675</v>
      </c>
      <c r="HH6" s="45">
        <f t="shared" si="30"/>
        <v>41128</v>
      </c>
      <c r="HI6" s="45">
        <f t="shared" si="30"/>
        <v>36156.75</v>
      </c>
      <c r="HJ6" s="150" t="e">
        <f t="shared" si="30"/>
        <v>#N/A</v>
      </c>
      <c r="HK6" s="45">
        <f t="shared" si="30"/>
        <v>34173.1</v>
      </c>
      <c r="HL6" s="45">
        <f t="shared" si="30"/>
        <v>26675</v>
      </c>
      <c r="HM6" s="45">
        <f t="shared" si="30"/>
        <v>26539.200000000001</v>
      </c>
      <c r="HN6" s="45">
        <f t="shared" si="30"/>
        <v>22038.399999999998</v>
      </c>
      <c r="HO6" s="45">
        <f t="shared" si="30"/>
        <v>44697.599999999999</v>
      </c>
      <c r="HP6" s="45">
        <f t="shared" si="30"/>
        <v>46666.7</v>
      </c>
      <c r="HQ6" s="614" t="e">
        <f t="shared" si="30"/>
        <v>#N/A</v>
      </c>
      <c r="HR6" s="45">
        <f t="shared" si="30"/>
        <v>34803.599999999999</v>
      </c>
      <c r="HS6" s="45">
        <f t="shared" si="30"/>
        <v>32155.5</v>
      </c>
      <c r="HT6" s="45" t="e">
        <f t="shared" si="30"/>
        <v>#N/A</v>
      </c>
      <c r="HU6" s="45">
        <f t="shared" si="30"/>
        <v>42349.229999999996</v>
      </c>
      <c r="HV6" s="45">
        <f t="shared" si="30"/>
        <v>48063.5</v>
      </c>
      <c r="HW6" s="45">
        <f t="shared" si="30"/>
        <v>51962.9</v>
      </c>
      <c r="HX6" s="614" t="e">
        <f t="shared" si="30"/>
        <v>#N/A</v>
      </c>
      <c r="HY6" s="45">
        <f t="shared" si="30"/>
        <v>37830</v>
      </c>
      <c r="HZ6" s="45">
        <f t="shared" si="30"/>
        <v>17072</v>
      </c>
      <c r="IA6" s="45">
        <f t="shared" si="30"/>
        <v>29024.534</v>
      </c>
      <c r="IB6" s="45">
        <f t="shared" si="30"/>
        <v>35104.299999999996</v>
      </c>
      <c r="IC6" s="45">
        <f t="shared" si="30"/>
        <v>51798</v>
      </c>
      <c r="ID6" s="45">
        <f t="shared" si="30"/>
        <v>58006</v>
      </c>
      <c r="IE6" s="150" t="e">
        <f t="shared" si="30"/>
        <v>#N/A</v>
      </c>
      <c r="IF6" s="45">
        <f t="shared" ref="IF6:IS6" si="31">IF4*IF5*$A$1</f>
        <v>34144</v>
      </c>
      <c r="IG6" s="45">
        <f t="shared" si="31"/>
        <v>22940.5</v>
      </c>
      <c r="IH6" s="45">
        <f t="shared" si="31"/>
        <v>36472</v>
      </c>
      <c r="II6" s="45">
        <f t="shared" si="31"/>
        <v>39576</v>
      </c>
      <c r="IJ6" s="45">
        <f t="shared" si="31"/>
        <v>53350</v>
      </c>
      <c r="IK6" s="45">
        <f t="shared" si="31"/>
        <v>56890.5</v>
      </c>
      <c r="IL6" s="150" t="e">
        <f t="shared" si="31"/>
        <v>#N/A</v>
      </c>
      <c r="IM6" s="45">
        <f t="shared" si="31"/>
        <v>62367.119999999995</v>
      </c>
      <c r="IN6" s="45">
        <f t="shared" si="31"/>
        <v>39459.599999999999</v>
      </c>
      <c r="IO6" s="45" t="e">
        <f t="shared" si="31"/>
        <v>#N/A</v>
      </c>
      <c r="IP6" s="45">
        <f t="shared" si="31"/>
        <v>35647.5</v>
      </c>
      <c r="IQ6" s="45">
        <f t="shared" si="31"/>
        <v>56890.5</v>
      </c>
      <c r="IR6" s="45">
        <f t="shared" si="31"/>
        <v>55217.25</v>
      </c>
      <c r="IS6" s="150" t="e">
        <f t="shared" si="31"/>
        <v>#N/A</v>
      </c>
      <c r="IT6" s="45">
        <f t="shared" ref="IT6:IZ6" si="32">IT4*IT5*$A$1</f>
        <v>36426.409999999996</v>
      </c>
      <c r="IU6" s="45">
        <f t="shared" si="32"/>
        <v>26548.899999999998</v>
      </c>
      <c r="IV6" s="45">
        <f t="shared" si="32"/>
        <v>34192.5</v>
      </c>
      <c r="IW6" s="45" t="e">
        <f t="shared" si="32"/>
        <v>#N/A</v>
      </c>
      <c r="IX6" s="45" t="e">
        <f t="shared" si="32"/>
        <v>#N/A</v>
      </c>
      <c r="IY6" s="45" t="e">
        <f t="shared" si="32"/>
        <v>#N/A</v>
      </c>
      <c r="IZ6" s="150" t="e">
        <f t="shared" si="32"/>
        <v>#N/A</v>
      </c>
      <c r="JA6" s="45">
        <f t="shared" ref="JA6:JU6" si="33">JA4*JA5*$A$1</f>
        <v>39449.9</v>
      </c>
      <c r="JB6" s="45">
        <f t="shared" si="33"/>
        <v>32228.25</v>
      </c>
      <c r="JC6" s="45" t="e">
        <f t="shared" si="33"/>
        <v>#N/A</v>
      </c>
      <c r="JD6" s="45">
        <f t="shared" si="33"/>
        <v>33271</v>
      </c>
      <c r="JE6" s="45">
        <f t="shared" si="33"/>
        <v>48888</v>
      </c>
      <c r="JF6" s="45">
        <f t="shared" si="33"/>
        <v>55872</v>
      </c>
      <c r="JG6" s="150" t="e">
        <f t="shared" si="33"/>
        <v>#N/A</v>
      </c>
      <c r="JH6" s="45" t="e">
        <f t="shared" si="33"/>
        <v>#N/A</v>
      </c>
      <c r="JI6" s="45" t="e">
        <f t="shared" si="33"/>
        <v>#N/A</v>
      </c>
      <c r="JJ6" s="45">
        <f t="shared" si="33"/>
        <v>72750</v>
      </c>
      <c r="JK6" s="45">
        <f t="shared" si="33"/>
        <v>68659.167307879339</v>
      </c>
      <c r="JL6" s="45" t="e">
        <f t="shared" si="33"/>
        <v>#N/A</v>
      </c>
      <c r="JM6" s="45" t="e">
        <f t="shared" si="33"/>
        <v>#N/A</v>
      </c>
      <c r="JN6" s="150" t="e">
        <f t="shared" si="33"/>
        <v>#N/A</v>
      </c>
      <c r="JO6" s="45" t="e">
        <f t="shared" si="33"/>
        <v>#N/A</v>
      </c>
      <c r="JP6" s="45" t="e">
        <f t="shared" si="33"/>
        <v>#N/A</v>
      </c>
      <c r="JQ6" s="45" t="e">
        <f t="shared" si="33"/>
        <v>#N/A</v>
      </c>
      <c r="JR6" s="45" t="e">
        <f t="shared" si="33"/>
        <v>#N/A</v>
      </c>
      <c r="JS6" s="45">
        <f>JS4*JS5*$A$1</f>
        <v>0</v>
      </c>
      <c r="JT6" s="45">
        <f t="shared" si="33"/>
        <v>49149.9</v>
      </c>
      <c r="JU6" s="150">
        <f t="shared" si="33"/>
        <v>0</v>
      </c>
      <c r="JV6" s="45" t="e">
        <f t="shared" ref="JV6:JY6" si="34">JV4*JV5*$A$1</f>
        <v>#N/A</v>
      </c>
      <c r="JW6" s="45" t="e">
        <f t="shared" si="34"/>
        <v>#N/A</v>
      </c>
      <c r="JX6" s="45" t="e">
        <f t="shared" si="34"/>
        <v>#N/A</v>
      </c>
      <c r="JY6" s="45" t="e">
        <f t="shared" si="34"/>
        <v>#N/A</v>
      </c>
      <c r="JZ6" s="45">
        <f>JZ4*JZ5*$A$1</f>
        <v>0</v>
      </c>
      <c r="KA6" s="45">
        <f t="shared" ref="KA6:KB6" si="35">KA4*KA5*$A$1</f>
        <v>49149.9</v>
      </c>
      <c r="KB6" s="150">
        <f t="shared" si="35"/>
        <v>0</v>
      </c>
    </row>
    <row r="7" spans="1:288" x14ac:dyDescent="0.3">
      <c r="A7" s="19" t="s">
        <v>123</v>
      </c>
      <c r="B7" s="83"/>
      <c r="H7" s="150"/>
      <c r="I7" s="165"/>
      <c r="J7" s="44"/>
      <c r="K7" s="44"/>
      <c r="L7" s="44"/>
      <c r="M7" s="44"/>
      <c r="N7" s="44"/>
      <c r="O7" s="150"/>
      <c r="P7" s="83"/>
      <c r="V7" s="150"/>
      <c r="W7" s="62"/>
      <c r="X7" s="45"/>
      <c r="Y7" s="45"/>
      <c r="Z7" s="45"/>
      <c r="AA7" s="45"/>
      <c r="AB7" s="45"/>
      <c r="AC7" s="66"/>
      <c r="AD7" s="62"/>
      <c r="AE7" s="45"/>
      <c r="AF7" s="45"/>
      <c r="AG7" s="45"/>
      <c r="AH7" s="56"/>
      <c r="AI7" s="45"/>
      <c r="AJ7" s="66"/>
      <c r="AK7" s="62"/>
      <c r="AL7" s="45"/>
      <c r="AM7" s="45"/>
      <c r="AN7" s="45"/>
      <c r="AO7" s="45"/>
      <c r="AP7" s="45"/>
      <c r="AQ7" s="66"/>
      <c r="AR7" s="62"/>
      <c r="AS7" s="45"/>
      <c r="AT7" s="45"/>
      <c r="AU7" s="45"/>
      <c r="AV7" s="45"/>
      <c r="AW7" s="45"/>
      <c r="AX7" s="66"/>
      <c r="AY7" s="62"/>
      <c r="AZ7" s="45"/>
      <c r="BA7" s="45"/>
      <c r="BB7" s="87"/>
      <c r="BC7" s="45"/>
      <c r="BD7" s="45"/>
      <c r="BE7" s="66"/>
      <c r="BF7" s="62"/>
      <c r="BG7" s="45"/>
      <c r="BH7" s="45"/>
      <c r="BI7" s="45"/>
      <c r="BJ7" s="45"/>
      <c r="BK7" s="45"/>
      <c r="BL7" s="66"/>
      <c r="BM7" s="96"/>
      <c r="BN7" s="45"/>
      <c r="BO7" s="45"/>
      <c r="BP7" s="45"/>
      <c r="BQ7" s="45"/>
      <c r="BR7" s="45"/>
      <c r="BS7" s="66"/>
      <c r="BT7" s="45"/>
      <c r="BU7" s="45"/>
      <c r="BV7" s="45"/>
      <c r="BW7" s="45"/>
      <c r="BX7" s="45"/>
      <c r="BY7" s="45"/>
      <c r="BZ7" s="43"/>
      <c r="CA7" s="147"/>
      <c r="CB7" s="45"/>
      <c r="CC7" s="45"/>
      <c r="CD7" s="45"/>
      <c r="CE7" s="45"/>
      <c r="CF7" s="45"/>
      <c r="CG7" s="150"/>
      <c r="CH7" s="147"/>
      <c r="CI7" s="45"/>
      <c r="CJ7" s="45"/>
      <c r="CK7" s="45"/>
      <c r="CL7" s="45"/>
      <c r="CM7" s="45"/>
      <c r="CN7" s="150"/>
      <c r="CO7" s="147"/>
      <c r="CP7" s="45"/>
      <c r="CQ7" s="45"/>
      <c r="CR7" s="45"/>
      <c r="CS7" s="45"/>
      <c r="CT7" s="45"/>
      <c r="CU7" s="150"/>
      <c r="CV7" s="147"/>
      <c r="CW7" s="45"/>
      <c r="CX7" s="45"/>
      <c r="CY7" s="45"/>
      <c r="CZ7" s="45"/>
      <c r="DA7" s="45"/>
      <c r="DB7" s="150"/>
      <c r="DC7" s="147"/>
      <c r="DD7" s="45"/>
      <c r="DE7" s="45"/>
      <c r="DF7" s="45"/>
      <c r="DG7" s="45"/>
      <c r="DH7" s="45"/>
      <c r="DI7" s="150"/>
      <c r="DJ7" s="147"/>
      <c r="DK7" s="87"/>
      <c r="DL7" s="45"/>
      <c r="DM7" s="45"/>
      <c r="DN7" s="45"/>
      <c r="DO7" s="45"/>
      <c r="DP7" s="150"/>
      <c r="DQ7" s="147"/>
      <c r="DR7" s="45"/>
      <c r="DS7" s="45"/>
      <c r="DT7" s="45"/>
      <c r="DU7" s="45"/>
      <c r="DV7" s="45"/>
      <c r="DW7" s="150"/>
      <c r="DX7" s="147"/>
      <c r="DY7" s="45"/>
      <c r="DZ7" s="45"/>
      <c r="EA7" s="45"/>
      <c r="EB7" s="45"/>
      <c r="EC7" s="45"/>
      <c r="ED7" s="150"/>
      <c r="EE7" s="147"/>
      <c r="EF7" s="45"/>
      <c r="EG7" s="45"/>
      <c r="EH7" s="45"/>
      <c r="EI7" s="45"/>
      <c r="EJ7" s="150"/>
      <c r="EK7" s="150"/>
      <c r="EL7" s="147"/>
      <c r="EM7" s="45"/>
      <c r="EN7" s="45"/>
      <c r="EO7" s="45"/>
      <c r="EP7" s="45"/>
      <c r="EQ7" s="45"/>
      <c r="ER7" s="150"/>
      <c r="ES7" s="147"/>
      <c r="ET7" s="45"/>
      <c r="EU7" s="45"/>
      <c r="EV7" s="45"/>
      <c r="EW7" s="45"/>
      <c r="EX7" s="45"/>
      <c r="EY7" s="504"/>
      <c r="EZ7" s="45"/>
      <c r="FA7" s="45"/>
      <c r="FB7" s="45"/>
      <c r="FC7" s="45"/>
      <c r="FD7" s="45"/>
      <c r="FE7" s="45"/>
      <c r="FF7" s="522">
        <v>0</v>
      </c>
      <c r="FG7" s="45"/>
      <c r="FH7" s="45"/>
      <c r="FI7" s="45"/>
      <c r="FJ7" s="45"/>
      <c r="FK7" s="45"/>
      <c r="FL7" s="45"/>
      <c r="FM7" s="504"/>
      <c r="FN7" s="45">
        <v>550</v>
      </c>
      <c r="FO7" s="45">
        <v>550</v>
      </c>
      <c r="FP7" s="45"/>
      <c r="FQ7" s="45"/>
      <c r="FR7" s="45"/>
      <c r="FS7" s="45"/>
      <c r="FT7" s="504"/>
      <c r="FU7" s="45">
        <v>550</v>
      </c>
      <c r="FV7" s="45">
        <v>544</v>
      </c>
      <c r="FW7" s="45">
        <v>498</v>
      </c>
      <c r="FX7" s="45">
        <v>469</v>
      </c>
      <c r="FY7" s="45">
        <v>800</v>
      </c>
      <c r="FZ7" s="45"/>
      <c r="GA7" s="504"/>
      <c r="GB7" s="45"/>
      <c r="GC7" s="45">
        <v>312</v>
      </c>
      <c r="GD7" s="45">
        <f>650-131</f>
        <v>519</v>
      </c>
      <c r="GE7" s="45">
        <v>474</v>
      </c>
      <c r="GF7" s="45">
        <v>848</v>
      </c>
      <c r="GG7" s="45"/>
      <c r="GH7" s="504"/>
      <c r="GI7" s="45">
        <v>669</v>
      </c>
      <c r="GJ7" s="45">
        <f>550-12</f>
        <v>538</v>
      </c>
      <c r="GK7" s="45">
        <f>540</f>
        <v>540</v>
      </c>
      <c r="GL7" s="45">
        <v>525</v>
      </c>
      <c r="GM7" s="45">
        <v>946</v>
      </c>
      <c r="GN7" s="45">
        <v>1000</v>
      </c>
      <c r="GO7" s="150"/>
      <c r="GP7" s="45">
        <v>650</v>
      </c>
      <c r="GQ7" s="45">
        <v>596</v>
      </c>
      <c r="GR7" s="45">
        <v>548</v>
      </c>
      <c r="GS7" s="45">
        <v>541</v>
      </c>
      <c r="GT7" s="45">
        <v>951</v>
      </c>
      <c r="GU7" s="45">
        <v>900</v>
      </c>
      <c r="GV7" s="150"/>
      <c r="GW7" s="45">
        <v>600</v>
      </c>
      <c r="GX7" s="45">
        <v>549</v>
      </c>
      <c r="GY7" s="45">
        <v>500</v>
      </c>
      <c r="GZ7" s="45">
        <v>500</v>
      </c>
      <c r="HA7" s="45">
        <v>1000</v>
      </c>
      <c r="HB7" s="45">
        <v>950</v>
      </c>
      <c r="HC7" s="150"/>
      <c r="HD7" s="45">
        <v>450</v>
      </c>
      <c r="HE7" s="45">
        <v>400</v>
      </c>
      <c r="HF7" s="45">
        <v>650</v>
      </c>
      <c r="HG7" s="45">
        <v>550</v>
      </c>
      <c r="HH7" s="45">
        <v>800</v>
      </c>
      <c r="HI7" s="45">
        <v>710</v>
      </c>
      <c r="HJ7" s="150"/>
      <c r="HK7" s="45">
        <v>650</v>
      </c>
      <c r="HL7" s="45">
        <v>500</v>
      </c>
      <c r="HM7" s="45">
        <v>450</v>
      </c>
      <c r="HN7" s="45">
        <v>400</v>
      </c>
      <c r="HO7" s="45">
        <v>800</v>
      </c>
      <c r="HP7" s="45">
        <v>800</v>
      </c>
      <c r="HQ7" s="614"/>
      <c r="HR7" s="45">
        <v>650</v>
      </c>
      <c r="HS7" s="45">
        <v>650</v>
      </c>
      <c r="HT7" s="45"/>
      <c r="HU7" s="45">
        <v>800</v>
      </c>
      <c r="HV7" s="45">
        <v>1000</v>
      </c>
      <c r="HW7" s="45"/>
      <c r="HX7" s="614"/>
      <c r="HY7" s="45">
        <v>774</v>
      </c>
      <c r="HZ7" s="45">
        <v>399</v>
      </c>
      <c r="IA7" s="45">
        <v>650</v>
      </c>
      <c r="IB7" s="45"/>
      <c r="IC7" s="45"/>
      <c r="ID7" s="45"/>
      <c r="IE7" s="150"/>
      <c r="IF7" s="45">
        <v>761</v>
      </c>
      <c r="IG7" s="45">
        <v>509</v>
      </c>
      <c r="IH7" s="45">
        <v>595</v>
      </c>
      <c r="II7" s="45">
        <v>590</v>
      </c>
      <c r="IJ7" s="45">
        <v>1150</v>
      </c>
      <c r="IK7" s="45">
        <v>1150</v>
      </c>
      <c r="IL7" s="150"/>
      <c r="IM7" s="45"/>
      <c r="IN7" s="45"/>
      <c r="IO7" s="45">
        <v>890</v>
      </c>
      <c r="IP7" s="45"/>
      <c r="IQ7" s="45"/>
      <c r="IR7" s="45"/>
      <c r="IS7" s="150"/>
      <c r="IT7" s="45"/>
      <c r="IU7" s="45"/>
      <c r="IV7" s="45"/>
      <c r="IW7" s="45"/>
      <c r="IX7" s="45"/>
      <c r="IY7" s="45"/>
      <c r="IZ7" s="150"/>
      <c r="JA7" s="45"/>
      <c r="JB7" s="45"/>
      <c r="JC7" s="45"/>
      <c r="JD7" s="45"/>
      <c r="JE7" s="45"/>
      <c r="JF7" s="45"/>
      <c r="JG7" s="150"/>
      <c r="JH7" s="45"/>
      <c r="JI7" s="45"/>
      <c r="JJ7" s="45"/>
      <c r="JK7" s="45"/>
      <c r="JL7" s="45"/>
      <c r="JM7" s="45"/>
      <c r="JN7" s="150"/>
      <c r="JO7" s="45"/>
      <c r="JP7" s="45"/>
      <c r="JQ7" s="45"/>
      <c r="JR7" s="45"/>
      <c r="JS7" s="45"/>
      <c r="JT7" s="45"/>
      <c r="JU7" s="150"/>
      <c r="JV7" s="45"/>
      <c r="JW7" s="45"/>
      <c r="JX7" s="45"/>
      <c r="JY7" s="45"/>
      <c r="JZ7" s="45"/>
      <c r="KA7" s="45"/>
      <c r="KB7" s="150"/>
    </row>
    <row r="8" spans="1:288" hidden="1" x14ac:dyDescent="0.3">
      <c r="A8" s="19" t="s">
        <v>124</v>
      </c>
      <c r="B8" s="463"/>
      <c r="C8" s="401"/>
      <c r="D8" s="401"/>
      <c r="E8" s="401"/>
      <c r="F8" s="401"/>
      <c r="G8" s="401"/>
      <c r="H8" s="464"/>
      <c r="I8" s="465">
        <v>8746</v>
      </c>
      <c r="J8" s="405">
        <v>8229</v>
      </c>
      <c r="K8" s="405">
        <v>7928</v>
      </c>
      <c r="L8" s="405">
        <v>14824</v>
      </c>
      <c r="M8" s="405">
        <v>9903</v>
      </c>
      <c r="N8" s="405">
        <v>14253</v>
      </c>
      <c r="O8" s="464"/>
      <c r="P8" s="463"/>
      <c r="Q8" s="401">
        <v>7384</v>
      </c>
      <c r="R8" s="401">
        <v>11572</v>
      </c>
      <c r="S8" s="401">
        <v>9900</v>
      </c>
      <c r="T8" s="401">
        <v>7900</v>
      </c>
      <c r="U8" s="401">
        <v>12777</v>
      </c>
      <c r="V8" s="464"/>
      <c r="W8" s="466">
        <v>11128</v>
      </c>
      <c r="X8" s="467">
        <v>13700</v>
      </c>
      <c r="Y8" s="467">
        <v>14000</v>
      </c>
      <c r="Z8" s="467">
        <v>15761</v>
      </c>
      <c r="AA8" s="467">
        <v>12693</v>
      </c>
      <c r="AB8" s="467">
        <v>10000</v>
      </c>
      <c r="AC8" s="468"/>
      <c r="AD8" s="466">
        <v>4500</v>
      </c>
      <c r="AE8" s="467">
        <v>8700</v>
      </c>
      <c r="AF8" s="467">
        <v>13098</v>
      </c>
      <c r="AG8" s="467">
        <v>15400</v>
      </c>
      <c r="AH8" s="469"/>
      <c r="AI8" s="467">
        <v>16012</v>
      </c>
      <c r="AJ8" s="470"/>
      <c r="AK8" s="466">
        <v>11823</v>
      </c>
      <c r="AL8" s="467">
        <v>17621</v>
      </c>
      <c r="AM8" s="467">
        <v>18331</v>
      </c>
      <c r="AN8" s="467">
        <v>19900</v>
      </c>
      <c r="AO8" s="467">
        <v>17004</v>
      </c>
      <c r="AP8" s="467">
        <v>18503</v>
      </c>
      <c r="AQ8" s="470"/>
      <c r="AR8" s="466">
        <v>18000</v>
      </c>
      <c r="AS8" s="467">
        <v>13881</v>
      </c>
      <c r="AT8" s="467">
        <v>19601</v>
      </c>
      <c r="AU8" s="467">
        <v>20897</v>
      </c>
      <c r="AV8" s="467">
        <v>22364</v>
      </c>
      <c r="AW8" s="467">
        <v>22670</v>
      </c>
      <c r="AX8" s="470"/>
      <c r="AY8" s="466">
        <v>16952</v>
      </c>
      <c r="AZ8" s="467">
        <v>10766</v>
      </c>
      <c r="BA8" s="467">
        <v>31600</v>
      </c>
      <c r="BB8" s="471"/>
      <c r="BC8" s="467">
        <v>22760</v>
      </c>
      <c r="BD8" s="467">
        <v>23300</v>
      </c>
      <c r="BE8" s="470"/>
      <c r="BF8" s="466">
        <v>25834</v>
      </c>
      <c r="BG8" s="467">
        <v>16304</v>
      </c>
      <c r="BH8" s="467">
        <v>20143</v>
      </c>
      <c r="BI8" s="467">
        <v>15469</v>
      </c>
      <c r="BJ8" s="467">
        <v>30297</v>
      </c>
      <c r="BK8" s="467">
        <v>25000</v>
      </c>
      <c r="BL8" s="470"/>
      <c r="BM8" s="96"/>
      <c r="BN8" s="45">
        <v>28000</v>
      </c>
      <c r="BO8" s="45">
        <v>19150</v>
      </c>
      <c r="BP8" s="45">
        <v>26151</v>
      </c>
      <c r="BQ8" s="45">
        <v>22610</v>
      </c>
      <c r="BR8" s="45">
        <v>22000</v>
      </c>
      <c r="BS8" s="67"/>
      <c r="BT8" s="45">
        <v>26000</v>
      </c>
      <c r="BU8" s="45">
        <v>19966</v>
      </c>
      <c r="BV8" s="45">
        <v>18090</v>
      </c>
      <c r="BW8" s="45">
        <v>16224</v>
      </c>
      <c r="BX8" s="45">
        <v>33298</v>
      </c>
      <c r="BY8" s="45">
        <v>25800</v>
      </c>
      <c r="BZ8" s="56"/>
      <c r="CA8" s="147">
        <v>29873</v>
      </c>
      <c r="CB8" s="45">
        <v>19220</v>
      </c>
      <c r="CC8" s="45">
        <v>19310</v>
      </c>
      <c r="CD8" s="45">
        <v>19900</v>
      </c>
      <c r="CE8" s="45">
        <v>33559</v>
      </c>
      <c r="CF8" s="45"/>
      <c r="CG8" s="413"/>
      <c r="CH8" s="147">
        <v>24500</v>
      </c>
      <c r="CI8" s="45">
        <v>17045</v>
      </c>
      <c r="CJ8" s="45">
        <v>18300</v>
      </c>
      <c r="CK8" s="45">
        <v>20000</v>
      </c>
      <c r="CL8" s="45">
        <v>31060</v>
      </c>
      <c r="CM8" s="45">
        <v>32000</v>
      </c>
      <c r="CN8" s="413"/>
      <c r="CO8" s="147">
        <v>16953</v>
      </c>
      <c r="CP8" s="45">
        <v>14127</v>
      </c>
      <c r="CQ8" s="45">
        <v>17103</v>
      </c>
      <c r="CR8" s="45">
        <v>20568</v>
      </c>
      <c r="CS8" s="45">
        <v>30718</v>
      </c>
      <c r="CT8" s="45">
        <v>30011</v>
      </c>
      <c r="CU8" s="413"/>
      <c r="CV8" s="147">
        <v>18080</v>
      </c>
      <c r="CW8" s="45">
        <v>12029</v>
      </c>
      <c r="CX8" s="45">
        <v>18232</v>
      </c>
      <c r="CY8" s="45">
        <v>20936</v>
      </c>
      <c r="CZ8" s="45">
        <v>38892</v>
      </c>
      <c r="DA8" s="45">
        <v>38459</v>
      </c>
      <c r="DB8" s="413"/>
      <c r="DC8" s="147">
        <v>24075</v>
      </c>
      <c r="DD8" s="45">
        <v>12234</v>
      </c>
      <c r="DE8" s="45">
        <v>15584</v>
      </c>
      <c r="DF8" s="45">
        <v>19249</v>
      </c>
      <c r="DG8" s="45">
        <v>31048</v>
      </c>
      <c r="DH8" s="45">
        <v>31707</v>
      </c>
      <c r="DI8" s="413"/>
      <c r="DJ8" s="147">
        <v>22724</v>
      </c>
      <c r="DK8" s="87"/>
      <c r="DL8" s="45">
        <v>11401</v>
      </c>
      <c r="DM8" s="45">
        <v>13546</v>
      </c>
      <c r="DN8" s="45">
        <v>30755</v>
      </c>
      <c r="DO8" s="45">
        <v>29707</v>
      </c>
      <c r="DP8" s="413"/>
      <c r="DQ8" s="147">
        <v>23450</v>
      </c>
      <c r="DR8" s="45"/>
      <c r="DS8" s="45"/>
      <c r="DT8" s="45"/>
      <c r="DU8" s="45"/>
      <c r="DV8" s="45"/>
      <c r="DW8" s="413"/>
      <c r="DX8" s="147"/>
      <c r="DY8" s="45"/>
      <c r="DZ8" s="45"/>
      <c r="EA8" s="45"/>
      <c r="EB8" s="45"/>
      <c r="EC8" s="45"/>
      <c r="ED8" s="413"/>
      <c r="EE8" s="147"/>
      <c r="EF8" s="45"/>
      <c r="EG8" s="45"/>
      <c r="EH8" s="45"/>
      <c r="EI8" s="45"/>
      <c r="EJ8" s="413"/>
      <c r="EK8" s="413"/>
      <c r="EL8" s="147"/>
      <c r="EM8" s="45"/>
      <c r="EN8" s="45"/>
      <c r="EO8" s="45"/>
      <c r="EP8" s="45"/>
      <c r="EQ8" s="45"/>
      <c r="ER8" s="413"/>
      <c r="ES8" s="147"/>
      <c r="ET8" s="45"/>
      <c r="EU8" s="45"/>
      <c r="EV8" s="45"/>
      <c r="EW8" s="45"/>
      <c r="EX8" s="45"/>
      <c r="EY8" s="505"/>
      <c r="EZ8" s="45"/>
      <c r="FA8" s="45"/>
      <c r="FB8" s="45"/>
      <c r="FC8" s="45"/>
      <c r="FD8" s="45"/>
      <c r="FE8" s="45"/>
      <c r="FF8" s="505"/>
      <c r="FG8" s="45"/>
      <c r="FH8" s="45"/>
      <c r="FI8" s="45"/>
      <c r="FJ8" s="45"/>
      <c r="FK8" s="45"/>
      <c r="FL8" s="45"/>
      <c r="FM8" s="505"/>
      <c r="FN8" s="45"/>
      <c r="FO8" s="45"/>
      <c r="FP8" s="45"/>
      <c r="FQ8" s="45"/>
      <c r="FR8" s="45"/>
      <c r="FS8" s="45"/>
      <c r="FT8" s="505"/>
      <c r="FU8" s="45"/>
      <c r="FV8" s="45"/>
      <c r="FW8" s="45"/>
      <c r="FX8" s="45"/>
      <c r="FY8" s="45"/>
      <c r="FZ8" s="45"/>
      <c r="GA8" s="505"/>
      <c r="GB8" s="45"/>
      <c r="GC8" s="45"/>
      <c r="GD8" s="45"/>
      <c r="GE8" s="45"/>
      <c r="GF8" s="45"/>
      <c r="GG8" s="45"/>
      <c r="GH8" s="505"/>
      <c r="GI8" s="45"/>
      <c r="GJ8" s="45"/>
      <c r="GK8" s="45"/>
      <c r="GL8" s="45"/>
      <c r="GM8" s="45"/>
      <c r="GN8" s="45"/>
      <c r="GO8" s="413"/>
      <c r="GP8" s="45"/>
      <c r="GQ8" s="45"/>
      <c r="GR8" s="45"/>
      <c r="GS8" s="45"/>
      <c r="GT8" s="45"/>
      <c r="GU8" s="45"/>
      <c r="GV8" s="413"/>
      <c r="GW8" s="45"/>
      <c r="GX8" s="45"/>
      <c r="GY8" s="45"/>
      <c r="GZ8" s="45"/>
      <c r="HA8" s="45"/>
      <c r="HB8" s="45"/>
      <c r="HC8" s="413"/>
      <c r="HD8" s="45"/>
      <c r="HE8" s="45"/>
      <c r="HF8" s="45"/>
      <c r="HG8" s="45"/>
      <c r="HH8" s="45"/>
      <c r="HI8" s="45"/>
      <c r="HJ8" s="413"/>
      <c r="HK8" s="45"/>
      <c r="HL8" s="45"/>
      <c r="HM8" s="45"/>
      <c r="HN8" s="45"/>
      <c r="HO8" s="45"/>
      <c r="HP8" s="45"/>
      <c r="HQ8" s="615"/>
      <c r="HR8" s="45"/>
      <c r="HS8" s="45"/>
      <c r="HT8" s="45"/>
      <c r="HU8" s="45"/>
      <c r="HV8" s="45"/>
      <c r="HW8" s="45"/>
      <c r="HX8" s="615"/>
      <c r="HY8" s="45"/>
      <c r="HZ8" s="45"/>
      <c r="IA8" s="45"/>
      <c r="IB8" s="45"/>
      <c r="IC8" s="45"/>
      <c r="ID8" s="45"/>
      <c r="IE8" s="413"/>
      <c r="IF8" s="45"/>
      <c r="IG8" s="45"/>
      <c r="IH8" s="45"/>
      <c r="II8" s="45"/>
      <c r="IJ8" s="45"/>
      <c r="IK8" s="45"/>
      <c r="IL8" s="413"/>
      <c r="IM8" s="45"/>
      <c r="IN8" s="45"/>
      <c r="IO8" s="45"/>
      <c r="IP8" s="45"/>
      <c r="IQ8" s="45"/>
      <c r="IR8" s="45"/>
      <c r="IS8" s="413"/>
      <c r="IT8" s="45"/>
      <c r="IU8" s="45"/>
      <c r="IV8" s="45"/>
      <c r="IW8" s="45"/>
      <c r="IX8" s="45"/>
      <c r="IY8" s="45"/>
      <c r="IZ8" s="413"/>
      <c r="JA8" s="45"/>
      <c r="JB8" s="45"/>
      <c r="JC8" s="45"/>
      <c r="JD8" s="45"/>
      <c r="JE8" s="45"/>
      <c r="JF8" s="45"/>
      <c r="JG8" s="413"/>
      <c r="JH8" s="45"/>
      <c r="JI8" s="45"/>
      <c r="JJ8" s="45"/>
      <c r="JK8" s="45"/>
      <c r="JL8" s="45"/>
      <c r="JM8" s="45"/>
      <c r="JN8" s="413"/>
      <c r="JO8" s="45"/>
      <c r="JP8" s="45"/>
      <c r="JQ8" s="45"/>
      <c r="JR8" s="45"/>
      <c r="JS8" s="45"/>
      <c r="JT8" s="45"/>
      <c r="JU8" s="413"/>
      <c r="JV8" s="45"/>
      <c r="JW8" s="45"/>
      <c r="JX8" s="45"/>
      <c r="JY8" s="45"/>
      <c r="JZ8" s="45"/>
      <c r="KA8" s="45"/>
      <c r="KB8" s="413"/>
    </row>
    <row r="9" spans="1:288" hidden="1" x14ac:dyDescent="0.3">
      <c r="A9" s="19" t="s">
        <v>125</v>
      </c>
      <c r="B9" s="83"/>
      <c r="H9" s="150"/>
      <c r="I9" s="165">
        <f t="shared" ref="I9:N9" si="36">I8/I4</f>
        <v>45.316062176165801</v>
      </c>
      <c r="J9" s="44">
        <f t="shared" si="36"/>
        <v>47.566473988439306</v>
      </c>
      <c r="K9" s="44">
        <f t="shared" si="36"/>
        <v>40.448979591836732</v>
      </c>
      <c r="L9" s="44">
        <f t="shared" si="36"/>
        <v>49.91245791245791</v>
      </c>
      <c r="M9" s="44">
        <f t="shared" si="36"/>
        <v>34.148275862068964</v>
      </c>
      <c r="N9" s="44">
        <f t="shared" si="36"/>
        <v>46.88486842105263</v>
      </c>
      <c r="O9" s="150"/>
      <c r="P9" s="83"/>
      <c r="Q9">
        <f>Q8/Q4</f>
        <v>32.817777777777778</v>
      </c>
      <c r="R9">
        <f>R8/R4</f>
        <v>37.329032258064515</v>
      </c>
      <c r="S9">
        <f>S8/S4</f>
        <v>33.110367892976591</v>
      </c>
      <c r="T9">
        <f>T8/T4</f>
        <v>25.986842105263158</v>
      </c>
      <c r="U9">
        <f>U8/U4</f>
        <v>41.891803278688528</v>
      </c>
      <c r="V9" s="150"/>
      <c r="W9" s="76">
        <f t="shared" ref="W9:AB9" si="37">W8/W4</f>
        <v>37.722033898305085</v>
      </c>
      <c r="X9" s="44">
        <f t="shared" si="37"/>
        <v>46.917808219178085</v>
      </c>
      <c r="Y9" s="44">
        <f t="shared" si="37"/>
        <v>47.138047138047135</v>
      </c>
      <c r="Z9" s="44">
        <f t="shared" si="37"/>
        <v>52.362126245847179</v>
      </c>
      <c r="AA9" s="44">
        <f t="shared" si="37"/>
        <v>43.027118644067798</v>
      </c>
      <c r="AB9" s="44">
        <f t="shared" si="37"/>
        <v>32.258064516129032</v>
      </c>
      <c r="AC9" s="66"/>
      <c r="AD9" s="76">
        <f>AD8/AD4</f>
        <v>45</v>
      </c>
      <c r="AE9" s="44">
        <f>AE8/AE4</f>
        <v>44.162436548223347</v>
      </c>
      <c r="AF9" s="44">
        <f>AF8/AF4</f>
        <v>47.115107913669064</v>
      </c>
      <c r="AG9" s="44">
        <f>AG8/AG4</f>
        <v>45.294117647058826</v>
      </c>
      <c r="AH9" s="78"/>
      <c r="AI9" s="44">
        <f>AI8/AI4</f>
        <v>43.275675675675679</v>
      </c>
      <c r="AJ9" s="66"/>
      <c r="AK9" s="76">
        <f>AK8/AK4</f>
        <v>52.314159292035399</v>
      </c>
      <c r="AL9" s="44">
        <f>AL8/AL4</f>
        <v>50.345714285714287</v>
      </c>
      <c r="AM9" s="44">
        <f>AM8/AM4</f>
        <v>50.919444444444444</v>
      </c>
      <c r="AN9" s="44">
        <f>AN8/AN4</f>
        <v>53.638814016172503</v>
      </c>
      <c r="AO9" s="44"/>
      <c r="AP9" s="44">
        <f>AP8/AP4</f>
        <v>44.478365384615387</v>
      </c>
      <c r="AQ9" s="66"/>
      <c r="AR9" s="76">
        <f t="shared" ref="AR9:AW9" si="38">AR8/AR4</f>
        <v>47.61904761904762</v>
      </c>
      <c r="AS9" s="44">
        <f t="shared" si="38"/>
        <v>45.811881188118811</v>
      </c>
      <c r="AT9" s="44">
        <f t="shared" si="38"/>
        <v>48.278325123152712</v>
      </c>
      <c r="AU9" s="44">
        <f t="shared" si="38"/>
        <v>51.725247524752476</v>
      </c>
      <c r="AV9" s="44">
        <f t="shared" si="38"/>
        <v>49.69777777777778</v>
      </c>
      <c r="AW9" s="44">
        <f t="shared" si="38"/>
        <v>48.963282937365008</v>
      </c>
      <c r="AX9" s="66"/>
      <c r="AY9" s="76">
        <f>AY8/AZ4</f>
        <v>61.868613138686129</v>
      </c>
      <c r="AZ9" s="44">
        <f>AZ8/AZ4</f>
        <v>39.291970802919707</v>
      </c>
      <c r="BA9" s="44">
        <f>BA8/BA4</f>
        <v>52.666666666666664</v>
      </c>
      <c r="BB9" s="88"/>
      <c r="BC9" s="44"/>
      <c r="BD9" s="44">
        <f>BD8/BD4</f>
        <v>46.6</v>
      </c>
      <c r="BE9" s="66"/>
      <c r="BF9" s="76">
        <f t="shared" ref="BF9:BK9" si="39">BF8/BF4</f>
        <v>48.651600753295668</v>
      </c>
      <c r="BG9" s="44">
        <f t="shared" si="39"/>
        <v>50.95</v>
      </c>
      <c r="BH9" s="44">
        <f t="shared" si="39"/>
        <v>50.357500000000002</v>
      </c>
      <c r="BI9" s="44">
        <f t="shared" si="39"/>
        <v>51.563333333333333</v>
      </c>
      <c r="BJ9" s="44">
        <f t="shared" si="39"/>
        <v>53.339788732394368</v>
      </c>
      <c r="BK9" s="44">
        <f t="shared" si="39"/>
        <v>41.666666666666664</v>
      </c>
      <c r="BL9" s="66"/>
      <c r="BM9" s="97" t="e">
        <f t="shared" ref="BM9:BR9" si="40">BM8/BM4</f>
        <v>#DIV/0!</v>
      </c>
      <c r="BN9" s="44">
        <f t="shared" si="40"/>
        <v>40</v>
      </c>
      <c r="BO9" s="44">
        <f t="shared" si="40"/>
        <v>43.522727272727273</v>
      </c>
      <c r="BP9" s="44">
        <f t="shared" si="40"/>
        <v>47.547272727272727</v>
      </c>
      <c r="BQ9" s="44">
        <f t="shared" si="40"/>
        <v>46.522633744855966</v>
      </c>
      <c r="BR9" s="44">
        <f t="shared" si="40"/>
        <v>48.888888888888886</v>
      </c>
      <c r="BS9" s="66"/>
      <c r="BT9" s="44">
        <f t="shared" ref="BT9:BY9" si="41">BT8/BT4</f>
        <v>43.333333333333336</v>
      </c>
      <c r="BU9" s="44">
        <f t="shared" si="41"/>
        <v>46.217592592592595</v>
      </c>
      <c r="BV9" s="44">
        <f t="shared" si="41"/>
        <v>51.685714285714283</v>
      </c>
      <c r="BW9" s="44">
        <f t="shared" si="41"/>
        <v>54.08</v>
      </c>
      <c r="BX9" s="44">
        <f t="shared" si="41"/>
        <v>51.227692307692308</v>
      </c>
      <c r="BY9" s="44">
        <f t="shared" si="41"/>
        <v>48.679245283018865</v>
      </c>
      <c r="BZ9" s="43"/>
      <c r="CA9" s="151">
        <f>CA8/CA4</f>
        <v>45.399696048632222</v>
      </c>
      <c r="CB9" s="44">
        <f>CB8/CB4</f>
        <v>38.44</v>
      </c>
      <c r="CC9" s="44">
        <f>CC8/CC4</f>
        <v>46.642512077294683</v>
      </c>
      <c r="CD9" s="44">
        <f>CD8/CD4</f>
        <v>49.75</v>
      </c>
      <c r="CE9" s="44">
        <f>CE8/CE4</f>
        <v>50.846969696969694</v>
      </c>
      <c r="CF9" s="44">
        <v>52</v>
      </c>
      <c r="CG9" s="150"/>
      <c r="CH9" s="159">
        <v>51</v>
      </c>
      <c r="CI9" s="160">
        <v>45</v>
      </c>
      <c r="CJ9" s="160">
        <v>48</v>
      </c>
      <c r="CK9" s="44">
        <f>CK8/CK4</f>
        <v>50</v>
      </c>
      <c r="CL9" s="44">
        <f>CL8/CL4</f>
        <v>49.301587301587304</v>
      </c>
      <c r="CM9" s="44">
        <f>CM8/CM4</f>
        <v>50.793650793650791</v>
      </c>
      <c r="CN9" s="150"/>
      <c r="CO9" s="151">
        <f t="shared" ref="CO9:CT9" si="42">CO8/CO4</f>
        <v>48.437142857142859</v>
      </c>
      <c r="CP9" s="44">
        <f t="shared" si="42"/>
        <v>47.09</v>
      </c>
      <c r="CQ9" s="44">
        <f t="shared" si="42"/>
        <v>47.37673130193906</v>
      </c>
      <c r="CR9" s="44">
        <f t="shared" si="42"/>
        <v>51.42</v>
      </c>
      <c r="CS9" s="44">
        <f t="shared" si="42"/>
        <v>48.75873015873016</v>
      </c>
      <c r="CT9" s="44">
        <f t="shared" si="42"/>
        <v>37.513750000000002</v>
      </c>
      <c r="CU9" s="150"/>
      <c r="CV9" s="151">
        <f t="shared" ref="CV9:DA9" si="43">CV8/CV4</f>
        <v>45.2</v>
      </c>
      <c r="CW9" s="44">
        <f t="shared" si="43"/>
        <v>44.224264705882355</v>
      </c>
      <c r="CX9" s="44">
        <f t="shared" si="43"/>
        <v>47.111111111111114</v>
      </c>
      <c r="CY9" s="44">
        <f t="shared" si="43"/>
        <v>50.206235011990408</v>
      </c>
      <c r="CZ9" s="44">
        <f t="shared" si="43"/>
        <v>49.861538461538458</v>
      </c>
      <c r="DA9" s="44">
        <f t="shared" si="43"/>
        <v>49.180306905370841</v>
      </c>
      <c r="DB9" s="150"/>
      <c r="DC9" s="151">
        <f>DC8/DC4</f>
        <v>46.747572815533978</v>
      </c>
      <c r="DD9" s="44">
        <v>40</v>
      </c>
      <c r="DE9" s="44">
        <f>DE8/DE4</f>
        <v>42.347826086956523</v>
      </c>
      <c r="DF9" s="44">
        <v>43</v>
      </c>
      <c r="DG9" s="44">
        <f>DG8/DG4</f>
        <v>48.136434108527133</v>
      </c>
      <c r="DH9" s="44">
        <f>DH8/DH4</f>
        <v>50.090047393364927</v>
      </c>
      <c r="DI9" s="150"/>
      <c r="DJ9" s="151">
        <f>DJ8/DJ4</f>
        <v>50.497777777777777</v>
      </c>
      <c r="DK9" s="88" t="e">
        <f>DK8/DK4</f>
        <v>#DIV/0!</v>
      </c>
      <c r="DL9" s="44">
        <v>44</v>
      </c>
      <c r="DM9" s="44">
        <v>48</v>
      </c>
      <c r="DN9" s="44">
        <v>50.4</v>
      </c>
      <c r="DO9" s="44">
        <v>49</v>
      </c>
      <c r="DP9" s="150"/>
      <c r="DQ9" s="151">
        <v>50</v>
      </c>
      <c r="DR9" s="44">
        <v>49</v>
      </c>
      <c r="DS9" s="44">
        <v>50.5</v>
      </c>
      <c r="DT9" s="44">
        <v>49</v>
      </c>
      <c r="DU9" s="44">
        <v>54</v>
      </c>
      <c r="DV9" s="44">
        <v>49.010950069167784</v>
      </c>
      <c r="DW9" s="150"/>
      <c r="DX9" s="151">
        <v>50</v>
      </c>
      <c r="DY9" s="44">
        <v>45</v>
      </c>
      <c r="DZ9" s="44">
        <v>49</v>
      </c>
      <c r="EA9" s="44">
        <v>49</v>
      </c>
      <c r="EB9" s="44">
        <v>50</v>
      </c>
      <c r="EC9" s="44">
        <f>EC8/EC4</f>
        <v>0</v>
      </c>
      <c r="ED9" s="150"/>
      <c r="EE9" s="151">
        <v>50</v>
      </c>
      <c r="EF9" s="44">
        <v>45</v>
      </c>
      <c r="EG9" s="44">
        <v>49</v>
      </c>
      <c r="EH9" s="44">
        <v>49</v>
      </c>
      <c r="EI9" s="44">
        <v>50</v>
      </c>
      <c r="EJ9" s="150"/>
      <c r="EK9" s="150"/>
      <c r="EL9" s="151"/>
      <c r="EM9" s="44"/>
      <c r="EN9" s="44"/>
      <c r="EO9" s="44"/>
      <c r="EP9" s="44"/>
      <c r="ER9" s="150"/>
      <c r="ES9" s="151"/>
      <c r="ET9" s="44"/>
      <c r="EU9" s="44"/>
      <c r="EV9" s="44"/>
      <c r="EW9" s="44"/>
      <c r="EY9" s="504"/>
      <c r="EZ9" s="44"/>
      <c r="FA9" s="44"/>
      <c r="FB9" s="44"/>
      <c r="FC9" s="44"/>
      <c r="FD9" s="44"/>
      <c r="FE9" s="44"/>
      <c r="FF9" s="504"/>
      <c r="FG9" s="44" t="str">
        <f t="shared" ref="FG9:FL9" si="44">IFERROR(FG8/FG7,"")</f>
        <v/>
      </c>
      <c r="FH9" s="44" t="str">
        <f t="shared" si="44"/>
        <v/>
      </c>
      <c r="FI9" s="44" t="str">
        <f t="shared" si="44"/>
        <v/>
      </c>
      <c r="FJ9" s="44" t="str">
        <f t="shared" si="44"/>
        <v/>
      </c>
      <c r="FK9" s="44" t="str">
        <f t="shared" si="44"/>
        <v/>
      </c>
      <c r="FL9" t="str">
        <f t="shared" si="44"/>
        <v/>
      </c>
      <c r="FM9" s="504"/>
      <c r="FN9" s="44">
        <f t="shared" ref="FN9:GO9" si="45">IFERROR(FN8/FN7,"")</f>
        <v>0</v>
      </c>
      <c r="FO9" s="44">
        <f t="shared" si="45"/>
        <v>0</v>
      </c>
      <c r="FP9" s="44" t="str">
        <f t="shared" si="45"/>
        <v/>
      </c>
      <c r="FQ9" s="44" t="str">
        <f t="shared" si="45"/>
        <v/>
      </c>
      <c r="FR9" s="44" t="str">
        <f t="shared" si="45"/>
        <v/>
      </c>
      <c r="FS9" t="str">
        <f t="shared" si="45"/>
        <v/>
      </c>
      <c r="FT9" s="504" t="str">
        <f t="shared" si="45"/>
        <v/>
      </c>
      <c r="FU9" s="44">
        <f t="shared" si="45"/>
        <v>0</v>
      </c>
      <c r="FV9" s="44">
        <f t="shared" si="45"/>
        <v>0</v>
      </c>
      <c r="FW9" s="44">
        <f t="shared" si="45"/>
        <v>0</v>
      </c>
      <c r="FX9" s="44">
        <f t="shared" si="45"/>
        <v>0</v>
      </c>
      <c r="FY9" s="44">
        <f t="shared" si="45"/>
        <v>0</v>
      </c>
      <c r="FZ9" t="str">
        <f t="shared" si="45"/>
        <v/>
      </c>
      <c r="GA9" s="504" t="str">
        <f t="shared" si="45"/>
        <v/>
      </c>
      <c r="GB9" s="44" t="str">
        <f t="shared" si="45"/>
        <v/>
      </c>
      <c r="GC9" s="44">
        <f t="shared" si="45"/>
        <v>0</v>
      </c>
      <c r="GD9" s="44">
        <f t="shared" si="45"/>
        <v>0</v>
      </c>
      <c r="GE9" s="44">
        <f t="shared" si="45"/>
        <v>0</v>
      </c>
      <c r="GF9" s="44">
        <f t="shared" si="45"/>
        <v>0</v>
      </c>
      <c r="GG9" t="str">
        <f t="shared" si="45"/>
        <v/>
      </c>
      <c r="GH9" s="504" t="str">
        <f t="shared" si="45"/>
        <v/>
      </c>
      <c r="GI9" s="44">
        <f t="shared" si="45"/>
        <v>0</v>
      </c>
      <c r="GJ9" s="44">
        <f t="shared" si="45"/>
        <v>0</v>
      </c>
      <c r="GK9" s="44">
        <f t="shared" si="45"/>
        <v>0</v>
      </c>
      <c r="GL9" s="44">
        <f t="shared" si="45"/>
        <v>0</v>
      </c>
      <c r="GM9" s="44">
        <f t="shared" si="45"/>
        <v>0</v>
      </c>
      <c r="GN9">
        <f t="shared" si="45"/>
        <v>0</v>
      </c>
      <c r="GO9" s="150" t="str">
        <f t="shared" si="45"/>
        <v/>
      </c>
      <c r="GP9" s="44">
        <f t="shared" ref="GP9:GV9" si="46">IFERROR(GP8/GP7,"")</f>
        <v>0</v>
      </c>
      <c r="GQ9" s="44">
        <f t="shared" si="46"/>
        <v>0</v>
      </c>
      <c r="GR9" s="44">
        <f t="shared" si="46"/>
        <v>0</v>
      </c>
      <c r="GS9" s="44">
        <f t="shared" si="46"/>
        <v>0</v>
      </c>
      <c r="GT9" s="44">
        <f t="shared" si="46"/>
        <v>0</v>
      </c>
      <c r="GU9">
        <f t="shared" si="46"/>
        <v>0</v>
      </c>
      <c r="GV9" s="150" t="str">
        <f t="shared" si="46"/>
        <v/>
      </c>
      <c r="GW9" s="44">
        <f t="shared" ref="GW9:IE9" si="47">IFERROR(GW8/GW7,"")</f>
        <v>0</v>
      </c>
      <c r="GX9" s="44">
        <f t="shared" si="47"/>
        <v>0</v>
      </c>
      <c r="GY9" s="44">
        <f t="shared" si="47"/>
        <v>0</v>
      </c>
      <c r="GZ9" s="44">
        <f t="shared" si="47"/>
        <v>0</v>
      </c>
      <c r="HA9" s="44">
        <f t="shared" si="47"/>
        <v>0</v>
      </c>
      <c r="HB9">
        <f t="shared" si="47"/>
        <v>0</v>
      </c>
      <c r="HC9" s="150" t="str">
        <f t="shared" si="47"/>
        <v/>
      </c>
      <c r="HD9" s="44">
        <f t="shared" si="47"/>
        <v>0</v>
      </c>
      <c r="HE9" s="44">
        <f t="shared" si="47"/>
        <v>0</v>
      </c>
      <c r="HF9" s="44">
        <f t="shared" si="47"/>
        <v>0</v>
      </c>
      <c r="HG9" s="44">
        <f t="shared" si="47"/>
        <v>0</v>
      </c>
      <c r="HH9" s="44">
        <f t="shared" si="47"/>
        <v>0</v>
      </c>
      <c r="HI9">
        <f t="shared" si="47"/>
        <v>0</v>
      </c>
      <c r="HJ9" s="150" t="str">
        <f t="shared" si="47"/>
        <v/>
      </c>
      <c r="HK9" s="44">
        <f t="shared" si="47"/>
        <v>0</v>
      </c>
      <c r="HL9" s="44">
        <f t="shared" si="47"/>
        <v>0</v>
      </c>
      <c r="HM9" s="44">
        <f t="shared" si="47"/>
        <v>0</v>
      </c>
      <c r="HN9" s="44">
        <f t="shared" si="47"/>
        <v>0</v>
      </c>
      <c r="HO9" s="44">
        <f t="shared" si="47"/>
        <v>0</v>
      </c>
      <c r="HP9">
        <f t="shared" si="47"/>
        <v>0</v>
      </c>
      <c r="HQ9" s="614" t="str">
        <f t="shared" si="47"/>
        <v/>
      </c>
      <c r="HR9" s="44">
        <f t="shared" si="47"/>
        <v>0</v>
      </c>
      <c r="HS9" s="44">
        <f t="shared" si="47"/>
        <v>0</v>
      </c>
      <c r="HT9" s="44" t="str">
        <f t="shared" si="47"/>
        <v/>
      </c>
      <c r="HU9" s="44">
        <f t="shared" si="47"/>
        <v>0</v>
      </c>
      <c r="HV9" s="44">
        <f t="shared" si="47"/>
        <v>0</v>
      </c>
      <c r="HW9" t="str">
        <f t="shared" si="47"/>
        <v/>
      </c>
      <c r="HX9" s="614" t="str">
        <f t="shared" si="47"/>
        <v/>
      </c>
      <c r="HY9" s="44">
        <f t="shared" si="47"/>
        <v>0</v>
      </c>
      <c r="HZ9" s="44">
        <f t="shared" si="47"/>
        <v>0</v>
      </c>
      <c r="IA9" s="44">
        <f t="shared" si="47"/>
        <v>0</v>
      </c>
      <c r="IB9" s="44" t="str">
        <f t="shared" si="47"/>
        <v/>
      </c>
      <c r="IC9" s="44" t="str">
        <f t="shared" si="47"/>
        <v/>
      </c>
      <c r="ID9" t="str">
        <f t="shared" si="47"/>
        <v/>
      </c>
      <c r="IE9" s="150" t="str">
        <f t="shared" si="47"/>
        <v/>
      </c>
      <c r="IF9" s="44">
        <f t="shared" ref="IF9:IS9" si="48">IFERROR(IF8/IF7,"")</f>
        <v>0</v>
      </c>
      <c r="IG9" s="44">
        <f t="shared" si="48"/>
        <v>0</v>
      </c>
      <c r="IH9" s="44">
        <f t="shared" si="48"/>
        <v>0</v>
      </c>
      <c r="II9" s="44">
        <f t="shared" si="48"/>
        <v>0</v>
      </c>
      <c r="IJ9" s="44">
        <f t="shared" si="48"/>
        <v>0</v>
      </c>
      <c r="IK9">
        <f t="shared" si="48"/>
        <v>0</v>
      </c>
      <c r="IL9" s="150" t="str">
        <f t="shared" si="48"/>
        <v/>
      </c>
      <c r="IM9" s="44" t="str">
        <f t="shared" si="48"/>
        <v/>
      </c>
      <c r="IN9" s="44" t="str">
        <f t="shared" si="48"/>
        <v/>
      </c>
      <c r="IO9" s="44">
        <f t="shared" si="48"/>
        <v>0</v>
      </c>
      <c r="IP9" s="44" t="str">
        <f t="shared" si="48"/>
        <v/>
      </c>
      <c r="IQ9" s="44" t="str">
        <f t="shared" si="48"/>
        <v/>
      </c>
      <c r="IR9" t="str">
        <f t="shared" si="48"/>
        <v/>
      </c>
      <c r="IS9" s="150" t="str">
        <f t="shared" si="48"/>
        <v/>
      </c>
      <c r="IT9" s="44" t="str">
        <f t="shared" ref="IT9:IZ9" si="49">IFERROR(IT8/IT7,"")</f>
        <v/>
      </c>
      <c r="IU9" s="44" t="str">
        <f t="shared" si="49"/>
        <v/>
      </c>
      <c r="IV9" s="44" t="str">
        <f t="shared" si="49"/>
        <v/>
      </c>
      <c r="IW9" s="44" t="str">
        <f t="shared" si="49"/>
        <v/>
      </c>
      <c r="IX9" s="44" t="str">
        <f t="shared" si="49"/>
        <v/>
      </c>
      <c r="IY9" t="str">
        <f t="shared" si="49"/>
        <v/>
      </c>
      <c r="IZ9" s="150" t="str">
        <f t="shared" si="49"/>
        <v/>
      </c>
      <c r="JA9" s="44" t="str">
        <f t="shared" ref="JA9:JU9" si="50">IFERROR(JA8/JA7,"")</f>
        <v/>
      </c>
      <c r="JB9" s="44" t="str">
        <f t="shared" si="50"/>
        <v/>
      </c>
      <c r="JC9" s="44" t="str">
        <f t="shared" si="50"/>
        <v/>
      </c>
      <c r="JD9" s="44" t="str">
        <f t="shared" si="50"/>
        <v/>
      </c>
      <c r="JE9" s="44" t="str">
        <f t="shared" si="50"/>
        <v/>
      </c>
      <c r="JF9" t="str">
        <f t="shared" si="50"/>
        <v/>
      </c>
      <c r="JG9" s="150" t="str">
        <f t="shared" si="50"/>
        <v/>
      </c>
      <c r="JH9" s="44" t="str">
        <f t="shared" si="50"/>
        <v/>
      </c>
      <c r="JI9" s="44" t="str">
        <f t="shared" si="50"/>
        <v/>
      </c>
      <c r="JJ9" s="44" t="str">
        <f t="shared" si="50"/>
        <v/>
      </c>
      <c r="JK9" s="44" t="str">
        <f t="shared" si="50"/>
        <v/>
      </c>
      <c r="JL9" s="44" t="str">
        <f t="shared" si="50"/>
        <v/>
      </c>
      <c r="JM9" t="str">
        <f t="shared" si="50"/>
        <v/>
      </c>
      <c r="JN9" s="150" t="str">
        <f t="shared" si="50"/>
        <v/>
      </c>
      <c r="JO9" s="44" t="str">
        <f t="shared" si="50"/>
        <v/>
      </c>
      <c r="JP9" s="44" t="str">
        <f t="shared" si="50"/>
        <v/>
      </c>
      <c r="JQ9" s="44" t="str">
        <f t="shared" si="50"/>
        <v/>
      </c>
      <c r="JR9" s="44" t="str">
        <f t="shared" si="50"/>
        <v/>
      </c>
      <c r="JS9" s="44" t="str">
        <f t="shared" si="50"/>
        <v/>
      </c>
      <c r="JT9" t="str">
        <f t="shared" si="50"/>
        <v/>
      </c>
      <c r="JU9" s="150" t="str">
        <f t="shared" si="50"/>
        <v/>
      </c>
      <c r="JV9" s="44" t="str">
        <f t="shared" ref="JV9:KB9" si="51">IFERROR(JV8/JV7,"")</f>
        <v/>
      </c>
      <c r="JW9" s="44" t="str">
        <f t="shared" si="51"/>
        <v/>
      </c>
      <c r="JX9" s="44" t="str">
        <f t="shared" si="51"/>
        <v/>
      </c>
      <c r="JY9" s="44" t="str">
        <f t="shared" si="51"/>
        <v/>
      </c>
      <c r="JZ9" s="44" t="str">
        <f t="shared" si="51"/>
        <v/>
      </c>
      <c r="KA9" t="str">
        <f t="shared" si="51"/>
        <v/>
      </c>
      <c r="KB9" s="150" t="str">
        <f t="shared" si="51"/>
        <v/>
      </c>
    </row>
    <row r="10" spans="1:288" s="45" customFormat="1" ht="15" thickBot="1" x14ac:dyDescent="0.35">
      <c r="A10" s="19" t="s">
        <v>124</v>
      </c>
      <c r="HB10" s="45">
        <v>46500</v>
      </c>
      <c r="HD10" s="45">
        <v>20000</v>
      </c>
      <c r="HE10" s="45">
        <v>20000</v>
      </c>
      <c r="HF10" s="45">
        <v>30912</v>
      </c>
      <c r="HH10" s="45">
        <v>34239</v>
      </c>
      <c r="HI10" s="45">
        <v>32900</v>
      </c>
      <c r="HJ10" s="606"/>
      <c r="HK10" s="45">
        <v>33543</v>
      </c>
      <c r="HL10" s="45">
        <v>25926</v>
      </c>
      <c r="HM10" s="45">
        <v>23855</v>
      </c>
      <c r="HN10" s="45">
        <v>20938</v>
      </c>
      <c r="HO10" s="45">
        <v>44474</v>
      </c>
      <c r="HP10" s="45">
        <v>43531</v>
      </c>
      <c r="HQ10" s="616"/>
      <c r="HR10" s="45">
        <v>29500</v>
      </c>
      <c r="HS10" s="45">
        <v>32454</v>
      </c>
      <c r="HU10" s="45">
        <v>38322</v>
      </c>
      <c r="HV10" s="45">
        <v>42800</v>
      </c>
      <c r="HW10" s="46"/>
      <c r="HX10" s="123"/>
      <c r="HY10" s="45">
        <v>30335</v>
      </c>
      <c r="HZ10" s="45">
        <v>17159</v>
      </c>
      <c r="IA10" s="45">
        <v>29261</v>
      </c>
      <c r="IB10" s="45">
        <v>31248</v>
      </c>
      <c r="IC10" s="45">
        <v>52335</v>
      </c>
      <c r="IE10" s="123"/>
      <c r="IJ10" s="45">
        <v>55124</v>
      </c>
      <c r="IL10" s="641"/>
      <c r="IM10" s="46">
        <v>60835</v>
      </c>
      <c r="IN10" s="45">
        <v>38546</v>
      </c>
      <c r="IO10" s="45">
        <v>41561</v>
      </c>
      <c r="IP10" s="45">
        <v>34500</v>
      </c>
      <c r="IQ10" s="45">
        <v>54835</v>
      </c>
      <c r="IS10" s="123"/>
      <c r="IT10" s="46"/>
      <c r="IZ10" s="123"/>
      <c r="JA10" s="46"/>
      <c r="JG10" s="123"/>
      <c r="JH10" s="46"/>
      <c r="JN10" s="123"/>
      <c r="JO10" s="46"/>
      <c r="JU10" s="123"/>
      <c r="JV10" s="46"/>
      <c r="KB10" s="123"/>
    </row>
    <row r="11" spans="1:288" ht="15" thickBot="1" x14ac:dyDescent="0.35">
      <c r="A11" s="444" t="s">
        <v>126</v>
      </c>
      <c r="B11" s="410">
        <v>693</v>
      </c>
      <c r="C11" s="50">
        <v>729</v>
      </c>
      <c r="D11" s="50">
        <v>992</v>
      </c>
      <c r="E11" s="50">
        <v>957</v>
      </c>
      <c r="F11" s="55">
        <v>907</v>
      </c>
      <c r="G11" s="55">
        <v>887</v>
      </c>
      <c r="H11" s="162">
        <v>453</v>
      </c>
      <c r="I11" s="410">
        <v>400</v>
      </c>
      <c r="J11" s="50">
        <v>642</v>
      </c>
      <c r="K11" s="50">
        <v>728</v>
      </c>
      <c r="L11" s="50">
        <v>683</v>
      </c>
      <c r="M11" s="55">
        <v>767</v>
      </c>
      <c r="N11" s="55">
        <v>799</v>
      </c>
      <c r="O11" s="162">
        <v>400</v>
      </c>
      <c r="P11" s="410"/>
      <c r="Q11" s="50">
        <v>717</v>
      </c>
      <c r="R11" s="50">
        <v>701</v>
      </c>
      <c r="S11" s="50">
        <v>669</v>
      </c>
      <c r="T11" s="55">
        <v>760</v>
      </c>
      <c r="U11" s="55">
        <v>845</v>
      </c>
      <c r="V11" s="162">
        <v>335</v>
      </c>
      <c r="W11" s="49">
        <v>570</v>
      </c>
      <c r="X11" s="50">
        <v>714</v>
      </c>
      <c r="Y11" s="50">
        <v>794</v>
      </c>
      <c r="Z11" s="50">
        <v>767</v>
      </c>
      <c r="AA11" s="50">
        <v>670</v>
      </c>
      <c r="AB11" s="50">
        <v>860</v>
      </c>
      <c r="AC11" s="51">
        <v>470</v>
      </c>
      <c r="AD11" s="49">
        <v>750</v>
      </c>
      <c r="AE11" s="50">
        <v>811</v>
      </c>
      <c r="AF11" s="50">
        <v>910</v>
      </c>
      <c r="AG11" s="50">
        <v>830</v>
      </c>
      <c r="AH11" s="55">
        <v>880</v>
      </c>
      <c r="AI11" s="55">
        <v>750</v>
      </c>
      <c r="AJ11" s="51">
        <v>380</v>
      </c>
      <c r="AK11" s="49">
        <v>800</v>
      </c>
      <c r="AL11" s="50">
        <v>800</v>
      </c>
      <c r="AM11" s="50">
        <v>800</v>
      </c>
      <c r="AN11" s="50">
        <v>800</v>
      </c>
      <c r="AO11" s="55">
        <v>900</v>
      </c>
      <c r="AP11" s="55">
        <v>900</v>
      </c>
      <c r="AQ11" s="51">
        <v>410</v>
      </c>
      <c r="AR11" s="49">
        <v>800</v>
      </c>
      <c r="AS11" s="50">
        <v>800</v>
      </c>
      <c r="AT11" s="50">
        <v>800</v>
      </c>
      <c r="AU11" s="50">
        <v>800</v>
      </c>
      <c r="AV11" s="55">
        <v>870</v>
      </c>
      <c r="AW11" s="55">
        <v>915</v>
      </c>
      <c r="AX11" s="51">
        <f>(18+94+117)</f>
        <v>229</v>
      </c>
      <c r="AY11" s="49">
        <v>890</v>
      </c>
      <c r="AZ11" s="50">
        <v>920</v>
      </c>
      <c r="BA11" s="50">
        <v>950</v>
      </c>
      <c r="BB11" s="80">
        <v>900</v>
      </c>
      <c r="BC11" s="55">
        <v>844</v>
      </c>
      <c r="BD11" s="55">
        <v>900</v>
      </c>
      <c r="BE11" s="51">
        <v>150</v>
      </c>
      <c r="BF11" s="49">
        <v>600</v>
      </c>
      <c r="BG11" s="50">
        <v>700</v>
      </c>
      <c r="BH11" s="50">
        <v>700</v>
      </c>
      <c r="BI11" s="50">
        <v>700</v>
      </c>
      <c r="BJ11" s="55">
        <v>900</v>
      </c>
      <c r="BK11" s="55">
        <v>900</v>
      </c>
      <c r="BL11" s="51">
        <v>450</v>
      </c>
      <c r="BM11" s="98"/>
      <c r="BN11" s="89">
        <v>0</v>
      </c>
      <c r="BO11" s="50">
        <v>900</v>
      </c>
      <c r="BP11" s="50">
        <v>800</v>
      </c>
      <c r="BQ11" s="55">
        <v>850</v>
      </c>
      <c r="BR11" s="55">
        <v>850</v>
      </c>
      <c r="BS11" s="51">
        <v>200</v>
      </c>
      <c r="BT11" s="120">
        <v>600</v>
      </c>
      <c r="BU11" s="74">
        <v>680</v>
      </c>
      <c r="BV11" s="74">
        <v>700</v>
      </c>
      <c r="BW11" s="74">
        <v>750</v>
      </c>
      <c r="BX11" s="121">
        <v>820</v>
      </c>
      <c r="BY11" s="121">
        <v>820</v>
      </c>
      <c r="BZ11" s="75">
        <v>190</v>
      </c>
      <c r="CA11" s="105">
        <v>650</v>
      </c>
      <c r="CB11" s="50">
        <v>715</v>
      </c>
      <c r="CC11" s="50">
        <v>704</v>
      </c>
      <c r="CD11" s="50">
        <v>740</v>
      </c>
      <c r="CE11" s="55">
        <v>750</v>
      </c>
      <c r="CF11" s="55">
        <v>800</v>
      </c>
      <c r="CG11" s="51">
        <v>190</v>
      </c>
      <c r="CH11" s="105">
        <v>460</v>
      </c>
      <c r="CI11" s="50">
        <v>760</v>
      </c>
      <c r="CJ11" s="50">
        <v>800</v>
      </c>
      <c r="CK11" s="50">
        <v>820</v>
      </c>
      <c r="CL11" s="55">
        <v>820</v>
      </c>
      <c r="CM11" s="55">
        <v>870</v>
      </c>
      <c r="CN11" s="51">
        <v>0</v>
      </c>
      <c r="CO11" s="105">
        <v>450</v>
      </c>
      <c r="CP11" s="50">
        <v>800</v>
      </c>
      <c r="CQ11" s="50">
        <v>800</v>
      </c>
      <c r="CR11" s="50">
        <v>700</v>
      </c>
      <c r="CS11" s="55">
        <v>700</v>
      </c>
      <c r="CT11" s="55">
        <v>800</v>
      </c>
      <c r="CU11" s="51">
        <v>90</v>
      </c>
      <c r="CV11" s="105">
        <v>396</v>
      </c>
      <c r="CW11" s="50">
        <v>710</v>
      </c>
      <c r="CX11" s="50">
        <v>776</v>
      </c>
      <c r="CY11" s="50">
        <v>730</v>
      </c>
      <c r="CZ11" s="55">
        <v>760</v>
      </c>
      <c r="DA11" s="55">
        <v>620</v>
      </c>
      <c r="DB11" s="50">
        <v>83</v>
      </c>
      <c r="DC11" s="164">
        <v>392</v>
      </c>
      <c r="DD11" s="50">
        <v>730</v>
      </c>
      <c r="DE11" s="50">
        <v>680</v>
      </c>
      <c r="DF11" s="50">
        <v>665</v>
      </c>
      <c r="DG11" s="55">
        <v>710</v>
      </c>
      <c r="DH11" s="55">
        <v>624</v>
      </c>
      <c r="DI11" s="162">
        <v>90</v>
      </c>
      <c r="DJ11" s="164">
        <v>500</v>
      </c>
      <c r="DK11" s="89"/>
      <c r="DL11" s="50">
        <v>684</v>
      </c>
      <c r="DM11" s="50">
        <v>630</v>
      </c>
      <c r="DN11" s="55">
        <v>820</v>
      </c>
      <c r="DO11" s="55">
        <v>680</v>
      </c>
      <c r="DP11" s="162">
        <v>90</v>
      </c>
      <c r="DQ11" s="164">
        <v>370</v>
      </c>
      <c r="DR11" s="80">
        <v>800</v>
      </c>
      <c r="DS11" s="80">
        <v>800</v>
      </c>
      <c r="DT11" s="50">
        <v>800</v>
      </c>
      <c r="DU11" s="55">
        <v>800</v>
      </c>
      <c r="DV11" s="55">
        <v>820</v>
      </c>
      <c r="DW11" s="162">
        <v>90</v>
      </c>
      <c r="DX11" s="164">
        <v>450</v>
      </c>
      <c r="DY11" s="80">
        <v>800</v>
      </c>
      <c r="DZ11" s="80">
        <v>800</v>
      </c>
      <c r="EA11" s="50">
        <v>800</v>
      </c>
      <c r="EB11" s="55">
        <v>800</v>
      </c>
      <c r="EC11" s="55">
        <v>800</v>
      </c>
      <c r="ED11" s="162">
        <v>90</v>
      </c>
      <c r="EE11" s="164">
        <v>400</v>
      </c>
      <c r="EF11" s="80">
        <v>800</v>
      </c>
      <c r="EG11" s="80">
        <v>800</v>
      </c>
      <c r="EH11" s="50">
        <v>790</v>
      </c>
      <c r="EI11" s="55">
        <v>750</v>
      </c>
      <c r="EJ11" s="55">
        <v>720</v>
      </c>
      <c r="EK11" s="309"/>
      <c r="EL11" s="164">
        <v>450</v>
      </c>
      <c r="EM11" s="80">
        <v>720</v>
      </c>
      <c r="EN11" s="80">
        <v>787</v>
      </c>
      <c r="EO11" s="50">
        <v>709</v>
      </c>
      <c r="EP11" s="55">
        <v>700</v>
      </c>
      <c r="EQ11" s="55">
        <v>680</v>
      </c>
      <c r="ER11" s="162">
        <v>90</v>
      </c>
      <c r="ES11" s="234">
        <v>350</v>
      </c>
      <c r="ET11" s="328">
        <v>800</v>
      </c>
      <c r="EU11" s="328">
        <v>800</v>
      </c>
      <c r="EV11" s="74">
        <v>750</v>
      </c>
      <c r="EW11" s="121">
        <v>850</v>
      </c>
      <c r="EX11" s="121">
        <v>820</v>
      </c>
      <c r="EY11" s="507">
        <v>90</v>
      </c>
      <c r="EZ11" s="74">
        <v>450</v>
      </c>
      <c r="FA11" s="74">
        <v>800</v>
      </c>
      <c r="FB11" s="74">
        <v>800</v>
      </c>
      <c r="FC11" s="74">
        <v>760</v>
      </c>
      <c r="FD11" s="74">
        <v>750</v>
      </c>
      <c r="FE11" s="74">
        <v>850</v>
      </c>
      <c r="FF11" s="507">
        <v>90</v>
      </c>
      <c r="FG11" s="74">
        <v>450</v>
      </c>
      <c r="FH11" s="74">
        <v>800</v>
      </c>
      <c r="FI11" s="74">
        <v>820</v>
      </c>
      <c r="FJ11" s="74">
        <v>800</v>
      </c>
      <c r="FK11" s="74">
        <v>820</v>
      </c>
      <c r="FL11" s="74">
        <v>820</v>
      </c>
      <c r="FM11" s="507">
        <v>90</v>
      </c>
      <c r="FN11" s="74" t="e">
        <f>INDEX(DB!#REF!,MATCH('Operations Forecast'!FN2,DB!#REF!),17)</f>
        <v>#REF!</v>
      </c>
      <c r="FO11" s="74" t="e">
        <f>INDEX(DB!#REF!,MATCH('Operations Forecast'!FO2,DB!#REF!),17)</f>
        <v>#REF!</v>
      </c>
      <c r="FP11" s="74">
        <v>820</v>
      </c>
      <c r="FQ11" s="74">
        <v>820</v>
      </c>
      <c r="FR11" s="74">
        <v>700</v>
      </c>
      <c r="FS11" s="74" t="e">
        <f>INDEX(DB!#REF!,MATCH('Operations Forecast'!FS2,DB!#REF!),17)</f>
        <v>#REF!</v>
      </c>
      <c r="FT11" s="507">
        <v>0</v>
      </c>
      <c r="FU11" s="74">
        <f>145+130+175</f>
        <v>450</v>
      </c>
      <c r="FV11" s="74" t="e">
        <f>INDEX(DB!#REF!,MATCH('Operations Forecast'!FV2,DB!#REF!),17)</f>
        <v>#REF!</v>
      </c>
      <c r="FW11" s="74" t="e">
        <f>INDEX(DB!#REF!,MATCH('Operations Forecast'!FW2,DB!#REF!),17)</f>
        <v>#REF!</v>
      </c>
      <c r="FX11" s="74">
        <v>820</v>
      </c>
      <c r="FY11" s="74">
        <v>820</v>
      </c>
      <c r="FZ11" s="74">
        <v>830</v>
      </c>
      <c r="GA11" s="507" t="e">
        <f>INDEX(DB!#REF!,MATCH('Operations Forecast'!GA2,DB!#REF!),17)</f>
        <v>#REF!</v>
      </c>
      <c r="GB11" s="74">
        <v>430</v>
      </c>
      <c r="GC11" s="74" t="e">
        <f>INDEX(DB!#REF!,MATCH('Operations Forecast'!GC2,DB!#REF!),17)</f>
        <v>#REF!</v>
      </c>
      <c r="GD11" s="74" t="e">
        <f>INDEX(DB!#REF!,MATCH('Operations Forecast'!GD2,DB!#REF!),17)</f>
        <v>#REF!</v>
      </c>
      <c r="GE11" s="74" t="e">
        <f>INDEX(DB!#REF!,MATCH('Operations Forecast'!GE2,DB!#REF!),17)</f>
        <v>#REF!</v>
      </c>
      <c r="GF11" s="74" t="e">
        <f>INDEX(DB!#REF!,MATCH('Operations Forecast'!GF2,DB!#REF!),17)</f>
        <v>#REF!</v>
      </c>
      <c r="GG11" s="74" t="e">
        <f>INDEX(DB!#REF!,MATCH('Operations Forecast'!GG2,DB!#REF!),17)</f>
        <v>#REF!</v>
      </c>
      <c r="GH11" s="507" t="e">
        <f>INDEX(DB!#REF!,MATCH('Operations Forecast'!GH2,DB!#REF!),17)</f>
        <v>#REF!</v>
      </c>
      <c r="GI11" s="74">
        <v>430</v>
      </c>
      <c r="GJ11" s="74">
        <v>740</v>
      </c>
      <c r="GK11" s="74">
        <v>840</v>
      </c>
      <c r="GL11" s="74">
        <v>850</v>
      </c>
      <c r="GM11" s="328">
        <v>830</v>
      </c>
      <c r="GN11" s="328">
        <v>855</v>
      </c>
      <c r="GO11" s="486" t="e">
        <f>INDEX(DB!#REF!,MATCH('Operations Forecast'!GO2,DB!#REF!),17)</f>
        <v>#REF!</v>
      </c>
      <c r="GP11" s="596">
        <v>413</v>
      </c>
      <c r="GQ11" s="597" t="e">
        <f>INDEX(DB!$3:$84,MATCH('Operations Forecast'!GQ2,DB!$D$3:$D$84),17)</f>
        <v>#N/A</v>
      </c>
      <c r="GR11" s="597" t="e">
        <f>INDEX(DB!$3:$84,MATCH('Operations Forecast'!GR2,DB!$D$3:$D$84),17)</f>
        <v>#N/A</v>
      </c>
      <c r="GS11" s="597" t="e">
        <f>INDEX(DB!$3:$84,MATCH('Operations Forecast'!GS2,DB!$D$3:$D$84),17)</f>
        <v>#N/A</v>
      </c>
      <c r="GT11" s="602">
        <v>900</v>
      </c>
      <c r="GU11" s="602">
        <v>880</v>
      </c>
      <c r="GV11" s="540" t="e">
        <f>INDEX(DB!$3:$84,MATCH('Operations Forecast'!GV2,DB!$D$3:$D$84),17)</f>
        <v>#N/A</v>
      </c>
      <c r="GW11" s="74">
        <v>470</v>
      </c>
      <c r="GX11" s="74">
        <v>830</v>
      </c>
      <c r="GY11" s="74" t="e">
        <f>INDEX(DB!$3:$84,MATCH('Operations Forecast'!GY2,DB!$D$3:$D$84),17)</f>
        <v>#N/A</v>
      </c>
      <c r="GZ11" s="74" t="e">
        <f>INDEX(DB!$3:$84,MATCH('Operations Forecast'!GZ2,DB!$D$3:$D$84),17)</f>
        <v>#N/A</v>
      </c>
      <c r="HA11" s="74" t="e">
        <f>INDEX(DB!$3:$84,MATCH('Operations Forecast'!HA2,DB!$D$3:$D$84),17)</f>
        <v>#N/A</v>
      </c>
      <c r="HB11" s="74" t="e">
        <f>INDEX(DB!$3:$84,MATCH('Operations Forecast'!HB2,DB!$D$3:$D$84),17)</f>
        <v>#N/A</v>
      </c>
      <c r="HC11" s="540" t="e">
        <f>INDEX(DB!$3:$84,MATCH('Operations Forecast'!HC2,DB!$D$3:$D$84),17)</f>
        <v>#N/A</v>
      </c>
      <c r="HD11" s="74" t="e">
        <f>INDEX(DB!$3:$84,MATCH('Operations Forecast'!HD2,DB!$D$3:$D$84),17)</f>
        <v>#N/A</v>
      </c>
      <c r="HE11" s="74">
        <v>830</v>
      </c>
      <c r="HF11" s="74">
        <v>830</v>
      </c>
      <c r="HG11" s="74">
        <v>830</v>
      </c>
      <c r="HH11" s="74" t="e">
        <f>INDEX(DB!$3:$84,MATCH('Operations Forecast'!HH2,DB!$D$3:$D$84),17)</f>
        <v>#N/A</v>
      </c>
      <c r="HI11" s="74" t="e">
        <f>INDEX(DB!$3:$84,MATCH('Operations Forecast'!HI2,DB!$D$3:$D$84),17)</f>
        <v>#N/A</v>
      </c>
      <c r="HJ11" s="603" t="e">
        <f>INDEX(DB!$3:$84,MATCH('Operations Forecast'!HJ2,DB!$D$3:$D$84),17)</f>
        <v>#N/A</v>
      </c>
      <c r="HK11" s="433" t="e">
        <f>INDEX(DB!$3:$84,MATCH('Operations Forecast'!HK2,DB!$D$3:$D$84),17)</f>
        <v>#N/A</v>
      </c>
      <c r="HL11" s="84">
        <v>900</v>
      </c>
      <c r="HM11" s="611">
        <v>850</v>
      </c>
      <c r="HN11" s="84" t="e">
        <f>INDEX(DB!$3:$84,MATCH('Operations Forecast'!HN2,DB!$D$3:$D$84),17)</f>
        <v>#N/A</v>
      </c>
      <c r="HO11" s="611">
        <v>820</v>
      </c>
      <c r="HP11" s="611">
        <v>820</v>
      </c>
      <c r="HQ11" s="617">
        <v>270</v>
      </c>
      <c r="HR11" s="74" t="e">
        <f>INDEX(DB!$3:$84,MATCH('Operations Forecast'!HR2,DB!$D$3:$D$84),17)</f>
        <v>#N/A</v>
      </c>
      <c r="HS11" s="74">
        <v>850</v>
      </c>
      <c r="HT11" s="74" t="e">
        <f>INDEX(DB!$3:$84,MATCH('Operations Forecast'!HT2,DB!$D$3:$D$84),17)</f>
        <v>#N/A</v>
      </c>
      <c r="HU11" s="74">
        <v>900</v>
      </c>
      <c r="HV11" s="74" t="e">
        <f>INDEX(DB!$3:$84,MATCH('Operations Forecast'!HV2,DB!$D$3:$D$84),17)</f>
        <v>#N/A</v>
      </c>
      <c r="HW11" s="74" t="e">
        <f>INDEX(DB!$3:$84,MATCH('Operations Forecast'!HW2,DB!$D$3:$D$84),17)</f>
        <v>#N/A</v>
      </c>
      <c r="HX11" s="540" t="e">
        <f>INDEX(DB!$3:$84,MATCH('Operations Forecast'!HX2,DB!$D$3:$D$84),17)</f>
        <v>#N/A</v>
      </c>
      <c r="HY11" s="74" t="e">
        <f>INDEX(DB!$3:$84,MATCH('Operations Forecast'!HY2,DB!$D$3:$D$84),17)</f>
        <v>#N/A</v>
      </c>
      <c r="HZ11" s="74" t="e">
        <f>INDEX(DB!$3:$84,MATCH('Operations Forecast'!HZ2,DB!$D$3:$D$84),17)</f>
        <v>#N/A</v>
      </c>
      <c r="IA11" s="74" t="e">
        <f>INDEX(DB!$3:$84,MATCH('Operations Forecast'!IA2,DB!$D$3:$D$84),17)</f>
        <v>#N/A</v>
      </c>
      <c r="IB11" s="74" t="e">
        <f>INDEX(DB!$3:$84,MATCH('Operations Forecast'!IB2,DB!$D$3:$D$84),17)</f>
        <v>#N/A</v>
      </c>
      <c r="IC11" s="74" t="e">
        <f>INDEX(DB!$3:$84,MATCH('Operations Forecast'!IC2,DB!$D$3:$D$84),17)</f>
        <v>#N/A</v>
      </c>
      <c r="ID11" s="74" t="e">
        <f>INDEX(DB!$3:$84,MATCH('Operations Forecast'!ID2,DB!$D$3:$D$84),17)</f>
        <v>#N/A</v>
      </c>
      <c r="IE11" s="540" t="e">
        <f>INDEX(DB!$3:$84,MATCH('Operations Forecast'!IE2,DB!$D$3:$D$84),17)</f>
        <v>#N/A</v>
      </c>
      <c r="IF11" s="74">
        <v>650</v>
      </c>
      <c r="IG11" s="74">
        <v>800</v>
      </c>
      <c r="IH11" s="74" t="e">
        <f>INDEX(DB!$3:$84,MATCH('Operations Forecast'!IH2,DB!$D$3:$D$84),17)</f>
        <v>#N/A</v>
      </c>
      <c r="II11" s="597" t="e">
        <f>INDEX(DB!$3:$84,MATCH('Operations Forecast'!II2,DB!$D$3:$D$84),17)</f>
        <v>#N/A</v>
      </c>
      <c r="IJ11" s="493">
        <v>851</v>
      </c>
      <c r="IK11" s="74">
        <v>910</v>
      </c>
      <c r="IL11" s="540">
        <v>155</v>
      </c>
      <c r="IM11" s="74">
        <f>800-90-63</f>
        <v>647</v>
      </c>
      <c r="IN11" s="74">
        <f>910-60</f>
        <v>850</v>
      </c>
      <c r="IO11" s="74">
        <f>335+210+365-4</f>
        <v>906</v>
      </c>
      <c r="IP11" s="74">
        <v>910</v>
      </c>
      <c r="IQ11" s="74" t="e">
        <f>INDEX(DB!$3:$84,MATCH('Operations Forecast'!IQ2,DB!$D$3:$D$84),17)</f>
        <v>#N/A</v>
      </c>
      <c r="IR11" s="74">
        <v>905</v>
      </c>
      <c r="IS11" s="540">
        <v>90</v>
      </c>
      <c r="IT11" s="74">
        <f>600-92</f>
        <v>508</v>
      </c>
      <c r="IU11" s="74">
        <f>905-77</f>
        <v>828</v>
      </c>
      <c r="IV11" s="74">
        <v>785</v>
      </c>
      <c r="IW11" s="653">
        <f>330+200+300-75-95</f>
        <v>660</v>
      </c>
      <c r="IX11" s="653">
        <v>821</v>
      </c>
      <c r="IY11" s="74">
        <v>840</v>
      </c>
      <c r="IZ11" s="654">
        <v>90</v>
      </c>
      <c r="JA11" s="653">
        <v>467</v>
      </c>
      <c r="JB11" s="74">
        <v>850</v>
      </c>
      <c r="JC11" s="74" t="e">
        <f>INDEX(DB!$3:$84,MATCH('Operations Forecast'!JC2,DB!$D$3:$D$84),17)</f>
        <v>#N/A</v>
      </c>
      <c r="JD11" s="74">
        <v>800</v>
      </c>
      <c r="JE11" s="74">
        <v>850</v>
      </c>
      <c r="JF11" s="74" t="e">
        <f>INDEX(DB!$3:$84,MATCH('Operations Forecast'!JF2,DB!$D$3:$D$84),17)</f>
        <v>#N/A</v>
      </c>
      <c r="JG11" s="645">
        <v>270</v>
      </c>
      <c r="JH11" s="655">
        <v>900</v>
      </c>
      <c r="JI11" s="74" t="e">
        <f>INDEX(DB!$3:$84,MATCH('Operations Forecast'!JI2,DB!$D$3:$D$84),17)</f>
        <v>#N/A</v>
      </c>
      <c r="JJ11" s="74" t="e">
        <f>INDEX(DB!$3:$84,MATCH('Operations Forecast'!JJ2,DB!$D$3:$D$84),17)</f>
        <v>#N/A</v>
      </c>
      <c r="JK11" s="74" t="e">
        <f>INDEX(DB!$3:$84,MATCH('Operations Forecast'!JK2,DB!$D$3:$D$84),17)</f>
        <v>#N/A</v>
      </c>
      <c r="JL11" s="74" t="e">
        <f>INDEX(DB!$3:$84,MATCH('Operations Forecast'!JL2,DB!$D$3:$D$84),17)</f>
        <v>#N/A</v>
      </c>
      <c r="JM11" s="74" t="e">
        <f>INDEX(DB!$3:$84,MATCH('Operations Forecast'!JM2,DB!$D$3:$D$84),17)</f>
        <v>#N/A</v>
      </c>
      <c r="JN11" s="645">
        <v>270</v>
      </c>
      <c r="JO11" s="655">
        <v>900</v>
      </c>
      <c r="JP11" s="74" t="e">
        <f>INDEX(DB!$3:$84,MATCH('Operations Forecast'!JP2,DB!$D$3:$D$84),17)</f>
        <v>#N/A</v>
      </c>
      <c r="JQ11" s="74" t="e">
        <f>INDEX(DB!$3:$84,MATCH('Operations Forecast'!JQ2,DB!$D$3:$D$84),17)</f>
        <v>#N/A</v>
      </c>
      <c r="JR11" s="74" t="e">
        <f>INDEX(DB!$3:$84,MATCH('Operations Forecast'!JR2,DB!$D$3:$D$84),17)</f>
        <v>#N/A</v>
      </c>
      <c r="JS11" s="74">
        <v>0</v>
      </c>
      <c r="JT11" s="74">
        <v>700</v>
      </c>
      <c r="JU11" s="540">
        <v>90</v>
      </c>
      <c r="JV11" s="655">
        <v>900</v>
      </c>
      <c r="JW11" s="74" t="e">
        <f>INDEX(DB!$3:$84,MATCH('Operations Forecast'!JW2,DB!$D$3:$D$84),17)</f>
        <v>#N/A</v>
      </c>
      <c r="JX11" s="74" t="e">
        <f>INDEX(DB!$3:$84,MATCH('Operations Forecast'!JX2,DB!$D$3:$D$84),17)</f>
        <v>#N/A</v>
      </c>
      <c r="JY11" s="74" t="e">
        <f>INDEX(DB!$3:$84,MATCH('Operations Forecast'!JY2,DB!$D$3:$D$84),17)</f>
        <v>#N/A</v>
      </c>
      <c r="JZ11" s="74">
        <v>0</v>
      </c>
      <c r="KA11" s="74">
        <v>700</v>
      </c>
      <c r="KB11" s="540">
        <v>90</v>
      </c>
    </row>
    <row r="12" spans="1:288" x14ac:dyDescent="0.3">
      <c r="A12" s="431" t="s">
        <v>121</v>
      </c>
      <c r="B12" s="83">
        <v>55</v>
      </c>
      <c r="C12">
        <v>55</v>
      </c>
      <c r="D12">
        <v>54</v>
      </c>
      <c r="E12">
        <v>57</v>
      </c>
      <c r="F12">
        <v>57</v>
      </c>
      <c r="G12">
        <v>50</v>
      </c>
      <c r="H12" s="126">
        <v>67</v>
      </c>
      <c r="I12" s="83">
        <v>51</v>
      </c>
      <c r="J12">
        <v>60</v>
      </c>
      <c r="K12">
        <v>63</v>
      </c>
      <c r="L12">
        <v>58</v>
      </c>
      <c r="M12">
        <v>58</v>
      </c>
      <c r="N12">
        <v>59</v>
      </c>
      <c r="O12" s="126">
        <v>60</v>
      </c>
      <c r="P12" s="83"/>
      <c r="Q12">
        <v>60</v>
      </c>
      <c r="R12">
        <v>55</v>
      </c>
      <c r="S12">
        <v>57</v>
      </c>
      <c r="T12">
        <v>56</v>
      </c>
      <c r="U12">
        <v>56</v>
      </c>
      <c r="V12" s="126">
        <v>52</v>
      </c>
      <c r="W12" s="73">
        <v>58</v>
      </c>
      <c r="X12">
        <v>60</v>
      </c>
      <c r="Y12">
        <v>57</v>
      </c>
      <c r="Z12">
        <v>56</v>
      </c>
      <c r="AA12">
        <v>56</v>
      </c>
      <c r="AB12">
        <v>52</v>
      </c>
      <c r="AC12" s="68">
        <v>53.5</v>
      </c>
      <c r="AD12" s="73">
        <v>55</v>
      </c>
      <c r="AE12">
        <v>52</v>
      </c>
      <c r="AF12">
        <v>55.5</v>
      </c>
      <c r="AG12">
        <v>56.6</v>
      </c>
      <c r="AH12">
        <v>57.6</v>
      </c>
      <c r="AI12">
        <v>55.3</v>
      </c>
      <c r="AJ12" s="68">
        <v>53.3</v>
      </c>
      <c r="AK12" s="73">
        <v>55.5</v>
      </c>
      <c r="AL12">
        <v>56</v>
      </c>
      <c r="AM12">
        <v>57</v>
      </c>
      <c r="AN12">
        <v>55</v>
      </c>
      <c r="AO12">
        <v>57</v>
      </c>
      <c r="AP12">
        <v>54</v>
      </c>
      <c r="AQ12" s="68">
        <v>58</v>
      </c>
      <c r="AR12" s="73">
        <v>54</v>
      </c>
      <c r="AS12">
        <v>54</v>
      </c>
      <c r="AT12">
        <v>54</v>
      </c>
      <c r="AU12">
        <v>54</v>
      </c>
      <c r="AV12">
        <v>54</v>
      </c>
      <c r="AW12">
        <v>54</v>
      </c>
      <c r="AX12" s="68">
        <v>54</v>
      </c>
      <c r="AY12" s="73">
        <v>50</v>
      </c>
      <c r="AZ12">
        <v>48.7</v>
      </c>
      <c r="BA12">
        <v>54</v>
      </c>
      <c r="BB12" s="85">
        <v>55</v>
      </c>
      <c r="BC12">
        <v>54</v>
      </c>
      <c r="BD12">
        <v>54</v>
      </c>
      <c r="BE12" s="68">
        <v>59</v>
      </c>
      <c r="BF12" s="73">
        <v>56</v>
      </c>
      <c r="BG12">
        <v>58</v>
      </c>
      <c r="BH12">
        <v>57</v>
      </c>
      <c r="BI12">
        <v>57</v>
      </c>
      <c r="BJ12">
        <v>56</v>
      </c>
      <c r="BK12">
        <v>56</v>
      </c>
      <c r="BL12" s="68">
        <v>60</v>
      </c>
      <c r="BM12" s="95">
        <v>54</v>
      </c>
      <c r="BN12" s="86">
        <v>54</v>
      </c>
      <c r="BO12">
        <v>53.8</v>
      </c>
      <c r="BP12">
        <v>52</v>
      </c>
      <c r="BQ12">
        <v>55</v>
      </c>
      <c r="BR12">
        <v>54</v>
      </c>
      <c r="BS12">
        <v>60</v>
      </c>
      <c r="BT12" s="82">
        <v>52</v>
      </c>
      <c r="BU12" s="93">
        <v>55</v>
      </c>
      <c r="BV12" s="93">
        <v>55</v>
      </c>
      <c r="BW12" s="93">
        <v>54</v>
      </c>
      <c r="BX12" s="93">
        <v>56.4</v>
      </c>
      <c r="BY12" s="93">
        <v>56.7</v>
      </c>
      <c r="BZ12" s="122">
        <v>55.8</v>
      </c>
      <c r="CA12" s="82">
        <v>51</v>
      </c>
      <c r="CB12" s="93">
        <v>52</v>
      </c>
      <c r="CC12" s="93">
        <v>55</v>
      </c>
      <c r="CD12" s="93">
        <v>54</v>
      </c>
      <c r="CE12" s="93">
        <v>59</v>
      </c>
      <c r="CF12" s="93">
        <v>53.3</v>
      </c>
      <c r="CG12" s="122">
        <v>55</v>
      </c>
      <c r="CH12" s="157">
        <v>52</v>
      </c>
      <c r="CI12" s="158">
        <v>53</v>
      </c>
      <c r="CJ12" s="158">
        <v>55</v>
      </c>
      <c r="CK12" s="158">
        <v>52</v>
      </c>
      <c r="CL12" s="93">
        <v>54</v>
      </c>
      <c r="CM12" s="93">
        <v>54</v>
      </c>
      <c r="CN12" s="122">
        <v>55</v>
      </c>
      <c r="CO12" s="103">
        <v>52</v>
      </c>
      <c r="CP12">
        <v>53</v>
      </c>
      <c r="CQ12">
        <v>54</v>
      </c>
      <c r="CR12">
        <v>54</v>
      </c>
      <c r="CS12">
        <v>58</v>
      </c>
      <c r="CT12">
        <v>54</v>
      </c>
      <c r="CU12" s="68">
        <v>55</v>
      </c>
      <c r="CV12" s="103">
        <v>53</v>
      </c>
      <c r="CW12">
        <v>49</v>
      </c>
      <c r="CX12">
        <v>52</v>
      </c>
      <c r="CY12">
        <v>52</v>
      </c>
      <c r="CZ12">
        <v>54</v>
      </c>
      <c r="DA12">
        <v>54</v>
      </c>
      <c r="DB12">
        <v>55</v>
      </c>
      <c r="DC12" s="125">
        <v>52</v>
      </c>
      <c r="DD12">
        <v>49</v>
      </c>
      <c r="DE12">
        <v>51</v>
      </c>
      <c r="DF12">
        <v>52</v>
      </c>
      <c r="DG12">
        <v>52</v>
      </c>
      <c r="DH12">
        <v>52</v>
      </c>
      <c r="DI12" s="126">
        <v>52</v>
      </c>
      <c r="DJ12" s="125">
        <v>52</v>
      </c>
      <c r="DK12" s="86">
        <v>52</v>
      </c>
      <c r="DL12">
        <v>52</v>
      </c>
      <c r="DM12">
        <v>52</v>
      </c>
      <c r="DN12">
        <v>52</v>
      </c>
      <c r="DO12">
        <v>52</v>
      </c>
      <c r="DP12" s="126">
        <v>58</v>
      </c>
      <c r="DQ12" s="234">
        <v>53</v>
      </c>
      <c r="DR12">
        <v>52</v>
      </c>
      <c r="DS12">
        <v>52</v>
      </c>
      <c r="DT12">
        <v>52</v>
      </c>
      <c r="DU12">
        <v>57</v>
      </c>
      <c r="DV12">
        <v>56</v>
      </c>
      <c r="DW12" s="126">
        <v>57</v>
      </c>
      <c r="DX12" s="234">
        <v>52</v>
      </c>
      <c r="DY12">
        <v>52</v>
      </c>
      <c r="DZ12">
        <v>52</v>
      </c>
      <c r="EA12">
        <v>50</v>
      </c>
      <c r="EB12">
        <v>53</v>
      </c>
      <c r="EC12">
        <v>53</v>
      </c>
      <c r="ED12" s="126">
        <v>52</v>
      </c>
      <c r="EE12" s="234">
        <v>52</v>
      </c>
      <c r="EF12">
        <v>52</v>
      </c>
      <c r="EG12">
        <v>49</v>
      </c>
      <c r="EH12">
        <v>50</v>
      </c>
      <c r="EI12">
        <v>53</v>
      </c>
      <c r="EJ12">
        <v>55</v>
      </c>
      <c r="EK12" s="134"/>
      <c r="EL12" s="310">
        <v>54.10027073688633</v>
      </c>
      <c r="EM12" s="44">
        <v>50</v>
      </c>
      <c r="EN12" s="44">
        <v>50</v>
      </c>
      <c r="EO12" s="44">
        <v>51</v>
      </c>
      <c r="EP12" s="44">
        <v>55</v>
      </c>
      <c r="EQ12" s="44">
        <v>55</v>
      </c>
      <c r="ER12" s="311">
        <v>65</v>
      </c>
      <c r="ES12" s="329">
        <v>52</v>
      </c>
      <c r="ET12" s="330">
        <v>52</v>
      </c>
      <c r="EU12" s="330">
        <v>55</v>
      </c>
      <c r="EV12" s="330">
        <v>54</v>
      </c>
      <c r="EW12" s="330">
        <v>55</v>
      </c>
      <c r="EX12" s="330">
        <v>56</v>
      </c>
      <c r="EY12" s="508">
        <v>55</v>
      </c>
      <c r="EZ12" s="330">
        <v>52</v>
      </c>
      <c r="FA12" s="330">
        <v>52</v>
      </c>
      <c r="FB12" s="330">
        <v>55</v>
      </c>
      <c r="FC12" s="330">
        <v>54</v>
      </c>
      <c r="FD12" s="330">
        <v>55</v>
      </c>
      <c r="FE12" s="330">
        <v>56</v>
      </c>
      <c r="FF12" s="508">
        <v>56.775323995259583</v>
      </c>
      <c r="FG12" s="330">
        <v>51.611038568591646</v>
      </c>
      <c r="FH12" s="330">
        <v>51</v>
      </c>
      <c r="FI12" s="330">
        <v>53.20100071508098</v>
      </c>
      <c r="FJ12" s="330">
        <v>51.14560358193679</v>
      </c>
      <c r="FK12" s="330">
        <v>54.90534249061669</v>
      </c>
      <c r="FL12" s="330">
        <v>55.117658193719386</v>
      </c>
      <c r="FM12" s="508">
        <v>59.665188951526574</v>
      </c>
      <c r="FN12" s="330" t="e">
        <f>INDEX(DB!#REF!,MATCH('Operations Forecast'!FN2,DB!#REF!),9)</f>
        <v>#REF!</v>
      </c>
      <c r="FO12" s="330" t="e">
        <f>INDEX(DB!#REF!,MATCH('Operations Forecast'!FO2,DB!#REF!),9)</f>
        <v>#REF!</v>
      </c>
      <c r="FP12" s="330" t="e">
        <f>INDEX(DB!#REF!,MATCH('Operations Forecast'!FP2,DB!#REF!),9)</f>
        <v>#REF!</v>
      </c>
      <c r="FQ12" s="330" t="e">
        <f>INDEX(DB!#REF!,MATCH('Operations Forecast'!FQ2,DB!#REF!),9)</f>
        <v>#REF!</v>
      </c>
      <c r="FR12" s="330" t="e">
        <f>INDEX(DB!#REF!,MATCH('Operations Forecast'!FR2,DB!#REF!),9)</f>
        <v>#REF!</v>
      </c>
      <c r="FS12" s="330" t="e">
        <f>INDEX(DB!#REF!,MATCH('Operations Forecast'!FS2,DB!#REF!),9)</f>
        <v>#REF!</v>
      </c>
      <c r="FT12" s="508" t="e">
        <f>INDEX(DB!#REF!,MATCH('Operations Forecast'!FT2,DB!#REF!),9)</f>
        <v>#REF!</v>
      </c>
      <c r="FU12" s="330" t="e">
        <f>INDEX(DB!#REF!,MATCH('Operations Forecast'!FU2,DB!#REF!),9)</f>
        <v>#REF!</v>
      </c>
      <c r="FV12" s="330" t="e">
        <f>INDEX(DB!#REF!,MATCH('Operations Forecast'!FV2,DB!#REF!),9)</f>
        <v>#REF!</v>
      </c>
      <c r="FW12" s="330" t="e">
        <f>INDEX(DB!#REF!,MATCH('Operations Forecast'!FW2,DB!#REF!),9)</f>
        <v>#REF!</v>
      </c>
      <c r="FX12" s="330" t="e">
        <f>INDEX(DB!#REF!,MATCH('Operations Forecast'!FX2,DB!#REF!),9)</f>
        <v>#REF!</v>
      </c>
      <c r="FY12" s="330" t="e">
        <f>INDEX(DB!#REF!,MATCH('Operations Forecast'!FY2,DB!#REF!),9)</f>
        <v>#REF!</v>
      </c>
      <c r="FZ12" s="330" t="e">
        <f>INDEX(DB!#REF!,MATCH('Operations Forecast'!FZ2,DB!#REF!),9)</f>
        <v>#REF!</v>
      </c>
      <c r="GA12" s="508" t="e">
        <f>INDEX(DB!#REF!,MATCH('Operations Forecast'!GA2,DB!#REF!),9)</f>
        <v>#REF!</v>
      </c>
      <c r="GB12" s="330">
        <v>50</v>
      </c>
      <c r="GC12" s="330" t="e">
        <f>INDEX(DB!#REF!,MATCH('Operations Forecast'!GC2,DB!#REF!),9)</f>
        <v>#REF!</v>
      </c>
      <c r="GD12" s="330" t="e">
        <f>INDEX(DB!#REF!,MATCH('Operations Forecast'!GD2,DB!#REF!),9)</f>
        <v>#REF!</v>
      </c>
      <c r="GE12" s="330" t="e">
        <f>INDEX(DB!#REF!,MATCH('Operations Forecast'!GE2,DB!#REF!),9)</f>
        <v>#REF!</v>
      </c>
      <c r="GF12" s="330" t="e">
        <f>INDEX(DB!#REF!,MATCH('Operations Forecast'!GF2,DB!#REF!),9)</f>
        <v>#REF!</v>
      </c>
      <c r="GG12" s="330" t="e">
        <f>INDEX(DB!#REF!,MATCH('Operations Forecast'!GG2,DB!#REF!),9)</f>
        <v>#REF!</v>
      </c>
      <c r="GH12" s="508" t="e">
        <f>INDEX(DB!#REF!,MATCH('Operations Forecast'!GH2,DB!#REF!),9)</f>
        <v>#REF!</v>
      </c>
      <c r="GI12" s="330" t="e">
        <f>INDEX(DB!#REF!,MATCH('Operations Forecast'!GI2,DB!#REF!),9)</f>
        <v>#REF!</v>
      </c>
      <c r="GJ12" s="330" t="e">
        <f>INDEX(DB!#REF!,MATCH('Operations Forecast'!GJ2,DB!#REF!),9)</f>
        <v>#REF!</v>
      </c>
      <c r="GK12" s="330" t="e">
        <f>INDEX(DB!#REF!,MATCH('Operations Forecast'!GK2,DB!#REF!),9)</f>
        <v>#REF!</v>
      </c>
      <c r="GL12" s="330" t="e">
        <f>INDEX(DB!#REF!,MATCH('Operations Forecast'!GL2,DB!#REF!),9)</f>
        <v>#REF!</v>
      </c>
      <c r="GM12" s="330">
        <v>54</v>
      </c>
      <c r="GN12" s="330" t="e">
        <f>INDEX(DB!#REF!,MATCH('Operations Forecast'!GN2,DB!#REF!),9)</f>
        <v>#REF!</v>
      </c>
      <c r="GO12" s="487">
        <v>56</v>
      </c>
      <c r="GP12" s="330" t="e">
        <f>INDEX(DB!$3:$84,MATCH('Operations Forecast'!GP2,DB!$D$3:$D$84),9)</f>
        <v>#N/A</v>
      </c>
      <c r="GQ12" s="330" t="e">
        <f>INDEX(DB!$3:$84,MATCH('Operations Forecast'!GQ2,DB!$D$3:$D$84),9)</f>
        <v>#N/A</v>
      </c>
      <c r="GR12" s="330" t="e">
        <f>INDEX(DB!$3:$84,MATCH('Operations Forecast'!GR2,DB!$D$3:$D$84),9)</f>
        <v>#N/A</v>
      </c>
      <c r="GS12" s="330" t="e">
        <f>INDEX(DB!$3:$84,MATCH('Operations Forecast'!GS2,DB!$D$3:$D$84),9)</f>
        <v>#N/A</v>
      </c>
      <c r="GT12" s="330" t="e">
        <f>INDEX(DB!$3:$84,MATCH('Operations Forecast'!GT2,DB!$D$3:$D$84),9)</f>
        <v>#N/A</v>
      </c>
      <c r="GU12" s="330" t="e">
        <f>INDEX(DB!$3:$84,MATCH('Operations Forecast'!GU2,DB!$D$3:$D$84),9)</f>
        <v>#N/A</v>
      </c>
      <c r="GV12" s="487" t="e">
        <f>INDEX(DB!$3:$84,MATCH('Operations Forecast'!GV2,DB!$D$3:$D$84),9)</f>
        <v>#N/A</v>
      </c>
      <c r="GW12" s="330">
        <v>50</v>
      </c>
      <c r="GX12" s="330">
        <v>51</v>
      </c>
      <c r="GY12" s="330">
        <v>51</v>
      </c>
      <c r="GZ12" s="330" t="e">
        <f>INDEX(DB!$3:$84,MATCH('Operations Forecast'!GZ2,DB!$D$3:$D$84),9)</f>
        <v>#N/A</v>
      </c>
      <c r="HA12" s="330">
        <v>55</v>
      </c>
      <c r="HB12" s="330" t="e">
        <f>INDEX(DB!$3:$84,MATCH('Operations Forecast'!HB2,DB!$D$3:$D$84),9)</f>
        <v>#N/A</v>
      </c>
      <c r="HC12" s="487" t="e">
        <f>INDEX(DB!$3:$84,MATCH('Operations Forecast'!HC2,DB!$D$3:$D$84),9)</f>
        <v>#N/A</v>
      </c>
      <c r="HD12" s="330">
        <v>53</v>
      </c>
      <c r="HE12" s="330">
        <v>51</v>
      </c>
      <c r="HF12" s="330" t="e">
        <f>INDEX(DB!$3:$84,MATCH('Operations Forecast'!HF2,DB!$D$3:$D$84),9)</f>
        <v>#N/A</v>
      </c>
      <c r="HG12" s="330">
        <v>54</v>
      </c>
      <c r="HH12" s="608">
        <v>55</v>
      </c>
      <c r="HI12" s="608">
        <v>57.6</v>
      </c>
      <c r="HJ12" s="604" t="e">
        <f>INDEX(DB!$3:$84,MATCH('Operations Forecast'!HJ2,DB!$D$3:$D$84),9)</f>
        <v>#N/A</v>
      </c>
      <c r="HK12" s="53">
        <v>57.4</v>
      </c>
      <c r="HL12" s="53">
        <v>59</v>
      </c>
      <c r="HM12" s="53">
        <v>59.8</v>
      </c>
      <c r="HN12" s="53">
        <v>58.5</v>
      </c>
      <c r="HO12" s="53">
        <v>60</v>
      </c>
      <c r="HP12" s="53">
        <v>58.8</v>
      </c>
      <c r="HQ12" s="618">
        <v>59.6</v>
      </c>
      <c r="HR12" s="608">
        <v>55.5</v>
      </c>
      <c r="HS12" s="608">
        <v>56.8</v>
      </c>
      <c r="HT12" s="608" t="e">
        <f>INDEX(DB!$3:$84,MATCH('Operations Forecast'!HT2,DB!$D$3:$D$84),9)</f>
        <v>#N/A</v>
      </c>
      <c r="HU12" s="608">
        <v>53.3</v>
      </c>
      <c r="HV12" s="608">
        <v>53.8</v>
      </c>
      <c r="HW12" s="608">
        <v>54.5</v>
      </c>
      <c r="HX12" s="487">
        <v>58</v>
      </c>
      <c r="HY12" s="330">
        <v>52</v>
      </c>
      <c r="HZ12" s="330">
        <v>49.5</v>
      </c>
      <c r="IA12" s="330">
        <v>51.8</v>
      </c>
      <c r="IB12" s="330" t="e">
        <f>INDEX(DB!$3:$84,MATCH('Operations Forecast'!IB2,DB!$D$3:$D$84),9)</f>
        <v>#N/A</v>
      </c>
      <c r="IC12" s="330">
        <v>50.9</v>
      </c>
      <c r="ID12" s="330">
        <v>52</v>
      </c>
      <c r="IE12" s="487">
        <v>56</v>
      </c>
      <c r="IF12" s="330">
        <v>49</v>
      </c>
      <c r="IG12" s="330">
        <v>51</v>
      </c>
      <c r="IH12" s="330">
        <v>52</v>
      </c>
      <c r="II12" s="330">
        <v>53</v>
      </c>
      <c r="IJ12" s="330">
        <v>56</v>
      </c>
      <c r="IK12" s="330">
        <v>55</v>
      </c>
      <c r="IL12" s="487">
        <v>58.6</v>
      </c>
      <c r="IM12" s="330">
        <v>52</v>
      </c>
      <c r="IN12" s="330">
        <v>53</v>
      </c>
      <c r="IO12" s="330">
        <v>56</v>
      </c>
      <c r="IP12" s="330">
        <v>55</v>
      </c>
      <c r="IQ12" s="330">
        <v>56</v>
      </c>
      <c r="IR12" s="330">
        <v>53.6</v>
      </c>
      <c r="IS12" s="487">
        <v>62</v>
      </c>
      <c r="IT12" s="330">
        <v>50</v>
      </c>
      <c r="IU12" s="330">
        <v>51</v>
      </c>
      <c r="IV12" s="330">
        <v>52.4</v>
      </c>
      <c r="IW12" s="330">
        <v>51</v>
      </c>
      <c r="IX12" s="330">
        <v>54.4</v>
      </c>
      <c r="IY12" s="330">
        <v>54</v>
      </c>
      <c r="IZ12" s="487" t="e">
        <f>INDEX(DB!$3:$84,MATCH('Operations Forecast'!IZ2,DB!$D$3:$D$84),9)</f>
        <v>#N/A</v>
      </c>
      <c r="JA12" s="330">
        <v>51.3</v>
      </c>
      <c r="JB12" s="330">
        <v>51</v>
      </c>
      <c r="JC12" s="330">
        <v>54</v>
      </c>
      <c r="JD12" s="330" t="e">
        <f>INDEX(DB!$3:$84,MATCH('Operations Forecast'!JD2,DB!$D$3:$D$84),9)</f>
        <v>#N/A</v>
      </c>
      <c r="JE12" s="330" t="e">
        <f>INDEX(DB!$3:$84,MATCH('Operations Forecast'!JE2,DB!$D$3:$D$84),9)</f>
        <v>#N/A</v>
      </c>
      <c r="JF12" s="330" t="e">
        <f>INDEX(DB!$3:$84,MATCH('Operations Forecast'!JF2,DB!$D$3:$D$84),9)</f>
        <v>#N/A</v>
      </c>
      <c r="JG12" s="487">
        <v>56</v>
      </c>
      <c r="JH12" s="330">
        <v>51.973277876430643</v>
      </c>
      <c r="JI12" s="330">
        <v>51.437175460558819</v>
      </c>
      <c r="JJ12" s="330">
        <v>53.284547205801012</v>
      </c>
      <c r="JK12" s="330">
        <v>51.85348425677082</v>
      </c>
      <c r="JL12" s="330">
        <v>0</v>
      </c>
      <c r="JM12" s="330">
        <v>54.253292303402837</v>
      </c>
      <c r="JN12" s="487">
        <v>57.545463184793881</v>
      </c>
      <c r="JO12" s="330">
        <v>54.953661374054477</v>
      </c>
      <c r="JP12" s="330">
        <v>54.638601471869755</v>
      </c>
      <c r="JQ12" s="330">
        <v>56.478877691338361</v>
      </c>
      <c r="JR12" s="330">
        <v>52.13299966667369</v>
      </c>
      <c r="JS12" s="330">
        <v>53.865864704301458</v>
      </c>
      <c r="JT12" s="330">
        <v>54.531342690833036</v>
      </c>
      <c r="JU12" s="487">
        <v>57.80638470888772</v>
      </c>
      <c r="JV12" s="330">
        <v>54.953661374054477</v>
      </c>
      <c r="JW12" s="330">
        <v>54.638601471869755</v>
      </c>
      <c r="JX12" s="330">
        <v>56.478877691338361</v>
      </c>
      <c r="JY12" s="330">
        <v>52.13299966667369</v>
      </c>
      <c r="JZ12" s="330">
        <v>53.865864704301458</v>
      </c>
      <c r="KA12" s="330">
        <v>54.531342690833036</v>
      </c>
      <c r="KB12" s="487">
        <v>57.80638470888772</v>
      </c>
    </row>
    <row r="13" spans="1:288" x14ac:dyDescent="0.3">
      <c r="A13" s="19" t="s">
        <v>122</v>
      </c>
      <c r="B13" s="124">
        <f t="shared" ref="B13:O13" si="52">B12*B11</f>
        <v>38115</v>
      </c>
      <c r="C13" s="45">
        <f t="shared" si="52"/>
        <v>40095</v>
      </c>
      <c r="D13" s="45">
        <f t="shared" si="52"/>
        <v>53568</v>
      </c>
      <c r="E13" s="45">
        <f t="shared" si="52"/>
        <v>54549</v>
      </c>
      <c r="F13" s="45">
        <f t="shared" si="52"/>
        <v>51699</v>
      </c>
      <c r="G13" s="45">
        <f t="shared" si="52"/>
        <v>44350</v>
      </c>
      <c r="H13" s="123">
        <f t="shared" si="52"/>
        <v>30351</v>
      </c>
      <c r="I13" s="124">
        <f t="shared" si="52"/>
        <v>20400</v>
      </c>
      <c r="J13" s="45">
        <f t="shared" si="52"/>
        <v>38520</v>
      </c>
      <c r="K13" s="45">
        <f t="shared" si="52"/>
        <v>45864</v>
      </c>
      <c r="L13" s="45">
        <f t="shared" si="52"/>
        <v>39614</v>
      </c>
      <c r="M13" s="45">
        <f t="shared" si="52"/>
        <v>44486</v>
      </c>
      <c r="N13" s="45">
        <f t="shared" si="52"/>
        <v>47141</v>
      </c>
      <c r="O13" s="123">
        <f t="shared" si="52"/>
        <v>24000</v>
      </c>
      <c r="P13" s="124"/>
      <c r="Q13" s="45">
        <f t="shared" ref="Q13:Y13" si="53">Q12*Q11</f>
        <v>43020</v>
      </c>
      <c r="R13" s="45">
        <f t="shared" si="53"/>
        <v>38555</v>
      </c>
      <c r="S13" s="45">
        <f t="shared" si="53"/>
        <v>38133</v>
      </c>
      <c r="T13" s="45">
        <f t="shared" si="53"/>
        <v>42560</v>
      </c>
      <c r="U13" s="45">
        <f t="shared" si="53"/>
        <v>47320</v>
      </c>
      <c r="V13" s="123">
        <f t="shared" si="53"/>
        <v>17420</v>
      </c>
      <c r="W13" s="62">
        <f t="shared" si="53"/>
        <v>33060</v>
      </c>
      <c r="X13" s="45">
        <f t="shared" si="53"/>
        <v>42840</v>
      </c>
      <c r="Y13" s="45">
        <f t="shared" si="53"/>
        <v>45258</v>
      </c>
      <c r="Z13" s="45">
        <f>Z12*Z11</f>
        <v>42952</v>
      </c>
      <c r="AA13" s="45">
        <f>AA12*AA11</f>
        <v>37520</v>
      </c>
      <c r="AB13" s="45">
        <f>AB12*AB11</f>
        <v>44720</v>
      </c>
      <c r="AC13" s="48">
        <f>AC12*AC11</f>
        <v>25145</v>
      </c>
      <c r="AD13" s="62">
        <f t="shared" ref="AD13" si="54">AD12*AD11</f>
        <v>41250</v>
      </c>
      <c r="AE13" s="45">
        <f t="shared" ref="AE13:AK13" si="55">AE12*AE11</f>
        <v>42172</v>
      </c>
      <c r="AF13" s="45">
        <f t="shared" si="55"/>
        <v>50505</v>
      </c>
      <c r="AG13" s="45">
        <f t="shared" si="55"/>
        <v>46978</v>
      </c>
      <c r="AH13" s="45">
        <f t="shared" si="55"/>
        <v>50688</v>
      </c>
      <c r="AI13" s="45">
        <f t="shared" si="55"/>
        <v>41475</v>
      </c>
      <c r="AJ13" s="48">
        <f t="shared" si="55"/>
        <v>20254</v>
      </c>
      <c r="AK13" s="62">
        <f t="shared" si="55"/>
        <v>44400</v>
      </c>
      <c r="AL13" s="45">
        <f t="shared" ref="AL13:AR13" si="56">AL12*AL11</f>
        <v>44800</v>
      </c>
      <c r="AM13" s="45">
        <f t="shared" si="56"/>
        <v>45600</v>
      </c>
      <c r="AN13" s="45">
        <f t="shared" si="56"/>
        <v>44000</v>
      </c>
      <c r="AO13" s="45">
        <f t="shared" si="56"/>
        <v>51300</v>
      </c>
      <c r="AP13" s="45">
        <f t="shared" si="56"/>
        <v>48600</v>
      </c>
      <c r="AQ13" s="48">
        <f t="shared" si="56"/>
        <v>23780</v>
      </c>
      <c r="AR13" s="62">
        <f t="shared" si="56"/>
        <v>43200</v>
      </c>
      <c r="AS13" s="45">
        <f t="shared" ref="AS13:AY13" si="57">AS12*AS11</f>
        <v>43200</v>
      </c>
      <c r="AT13" s="45">
        <f t="shared" si="57"/>
        <v>43200</v>
      </c>
      <c r="AU13" s="45">
        <f t="shared" si="57"/>
        <v>43200</v>
      </c>
      <c r="AV13" s="45">
        <f t="shared" si="57"/>
        <v>46980</v>
      </c>
      <c r="AW13" s="45">
        <f t="shared" si="57"/>
        <v>49410</v>
      </c>
      <c r="AX13" s="48">
        <f t="shared" si="57"/>
        <v>12366</v>
      </c>
      <c r="AY13" s="62">
        <f t="shared" si="57"/>
        <v>44500</v>
      </c>
      <c r="AZ13" s="45">
        <f t="shared" ref="AZ13:BL13" si="58">AZ12*AZ11</f>
        <v>44804</v>
      </c>
      <c r="BA13" s="45">
        <f t="shared" si="58"/>
        <v>51300</v>
      </c>
      <c r="BB13" s="45">
        <f t="shared" si="58"/>
        <v>49500</v>
      </c>
      <c r="BC13" s="45">
        <f t="shared" si="58"/>
        <v>45576</v>
      </c>
      <c r="BD13" s="45">
        <f t="shared" si="58"/>
        <v>48600</v>
      </c>
      <c r="BE13" s="48">
        <f t="shared" si="58"/>
        <v>8850</v>
      </c>
      <c r="BF13" s="62">
        <f t="shared" si="58"/>
        <v>33600</v>
      </c>
      <c r="BG13" s="45">
        <f t="shared" si="58"/>
        <v>40600</v>
      </c>
      <c r="BH13" s="45">
        <f t="shared" si="58"/>
        <v>39900</v>
      </c>
      <c r="BI13" s="45">
        <f t="shared" si="58"/>
        <v>39900</v>
      </c>
      <c r="BJ13" s="45">
        <f t="shared" si="58"/>
        <v>50400</v>
      </c>
      <c r="BK13" s="45">
        <f t="shared" si="58"/>
        <v>50400</v>
      </c>
      <c r="BL13" s="48">
        <f t="shared" si="58"/>
        <v>27000</v>
      </c>
      <c r="BM13" s="96">
        <f t="shared" ref="BM13:BS13" si="59">BM12*BM11</f>
        <v>0</v>
      </c>
      <c r="BN13" s="87">
        <f t="shared" si="59"/>
        <v>0</v>
      </c>
      <c r="BO13" s="45">
        <f t="shared" si="59"/>
        <v>48420</v>
      </c>
      <c r="BP13" s="45">
        <f t="shared" si="59"/>
        <v>41600</v>
      </c>
      <c r="BQ13" s="45">
        <f t="shared" si="59"/>
        <v>46750</v>
      </c>
      <c r="BR13" s="45">
        <f t="shared" si="59"/>
        <v>45900</v>
      </c>
      <c r="BS13" s="45">
        <f t="shared" si="59"/>
        <v>12000</v>
      </c>
      <c r="BT13" s="83">
        <f t="shared" ref="BT13:BZ13" si="60">BT12*BT11</f>
        <v>31200</v>
      </c>
      <c r="BU13" s="45">
        <f t="shared" si="60"/>
        <v>37400</v>
      </c>
      <c r="BV13" s="45">
        <f t="shared" si="60"/>
        <v>38500</v>
      </c>
      <c r="BW13" s="45">
        <f t="shared" si="60"/>
        <v>40500</v>
      </c>
      <c r="BX13" s="45">
        <f t="shared" si="60"/>
        <v>46248</v>
      </c>
      <c r="BY13" s="45">
        <f t="shared" si="60"/>
        <v>46494</v>
      </c>
      <c r="BZ13" s="123">
        <f t="shared" si="60"/>
        <v>10602</v>
      </c>
      <c r="CA13" s="83">
        <f t="shared" ref="CA13:CG13" si="61">CA12*CA11</f>
        <v>33150</v>
      </c>
      <c r="CB13" s="45">
        <f t="shared" si="61"/>
        <v>37180</v>
      </c>
      <c r="CC13" s="45">
        <f t="shared" si="61"/>
        <v>38720</v>
      </c>
      <c r="CD13" s="45">
        <f t="shared" si="61"/>
        <v>39960</v>
      </c>
      <c r="CE13" s="45">
        <f t="shared" si="61"/>
        <v>44250</v>
      </c>
      <c r="CF13" s="45">
        <f t="shared" si="61"/>
        <v>42640</v>
      </c>
      <c r="CG13" s="123">
        <f t="shared" si="61"/>
        <v>10450</v>
      </c>
      <c r="CH13" s="83">
        <f t="shared" ref="CH13:CN13" si="62">CH12*CH11</f>
        <v>23920</v>
      </c>
      <c r="CI13" s="45">
        <f t="shared" si="62"/>
        <v>40280</v>
      </c>
      <c r="CJ13" s="45">
        <f t="shared" si="62"/>
        <v>44000</v>
      </c>
      <c r="CK13" s="45">
        <f>CK12*CK11</f>
        <v>42640</v>
      </c>
      <c r="CL13" s="45">
        <f t="shared" si="62"/>
        <v>44280</v>
      </c>
      <c r="CM13" s="45">
        <f t="shared" si="62"/>
        <v>46980</v>
      </c>
      <c r="CN13" s="123">
        <f t="shared" si="62"/>
        <v>0</v>
      </c>
      <c r="CO13" s="104">
        <f t="shared" ref="CO13:DB13" si="63">CO12*CO11</f>
        <v>23400</v>
      </c>
      <c r="CP13" s="45">
        <f>CP12*CP11</f>
        <v>42400</v>
      </c>
      <c r="CQ13" s="45">
        <f t="shared" si="63"/>
        <v>43200</v>
      </c>
      <c r="CR13" s="45">
        <f t="shared" si="63"/>
        <v>37800</v>
      </c>
      <c r="CS13" s="45">
        <f t="shared" si="63"/>
        <v>40600</v>
      </c>
      <c r="CT13" s="45">
        <f t="shared" si="63"/>
        <v>43200</v>
      </c>
      <c r="CU13" s="48">
        <f t="shared" si="63"/>
        <v>4950</v>
      </c>
      <c r="CV13" s="104">
        <f t="shared" si="63"/>
        <v>20988</v>
      </c>
      <c r="CW13" s="45">
        <f t="shared" si="63"/>
        <v>34790</v>
      </c>
      <c r="CX13" s="45">
        <f t="shared" si="63"/>
        <v>40352</v>
      </c>
      <c r="CY13" s="45">
        <f t="shared" si="63"/>
        <v>37960</v>
      </c>
      <c r="CZ13" s="45">
        <f t="shared" si="63"/>
        <v>41040</v>
      </c>
      <c r="DA13" s="45">
        <f t="shared" si="63"/>
        <v>33480</v>
      </c>
      <c r="DB13" s="45">
        <f t="shared" si="63"/>
        <v>4565</v>
      </c>
      <c r="DC13" s="147">
        <f t="shared" ref="DC13:DI13" si="64">DC12*DC11</f>
        <v>20384</v>
      </c>
      <c r="DD13" s="45">
        <f t="shared" si="64"/>
        <v>35770</v>
      </c>
      <c r="DE13" s="45">
        <f t="shared" si="64"/>
        <v>34680</v>
      </c>
      <c r="DF13" s="45">
        <f t="shared" si="64"/>
        <v>34580</v>
      </c>
      <c r="DG13" s="45">
        <f t="shared" si="64"/>
        <v>36920</v>
      </c>
      <c r="DH13" s="45">
        <f t="shared" si="64"/>
        <v>32448</v>
      </c>
      <c r="DI13" s="123">
        <f t="shared" si="64"/>
        <v>4680</v>
      </c>
      <c r="DJ13" s="147">
        <f t="shared" ref="DJ13:DP13" si="65">DJ12*DJ11</f>
        <v>26000</v>
      </c>
      <c r="DK13" s="87">
        <f t="shared" si="65"/>
        <v>0</v>
      </c>
      <c r="DL13" s="45">
        <f t="shared" si="65"/>
        <v>35568</v>
      </c>
      <c r="DM13" s="45">
        <f t="shared" si="65"/>
        <v>32760</v>
      </c>
      <c r="DN13" s="45">
        <f t="shared" si="65"/>
        <v>42640</v>
      </c>
      <c r="DO13" s="45">
        <f t="shared" si="65"/>
        <v>35360</v>
      </c>
      <c r="DP13" s="123">
        <f t="shared" si="65"/>
        <v>5220</v>
      </c>
      <c r="DQ13" s="147">
        <f t="shared" ref="DQ13:DW13" si="66">DQ12*DQ11</f>
        <v>19610</v>
      </c>
      <c r="DR13" s="45">
        <f t="shared" ref="DR13" si="67">DR12*DR11</f>
        <v>41600</v>
      </c>
      <c r="DS13" s="45">
        <f t="shared" si="66"/>
        <v>41600</v>
      </c>
      <c r="DT13" s="45">
        <f t="shared" si="66"/>
        <v>41600</v>
      </c>
      <c r="DU13" s="45">
        <f t="shared" si="66"/>
        <v>45600</v>
      </c>
      <c r="DV13" s="45">
        <f t="shared" si="66"/>
        <v>45920</v>
      </c>
      <c r="DW13" s="123">
        <f t="shared" si="66"/>
        <v>5130</v>
      </c>
      <c r="DX13" s="147">
        <f t="shared" ref="DX13:ED13" si="68">DX12*DX11</f>
        <v>23400</v>
      </c>
      <c r="DY13" s="45">
        <f t="shared" si="68"/>
        <v>41600</v>
      </c>
      <c r="DZ13" s="45">
        <f t="shared" si="68"/>
        <v>41600</v>
      </c>
      <c r="EA13" s="45">
        <f t="shared" si="68"/>
        <v>40000</v>
      </c>
      <c r="EB13" s="45">
        <f t="shared" si="68"/>
        <v>42400</v>
      </c>
      <c r="EC13" s="45">
        <f t="shared" si="68"/>
        <v>42400</v>
      </c>
      <c r="ED13" s="123">
        <f t="shared" si="68"/>
        <v>4680</v>
      </c>
      <c r="EE13" s="147">
        <f t="shared" ref="EE13:EJ13" si="69">EE12*EE11</f>
        <v>20800</v>
      </c>
      <c r="EF13" s="45">
        <f t="shared" si="69"/>
        <v>41600</v>
      </c>
      <c r="EG13" s="45">
        <f t="shared" si="69"/>
        <v>39200</v>
      </c>
      <c r="EH13" s="45">
        <f t="shared" si="69"/>
        <v>39500</v>
      </c>
      <c r="EI13" s="45">
        <f t="shared" si="69"/>
        <v>39750</v>
      </c>
      <c r="EJ13" s="45">
        <f t="shared" si="69"/>
        <v>39600</v>
      </c>
      <c r="EK13" s="133"/>
      <c r="EL13" s="147">
        <f t="shared" ref="EL13:ER13" si="70">EL12*EL11</f>
        <v>24345.121831598848</v>
      </c>
      <c r="EM13" s="45">
        <f t="shared" si="70"/>
        <v>36000</v>
      </c>
      <c r="EN13" s="45">
        <f t="shared" si="70"/>
        <v>39350</v>
      </c>
      <c r="EO13" s="45">
        <f t="shared" si="70"/>
        <v>36159</v>
      </c>
      <c r="EP13" s="45">
        <f t="shared" si="70"/>
        <v>38500</v>
      </c>
      <c r="EQ13" s="45">
        <f t="shared" si="70"/>
        <v>37400</v>
      </c>
      <c r="ER13" s="45">
        <f t="shared" si="70"/>
        <v>5850</v>
      </c>
      <c r="ES13" s="147">
        <f t="shared" ref="ES13:EY13" si="71">ES12*ES11</f>
        <v>18200</v>
      </c>
      <c r="ET13" s="45">
        <f t="shared" si="71"/>
        <v>41600</v>
      </c>
      <c r="EU13" s="45">
        <f t="shared" si="71"/>
        <v>44000</v>
      </c>
      <c r="EV13" s="45">
        <f t="shared" si="71"/>
        <v>40500</v>
      </c>
      <c r="EW13" s="45">
        <f t="shared" si="71"/>
        <v>46750</v>
      </c>
      <c r="EX13" s="45">
        <f t="shared" si="71"/>
        <v>45920</v>
      </c>
      <c r="EY13" s="509">
        <f t="shared" si="71"/>
        <v>4950</v>
      </c>
      <c r="EZ13" s="45">
        <f t="shared" ref="EZ13:FF13" si="72">EZ12*EZ11</f>
        <v>23400</v>
      </c>
      <c r="FA13" s="45">
        <f t="shared" si="72"/>
        <v>41600</v>
      </c>
      <c r="FB13" s="45">
        <f t="shared" si="72"/>
        <v>44000</v>
      </c>
      <c r="FC13" s="45">
        <f t="shared" si="72"/>
        <v>41040</v>
      </c>
      <c r="FD13" s="45">
        <f t="shared" si="72"/>
        <v>41250</v>
      </c>
      <c r="FE13" s="45">
        <f t="shared" si="72"/>
        <v>47600</v>
      </c>
      <c r="FF13" s="509">
        <f t="shared" si="72"/>
        <v>5109.7791595733624</v>
      </c>
      <c r="FG13" s="45">
        <f>FG11*FG12*$A$1</f>
        <v>22528.218335190253</v>
      </c>
      <c r="FH13" s="45">
        <f t="shared" ref="FH13" si="73">FH11*FH12*$A$1</f>
        <v>39576</v>
      </c>
      <c r="FI13" s="45">
        <f t="shared" ref="FI13" si="74">FI11*FI12*$A$1</f>
        <v>42316.075968775411</v>
      </c>
      <c r="FJ13" s="45">
        <f t="shared" ref="FJ13" si="75">FJ11*FJ12*$A$1</f>
        <v>39688.988379582952</v>
      </c>
      <c r="FK13" s="45">
        <f t="shared" ref="FK13" si="76">FK11*FK12*$A$1</f>
        <v>43671.709417036509</v>
      </c>
      <c r="FL13" s="45">
        <f t="shared" ref="FL13" si="77">FL11*FL12*$A$1</f>
        <v>43840.585327284403</v>
      </c>
      <c r="FM13" s="509">
        <f t="shared" ref="FM13" si="78">FM11*FM12*$A$1</f>
        <v>5208.7709954682696</v>
      </c>
      <c r="FN13" s="45" t="e">
        <f>FN11*FN12*$A$1</f>
        <v>#REF!</v>
      </c>
      <c r="FO13" s="45" t="e">
        <f t="shared" ref="FO13:GA13" si="79">FO11*FO12*$A$1</f>
        <v>#REF!</v>
      </c>
      <c r="FP13" s="45" t="e">
        <f t="shared" si="79"/>
        <v>#REF!</v>
      </c>
      <c r="FQ13" s="45" t="e">
        <f t="shared" si="79"/>
        <v>#REF!</v>
      </c>
      <c r="FR13" s="45" t="e">
        <f t="shared" si="79"/>
        <v>#REF!</v>
      </c>
      <c r="FS13" s="45" t="e">
        <f t="shared" si="79"/>
        <v>#REF!</v>
      </c>
      <c r="FT13" s="509" t="e">
        <f t="shared" si="79"/>
        <v>#REF!</v>
      </c>
      <c r="FU13" s="45" t="e">
        <f t="shared" si="79"/>
        <v>#REF!</v>
      </c>
      <c r="FV13" s="45" t="e">
        <f t="shared" si="79"/>
        <v>#REF!</v>
      </c>
      <c r="FW13" s="45" t="e">
        <f t="shared" si="79"/>
        <v>#REF!</v>
      </c>
      <c r="FX13" s="45" t="e">
        <f t="shared" si="79"/>
        <v>#REF!</v>
      </c>
      <c r="FY13" s="45" t="e">
        <f>FY11*FY12*$A$1</f>
        <v>#REF!</v>
      </c>
      <c r="FZ13" s="45" t="e">
        <f t="shared" si="79"/>
        <v>#REF!</v>
      </c>
      <c r="GA13" s="509" t="e">
        <f t="shared" si="79"/>
        <v>#REF!</v>
      </c>
      <c r="GB13" s="45">
        <f t="shared" ref="GB13" si="80">GB11*GB12*$A$1</f>
        <v>20855</v>
      </c>
      <c r="GC13" s="45" t="e">
        <f t="shared" ref="GC13" si="81">GC11*GC12*$A$1</f>
        <v>#REF!</v>
      </c>
      <c r="GD13" s="45" t="e">
        <f t="shared" ref="GD13" si="82">GD11*GD12*$A$1</f>
        <v>#REF!</v>
      </c>
      <c r="GE13" s="45" t="e">
        <f t="shared" ref="GE13" si="83">GE11*GE12*$A$1</f>
        <v>#REF!</v>
      </c>
      <c r="GF13" s="45" t="e">
        <f t="shared" ref="GF13" si="84">GF11*GF12*$A$1</f>
        <v>#REF!</v>
      </c>
      <c r="GG13" s="45" t="e">
        <f t="shared" ref="GG13" si="85">GG11*GG12*$A$1</f>
        <v>#REF!</v>
      </c>
      <c r="GH13" s="509" t="e">
        <f t="shared" ref="GH13:GO13" si="86">GH11*GH12*$A$1</f>
        <v>#REF!</v>
      </c>
      <c r="GI13" s="45" t="e">
        <f t="shared" si="86"/>
        <v>#REF!</v>
      </c>
      <c r="GJ13" s="45" t="e">
        <f t="shared" si="86"/>
        <v>#REF!</v>
      </c>
      <c r="GK13" s="45" t="e">
        <f t="shared" si="86"/>
        <v>#REF!</v>
      </c>
      <c r="GL13" s="45" t="e">
        <f t="shared" si="86"/>
        <v>#REF!</v>
      </c>
      <c r="GM13" s="45">
        <f t="shared" si="86"/>
        <v>43475.4</v>
      </c>
      <c r="GN13" s="45" t="e">
        <f t="shared" si="86"/>
        <v>#REF!</v>
      </c>
      <c r="GO13" s="123" t="e">
        <f t="shared" si="86"/>
        <v>#REF!</v>
      </c>
      <c r="GP13" s="45" t="e">
        <f t="shared" ref="GP13:GV13" si="87">GP11*GP12*$A$1</f>
        <v>#N/A</v>
      </c>
      <c r="GQ13" s="45" t="e">
        <f t="shared" si="87"/>
        <v>#N/A</v>
      </c>
      <c r="GR13" s="45" t="e">
        <f t="shared" si="87"/>
        <v>#N/A</v>
      </c>
      <c r="GS13" s="45" t="e">
        <f t="shared" si="87"/>
        <v>#N/A</v>
      </c>
      <c r="GT13" s="45" t="e">
        <f t="shared" si="87"/>
        <v>#N/A</v>
      </c>
      <c r="GU13" s="45" t="e">
        <f t="shared" si="87"/>
        <v>#N/A</v>
      </c>
      <c r="GV13" s="123" t="e">
        <f t="shared" si="87"/>
        <v>#N/A</v>
      </c>
      <c r="GW13" s="45">
        <f t="shared" ref="GW13:IE13" si="88">GW11*GW12*$A$1</f>
        <v>22795</v>
      </c>
      <c r="GX13" s="45">
        <f t="shared" si="88"/>
        <v>41060.1</v>
      </c>
      <c r="GY13" s="45" t="e">
        <f t="shared" si="88"/>
        <v>#N/A</v>
      </c>
      <c r="GZ13" s="45" t="e">
        <f t="shared" si="88"/>
        <v>#N/A</v>
      </c>
      <c r="HA13" s="45" t="e">
        <f t="shared" si="88"/>
        <v>#N/A</v>
      </c>
      <c r="HB13" s="45" t="e">
        <f t="shared" si="88"/>
        <v>#N/A</v>
      </c>
      <c r="HC13" s="123" t="e">
        <f t="shared" si="88"/>
        <v>#N/A</v>
      </c>
      <c r="HD13" s="45" t="e">
        <f t="shared" si="88"/>
        <v>#N/A</v>
      </c>
      <c r="HE13" s="45">
        <f t="shared" si="88"/>
        <v>41060.1</v>
      </c>
      <c r="HF13" s="45" t="e">
        <f t="shared" si="88"/>
        <v>#N/A</v>
      </c>
      <c r="HG13" s="45">
        <f t="shared" si="88"/>
        <v>43475.4</v>
      </c>
      <c r="HH13" s="45" t="e">
        <f t="shared" si="88"/>
        <v>#N/A</v>
      </c>
      <c r="HI13" s="45" t="e">
        <f t="shared" si="88"/>
        <v>#N/A</v>
      </c>
      <c r="HJ13" s="133" t="e">
        <f t="shared" si="88"/>
        <v>#N/A</v>
      </c>
      <c r="HK13" s="45" t="e">
        <f t="shared" si="88"/>
        <v>#N/A</v>
      </c>
      <c r="HL13" s="45">
        <f t="shared" si="88"/>
        <v>51507</v>
      </c>
      <c r="HM13" s="45">
        <f t="shared" si="88"/>
        <v>49305.1</v>
      </c>
      <c r="HN13" s="45" t="e">
        <f t="shared" si="88"/>
        <v>#N/A</v>
      </c>
      <c r="HO13" s="45">
        <f t="shared" si="88"/>
        <v>47724</v>
      </c>
      <c r="HP13" s="45">
        <f t="shared" si="88"/>
        <v>46769.52</v>
      </c>
      <c r="HQ13" s="619">
        <f t="shared" si="88"/>
        <v>15609.24</v>
      </c>
      <c r="HR13" s="45" t="e">
        <f t="shared" si="88"/>
        <v>#N/A</v>
      </c>
      <c r="HS13" s="45">
        <f t="shared" si="88"/>
        <v>46831.6</v>
      </c>
      <c r="HT13" s="45" t="e">
        <f t="shared" si="88"/>
        <v>#N/A</v>
      </c>
      <c r="HU13" s="45">
        <f t="shared" si="88"/>
        <v>46530.9</v>
      </c>
      <c r="HV13" s="45" t="e">
        <f t="shared" si="88"/>
        <v>#N/A</v>
      </c>
      <c r="HW13" s="45" t="e">
        <f t="shared" si="88"/>
        <v>#N/A</v>
      </c>
      <c r="HX13" s="123" t="e">
        <f t="shared" si="88"/>
        <v>#N/A</v>
      </c>
      <c r="HY13" s="45" t="e">
        <f t="shared" si="88"/>
        <v>#N/A</v>
      </c>
      <c r="HZ13" s="45" t="e">
        <f t="shared" si="88"/>
        <v>#N/A</v>
      </c>
      <c r="IA13" s="45" t="e">
        <f t="shared" si="88"/>
        <v>#N/A</v>
      </c>
      <c r="IB13" s="45" t="e">
        <f t="shared" si="88"/>
        <v>#N/A</v>
      </c>
      <c r="IC13" s="45" t="e">
        <f t="shared" si="88"/>
        <v>#N/A</v>
      </c>
      <c r="ID13" s="45" t="e">
        <f t="shared" si="88"/>
        <v>#N/A</v>
      </c>
      <c r="IE13" s="123" t="e">
        <f t="shared" si="88"/>
        <v>#N/A</v>
      </c>
      <c r="IF13" s="45">
        <f t="shared" ref="IF13:IS13" si="89">IF11*IF12*$A$1</f>
        <v>30894.5</v>
      </c>
      <c r="IG13" s="45">
        <f t="shared" si="89"/>
        <v>39576</v>
      </c>
      <c r="IH13" s="45" t="e">
        <f t="shared" si="89"/>
        <v>#N/A</v>
      </c>
      <c r="II13" s="45" t="e">
        <f t="shared" si="89"/>
        <v>#N/A</v>
      </c>
      <c r="IJ13" s="45">
        <f t="shared" si="89"/>
        <v>46226.32</v>
      </c>
      <c r="IK13" s="45">
        <f t="shared" si="89"/>
        <v>48548.5</v>
      </c>
      <c r="IL13" s="123">
        <f t="shared" si="89"/>
        <v>8810.51</v>
      </c>
      <c r="IM13" s="45">
        <f t="shared" si="89"/>
        <v>32634.68</v>
      </c>
      <c r="IN13" s="45">
        <f t="shared" si="89"/>
        <v>43698.5</v>
      </c>
      <c r="IO13" s="45">
        <f t="shared" si="89"/>
        <v>49213.919999999998</v>
      </c>
      <c r="IP13" s="45">
        <f t="shared" si="89"/>
        <v>48548.5</v>
      </c>
      <c r="IQ13" s="45" t="e">
        <f t="shared" si="89"/>
        <v>#N/A</v>
      </c>
      <c r="IR13" s="45">
        <f t="shared" si="89"/>
        <v>47052.76</v>
      </c>
      <c r="IS13" s="123">
        <f t="shared" si="89"/>
        <v>5412.5999999999995</v>
      </c>
      <c r="IT13" s="45">
        <f t="shared" ref="IT13:IZ13" si="90">IT11*IT12*$A$1</f>
        <v>24638</v>
      </c>
      <c r="IU13" s="45">
        <f t="shared" si="90"/>
        <v>40961.159999999996</v>
      </c>
      <c r="IV13" s="45">
        <f t="shared" si="90"/>
        <v>39899.979999999996</v>
      </c>
      <c r="IW13" s="45">
        <f t="shared" si="90"/>
        <v>32650.2</v>
      </c>
      <c r="IX13" s="45">
        <f t="shared" si="90"/>
        <v>43322.527999999998</v>
      </c>
      <c r="IY13" s="45">
        <f t="shared" si="90"/>
        <v>43999.199999999997</v>
      </c>
      <c r="IZ13" s="123" t="e">
        <f t="shared" si="90"/>
        <v>#N/A</v>
      </c>
      <c r="JA13" s="45">
        <f t="shared" ref="JA13:JU13" si="91">JA11*JA12*$A$1</f>
        <v>23238.386999999999</v>
      </c>
      <c r="JB13" s="45">
        <f t="shared" si="91"/>
        <v>42049.5</v>
      </c>
      <c r="JC13" s="45" t="e">
        <f t="shared" si="91"/>
        <v>#N/A</v>
      </c>
      <c r="JD13" s="45" t="e">
        <f t="shared" si="91"/>
        <v>#N/A</v>
      </c>
      <c r="JE13" s="45" t="e">
        <f t="shared" si="91"/>
        <v>#N/A</v>
      </c>
      <c r="JF13" s="45" t="e">
        <f t="shared" si="91"/>
        <v>#N/A</v>
      </c>
      <c r="JG13" s="123">
        <f t="shared" si="91"/>
        <v>14666.4</v>
      </c>
      <c r="JH13" s="45">
        <f t="shared" si="91"/>
        <v>45372.67158612395</v>
      </c>
      <c r="JI13" s="45" t="e">
        <f t="shared" si="91"/>
        <v>#N/A</v>
      </c>
      <c r="JJ13" s="45" t="e">
        <f t="shared" si="91"/>
        <v>#N/A</v>
      </c>
      <c r="JK13" s="45" t="e">
        <f t="shared" si="91"/>
        <v>#N/A</v>
      </c>
      <c r="JL13" s="45" t="e">
        <f t="shared" si="91"/>
        <v>#N/A</v>
      </c>
      <c r="JM13" s="45" t="e">
        <f t="shared" si="91"/>
        <v>#N/A</v>
      </c>
      <c r="JN13" s="123">
        <f t="shared" si="91"/>
        <v>15071.156808097518</v>
      </c>
      <c r="JO13" s="45">
        <f t="shared" si="91"/>
        <v>47974.546379549553</v>
      </c>
      <c r="JP13" s="45" t="e">
        <f t="shared" si="91"/>
        <v>#N/A</v>
      </c>
      <c r="JQ13" s="45" t="e">
        <f t="shared" si="91"/>
        <v>#N/A</v>
      </c>
      <c r="JR13" s="45" t="e">
        <f t="shared" si="91"/>
        <v>#N/A</v>
      </c>
      <c r="JS13" s="45">
        <f t="shared" si="91"/>
        <v>0</v>
      </c>
      <c r="JT13" s="45">
        <f t="shared" si="91"/>
        <v>37026.781687075629</v>
      </c>
      <c r="JU13" s="123">
        <f t="shared" si="91"/>
        <v>5046.4973850858978</v>
      </c>
      <c r="JV13" s="45">
        <f t="shared" ref="JV13:KB13" si="92">JV11*JV12*$A$1</f>
        <v>47974.546379549553</v>
      </c>
      <c r="JW13" s="45" t="e">
        <f t="shared" si="92"/>
        <v>#N/A</v>
      </c>
      <c r="JX13" s="45" t="e">
        <f t="shared" si="92"/>
        <v>#N/A</v>
      </c>
      <c r="JY13" s="45" t="e">
        <f t="shared" si="92"/>
        <v>#N/A</v>
      </c>
      <c r="JZ13" s="45">
        <f t="shared" si="92"/>
        <v>0</v>
      </c>
      <c r="KA13" s="45">
        <f t="shared" si="92"/>
        <v>37026.781687075629</v>
      </c>
      <c r="KB13" s="123">
        <f t="shared" si="92"/>
        <v>5046.4973850858978</v>
      </c>
    </row>
    <row r="14" spans="1:288" x14ac:dyDescent="0.3">
      <c r="A14" s="19" t="s">
        <v>123</v>
      </c>
      <c r="B14" s="124"/>
      <c r="C14" s="45"/>
      <c r="D14" s="45"/>
      <c r="E14" s="45"/>
      <c r="F14" s="45"/>
      <c r="G14" s="45"/>
      <c r="H14" s="123"/>
      <c r="I14" s="124"/>
      <c r="J14" s="45"/>
      <c r="K14" s="45"/>
      <c r="L14" s="45"/>
      <c r="M14" s="45"/>
      <c r="N14" s="45"/>
      <c r="O14" s="123"/>
      <c r="P14" s="124"/>
      <c r="Q14" s="45"/>
      <c r="R14" s="45"/>
      <c r="S14" s="45"/>
      <c r="T14" s="45"/>
      <c r="U14" s="45"/>
      <c r="V14" s="123"/>
      <c r="W14" s="62"/>
      <c r="X14" s="45"/>
      <c r="Y14" s="45"/>
      <c r="Z14" s="45"/>
      <c r="AA14" s="45"/>
      <c r="AB14" s="45"/>
      <c r="AC14" s="48"/>
      <c r="AD14" s="62"/>
      <c r="AE14" s="45"/>
      <c r="AF14" s="45"/>
      <c r="AG14" s="45"/>
      <c r="AH14" s="45"/>
      <c r="AI14" s="45"/>
      <c r="AJ14" s="48"/>
      <c r="AK14" s="62"/>
      <c r="AL14" s="45"/>
      <c r="AM14" s="45"/>
      <c r="AN14" s="45"/>
      <c r="AO14" s="45"/>
      <c r="AP14" s="45"/>
      <c r="AQ14" s="45"/>
      <c r="AR14" s="62"/>
      <c r="AS14" s="45"/>
      <c r="AT14" s="45"/>
      <c r="AU14" s="45"/>
      <c r="AV14" s="45"/>
      <c r="AW14" s="45"/>
      <c r="AX14" s="45"/>
      <c r="AY14" s="62"/>
      <c r="AZ14" s="45"/>
      <c r="BA14" s="45"/>
      <c r="BB14" s="45"/>
      <c r="BC14" s="45"/>
      <c r="BD14" s="45"/>
      <c r="BE14" s="45"/>
      <c r="BF14" s="62"/>
      <c r="BG14" s="45"/>
      <c r="BH14" s="45"/>
      <c r="BI14" s="45"/>
      <c r="BJ14" s="45"/>
      <c r="BK14" s="45"/>
      <c r="BL14" s="45"/>
      <c r="BM14" s="96"/>
      <c r="BN14" s="87"/>
      <c r="BO14" s="45"/>
      <c r="BP14" s="45"/>
      <c r="BQ14" s="45"/>
      <c r="BR14" s="45"/>
      <c r="BS14" s="45"/>
      <c r="BT14" s="83"/>
      <c r="BU14" s="45"/>
      <c r="BV14" s="45"/>
      <c r="BW14" s="45"/>
      <c r="BX14" s="45"/>
      <c r="BY14" s="45"/>
      <c r="BZ14" s="123"/>
      <c r="CA14" s="83"/>
      <c r="CB14" s="45"/>
      <c r="CC14" s="45"/>
      <c r="CD14" s="45"/>
      <c r="CE14" s="45"/>
      <c r="CF14" s="45"/>
      <c r="CG14" s="123"/>
      <c r="CI14" s="45"/>
      <c r="CJ14" s="45"/>
      <c r="CK14" s="45"/>
      <c r="CL14" s="45"/>
      <c r="CM14" s="45"/>
      <c r="CN14" s="45"/>
      <c r="CO14" s="104"/>
      <c r="CP14" s="45"/>
      <c r="CQ14" s="45"/>
      <c r="CR14" s="45"/>
      <c r="CS14" s="45"/>
      <c r="CT14" s="45"/>
      <c r="CU14" s="45"/>
      <c r="CV14" s="104"/>
      <c r="CW14" s="45"/>
      <c r="CX14" s="45"/>
      <c r="CY14" s="45"/>
      <c r="CZ14" s="45"/>
      <c r="DA14" s="45"/>
      <c r="DB14" s="45"/>
      <c r="DC14" s="147"/>
      <c r="DD14" s="45"/>
      <c r="DE14" s="45"/>
      <c r="DF14" s="45"/>
      <c r="DG14" s="45"/>
      <c r="DH14" s="45"/>
      <c r="DI14" s="123"/>
      <c r="DJ14" s="147"/>
      <c r="DK14" s="87"/>
      <c r="DL14" s="45"/>
      <c r="DM14" s="45"/>
      <c r="DN14" s="45"/>
      <c r="DO14" s="45"/>
      <c r="DP14" s="123"/>
      <c r="DQ14" s="147"/>
      <c r="DR14" s="45"/>
      <c r="DS14" s="45"/>
      <c r="DT14" s="45"/>
      <c r="DU14" s="45"/>
      <c r="DV14" s="45"/>
      <c r="DW14" s="123"/>
      <c r="DX14" s="147"/>
      <c r="DY14" s="45"/>
      <c r="DZ14" s="45"/>
      <c r="EA14" s="45"/>
      <c r="EB14" s="45"/>
      <c r="EC14" s="45"/>
      <c r="ED14" s="123"/>
      <c r="EE14" s="147"/>
      <c r="EF14" s="45"/>
      <c r="EG14" s="45"/>
      <c r="EH14" s="45"/>
      <c r="EI14" s="45"/>
      <c r="EJ14" s="45"/>
      <c r="EK14" s="133"/>
      <c r="EL14" s="147"/>
      <c r="EM14" s="45"/>
      <c r="EN14" s="45"/>
      <c r="EO14" s="45"/>
      <c r="EP14" s="45"/>
      <c r="EQ14" s="45"/>
      <c r="ER14" s="45"/>
      <c r="ES14" s="147"/>
      <c r="ET14" s="45"/>
      <c r="EU14" s="45"/>
      <c r="EV14" s="45"/>
      <c r="EW14" s="45"/>
      <c r="EX14" s="45"/>
      <c r="EY14" s="509"/>
      <c r="EZ14" s="312"/>
      <c r="FA14" s="312"/>
      <c r="FB14" s="312"/>
      <c r="FC14" s="312"/>
      <c r="FD14" s="312"/>
      <c r="FE14" s="312"/>
      <c r="FF14" s="523"/>
      <c r="FG14" s="45"/>
      <c r="FH14" s="45"/>
      <c r="FI14" s="45"/>
      <c r="FJ14" s="45"/>
      <c r="FK14" s="45"/>
      <c r="FL14" s="45"/>
      <c r="FM14" s="509"/>
      <c r="FN14" s="45">
        <v>385</v>
      </c>
      <c r="FO14" s="45">
        <v>707</v>
      </c>
      <c r="FP14" s="45"/>
      <c r="FQ14" s="45"/>
      <c r="FR14" s="45"/>
      <c r="FS14" s="45"/>
      <c r="FT14" s="509"/>
      <c r="FU14" s="45">
        <v>385</v>
      </c>
      <c r="FV14" s="45">
        <v>710</v>
      </c>
      <c r="FW14" s="45">
        <v>748</v>
      </c>
      <c r="FX14" s="45">
        <v>816</v>
      </c>
      <c r="FY14" s="45">
        <v>820</v>
      </c>
      <c r="FZ14" s="45"/>
      <c r="GA14" s="509"/>
      <c r="GB14" s="45"/>
      <c r="GC14" s="45">
        <v>712</v>
      </c>
      <c r="GD14" s="45">
        <f>760-139</f>
        <v>621</v>
      </c>
      <c r="GE14" s="45">
        <v>800</v>
      </c>
      <c r="GF14" s="45">
        <v>822</v>
      </c>
      <c r="GG14" s="45"/>
      <c r="GH14" s="509">
        <v>145</v>
      </c>
      <c r="GI14" s="45">
        <f>430-34</f>
        <v>396</v>
      </c>
      <c r="GJ14" s="45">
        <f>740-1</f>
        <v>739</v>
      </c>
      <c r="GK14" s="45">
        <f>836</f>
        <v>836</v>
      </c>
      <c r="GL14" s="45">
        <f>850-15</f>
        <v>835</v>
      </c>
      <c r="GM14" s="45">
        <v>830</v>
      </c>
      <c r="GN14" s="45">
        <v>850</v>
      </c>
      <c r="GO14" s="123">
        <v>163</v>
      </c>
      <c r="GP14" s="45">
        <v>413</v>
      </c>
      <c r="GQ14" s="45">
        <v>828</v>
      </c>
      <c r="GR14" s="45">
        <v>828</v>
      </c>
      <c r="GS14" s="45">
        <v>830</v>
      </c>
      <c r="GT14" s="45">
        <v>910</v>
      </c>
      <c r="GU14" s="45">
        <v>876</v>
      </c>
      <c r="GV14" s="123">
        <v>179</v>
      </c>
      <c r="GW14" s="45">
        <v>469</v>
      </c>
      <c r="GX14" s="45">
        <v>830</v>
      </c>
      <c r="GY14" s="45">
        <v>829</v>
      </c>
      <c r="GZ14" s="45">
        <v>830</v>
      </c>
      <c r="HA14" s="45">
        <v>910</v>
      </c>
      <c r="HB14" s="45">
        <v>920</v>
      </c>
      <c r="HC14" s="123">
        <v>180</v>
      </c>
      <c r="HD14" s="45">
        <v>510</v>
      </c>
      <c r="HE14" s="45">
        <v>830</v>
      </c>
      <c r="HF14" s="45">
        <v>830</v>
      </c>
      <c r="HG14" s="45">
        <v>830</v>
      </c>
      <c r="HH14" s="45">
        <v>900</v>
      </c>
      <c r="HI14" s="45">
        <v>900</v>
      </c>
      <c r="HJ14" s="133"/>
      <c r="HK14" s="45">
        <v>500</v>
      </c>
      <c r="HL14" s="45">
        <v>900</v>
      </c>
      <c r="HM14" s="45">
        <v>850</v>
      </c>
      <c r="HN14" s="45">
        <v>900</v>
      </c>
      <c r="HO14" s="45">
        <v>820</v>
      </c>
      <c r="HP14" s="45">
        <v>820</v>
      </c>
      <c r="HQ14" s="619">
        <v>270</v>
      </c>
      <c r="HR14" s="45">
        <v>600</v>
      </c>
      <c r="HS14" s="45">
        <v>850</v>
      </c>
      <c r="HT14" s="45"/>
      <c r="HU14" s="45">
        <v>900</v>
      </c>
      <c r="HV14" s="45">
        <v>900</v>
      </c>
      <c r="HW14" s="45"/>
      <c r="HX14" s="123"/>
      <c r="HY14" s="45">
        <v>599</v>
      </c>
      <c r="HZ14" s="45">
        <v>900</v>
      </c>
      <c r="IA14" s="45">
        <v>900</v>
      </c>
      <c r="IB14" s="45"/>
      <c r="IC14" s="45"/>
      <c r="ID14" s="45"/>
      <c r="IE14" s="123"/>
      <c r="IF14" s="45">
        <f>650-68</f>
        <v>582</v>
      </c>
      <c r="IG14" s="45">
        <v>799</v>
      </c>
      <c r="IH14" s="45">
        <v>865</v>
      </c>
      <c r="II14" s="45">
        <f>910-93</f>
        <v>817</v>
      </c>
      <c r="IJ14" s="45">
        <f>900-43</f>
        <v>857</v>
      </c>
      <c r="IK14" s="45">
        <v>909</v>
      </c>
      <c r="IL14" s="123"/>
      <c r="IM14" s="45"/>
      <c r="IN14" s="45"/>
      <c r="IO14" s="45"/>
      <c r="IP14" s="45"/>
      <c r="IQ14" s="45"/>
      <c r="IR14" s="45"/>
      <c r="IS14" s="123"/>
      <c r="IT14" s="45"/>
      <c r="IU14" s="45"/>
      <c r="IV14" s="45"/>
      <c r="IW14" s="45"/>
      <c r="IX14" s="45"/>
      <c r="IY14" s="45"/>
      <c r="IZ14" s="123"/>
      <c r="JA14" s="45"/>
      <c r="JB14" s="45"/>
      <c r="JC14" s="45"/>
      <c r="JD14" s="45"/>
      <c r="JE14" s="45"/>
      <c r="JF14" s="45"/>
      <c r="JG14" s="123"/>
      <c r="JH14" s="45"/>
      <c r="JI14" s="45"/>
      <c r="JJ14" s="45"/>
      <c r="JK14" s="45"/>
      <c r="JL14" s="45"/>
      <c r="JM14" s="45"/>
      <c r="JN14" s="123"/>
      <c r="JO14" s="45"/>
      <c r="JP14" s="45"/>
      <c r="JQ14" s="45"/>
      <c r="JR14" s="45"/>
      <c r="JS14" s="45"/>
      <c r="JT14" s="45"/>
      <c r="JU14" s="123"/>
      <c r="JV14" s="45"/>
      <c r="JW14" s="45"/>
      <c r="JX14" s="45"/>
      <c r="JY14" s="45"/>
      <c r="JZ14" s="45"/>
      <c r="KA14" s="45"/>
      <c r="KB14" s="123"/>
    </row>
    <row r="15" spans="1:288" s="401" customFormat="1" hidden="1" x14ac:dyDescent="0.3">
      <c r="A15" s="19" t="s">
        <v>124</v>
      </c>
      <c r="B15" s="475">
        <v>35600</v>
      </c>
      <c r="C15" s="467">
        <v>39060</v>
      </c>
      <c r="D15" s="467">
        <v>51294</v>
      </c>
      <c r="E15" s="467">
        <v>51538</v>
      </c>
      <c r="F15" s="467">
        <v>54007</v>
      </c>
      <c r="G15" s="467"/>
      <c r="H15" s="476">
        <v>30351</v>
      </c>
      <c r="I15" s="475">
        <v>19700</v>
      </c>
      <c r="J15" s="467">
        <v>38587</v>
      </c>
      <c r="K15" s="467">
        <v>46530</v>
      </c>
      <c r="L15" s="467">
        <v>43000</v>
      </c>
      <c r="M15" s="467">
        <v>45587</v>
      </c>
      <c r="N15" s="467">
        <v>47576</v>
      </c>
      <c r="O15" s="476"/>
      <c r="P15" s="475"/>
      <c r="Q15" s="467">
        <v>41265</v>
      </c>
      <c r="R15" s="467">
        <v>38482</v>
      </c>
      <c r="S15" s="467">
        <v>37700</v>
      </c>
      <c r="T15" s="467">
        <v>42072</v>
      </c>
      <c r="U15" s="467">
        <v>43499</v>
      </c>
      <c r="V15" s="476">
        <v>15325</v>
      </c>
      <c r="W15" s="466">
        <v>28506</v>
      </c>
      <c r="X15" s="467">
        <v>40000</v>
      </c>
      <c r="Y15" s="467">
        <v>41000</v>
      </c>
      <c r="Z15" s="467">
        <v>43000</v>
      </c>
      <c r="AA15" s="467">
        <v>38438</v>
      </c>
      <c r="AB15" s="467">
        <v>47500</v>
      </c>
      <c r="AC15" s="477"/>
      <c r="AD15" s="466">
        <v>38800</v>
      </c>
      <c r="AE15" s="467">
        <v>43000</v>
      </c>
      <c r="AF15" s="467">
        <v>51720</v>
      </c>
      <c r="AG15" s="467">
        <v>46230</v>
      </c>
      <c r="AH15" s="478">
        <v>47600</v>
      </c>
      <c r="AI15" s="467">
        <v>42500</v>
      </c>
      <c r="AJ15" s="479"/>
      <c r="AK15" s="466">
        <v>40700</v>
      </c>
      <c r="AL15" s="467">
        <v>42091</v>
      </c>
      <c r="AM15" s="467">
        <v>43246</v>
      </c>
      <c r="AN15" s="467">
        <v>42000</v>
      </c>
      <c r="AO15" s="467">
        <v>50000</v>
      </c>
      <c r="AP15" s="467">
        <v>51000</v>
      </c>
      <c r="AQ15" s="477">
        <v>21640</v>
      </c>
      <c r="AR15" s="62">
        <v>42641</v>
      </c>
      <c r="AS15" s="45">
        <v>42365</v>
      </c>
      <c r="AT15" s="45">
        <v>44792</v>
      </c>
      <c r="AU15" s="45">
        <v>43000</v>
      </c>
      <c r="AV15" s="45">
        <v>48136</v>
      </c>
      <c r="AW15" s="45">
        <v>46556</v>
      </c>
      <c r="AX15" s="48">
        <v>12366</v>
      </c>
      <c r="AY15" s="62">
        <v>45300</v>
      </c>
      <c r="AZ15" s="45">
        <v>43000</v>
      </c>
      <c r="BA15" s="45">
        <v>50000</v>
      </c>
      <c r="BB15" s="81">
        <v>47400</v>
      </c>
      <c r="BC15" s="45">
        <v>45580</v>
      </c>
      <c r="BD15" s="45"/>
      <c r="BE15" s="48"/>
      <c r="BF15" s="62">
        <v>33862</v>
      </c>
      <c r="BG15" s="45">
        <v>38201</v>
      </c>
      <c r="BH15" s="467">
        <v>38900</v>
      </c>
      <c r="BI15" s="467">
        <v>39342</v>
      </c>
      <c r="BJ15" s="467">
        <v>54000</v>
      </c>
      <c r="BK15" s="467">
        <v>51500</v>
      </c>
      <c r="BL15" s="477">
        <v>22500</v>
      </c>
      <c r="BM15" s="96"/>
      <c r="BN15" s="87"/>
      <c r="BO15" s="45">
        <v>50000</v>
      </c>
      <c r="BP15" s="45">
        <v>41600</v>
      </c>
      <c r="BQ15" s="45">
        <v>45800</v>
      </c>
      <c r="BR15" s="45">
        <v>44000</v>
      </c>
      <c r="BS15" s="45">
        <v>12156</v>
      </c>
      <c r="BT15" s="83">
        <v>30000</v>
      </c>
      <c r="BU15" s="45">
        <v>36000</v>
      </c>
      <c r="BV15" s="45">
        <v>39096</v>
      </c>
      <c r="BW15" s="45">
        <v>39000</v>
      </c>
      <c r="BX15" s="45">
        <v>44214</v>
      </c>
      <c r="BY15" s="45">
        <v>38059</v>
      </c>
      <c r="BZ15" s="123">
        <v>9117</v>
      </c>
      <c r="CA15" s="83">
        <v>26225</v>
      </c>
      <c r="CB15" s="45">
        <v>37091</v>
      </c>
      <c r="CC15" s="45">
        <v>40400</v>
      </c>
      <c r="CD15" s="45">
        <v>40000</v>
      </c>
      <c r="CE15" s="45">
        <v>44000</v>
      </c>
      <c r="CF15" s="45">
        <v>44300</v>
      </c>
      <c r="CG15" s="123">
        <v>7631</v>
      </c>
      <c r="CH15" s="83">
        <v>24300</v>
      </c>
      <c r="CI15" s="45">
        <v>40171</v>
      </c>
      <c r="CJ15" s="45">
        <v>33000</v>
      </c>
      <c r="CK15" s="45">
        <v>30600</v>
      </c>
      <c r="CL15" s="45">
        <v>44400</v>
      </c>
      <c r="CM15" s="45">
        <v>42000</v>
      </c>
      <c r="CN15" s="123"/>
      <c r="CO15" s="104">
        <v>22401</v>
      </c>
      <c r="CP15" s="45">
        <v>41561</v>
      </c>
      <c r="CQ15" s="45">
        <v>38262</v>
      </c>
      <c r="CR15" s="45">
        <v>35842</v>
      </c>
      <c r="CS15" s="45">
        <v>40289</v>
      </c>
      <c r="CT15" s="45">
        <v>42091</v>
      </c>
      <c r="CU15" s="48">
        <v>4400</v>
      </c>
      <c r="CV15" s="104">
        <v>18993</v>
      </c>
      <c r="CW15" s="45">
        <v>38188</v>
      </c>
      <c r="CX15" s="45">
        <v>40317</v>
      </c>
      <c r="CY15" s="45">
        <v>38506</v>
      </c>
      <c r="CZ15" s="45">
        <v>41867</v>
      </c>
      <c r="DA15" s="45">
        <v>34212</v>
      </c>
      <c r="DB15" s="45">
        <v>5200</v>
      </c>
      <c r="DC15" s="147">
        <v>20888</v>
      </c>
      <c r="DD15" s="45">
        <v>36683</v>
      </c>
      <c r="DE15" s="45">
        <v>36198</v>
      </c>
      <c r="DF15" s="45">
        <v>34476</v>
      </c>
      <c r="DG15" s="45">
        <v>35216</v>
      </c>
      <c r="DH15" s="45">
        <v>33654</v>
      </c>
      <c r="DI15" s="123">
        <v>6771</v>
      </c>
      <c r="DJ15" s="147">
        <v>24858</v>
      </c>
      <c r="DK15" s="87"/>
      <c r="DL15" s="45">
        <v>33910</v>
      </c>
      <c r="DM15" s="45">
        <v>31257</v>
      </c>
      <c r="DN15" s="45">
        <v>44636</v>
      </c>
      <c r="DO15" s="45">
        <v>37785</v>
      </c>
      <c r="DP15" s="123">
        <v>5200</v>
      </c>
      <c r="DQ15" s="147">
        <v>21661</v>
      </c>
      <c r="DR15" s="45"/>
      <c r="DS15" s="45"/>
      <c r="DT15" s="45"/>
      <c r="DU15" s="45"/>
      <c r="DV15" s="45"/>
      <c r="DW15" s="123"/>
      <c r="DX15" s="147"/>
      <c r="DY15" s="45"/>
      <c r="DZ15" s="45"/>
      <c r="EA15" s="45"/>
      <c r="EB15" s="45"/>
      <c r="EC15" s="45"/>
      <c r="ED15" s="123"/>
      <c r="EE15" s="147"/>
      <c r="EF15" s="45"/>
      <c r="EG15" s="45"/>
      <c r="EH15" s="45"/>
      <c r="EI15" s="45"/>
      <c r="EJ15" s="45"/>
      <c r="EK15" s="133"/>
      <c r="EL15" s="147"/>
      <c r="EM15" s="45"/>
      <c r="EN15" s="45"/>
      <c r="EO15" s="45"/>
      <c r="EP15" s="45"/>
      <c r="EQ15" s="45"/>
      <c r="ER15" s="123"/>
      <c r="ES15" s="147"/>
      <c r="ET15" s="45"/>
      <c r="EU15" s="45"/>
      <c r="EV15" s="45"/>
      <c r="EW15" s="45"/>
      <c r="EX15" s="45"/>
      <c r="EY15" s="509"/>
      <c r="EZ15"/>
      <c r="FA15" s="312"/>
      <c r="FB15" s="312"/>
      <c r="FC15" s="312"/>
      <c r="FD15" s="312"/>
      <c r="FE15" s="312"/>
      <c r="FF15" s="523"/>
      <c r="FG15" s="45"/>
      <c r="FH15" s="45"/>
      <c r="FI15" s="45"/>
      <c r="FJ15" s="45"/>
      <c r="FK15" s="45"/>
      <c r="FL15" s="45"/>
      <c r="FM15" s="509"/>
      <c r="FN15" s="45"/>
      <c r="FO15" s="45"/>
      <c r="FP15" s="45"/>
      <c r="FQ15" s="45"/>
      <c r="FR15" s="45"/>
      <c r="FS15" s="45"/>
      <c r="FT15" s="509"/>
      <c r="FU15" s="45"/>
      <c r="FV15" s="45"/>
      <c r="FW15" s="45"/>
      <c r="FX15" s="45"/>
      <c r="FY15" s="45"/>
      <c r="FZ15" s="45"/>
      <c r="GA15" s="509"/>
      <c r="GB15" s="45"/>
      <c r="GC15" s="45"/>
      <c r="GD15" s="45"/>
      <c r="GE15" s="45"/>
      <c r="GF15" s="45"/>
      <c r="GG15" s="45"/>
      <c r="GH15" s="509"/>
      <c r="GI15" s="45"/>
      <c r="GJ15" s="45"/>
      <c r="GK15" s="45"/>
      <c r="GL15" s="45"/>
      <c r="GM15" s="45"/>
      <c r="GN15" s="45"/>
      <c r="GO15" s="123"/>
      <c r="GP15" s="45"/>
      <c r="GQ15" s="45"/>
      <c r="GR15" s="45"/>
      <c r="GS15" s="45"/>
      <c r="GT15" s="45"/>
      <c r="GU15" s="45"/>
      <c r="GV15" s="123"/>
      <c r="GW15" s="45"/>
      <c r="GX15" s="45"/>
      <c r="GY15" s="45"/>
      <c r="GZ15" s="45"/>
      <c r="HA15" s="45"/>
      <c r="HB15" s="45"/>
      <c r="HC15" s="123"/>
      <c r="HD15" s="45"/>
      <c r="HE15" s="45"/>
      <c r="HF15" s="45"/>
      <c r="HG15" s="45"/>
      <c r="HH15" s="45"/>
      <c r="HI15" s="45"/>
      <c r="HJ15" s="133"/>
      <c r="HK15" s="45"/>
      <c r="HL15" s="45"/>
      <c r="HM15" s="45"/>
      <c r="HN15" s="45"/>
      <c r="HO15" s="45"/>
      <c r="HP15" s="45"/>
      <c r="HQ15" s="619"/>
      <c r="HR15" s="45"/>
      <c r="HS15" s="45"/>
      <c r="HT15" s="45"/>
      <c r="HU15" s="45"/>
      <c r="HV15" s="45"/>
      <c r="HW15" s="45"/>
      <c r="HX15" s="123"/>
      <c r="HY15" s="45"/>
      <c r="HZ15" s="45"/>
      <c r="IA15" s="45"/>
      <c r="IB15" s="45"/>
      <c r="IC15" s="45"/>
      <c r="ID15" s="45"/>
      <c r="IE15" s="123"/>
      <c r="IF15" s="45"/>
      <c r="IG15" s="45"/>
      <c r="IH15" s="45"/>
      <c r="II15" s="45"/>
      <c r="IJ15" s="45"/>
      <c r="IK15" s="45"/>
      <c r="IL15" s="123"/>
      <c r="IM15" s="45"/>
      <c r="IN15" s="45"/>
      <c r="IO15" s="45"/>
      <c r="IP15" s="45"/>
      <c r="IQ15" s="45"/>
      <c r="IR15" s="45"/>
      <c r="IS15" s="123"/>
      <c r="IT15" s="45"/>
      <c r="IU15" s="45"/>
      <c r="IV15" s="45"/>
      <c r="IW15" s="45"/>
      <c r="IX15" s="45"/>
      <c r="IY15" s="45"/>
      <c r="IZ15" s="123"/>
      <c r="JA15" s="45"/>
      <c r="JB15" s="45"/>
      <c r="JC15" s="45"/>
      <c r="JD15" s="45"/>
      <c r="JE15" s="45"/>
      <c r="JF15" s="45"/>
      <c r="JG15" s="123"/>
      <c r="JH15" s="45"/>
      <c r="JI15" s="45"/>
      <c r="JJ15" s="45"/>
      <c r="JK15" s="45"/>
      <c r="JL15" s="45"/>
      <c r="JM15" s="45"/>
      <c r="JN15" s="123"/>
      <c r="JO15" s="45"/>
      <c r="JP15" s="45"/>
      <c r="JQ15" s="45"/>
      <c r="JR15" s="45"/>
      <c r="JS15" s="45"/>
      <c r="JT15" s="45"/>
      <c r="JU15" s="123"/>
      <c r="JV15" s="45"/>
      <c r="JW15" s="45"/>
      <c r="JX15" s="45"/>
      <c r="JY15" s="45"/>
      <c r="JZ15" s="45"/>
      <c r="KA15" s="45"/>
      <c r="KB15" s="123"/>
    </row>
    <row r="16" spans="1:288" hidden="1" x14ac:dyDescent="0.3">
      <c r="A16" s="19" t="s">
        <v>125</v>
      </c>
      <c r="B16" s="165">
        <f t="shared" ref="B16:O16" si="93">B15/B11</f>
        <v>51.370851370851369</v>
      </c>
      <c r="C16" s="45">
        <f t="shared" si="93"/>
        <v>53.580246913580247</v>
      </c>
      <c r="D16" s="45">
        <f t="shared" si="93"/>
        <v>51.707661290322584</v>
      </c>
      <c r="E16" s="45">
        <f t="shared" si="93"/>
        <v>53.85370950888192</v>
      </c>
      <c r="F16" s="45">
        <f t="shared" si="93"/>
        <v>59.54465270121279</v>
      </c>
      <c r="G16" s="45">
        <f t="shared" si="93"/>
        <v>0</v>
      </c>
      <c r="H16" s="123">
        <f t="shared" si="93"/>
        <v>67</v>
      </c>
      <c r="I16" s="165">
        <f t="shared" si="93"/>
        <v>49.25</v>
      </c>
      <c r="J16" s="45">
        <f t="shared" si="93"/>
        <v>60.104361370716511</v>
      </c>
      <c r="K16" s="45">
        <f t="shared" si="93"/>
        <v>63.914835164835168</v>
      </c>
      <c r="L16" s="45">
        <f t="shared" si="93"/>
        <v>62.957540263543194</v>
      </c>
      <c r="M16" s="45">
        <f t="shared" si="93"/>
        <v>59.435462842242501</v>
      </c>
      <c r="N16" s="45">
        <f t="shared" si="93"/>
        <v>59.544430538172719</v>
      </c>
      <c r="O16" s="123">
        <f t="shared" si="93"/>
        <v>0</v>
      </c>
      <c r="P16" s="165"/>
      <c r="Q16" s="45">
        <f t="shared" ref="Q16:AV16" si="94">Q15/Q11</f>
        <v>57.552301255230127</v>
      </c>
      <c r="R16" s="45">
        <f t="shared" si="94"/>
        <v>54.895863052781742</v>
      </c>
      <c r="S16" s="45">
        <f t="shared" si="94"/>
        <v>56.352765321375188</v>
      </c>
      <c r="T16" s="45">
        <f t="shared" si="94"/>
        <v>55.357894736842105</v>
      </c>
      <c r="U16" s="45">
        <f t="shared" si="94"/>
        <v>51.47810650887574</v>
      </c>
      <c r="V16" s="123">
        <f t="shared" si="94"/>
        <v>45.746268656716417</v>
      </c>
      <c r="W16" s="62">
        <f t="shared" si="94"/>
        <v>50.010526315789477</v>
      </c>
      <c r="X16" s="45">
        <f t="shared" si="94"/>
        <v>56.022408963585434</v>
      </c>
      <c r="Y16" s="45">
        <f t="shared" si="94"/>
        <v>51.637279596977329</v>
      </c>
      <c r="Z16" s="45">
        <f t="shared" si="94"/>
        <v>56.0625814863103</v>
      </c>
      <c r="AA16" s="45">
        <f t="shared" si="94"/>
        <v>57.370149253731341</v>
      </c>
      <c r="AB16" s="45">
        <f t="shared" si="94"/>
        <v>55.232558139534881</v>
      </c>
      <c r="AC16" s="48">
        <f t="shared" si="94"/>
        <v>0</v>
      </c>
      <c r="AD16" s="62">
        <f t="shared" si="94"/>
        <v>51.733333333333334</v>
      </c>
      <c r="AE16" s="45">
        <f t="shared" si="94"/>
        <v>53.020961775585697</v>
      </c>
      <c r="AF16" s="45">
        <f t="shared" si="94"/>
        <v>56.835164835164832</v>
      </c>
      <c r="AG16" s="45">
        <f t="shared" si="94"/>
        <v>55.69879518072289</v>
      </c>
      <c r="AH16" s="45">
        <f t="shared" si="94"/>
        <v>54.090909090909093</v>
      </c>
      <c r="AI16" s="45">
        <f t="shared" si="94"/>
        <v>56.666666666666664</v>
      </c>
      <c r="AJ16" s="48">
        <f t="shared" si="94"/>
        <v>0</v>
      </c>
      <c r="AK16" s="62">
        <f t="shared" si="94"/>
        <v>50.875</v>
      </c>
      <c r="AL16" s="45">
        <f t="shared" si="94"/>
        <v>52.613750000000003</v>
      </c>
      <c r="AM16" s="45">
        <f t="shared" si="94"/>
        <v>54.057499999999997</v>
      </c>
      <c r="AN16" s="45">
        <f t="shared" si="94"/>
        <v>52.5</v>
      </c>
      <c r="AO16" s="45">
        <f t="shared" si="94"/>
        <v>55.555555555555557</v>
      </c>
      <c r="AP16" s="45">
        <f t="shared" si="94"/>
        <v>56.666666666666664</v>
      </c>
      <c r="AQ16" s="45">
        <f t="shared" si="94"/>
        <v>52.780487804878049</v>
      </c>
      <c r="AR16" s="62">
        <f t="shared" si="94"/>
        <v>53.301250000000003</v>
      </c>
      <c r="AS16" s="45">
        <f t="shared" si="94"/>
        <v>52.956249999999997</v>
      </c>
      <c r="AT16" s="45">
        <f t="shared" si="94"/>
        <v>55.99</v>
      </c>
      <c r="AU16" s="45">
        <f t="shared" si="94"/>
        <v>53.75</v>
      </c>
      <c r="AV16" s="45">
        <f t="shared" si="94"/>
        <v>55.328735632183907</v>
      </c>
      <c r="AW16" s="45">
        <f>AV15/AW11</f>
        <v>52.607650273224046</v>
      </c>
      <c r="AX16" s="45">
        <f t="shared" ref="AX16:BM16" si="95">AX15/AX11</f>
        <v>54</v>
      </c>
      <c r="AY16" s="62">
        <f t="shared" si="95"/>
        <v>50.898876404494381</v>
      </c>
      <c r="AZ16" s="45">
        <f t="shared" si="95"/>
        <v>46.739130434782609</v>
      </c>
      <c r="BA16" s="45">
        <f t="shared" si="95"/>
        <v>52.631578947368418</v>
      </c>
      <c r="BB16" s="45">
        <f t="shared" si="95"/>
        <v>52.666666666666664</v>
      </c>
      <c r="BC16" s="45">
        <f t="shared" si="95"/>
        <v>54.004739336492889</v>
      </c>
      <c r="BD16" s="45">
        <f t="shared" si="95"/>
        <v>0</v>
      </c>
      <c r="BE16" s="45">
        <f t="shared" si="95"/>
        <v>0</v>
      </c>
      <c r="BF16" s="62">
        <f t="shared" si="95"/>
        <v>56.436666666666667</v>
      </c>
      <c r="BG16" s="45">
        <f t="shared" si="95"/>
        <v>54.572857142857146</v>
      </c>
      <c r="BH16" s="45">
        <f t="shared" si="95"/>
        <v>55.571428571428569</v>
      </c>
      <c r="BI16" s="45">
        <f t="shared" si="95"/>
        <v>56.202857142857141</v>
      </c>
      <c r="BJ16" s="45">
        <f t="shared" si="95"/>
        <v>60</v>
      </c>
      <c r="BK16" s="45">
        <f t="shared" si="95"/>
        <v>57.222222222222221</v>
      </c>
      <c r="BL16" s="45">
        <f t="shared" si="95"/>
        <v>50</v>
      </c>
      <c r="BM16" s="96" t="e">
        <f t="shared" si="95"/>
        <v>#DIV/0!</v>
      </c>
      <c r="BN16" s="87" t="s">
        <v>127</v>
      </c>
      <c r="BO16" s="45">
        <f t="shared" ref="BO16:BT16" si="96">BO15/BO11</f>
        <v>55.555555555555557</v>
      </c>
      <c r="BP16" s="45">
        <f t="shared" si="96"/>
        <v>52</v>
      </c>
      <c r="BQ16" s="45">
        <f t="shared" si="96"/>
        <v>53.882352941176471</v>
      </c>
      <c r="BR16" s="45">
        <f t="shared" si="96"/>
        <v>51.764705882352942</v>
      </c>
      <c r="BS16" s="45">
        <f t="shared" si="96"/>
        <v>60.78</v>
      </c>
      <c r="BT16" s="124">
        <f t="shared" si="96"/>
        <v>50</v>
      </c>
      <c r="BU16" s="45" t="s">
        <v>127</v>
      </c>
      <c r="BV16" s="45">
        <f>BV15/BV11</f>
        <v>55.851428571428571</v>
      </c>
      <c r="BW16" s="45">
        <f>BW15/BW11</f>
        <v>52</v>
      </c>
      <c r="BX16" s="45">
        <f>BX15/BX11</f>
        <v>53.919512195121953</v>
      </c>
      <c r="BY16" s="45">
        <f>BX15/BY11</f>
        <v>53.919512195121953</v>
      </c>
      <c r="BZ16" s="123">
        <f>BZ15/BZ11</f>
        <v>47.984210526315792</v>
      </c>
      <c r="CA16" s="124">
        <f>CA15/CA11</f>
        <v>40.346153846153847</v>
      </c>
      <c r="CB16" s="45" t="s">
        <v>127</v>
      </c>
      <c r="CC16" s="45">
        <f>CC15/CC11</f>
        <v>57.386363636363633</v>
      </c>
      <c r="CD16" s="45">
        <f>CD15/CD11</f>
        <v>54.054054054054056</v>
      </c>
      <c r="CE16" s="45">
        <f>CE15/CE11</f>
        <v>58.666666666666664</v>
      </c>
      <c r="CF16" s="45">
        <v>53</v>
      </c>
      <c r="CG16" s="123">
        <f t="shared" ref="CG16:CO16" si="97">CG15/CG11</f>
        <v>40.163157894736841</v>
      </c>
      <c r="CH16" s="45">
        <f t="shared" si="97"/>
        <v>52.826086956521742</v>
      </c>
      <c r="CI16" s="45">
        <f t="shared" si="97"/>
        <v>52.856578947368419</v>
      </c>
      <c r="CJ16" s="45">
        <f t="shared" si="97"/>
        <v>41.25</v>
      </c>
      <c r="CK16" s="45">
        <f t="shared" si="97"/>
        <v>37.31707317073171</v>
      </c>
      <c r="CL16" s="45">
        <f t="shared" si="97"/>
        <v>54.146341463414636</v>
      </c>
      <c r="CM16" s="45">
        <f t="shared" si="97"/>
        <v>48.275862068965516</v>
      </c>
      <c r="CN16" s="45" t="e">
        <f t="shared" si="97"/>
        <v>#DIV/0!</v>
      </c>
      <c r="CO16" s="104">
        <f t="shared" si="97"/>
        <v>49.78</v>
      </c>
      <c r="CP16" s="45" t="s">
        <v>127</v>
      </c>
      <c r="CQ16" s="45">
        <f t="shared" ref="CQ16:DC16" si="98">CQ15/CQ11</f>
        <v>47.827500000000001</v>
      </c>
      <c r="CR16" s="45">
        <f t="shared" si="98"/>
        <v>51.202857142857141</v>
      </c>
      <c r="CS16" s="45">
        <f t="shared" si="98"/>
        <v>57.555714285714288</v>
      </c>
      <c r="CT16" s="45">
        <f t="shared" si="98"/>
        <v>52.613750000000003</v>
      </c>
      <c r="CU16" s="45">
        <f t="shared" si="98"/>
        <v>48.888888888888886</v>
      </c>
      <c r="CV16" s="104">
        <f t="shared" si="98"/>
        <v>47.962121212121211</v>
      </c>
      <c r="CW16" s="104">
        <f t="shared" si="98"/>
        <v>53.785915492957749</v>
      </c>
      <c r="CX16" s="45">
        <f t="shared" si="98"/>
        <v>51.954896907216494</v>
      </c>
      <c r="CY16" s="45">
        <f t="shared" si="98"/>
        <v>52.747945205479454</v>
      </c>
      <c r="CZ16" s="45">
        <f t="shared" si="98"/>
        <v>55.088157894736845</v>
      </c>
      <c r="DA16" s="45">
        <f t="shared" si="98"/>
        <v>55.180645161290322</v>
      </c>
      <c r="DB16" s="45">
        <f t="shared" si="98"/>
        <v>62.650602409638552</v>
      </c>
      <c r="DC16" s="147">
        <f t="shared" si="98"/>
        <v>53.285714285714285</v>
      </c>
      <c r="DD16" s="45">
        <v>49</v>
      </c>
      <c r="DE16" s="45">
        <f>DE15/DE11</f>
        <v>53.232352941176472</v>
      </c>
      <c r="DF16" s="45">
        <v>50</v>
      </c>
      <c r="DG16" s="45">
        <f>DG15/DG11</f>
        <v>49.6</v>
      </c>
      <c r="DH16" s="45">
        <f>DH15/DH11</f>
        <v>53.932692307692307</v>
      </c>
      <c r="DI16" s="123">
        <f>DI15/DI11</f>
        <v>75.233333333333334</v>
      </c>
      <c r="DJ16" s="147">
        <f>DJ15/DJ11</f>
        <v>49.716000000000001</v>
      </c>
      <c r="DK16" s="87" t="s">
        <v>127</v>
      </c>
      <c r="DL16" s="45">
        <v>49</v>
      </c>
      <c r="DM16" s="45">
        <v>50</v>
      </c>
      <c r="DN16" s="45">
        <v>53</v>
      </c>
      <c r="DO16" s="45">
        <f>DO15/DO11</f>
        <v>55.566176470588232</v>
      </c>
      <c r="DP16" s="123">
        <f>DP15/DP11</f>
        <v>57.777777777777779</v>
      </c>
      <c r="DQ16" s="147">
        <v>54</v>
      </c>
      <c r="DR16" s="45">
        <v>50</v>
      </c>
      <c r="DS16" s="45">
        <v>51</v>
      </c>
      <c r="DT16" s="45">
        <v>51</v>
      </c>
      <c r="DU16" s="45">
        <v>57</v>
      </c>
      <c r="DV16" s="45">
        <v>55.055918075860426</v>
      </c>
      <c r="DW16" s="123">
        <v>57.728352415056982</v>
      </c>
      <c r="DX16" s="147">
        <v>52</v>
      </c>
      <c r="DY16" s="45">
        <v>52</v>
      </c>
      <c r="DZ16" s="45">
        <v>53</v>
      </c>
      <c r="EA16" s="45">
        <v>50</v>
      </c>
      <c r="EB16" s="45">
        <v>53</v>
      </c>
      <c r="EC16" s="45">
        <f>EC15/EC11</f>
        <v>0</v>
      </c>
      <c r="ED16" s="123">
        <f>ED15/ED11</f>
        <v>0</v>
      </c>
      <c r="EE16" s="147">
        <v>52</v>
      </c>
      <c r="EF16" s="45">
        <v>52</v>
      </c>
      <c r="EG16" s="45">
        <v>49</v>
      </c>
      <c r="EH16" s="45">
        <v>50</v>
      </c>
      <c r="EI16" s="45">
        <v>53</v>
      </c>
      <c r="EJ16" s="45">
        <f>EJ15/EJ11</f>
        <v>0</v>
      </c>
      <c r="EK16" s="133" t="e">
        <f>EK15/EK11</f>
        <v>#DIV/0!</v>
      </c>
      <c r="EL16" s="147"/>
      <c r="EM16" s="45"/>
      <c r="EN16" s="45"/>
      <c r="EO16" s="45"/>
      <c r="EP16" s="45"/>
      <c r="EQ16" s="45"/>
      <c r="ER16" s="123">
        <f>ER15/ER11</f>
        <v>0</v>
      </c>
      <c r="ES16" s="147"/>
      <c r="ET16" s="45"/>
      <c r="EU16" s="45"/>
      <c r="EV16" s="45"/>
      <c r="EW16" s="45"/>
      <c r="EX16" s="45"/>
      <c r="EY16" s="509">
        <f>EY15/EY11</f>
        <v>0</v>
      </c>
      <c r="EZ16" s="44"/>
      <c r="FA16" s="44"/>
      <c r="FB16" s="44"/>
      <c r="FC16" s="44"/>
      <c r="FD16" s="44"/>
      <c r="FE16" s="44"/>
      <c r="FF16" s="404"/>
      <c r="FG16" s="44" t="str">
        <f t="shared" ref="FG16:GO16" si="99">IFERROR(FG15/FG14,"")</f>
        <v/>
      </c>
      <c r="FH16" s="44" t="str">
        <f t="shared" si="99"/>
        <v/>
      </c>
      <c r="FI16" s="44" t="str">
        <f t="shared" si="99"/>
        <v/>
      </c>
      <c r="FJ16" s="44" t="str">
        <f t="shared" si="99"/>
        <v/>
      </c>
      <c r="FK16" s="44" t="str">
        <f t="shared" si="99"/>
        <v/>
      </c>
      <c r="FL16" t="str">
        <f t="shared" si="99"/>
        <v/>
      </c>
      <c r="FM16" s="400" t="str">
        <f t="shared" si="99"/>
        <v/>
      </c>
      <c r="FN16" s="45">
        <f t="shared" si="99"/>
        <v>0</v>
      </c>
      <c r="FO16" s="45">
        <f t="shared" si="99"/>
        <v>0</v>
      </c>
      <c r="FP16" s="45" t="str">
        <f t="shared" si="99"/>
        <v/>
      </c>
      <c r="FQ16" s="45" t="str">
        <f t="shared" si="99"/>
        <v/>
      </c>
      <c r="FR16" s="45" t="str">
        <f t="shared" si="99"/>
        <v/>
      </c>
      <c r="FS16" s="45" t="str">
        <f t="shared" si="99"/>
        <v/>
      </c>
      <c r="FT16" s="509" t="str">
        <f t="shared" si="99"/>
        <v/>
      </c>
      <c r="FU16" s="45">
        <f t="shared" si="99"/>
        <v>0</v>
      </c>
      <c r="FV16" s="45">
        <f t="shared" si="99"/>
        <v>0</v>
      </c>
      <c r="FW16" s="45">
        <f t="shared" si="99"/>
        <v>0</v>
      </c>
      <c r="FX16" s="45">
        <f t="shared" si="99"/>
        <v>0</v>
      </c>
      <c r="FY16" s="45">
        <f t="shared" si="99"/>
        <v>0</v>
      </c>
      <c r="FZ16" s="45" t="str">
        <f t="shared" si="99"/>
        <v/>
      </c>
      <c r="GA16" s="509" t="str">
        <f t="shared" si="99"/>
        <v/>
      </c>
      <c r="GB16" s="45" t="str">
        <f t="shared" si="99"/>
        <v/>
      </c>
      <c r="GC16" s="45">
        <f t="shared" si="99"/>
        <v>0</v>
      </c>
      <c r="GD16" s="45">
        <f t="shared" si="99"/>
        <v>0</v>
      </c>
      <c r="GE16" s="45">
        <f t="shared" si="99"/>
        <v>0</v>
      </c>
      <c r="GF16" s="45">
        <f t="shared" si="99"/>
        <v>0</v>
      </c>
      <c r="GG16" s="45" t="str">
        <f t="shared" si="99"/>
        <v/>
      </c>
      <c r="GH16" s="509">
        <f t="shared" si="99"/>
        <v>0</v>
      </c>
      <c r="GI16" s="45">
        <f t="shared" si="99"/>
        <v>0</v>
      </c>
      <c r="GJ16" s="45">
        <f t="shared" si="99"/>
        <v>0</v>
      </c>
      <c r="GK16" s="45">
        <f t="shared" si="99"/>
        <v>0</v>
      </c>
      <c r="GL16" s="45">
        <f t="shared" si="99"/>
        <v>0</v>
      </c>
      <c r="GM16" s="45">
        <f t="shared" si="99"/>
        <v>0</v>
      </c>
      <c r="GN16" s="45">
        <f t="shared" si="99"/>
        <v>0</v>
      </c>
      <c r="GO16" s="123">
        <f t="shared" si="99"/>
        <v>0</v>
      </c>
      <c r="GP16" s="45">
        <f t="shared" ref="GP16:GV16" si="100">IFERROR(GP15/GP14,"")</f>
        <v>0</v>
      </c>
      <c r="GQ16" s="45">
        <f t="shared" si="100"/>
        <v>0</v>
      </c>
      <c r="GR16" s="45">
        <f t="shared" si="100"/>
        <v>0</v>
      </c>
      <c r="GS16" s="45">
        <f t="shared" si="100"/>
        <v>0</v>
      </c>
      <c r="GT16" s="45">
        <f t="shared" si="100"/>
        <v>0</v>
      </c>
      <c r="GU16" s="45">
        <f t="shared" si="100"/>
        <v>0</v>
      </c>
      <c r="GV16" s="123">
        <f t="shared" si="100"/>
        <v>0</v>
      </c>
      <c r="GW16" s="45">
        <f t="shared" ref="GW16:IE16" si="101">IFERROR(GW15/GW14,"")</f>
        <v>0</v>
      </c>
      <c r="GX16" s="45">
        <f t="shared" si="101"/>
        <v>0</v>
      </c>
      <c r="GY16" s="45">
        <f t="shared" si="101"/>
        <v>0</v>
      </c>
      <c r="GZ16" s="45">
        <f t="shared" si="101"/>
        <v>0</v>
      </c>
      <c r="HA16" s="45">
        <f t="shared" si="101"/>
        <v>0</v>
      </c>
      <c r="HB16" s="45">
        <f t="shared" si="101"/>
        <v>0</v>
      </c>
      <c r="HC16" s="123">
        <f t="shared" si="101"/>
        <v>0</v>
      </c>
      <c r="HD16" s="45">
        <f t="shared" si="101"/>
        <v>0</v>
      </c>
      <c r="HE16" s="45">
        <f t="shared" si="101"/>
        <v>0</v>
      </c>
      <c r="HF16" s="45">
        <f t="shared" si="101"/>
        <v>0</v>
      </c>
      <c r="HG16" s="45">
        <f t="shared" si="101"/>
        <v>0</v>
      </c>
      <c r="HH16" s="45">
        <f t="shared" si="101"/>
        <v>0</v>
      </c>
      <c r="HI16" s="45">
        <f t="shared" si="101"/>
        <v>0</v>
      </c>
      <c r="HJ16" s="133" t="str">
        <f t="shared" si="101"/>
        <v/>
      </c>
      <c r="HK16" s="45">
        <f t="shared" si="101"/>
        <v>0</v>
      </c>
      <c r="HL16" s="45">
        <f t="shared" si="101"/>
        <v>0</v>
      </c>
      <c r="HM16" s="45">
        <f t="shared" si="101"/>
        <v>0</v>
      </c>
      <c r="HN16" s="45">
        <f t="shared" si="101"/>
        <v>0</v>
      </c>
      <c r="HO16" s="45">
        <f t="shared" si="101"/>
        <v>0</v>
      </c>
      <c r="HP16" s="45">
        <f t="shared" si="101"/>
        <v>0</v>
      </c>
      <c r="HQ16" s="619">
        <f t="shared" si="101"/>
        <v>0</v>
      </c>
      <c r="HR16" s="45">
        <f t="shared" si="101"/>
        <v>0</v>
      </c>
      <c r="HS16" s="45">
        <f t="shared" si="101"/>
        <v>0</v>
      </c>
      <c r="HT16" s="45" t="str">
        <f t="shared" si="101"/>
        <v/>
      </c>
      <c r="HU16" s="45">
        <f t="shared" si="101"/>
        <v>0</v>
      </c>
      <c r="HV16" s="45">
        <f t="shared" si="101"/>
        <v>0</v>
      </c>
      <c r="HW16" s="45" t="str">
        <f t="shared" si="101"/>
        <v/>
      </c>
      <c r="HX16" s="123" t="str">
        <f t="shared" si="101"/>
        <v/>
      </c>
      <c r="HY16" s="45">
        <f t="shared" si="101"/>
        <v>0</v>
      </c>
      <c r="HZ16" s="45">
        <f t="shared" si="101"/>
        <v>0</v>
      </c>
      <c r="IA16" s="45">
        <f t="shared" si="101"/>
        <v>0</v>
      </c>
      <c r="IB16" s="45" t="str">
        <f t="shared" si="101"/>
        <v/>
      </c>
      <c r="IC16" s="45" t="str">
        <f t="shared" si="101"/>
        <v/>
      </c>
      <c r="ID16" s="45" t="str">
        <f t="shared" si="101"/>
        <v/>
      </c>
      <c r="IE16" s="123" t="str">
        <f t="shared" si="101"/>
        <v/>
      </c>
      <c r="IF16" s="45">
        <f t="shared" ref="IF16:IS16" si="102">IFERROR(IF15/IF14,"")</f>
        <v>0</v>
      </c>
      <c r="IG16" s="45">
        <f t="shared" si="102"/>
        <v>0</v>
      </c>
      <c r="IH16" s="45">
        <f t="shared" si="102"/>
        <v>0</v>
      </c>
      <c r="II16" s="45">
        <f t="shared" si="102"/>
        <v>0</v>
      </c>
      <c r="IJ16" s="45">
        <f t="shared" si="102"/>
        <v>0</v>
      </c>
      <c r="IK16" s="45">
        <f t="shared" si="102"/>
        <v>0</v>
      </c>
      <c r="IL16" s="123" t="str">
        <f t="shared" si="102"/>
        <v/>
      </c>
      <c r="IM16" s="45" t="str">
        <f t="shared" si="102"/>
        <v/>
      </c>
      <c r="IN16" s="45" t="str">
        <f t="shared" si="102"/>
        <v/>
      </c>
      <c r="IO16" s="45" t="str">
        <f t="shared" si="102"/>
        <v/>
      </c>
      <c r="IP16" s="45" t="str">
        <f t="shared" si="102"/>
        <v/>
      </c>
      <c r="IQ16" s="45" t="str">
        <f t="shared" si="102"/>
        <v/>
      </c>
      <c r="IR16" s="45" t="str">
        <f t="shared" si="102"/>
        <v/>
      </c>
      <c r="IS16" s="123" t="str">
        <f t="shared" si="102"/>
        <v/>
      </c>
      <c r="IT16" s="45" t="str">
        <f t="shared" ref="IT16:IZ16" si="103">IFERROR(IT15/IT14,"")</f>
        <v/>
      </c>
      <c r="IU16" s="45" t="str">
        <f t="shared" si="103"/>
        <v/>
      </c>
      <c r="IV16" s="45" t="str">
        <f t="shared" si="103"/>
        <v/>
      </c>
      <c r="IW16" s="45" t="str">
        <f t="shared" si="103"/>
        <v/>
      </c>
      <c r="IX16" s="45" t="str">
        <f t="shared" si="103"/>
        <v/>
      </c>
      <c r="IY16" s="45" t="str">
        <f t="shared" si="103"/>
        <v/>
      </c>
      <c r="IZ16" s="123" t="str">
        <f t="shared" si="103"/>
        <v/>
      </c>
      <c r="JA16" s="45" t="str">
        <f t="shared" ref="JA16:JU16" si="104">IFERROR(JA15/JA14,"")</f>
        <v/>
      </c>
      <c r="JB16" s="45" t="str">
        <f t="shared" si="104"/>
        <v/>
      </c>
      <c r="JC16" s="45" t="str">
        <f t="shared" si="104"/>
        <v/>
      </c>
      <c r="JD16" s="45" t="str">
        <f t="shared" si="104"/>
        <v/>
      </c>
      <c r="JE16" s="45" t="str">
        <f t="shared" si="104"/>
        <v/>
      </c>
      <c r="JF16" s="45" t="str">
        <f t="shared" si="104"/>
        <v/>
      </c>
      <c r="JG16" s="123" t="str">
        <f t="shared" si="104"/>
        <v/>
      </c>
      <c r="JH16" s="45" t="str">
        <f t="shared" si="104"/>
        <v/>
      </c>
      <c r="JI16" s="45" t="str">
        <f t="shared" si="104"/>
        <v/>
      </c>
      <c r="JJ16" s="45" t="str">
        <f t="shared" si="104"/>
        <v/>
      </c>
      <c r="JK16" s="45" t="str">
        <f t="shared" si="104"/>
        <v/>
      </c>
      <c r="JL16" s="45" t="str">
        <f t="shared" si="104"/>
        <v/>
      </c>
      <c r="JM16" s="45" t="str">
        <f t="shared" si="104"/>
        <v/>
      </c>
      <c r="JN16" s="123" t="str">
        <f t="shared" si="104"/>
        <v/>
      </c>
      <c r="JO16" s="45" t="str">
        <f t="shared" si="104"/>
        <v/>
      </c>
      <c r="JP16" s="45" t="str">
        <f t="shared" si="104"/>
        <v/>
      </c>
      <c r="JQ16" s="45" t="str">
        <f t="shared" si="104"/>
        <v/>
      </c>
      <c r="JR16" s="45" t="str">
        <f t="shared" si="104"/>
        <v/>
      </c>
      <c r="JS16" s="45" t="str">
        <f t="shared" si="104"/>
        <v/>
      </c>
      <c r="JT16" s="45" t="str">
        <f t="shared" si="104"/>
        <v/>
      </c>
      <c r="JU16" s="123" t="str">
        <f t="shared" si="104"/>
        <v/>
      </c>
      <c r="JV16" s="45" t="str">
        <f t="shared" ref="JV16:KB16" si="105">IFERROR(JV15/JV14,"")</f>
        <v/>
      </c>
      <c r="JW16" s="45" t="str">
        <f t="shared" si="105"/>
        <v/>
      </c>
      <c r="JX16" s="45" t="str">
        <f t="shared" si="105"/>
        <v/>
      </c>
      <c r="JY16" s="45" t="str">
        <f t="shared" si="105"/>
        <v/>
      </c>
      <c r="JZ16" s="45" t="str">
        <f t="shared" si="105"/>
        <v/>
      </c>
      <c r="KA16" s="45" t="str">
        <f t="shared" si="105"/>
        <v/>
      </c>
      <c r="KB16" s="123" t="str">
        <f t="shared" si="105"/>
        <v/>
      </c>
    </row>
    <row r="17" spans="1:288" hidden="1" x14ac:dyDescent="0.3">
      <c r="A17" s="474" t="s">
        <v>128</v>
      </c>
      <c r="B17" s="165">
        <f>B11/12.3</f>
        <v>56.341463414634141</v>
      </c>
      <c r="C17" s="44">
        <f>C11/13</f>
        <v>56.07692307692308</v>
      </c>
      <c r="D17" s="69">
        <f>D11/13.5</f>
        <v>73.481481481481481</v>
      </c>
      <c r="E17" s="44">
        <f>E11/13</f>
        <v>73.615384615384613</v>
      </c>
      <c r="F17" s="69">
        <f>F11/13.5</f>
        <v>67.18518518518519</v>
      </c>
      <c r="G17" s="69">
        <f>G11/13.5</f>
        <v>65.703703703703709</v>
      </c>
      <c r="H17" s="311">
        <f t="shared" ref="H17:O17" si="106">H11/13</f>
        <v>34.846153846153847</v>
      </c>
      <c r="I17" s="165">
        <f t="shared" si="106"/>
        <v>30.76923076923077</v>
      </c>
      <c r="J17" s="44">
        <f t="shared" si="106"/>
        <v>49.384615384615387</v>
      </c>
      <c r="K17" s="69">
        <f t="shared" si="106"/>
        <v>56</v>
      </c>
      <c r="L17" s="44">
        <f t="shared" si="106"/>
        <v>52.53846153846154</v>
      </c>
      <c r="M17" s="69">
        <f t="shared" si="106"/>
        <v>59</v>
      </c>
      <c r="N17" s="69">
        <f t="shared" si="106"/>
        <v>61.46153846153846</v>
      </c>
      <c r="O17" s="311">
        <f t="shared" si="106"/>
        <v>30.76923076923077</v>
      </c>
      <c r="P17" s="165"/>
      <c r="Q17" s="44">
        <f>Q11/13</f>
        <v>55.153846153846153</v>
      </c>
      <c r="R17" s="69">
        <f>R11/13.5</f>
        <v>51.925925925925924</v>
      </c>
      <c r="S17" s="44">
        <f>S11/13</f>
        <v>51.46153846153846</v>
      </c>
      <c r="T17" s="69">
        <f>T11/13.5</f>
        <v>56.296296296296298</v>
      </c>
      <c r="U17" s="69">
        <f>U11/13.5</f>
        <v>62.592592592592595</v>
      </c>
      <c r="V17" s="311">
        <f t="shared" ref="V17:AE17" si="107">V11/13</f>
        <v>25.76923076923077</v>
      </c>
      <c r="W17" s="76">
        <f t="shared" si="107"/>
        <v>43.846153846153847</v>
      </c>
      <c r="X17" s="44">
        <f t="shared" si="107"/>
        <v>54.92307692307692</v>
      </c>
      <c r="Y17" s="44">
        <f t="shared" si="107"/>
        <v>61.07692307692308</v>
      </c>
      <c r="Z17" s="44">
        <f t="shared" si="107"/>
        <v>59</v>
      </c>
      <c r="AA17" s="44">
        <f t="shared" si="107"/>
        <v>51.53846153846154</v>
      </c>
      <c r="AB17" s="44">
        <f t="shared" si="107"/>
        <v>66.15384615384616</v>
      </c>
      <c r="AC17" s="70">
        <f t="shared" si="107"/>
        <v>36.153846153846153</v>
      </c>
      <c r="AD17" s="76">
        <f t="shared" si="107"/>
        <v>57.692307692307693</v>
      </c>
      <c r="AE17" s="44">
        <f t="shared" si="107"/>
        <v>62.384615384615387</v>
      </c>
      <c r="AF17" s="69">
        <f>AF11/13.5</f>
        <v>67.407407407407405</v>
      </c>
      <c r="AG17" s="44">
        <f>AG11/13</f>
        <v>63.846153846153847</v>
      </c>
      <c r="AH17" s="69">
        <f>AH11/13.5</f>
        <v>65.18518518518519</v>
      </c>
      <c r="AI17" s="69">
        <f>AI11/13.5</f>
        <v>55.555555555555557</v>
      </c>
      <c r="AJ17" s="70">
        <f>AJ11/13</f>
        <v>29.23076923076923</v>
      </c>
      <c r="AK17" s="76">
        <f>AK11/13</f>
        <v>61.53846153846154</v>
      </c>
      <c r="AL17" s="44">
        <f>AL11/13</f>
        <v>61.53846153846154</v>
      </c>
      <c r="AM17" s="69">
        <f>AM11/13.5</f>
        <v>59.25925925925926</v>
      </c>
      <c r="AN17" s="44">
        <f>AN11/13</f>
        <v>61.53846153846154</v>
      </c>
      <c r="AO17" s="69">
        <f>AO11/13.5</f>
        <v>66.666666666666671</v>
      </c>
      <c r="AP17" s="69">
        <f>AP11/13.5</f>
        <v>66.666666666666671</v>
      </c>
      <c r="AQ17" s="70">
        <f>AQ11/13</f>
        <v>31.53846153846154</v>
      </c>
      <c r="AR17" s="76">
        <f>AR11/13</f>
        <v>61.53846153846154</v>
      </c>
      <c r="AS17" s="44">
        <f>AS11/13</f>
        <v>61.53846153846154</v>
      </c>
      <c r="AT17" s="69">
        <f>AT11/13.5</f>
        <v>59.25925925925926</v>
      </c>
      <c r="AU17" s="44">
        <f>AU11/13</f>
        <v>61.53846153846154</v>
      </c>
      <c r="AV17" s="69">
        <f>AV11/13.5</f>
        <v>64.444444444444443</v>
      </c>
      <c r="AW17" s="69">
        <f>AW11/13.5</f>
        <v>67.777777777777771</v>
      </c>
      <c r="AX17" s="70">
        <f>AX11/13</f>
        <v>17.615384615384617</v>
      </c>
      <c r="AY17" s="76">
        <f>AY11/13</f>
        <v>68.461538461538467</v>
      </c>
      <c r="AZ17" s="44">
        <f>AZ11/13</f>
        <v>70.769230769230774</v>
      </c>
      <c r="BA17" s="44">
        <f>BA11/13</f>
        <v>73.07692307692308</v>
      </c>
      <c r="BB17" s="44">
        <f>BB11/13</f>
        <v>69.230769230769226</v>
      </c>
      <c r="BC17" s="69">
        <f>BC11/13.5</f>
        <v>62.518518518518519</v>
      </c>
      <c r="BD17" s="69">
        <f>BD11/13.5</f>
        <v>66.666666666666671</v>
      </c>
      <c r="BE17" s="70">
        <f t="shared" ref="BE17:BN17" si="108">BE11/13</f>
        <v>11.538461538461538</v>
      </c>
      <c r="BF17" s="76">
        <f t="shared" si="108"/>
        <v>46.153846153846153</v>
      </c>
      <c r="BG17" s="76">
        <f t="shared" si="108"/>
        <v>53.846153846153847</v>
      </c>
      <c r="BH17" s="76">
        <f t="shared" si="108"/>
        <v>53.846153846153847</v>
      </c>
      <c r="BI17" s="76">
        <f t="shared" si="108"/>
        <v>53.846153846153847</v>
      </c>
      <c r="BJ17" s="76">
        <f t="shared" si="108"/>
        <v>69.230769230769226</v>
      </c>
      <c r="BK17" s="76">
        <f t="shared" si="108"/>
        <v>69.230769230769226</v>
      </c>
      <c r="BL17" s="76">
        <f t="shared" si="108"/>
        <v>34.615384615384613</v>
      </c>
      <c r="BM17" s="97">
        <f t="shared" si="108"/>
        <v>0</v>
      </c>
      <c r="BN17" s="97">
        <f t="shared" si="108"/>
        <v>0</v>
      </c>
      <c r="BO17" s="76">
        <f t="shared" ref="BO17:CT17" si="109">BO11/14</f>
        <v>64.285714285714292</v>
      </c>
      <c r="BP17" s="76">
        <f t="shared" si="109"/>
        <v>57.142857142857146</v>
      </c>
      <c r="BQ17" s="76">
        <f t="shared" si="109"/>
        <v>60.714285714285715</v>
      </c>
      <c r="BR17" s="76">
        <f t="shared" si="109"/>
        <v>60.714285714285715</v>
      </c>
      <c r="BS17" s="76">
        <f t="shared" si="109"/>
        <v>14.285714285714286</v>
      </c>
      <c r="BT17" s="124">
        <f t="shared" si="109"/>
        <v>42.857142857142854</v>
      </c>
      <c r="BU17" s="45">
        <f t="shared" si="109"/>
        <v>48.571428571428569</v>
      </c>
      <c r="BV17" s="45">
        <f t="shared" si="109"/>
        <v>50</v>
      </c>
      <c r="BW17" s="45">
        <f t="shared" si="109"/>
        <v>53.571428571428569</v>
      </c>
      <c r="BX17" s="45">
        <f t="shared" si="109"/>
        <v>58.571428571428569</v>
      </c>
      <c r="BY17" s="45">
        <f t="shared" si="109"/>
        <v>58.571428571428569</v>
      </c>
      <c r="BZ17" s="123">
        <f t="shared" si="109"/>
        <v>13.571428571428571</v>
      </c>
      <c r="CA17" s="124">
        <f t="shared" si="109"/>
        <v>46.428571428571431</v>
      </c>
      <c r="CB17" s="45">
        <f t="shared" si="109"/>
        <v>51.071428571428569</v>
      </c>
      <c r="CC17" s="45">
        <f t="shared" si="109"/>
        <v>50.285714285714285</v>
      </c>
      <c r="CD17" s="45">
        <f t="shared" si="109"/>
        <v>52.857142857142854</v>
      </c>
      <c r="CE17" s="45">
        <f t="shared" si="109"/>
        <v>53.571428571428569</v>
      </c>
      <c r="CF17" s="45">
        <f t="shared" si="109"/>
        <v>57.142857142857146</v>
      </c>
      <c r="CG17" s="123">
        <f t="shared" si="109"/>
        <v>13.571428571428571</v>
      </c>
      <c r="CH17" s="124">
        <f t="shared" si="109"/>
        <v>32.857142857142854</v>
      </c>
      <c r="CI17" s="45">
        <f t="shared" si="109"/>
        <v>54.285714285714285</v>
      </c>
      <c r="CJ17" s="45">
        <f t="shared" si="109"/>
        <v>57.142857142857146</v>
      </c>
      <c r="CK17" s="45">
        <f t="shared" si="109"/>
        <v>58.571428571428569</v>
      </c>
      <c r="CL17" s="45">
        <f t="shared" si="109"/>
        <v>58.571428571428569</v>
      </c>
      <c r="CM17" s="45">
        <f t="shared" si="109"/>
        <v>62.142857142857146</v>
      </c>
      <c r="CN17" s="123">
        <f t="shared" si="109"/>
        <v>0</v>
      </c>
      <c r="CO17" s="76">
        <f t="shared" si="109"/>
        <v>32.142857142857146</v>
      </c>
      <c r="CP17" s="76">
        <f t="shared" si="109"/>
        <v>57.142857142857146</v>
      </c>
      <c r="CQ17" s="76">
        <f t="shared" si="109"/>
        <v>57.142857142857146</v>
      </c>
      <c r="CR17" s="76">
        <f t="shared" si="109"/>
        <v>50</v>
      </c>
      <c r="CS17" s="76">
        <f t="shared" si="109"/>
        <v>50</v>
      </c>
      <c r="CT17" s="76">
        <f t="shared" si="109"/>
        <v>57.142857142857146</v>
      </c>
      <c r="CU17" s="76">
        <f t="shared" ref="CU17:DZ17" si="110">CU11/14</f>
        <v>6.4285714285714288</v>
      </c>
      <c r="CV17" s="76">
        <f t="shared" si="110"/>
        <v>28.285714285714285</v>
      </c>
      <c r="CW17" s="76">
        <f t="shared" si="110"/>
        <v>50.714285714285715</v>
      </c>
      <c r="CX17" s="76">
        <f t="shared" si="110"/>
        <v>55.428571428571431</v>
      </c>
      <c r="CY17" s="76">
        <f t="shared" si="110"/>
        <v>52.142857142857146</v>
      </c>
      <c r="CZ17" s="76">
        <f t="shared" si="110"/>
        <v>54.285714285714285</v>
      </c>
      <c r="DA17" s="76">
        <f t="shared" si="110"/>
        <v>44.285714285714285</v>
      </c>
      <c r="DB17" s="76">
        <f t="shared" si="110"/>
        <v>5.9285714285714288</v>
      </c>
      <c r="DC17" s="165">
        <f t="shared" si="110"/>
        <v>28</v>
      </c>
      <c r="DD17" s="76">
        <f t="shared" si="110"/>
        <v>52.142857142857146</v>
      </c>
      <c r="DE17" s="76">
        <f t="shared" si="110"/>
        <v>48.571428571428569</v>
      </c>
      <c r="DF17" s="76">
        <f t="shared" si="110"/>
        <v>47.5</v>
      </c>
      <c r="DG17" s="76">
        <f t="shared" si="110"/>
        <v>50.714285714285715</v>
      </c>
      <c r="DH17" s="76">
        <f t="shared" si="110"/>
        <v>44.571428571428569</v>
      </c>
      <c r="DI17" s="311">
        <f t="shared" si="110"/>
        <v>6.4285714285714288</v>
      </c>
      <c r="DJ17" s="165">
        <f t="shared" si="110"/>
        <v>35.714285714285715</v>
      </c>
      <c r="DK17" s="88">
        <f t="shared" si="110"/>
        <v>0</v>
      </c>
      <c r="DL17" s="76">
        <f t="shared" si="110"/>
        <v>48.857142857142854</v>
      </c>
      <c r="DM17" s="76">
        <f t="shared" si="110"/>
        <v>45</v>
      </c>
      <c r="DN17" s="76">
        <f t="shared" si="110"/>
        <v>58.571428571428569</v>
      </c>
      <c r="DO17" s="76">
        <f t="shared" si="110"/>
        <v>48.571428571428569</v>
      </c>
      <c r="DP17" s="311">
        <f t="shared" si="110"/>
        <v>6.4285714285714288</v>
      </c>
      <c r="DQ17" s="165">
        <f t="shared" si="110"/>
        <v>26.428571428571427</v>
      </c>
      <c r="DR17" s="44">
        <f t="shared" si="110"/>
        <v>57.142857142857146</v>
      </c>
      <c r="DS17" s="76">
        <f t="shared" si="110"/>
        <v>57.142857142857146</v>
      </c>
      <c r="DT17" s="76">
        <f t="shared" si="110"/>
        <v>57.142857142857146</v>
      </c>
      <c r="DU17" s="76">
        <f t="shared" si="110"/>
        <v>57.142857142857146</v>
      </c>
      <c r="DV17" s="76">
        <f t="shared" si="110"/>
        <v>58.571428571428569</v>
      </c>
      <c r="DW17" s="311">
        <f t="shared" si="110"/>
        <v>6.4285714285714288</v>
      </c>
      <c r="DX17" s="165">
        <f t="shared" si="110"/>
        <v>32.142857142857146</v>
      </c>
      <c r="DY17" s="44">
        <f t="shared" si="110"/>
        <v>57.142857142857146</v>
      </c>
      <c r="DZ17" s="76">
        <f t="shared" si="110"/>
        <v>57.142857142857146</v>
      </c>
      <c r="EA17" s="76">
        <f t="shared" ref="EA17:FF17" si="111">EA11/14</f>
        <v>57.142857142857146</v>
      </c>
      <c r="EB17" s="76">
        <f t="shared" si="111"/>
        <v>57.142857142857146</v>
      </c>
      <c r="EC17" s="76">
        <f t="shared" si="111"/>
        <v>57.142857142857146</v>
      </c>
      <c r="ED17" s="163">
        <f t="shared" si="111"/>
        <v>6.4285714285714288</v>
      </c>
      <c r="EE17" s="165">
        <f t="shared" si="111"/>
        <v>28.571428571428573</v>
      </c>
      <c r="EF17" s="44">
        <f t="shared" si="111"/>
        <v>57.142857142857146</v>
      </c>
      <c r="EG17" s="76">
        <f t="shared" si="111"/>
        <v>57.142857142857146</v>
      </c>
      <c r="EH17" s="76">
        <f t="shared" si="111"/>
        <v>56.428571428571431</v>
      </c>
      <c r="EI17" s="76">
        <f t="shared" si="111"/>
        <v>53.571428571428569</v>
      </c>
      <c r="EJ17" s="76">
        <f t="shared" si="111"/>
        <v>51.428571428571431</v>
      </c>
      <c r="EK17" s="462">
        <f t="shared" si="111"/>
        <v>0</v>
      </c>
      <c r="EL17" s="165">
        <f t="shared" si="111"/>
        <v>32.142857142857146</v>
      </c>
      <c r="EM17" s="44">
        <f t="shared" si="111"/>
        <v>51.428571428571431</v>
      </c>
      <c r="EN17" s="76">
        <f t="shared" si="111"/>
        <v>56.214285714285715</v>
      </c>
      <c r="EO17" s="76">
        <f t="shared" si="111"/>
        <v>50.642857142857146</v>
      </c>
      <c r="EP17" s="76">
        <f t="shared" si="111"/>
        <v>50</v>
      </c>
      <c r="EQ17" s="76">
        <f t="shared" si="111"/>
        <v>48.571428571428569</v>
      </c>
      <c r="ER17" s="163">
        <f t="shared" si="111"/>
        <v>6.4285714285714288</v>
      </c>
      <c r="ES17" s="165">
        <f t="shared" si="111"/>
        <v>25</v>
      </c>
      <c r="ET17" s="44">
        <f t="shared" si="111"/>
        <v>57.142857142857146</v>
      </c>
      <c r="EU17" s="76">
        <f t="shared" si="111"/>
        <v>57.142857142857146</v>
      </c>
      <c r="EV17" s="76">
        <f t="shared" si="111"/>
        <v>53.571428571428569</v>
      </c>
      <c r="EW17" s="76">
        <f t="shared" si="111"/>
        <v>60.714285714285715</v>
      </c>
      <c r="EX17" s="76">
        <f t="shared" si="111"/>
        <v>58.571428571428569</v>
      </c>
      <c r="EY17" s="404">
        <f t="shared" si="111"/>
        <v>6.4285714285714288</v>
      </c>
      <c r="EZ17" s="44">
        <f t="shared" si="111"/>
        <v>32.142857142857146</v>
      </c>
      <c r="FA17" s="44">
        <f t="shared" si="111"/>
        <v>57.142857142857146</v>
      </c>
      <c r="FB17" s="76">
        <f t="shared" si="111"/>
        <v>57.142857142857146</v>
      </c>
      <c r="FC17" s="76">
        <f t="shared" si="111"/>
        <v>54.285714285714285</v>
      </c>
      <c r="FD17" s="76">
        <f t="shared" si="111"/>
        <v>53.571428571428569</v>
      </c>
      <c r="FE17" s="76">
        <f t="shared" si="111"/>
        <v>60.714285714285715</v>
      </c>
      <c r="FF17" s="404">
        <f t="shared" si="111"/>
        <v>6.4285714285714288</v>
      </c>
      <c r="FG17" s="44">
        <f t="shared" ref="FG17:FM17" si="112">FG11/14</f>
        <v>32.142857142857146</v>
      </c>
      <c r="FH17" s="44">
        <f t="shared" si="112"/>
        <v>57.142857142857146</v>
      </c>
      <c r="FI17" s="76">
        <f t="shared" si="112"/>
        <v>58.571428571428569</v>
      </c>
      <c r="FJ17" s="76">
        <f t="shared" si="112"/>
        <v>57.142857142857146</v>
      </c>
      <c r="FK17" s="76">
        <f t="shared" si="112"/>
        <v>58.571428571428569</v>
      </c>
      <c r="FL17" s="76">
        <f t="shared" si="112"/>
        <v>58.571428571428569</v>
      </c>
      <c r="FM17" s="404">
        <f t="shared" si="112"/>
        <v>6.4285714285714288</v>
      </c>
      <c r="FN17" s="44">
        <v>32.142857142857146</v>
      </c>
      <c r="FO17" s="44">
        <v>54.285714285714285</v>
      </c>
      <c r="FP17" s="76">
        <v>52.357142857142854</v>
      </c>
      <c r="FQ17" s="76">
        <v>49.285714285714285</v>
      </c>
      <c r="FR17" s="76">
        <v>58.571428571428569</v>
      </c>
      <c r="FS17" s="76">
        <v>58.571428571428569</v>
      </c>
      <c r="FT17" s="404">
        <v>6.4285714285714288</v>
      </c>
      <c r="FU17" s="44">
        <v>32.142857142857146</v>
      </c>
      <c r="FV17" s="44">
        <v>54.285714285714285</v>
      </c>
      <c r="FW17" s="76">
        <v>52.357142857142854</v>
      </c>
      <c r="FX17" s="76">
        <v>49.285714285714285</v>
      </c>
      <c r="FY17" s="76">
        <v>58.571428571428569</v>
      </c>
      <c r="FZ17" s="76">
        <v>58.571428571428569</v>
      </c>
      <c r="GA17" s="404">
        <v>6.4285714285714288</v>
      </c>
      <c r="GB17" s="44">
        <v>32.142857142857146</v>
      </c>
      <c r="GC17" s="44">
        <v>54.285714285714285</v>
      </c>
      <c r="GD17" s="76">
        <v>52.357142857142854</v>
      </c>
      <c r="GE17" s="76">
        <v>49.285714285714285</v>
      </c>
      <c r="GF17" s="76">
        <v>58.571428571428569</v>
      </c>
      <c r="GG17" s="76">
        <v>58.571428571428569</v>
      </c>
      <c r="GH17" s="404">
        <v>6.4285714285714288</v>
      </c>
      <c r="GI17" s="44">
        <v>32.142857142857146</v>
      </c>
      <c r="GJ17" s="44">
        <v>54.285714285714285</v>
      </c>
      <c r="GK17" s="76">
        <v>52.357142857142854</v>
      </c>
      <c r="GL17" s="76">
        <v>49.285714285714285</v>
      </c>
      <c r="GM17" s="76">
        <v>58.571428571428569</v>
      </c>
      <c r="GN17" s="76">
        <v>58.571428571428569</v>
      </c>
      <c r="GO17" s="311">
        <v>6.4285714285714288</v>
      </c>
      <c r="GP17" s="44">
        <v>32.142857142857146</v>
      </c>
      <c r="GQ17" s="44">
        <v>54.285714285714285</v>
      </c>
      <c r="GR17" s="76">
        <v>52.357142857142854</v>
      </c>
      <c r="GS17" s="76">
        <v>49.285714285714285</v>
      </c>
      <c r="GT17" s="76">
        <v>58.571428571428569</v>
      </c>
      <c r="GU17" s="76">
        <v>58.571428571428569</v>
      </c>
      <c r="GV17" s="311">
        <v>6.4285714285714288</v>
      </c>
      <c r="GW17" s="44">
        <v>32.142857142857146</v>
      </c>
      <c r="GX17" s="44">
        <v>54.285714285714285</v>
      </c>
      <c r="GY17" s="76">
        <v>52.357142857142854</v>
      </c>
      <c r="GZ17" s="76">
        <v>49.285714285714285</v>
      </c>
      <c r="HA17" s="76">
        <v>58.571428571428569</v>
      </c>
      <c r="HB17" s="76">
        <v>58.571428571428569</v>
      </c>
      <c r="HC17" s="311">
        <v>6.4285714285714288</v>
      </c>
      <c r="HD17" s="44">
        <v>32.142857142857146</v>
      </c>
      <c r="HE17" s="44">
        <v>54.285714285714285</v>
      </c>
      <c r="HF17" s="76">
        <v>52.357142857142854</v>
      </c>
      <c r="HG17" s="76">
        <v>49.285714285714285</v>
      </c>
      <c r="HH17" s="76">
        <v>58.571428571428569</v>
      </c>
      <c r="HI17" s="76">
        <v>58.571428571428569</v>
      </c>
      <c r="HJ17" s="462">
        <v>6.4285714285714288</v>
      </c>
      <c r="HK17" s="44">
        <v>32.142857142857146</v>
      </c>
      <c r="HL17" s="44">
        <v>54.285714285714285</v>
      </c>
      <c r="HM17" s="76">
        <v>52.357142857142854</v>
      </c>
      <c r="HN17" s="76">
        <v>49.285714285714285</v>
      </c>
      <c r="HO17" s="76">
        <v>58.571428571428569</v>
      </c>
      <c r="HP17" s="76">
        <v>58.571428571428569</v>
      </c>
      <c r="HQ17" s="620">
        <v>6.4285714285714288</v>
      </c>
      <c r="HR17" s="44">
        <v>32.142857142857146</v>
      </c>
      <c r="HS17" s="44">
        <v>54.285714285714285</v>
      </c>
      <c r="HT17" s="76">
        <v>52.357142857142854</v>
      </c>
      <c r="HU17" s="76">
        <v>49.285714285714285</v>
      </c>
      <c r="HV17" s="76">
        <v>58.571428571428569</v>
      </c>
      <c r="HW17" s="76">
        <v>58.571428571428569</v>
      </c>
      <c r="HX17" s="311">
        <v>6.4285714285714288</v>
      </c>
      <c r="HY17" s="44">
        <v>32.142857142857146</v>
      </c>
      <c r="HZ17" s="44">
        <v>54.285714285714285</v>
      </c>
      <c r="IA17" s="76">
        <v>52.357142857142854</v>
      </c>
      <c r="IB17" s="76">
        <v>49.285714285714285</v>
      </c>
      <c r="IC17" s="76">
        <v>58.571428571428569</v>
      </c>
      <c r="ID17" s="76">
        <v>58.571428571428569</v>
      </c>
      <c r="IE17" s="311">
        <v>6.4285714285714288</v>
      </c>
      <c r="IF17" s="44">
        <v>32.142857142857146</v>
      </c>
      <c r="IG17" s="44">
        <v>54.285714285714285</v>
      </c>
      <c r="IH17" s="76">
        <v>52.357142857142854</v>
      </c>
      <c r="II17" s="76">
        <v>49.285714285714285</v>
      </c>
      <c r="IJ17" s="76">
        <v>58.571428571428569</v>
      </c>
      <c r="IK17" s="76">
        <v>58.571428571428569</v>
      </c>
      <c r="IL17" s="311">
        <v>6.4285714285714288</v>
      </c>
      <c r="IM17" s="44">
        <v>32.142857142857146</v>
      </c>
      <c r="IN17" s="44">
        <v>54.285714285714285</v>
      </c>
      <c r="IO17" s="76">
        <v>52.357142857142854</v>
      </c>
      <c r="IP17" s="76">
        <v>49.285714285714285</v>
      </c>
      <c r="IQ17" s="76">
        <v>58.571428571428569</v>
      </c>
      <c r="IR17" s="76">
        <v>58.571428571428569</v>
      </c>
      <c r="IS17" s="311">
        <v>6.4285714285714288</v>
      </c>
      <c r="IT17" s="44">
        <v>32.142857142857146</v>
      </c>
      <c r="IU17" s="44">
        <v>54.285714285714285</v>
      </c>
      <c r="IV17" s="76">
        <v>52.357142857142854</v>
      </c>
      <c r="IW17" s="76">
        <v>49.285714285714285</v>
      </c>
      <c r="IX17" s="76">
        <v>58.571428571428569</v>
      </c>
      <c r="IY17" s="76">
        <v>58.571428571428569</v>
      </c>
      <c r="IZ17" s="311">
        <v>6.4285714285714288</v>
      </c>
      <c r="JA17" s="44">
        <v>32.142857142857146</v>
      </c>
      <c r="JB17" s="44">
        <v>54.285714285714285</v>
      </c>
      <c r="JC17" s="76">
        <v>52.357142857142854</v>
      </c>
      <c r="JD17" s="76">
        <v>49.285714285714285</v>
      </c>
      <c r="JE17" s="76">
        <v>58.571428571428569</v>
      </c>
      <c r="JF17" s="76">
        <v>58.571428571428569</v>
      </c>
      <c r="JG17" s="311">
        <v>6.4285714285714288</v>
      </c>
      <c r="JH17" s="44">
        <v>32.142857142857146</v>
      </c>
      <c r="JI17" s="44">
        <v>54.285714285714285</v>
      </c>
      <c r="JJ17" s="76">
        <v>52.357142857142854</v>
      </c>
      <c r="JK17" s="76">
        <v>49.285714285714285</v>
      </c>
      <c r="JL17" s="76">
        <v>58.571428571428569</v>
      </c>
      <c r="JM17" s="76">
        <v>58.571428571428569</v>
      </c>
      <c r="JN17" s="311">
        <v>6.4285714285714288</v>
      </c>
      <c r="JO17" s="44">
        <v>32.142857142857146</v>
      </c>
      <c r="JP17" s="44">
        <v>54.285714285714285</v>
      </c>
      <c r="JQ17" s="76">
        <v>52.357142857142854</v>
      </c>
      <c r="JR17" s="76">
        <v>49.285714285714285</v>
      </c>
      <c r="JS17" s="76">
        <v>58.571428571428569</v>
      </c>
      <c r="JT17" s="76">
        <v>58.571428571428569</v>
      </c>
      <c r="JU17" s="311">
        <v>6.4285714285714288</v>
      </c>
      <c r="JV17" s="44">
        <v>32.142857142857146</v>
      </c>
      <c r="JW17" s="44">
        <v>54.285714285714285</v>
      </c>
      <c r="JX17" s="76">
        <v>52.357142857142854</v>
      </c>
      <c r="JY17" s="76">
        <v>49.285714285714285</v>
      </c>
      <c r="JZ17" s="76">
        <v>58.571428571428569</v>
      </c>
      <c r="KA17" s="76">
        <v>58.571428571428569</v>
      </c>
      <c r="KB17" s="311">
        <v>6.4285714285714288</v>
      </c>
    </row>
    <row r="18" spans="1:288" hidden="1" x14ac:dyDescent="0.3">
      <c r="A18" s="409" t="s">
        <v>129</v>
      </c>
      <c r="B18" s="83">
        <f>STATUS!I9</f>
        <v>65</v>
      </c>
      <c r="C18">
        <f>STATUS!J9</f>
        <v>65</v>
      </c>
      <c r="D18">
        <f>STATUS!K9</f>
        <v>68</v>
      </c>
      <c r="E18">
        <f>STATUS!L9</f>
        <v>68</v>
      </c>
      <c r="F18">
        <f>STATUS!M9</f>
        <v>70</v>
      </c>
      <c r="G18">
        <f>STATUS!N9</f>
        <v>70</v>
      </c>
      <c r="H18" s="126">
        <f>STATUS!O9</f>
        <v>70</v>
      </c>
      <c r="I18" s="83">
        <f>STATUS!P9</f>
        <v>70</v>
      </c>
      <c r="J18">
        <f>STATUS!Q9</f>
        <v>70</v>
      </c>
      <c r="K18">
        <f>STATUS!R9</f>
        <v>70</v>
      </c>
      <c r="L18">
        <f>STATUS!S9</f>
        <v>70</v>
      </c>
      <c r="M18">
        <f>STATUS!T9</f>
        <v>70</v>
      </c>
      <c r="N18">
        <f>STATUS!U9</f>
        <v>65</v>
      </c>
      <c r="O18" s="126">
        <f>STATUS!V9</f>
        <v>65</v>
      </c>
      <c r="P18" s="83"/>
      <c r="Q18">
        <f>STATUS!X9</f>
        <v>70</v>
      </c>
      <c r="R18">
        <f>STATUS!Y9</f>
        <v>70</v>
      </c>
      <c r="S18">
        <f>STATUS!Z9</f>
        <v>70</v>
      </c>
      <c r="T18">
        <f>STATUS!AA9</f>
        <v>70</v>
      </c>
      <c r="U18">
        <f>STATUS!AB9</f>
        <v>65</v>
      </c>
      <c r="V18" s="126">
        <f>STATUS!AC9</f>
        <v>65</v>
      </c>
      <c r="W18" s="73">
        <f>STATUS!AD9</f>
        <v>0</v>
      </c>
      <c r="X18">
        <f>STATUS!AE9</f>
        <v>0</v>
      </c>
      <c r="Y18">
        <f>STATUS!AF9</f>
        <v>0</v>
      </c>
      <c r="Z18">
        <f>STATUS!AG9</f>
        <v>0</v>
      </c>
      <c r="AA18">
        <f>STATUS!AH9</f>
        <v>0</v>
      </c>
      <c r="AB18">
        <f>STATUS!AI9</f>
        <v>0</v>
      </c>
      <c r="AC18" s="68">
        <f>STATUS!AJ9</f>
        <v>0</v>
      </c>
      <c r="AD18" s="73">
        <f>STATUS!AK9</f>
        <v>0</v>
      </c>
      <c r="AE18">
        <f>STATUS!AL9</f>
        <v>0</v>
      </c>
      <c r="AF18">
        <f>STATUS!AM9</f>
        <v>0</v>
      </c>
      <c r="AG18">
        <f>STATUS!AN9</f>
        <v>0</v>
      </c>
      <c r="AH18">
        <f>STATUS!AO9</f>
        <v>0</v>
      </c>
      <c r="AI18">
        <f>STATUS!AP9</f>
        <v>0</v>
      </c>
      <c r="AJ18" s="68">
        <f>STATUS!AQ9</f>
        <v>0</v>
      </c>
      <c r="AK18" s="73">
        <f>STATUS!AR9</f>
        <v>0</v>
      </c>
      <c r="AL18">
        <f>STATUS!AS9</f>
        <v>0</v>
      </c>
      <c r="AM18">
        <f>STATUS!AT9</f>
        <v>0</v>
      </c>
      <c r="AN18">
        <f>STATUS!AU9</f>
        <v>0</v>
      </c>
      <c r="AO18">
        <f>STATUS!AV9</f>
        <v>0</v>
      </c>
      <c r="AP18">
        <f>STATUS!AW9</f>
        <v>0</v>
      </c>
      <c r="AQ18" s="68">
        <f>STATUS!AX9</f>
        <v>0</v>
      </c>
      <c r="AR18" s="73">
        <f>STATUS!AY9</f>
        <v>0</v>
      </c>
      <c r="AS18">
        <f>STATUS!AZ9</f>
        <v>0</v>
      </c>
      <c r="AT18">
        <f>STATUS!BA9</f>
        <v>0</v>
      </c>
      <c r="AU18">
        <f>STATUS!BB9</f>
        <v>0</v>
      </c>
      <c r="AV18">
        <f>STATUS!BC9</f>
        <v>0</v>
      </c>
      <c r="AW18">
        <f>STATUS!BD9</f>
        <v>0</v>
      </c>
      <c r="AX18" s="68">
        <f>STATUS!BE9</f>
        <v>0</v>
      </c>
      <c r="AY18" s="73">
        <f>STATUS!BF9</f>
        <v>0</v>
      </c>
      <c r="AZ18">
        <f>STATUS!BG9</f>
        <v>0</v>
      </c>
      <c r="BA18">
        <f>STATUS!BH9</f>
        <v>0</v>
      </c>
      <c r="BB18" s="85"/>
      <c r="BC18">
        <f>STATUS!BJ9</f>
        <v>0</v>
      </c>
      <c r="BD18">
        <f>STATUS!BK9</f>
        <v>0</v>
      </c>
      <c r="BE18" s="68">
        <f>STATUS!BL9</f>
        <v>0</v>
      </c>
      <c r="BF18" s="73">
        <f>STATUS!BM9</f>
        <v>0</v>
      </c>
      <c r="BG18">
        <f>STATUS!BN9</f>
        <v>0</v>
      </c>
      <c r="BH18">
        <f>STATUS!BO9</f>
        <v>0</v>
      </c>
      <c r="BI18">
        <f>STATUS!BP9</f>
        <v>0</v>
      </c>
      <c r="BJ18">
        <f>STATUS!BQ9</f>
        <v>0</v>
      </c>
      <c r="BK18">
        <f>STATUS!BR9</f>
        <v>0</v>
      </c>
      <c r="BL18" s="68">
        <f>STATUS!BS9</f>
        <v>0</v>
      </c>
      <c r="BM18" s="95">
        <f>STATUS!BT9</f>
        <v>0</v>
      </c>
      <c r="BN18" s="86">
        <f>STATUS!BU9</f>
        <v>0</v>
      </c>
      <c r="BO18">
        <f>STATUS!BV9</f>
        <v>0</v>
      </c>
      <c r="BP18">
        <f>STATUS!BW9</f>
        <v>0</v>
      </c>
      <c r="BQ18">
        <f>STATUS!BX9</f>
        <v>0</v>
      </c>
      <c r="BR18">
        <f>STATUS!BY9</f>
        <v>0</v>
      </c>
      <c r="BS18">
        <f>STATUS!BZ9</f>
        <v>0</v>
      </c>
      <c r="BT18" s="125">
        <f>STATUS!CA9</f>
        <v>0</v>
      </c>
      <c r="BU18">
        <f>STATUS!CB9</f>
        <v>0</v>
      </c>
      <c r="BV18">
        <f>STATUS!CC9</f>
        <v>0</v>
      </c>
      <c r="BW18">
        <f>STATUS!CD9</f>
        <v>0</v>
      </c>
      <c r="BX18">
        <f>STATUS!CE9</f>
        <v>0</v>
      </c>
      <c r="BY18">
        <f>STATUS!CF9</f>
        <v>0</v>
      </c>
      <c r="BZ18" s="126">
        <f>STATUS!CG9</f>
        <v>0</v>
      </c>
      <c r="CA18" s="125">
        <f>STATUS!CH9</f>
        <v>0</v>
      </c>
      <c r="CB18">
        <f>STATUS!CI9</f>
        <v>0</v>
      </c>
      <c r="CC18">
        <f>STATUS!CJ9</f>
        <v>0</v>
      </c>
      <c r="CD18">
        <f>STATUS!CK9</f>
        <v>0</v>
      </c>
      <c r="CE18">
        <f>STATUS!CL9</f>
        <v>0</v>
      </c>
      <c r="CF18">
        <f>STATUS!CM9</f>
        <v>0</v>
      </c>
      <c r="CG18" s="126">
        <f>STATUS!CN9</f>
        <v>0</v>
      </c>
      <c r="CH18" s="125">
        <f>STATUS!CO9</f>
        <v>0</v>
      </c>
      <c r="CI18">
        <f>STATUS!CP9</f>
        <v>0</v>
      </c>
      <c r="CJ18">
        <f>STATUS!CQ9</f>
        <v>0</v>
      </c>
      <c r="CK18">
        <f>STATUS!CR9</f>
        <v>0</v>
      </c>
      <c r="CL18">
        <f>STATUS!CS9</f>
        <v>0</v>
      </c>
      <c r="CM18">
        <f>STATUS!CT9</f>
        <v>0</v>
      </c>
      <c r="CN18" s="126">
        <f>STATUS!CU9</f>
        <v>0</v>
      </c>
      <c r="CO18" s="103">
        <f>STATUS!CV9</f>
        <v>0</v>
      </c>
      <c r="CP18">
        <f>STATUS!CW9</f>
        <v>0</v>
      </c>
      <c r="CQ18">
        <f>STATUS!CX9</f>
        <v>0</v>
      </c>
      <c r="CR18">
        <f>STATUS!CY9</f>
        <v>0</v>
      </c>
      <c r="CS18">
        <f>STATUS!CZ9</f>
        <v>0</v>
      </c>
      <c r="CT18">
        <f>STATUS!DA9</f>
        <v>0</v>
      </c>
      <c r="CU18" s="68">
        <f>STATUS!DB9</f>
        <v>0</v>
      </c>
      <c r="CV18" s="103">
        <f>STATUS!DC9</f>
        <v>0</v>
      </c>
      <c r="CW18">
        <f>STATUS!DD9</f>
        <v>0</v>
      </c>
      <c r="CX18">
        <f>STATUS!DE9</f>
        <v>0</v>
      </c>
      <c r="CY18">
        <f>STATUS!DF9</f>
        <v>0</v>
      </c>
      <c r="CZ18">
        <f>STATUS!DG9</f>
        <v>0</v>
      </c>
      <c r="DA18">
        <f>STATUS!DH9</f>
        <v>0</v>
      </c>
      <c r="DB18">
        <f>STATUS!DI9</f>
        <v>0</v>
      </c>
      <c r="DC18" s="125">
        <f>STATUS!DJ9</f>
        <v>0</v>
      </c>
      <c r="DD18">
        <f>STATUS!DK9</f>
        <v>0</v>
      </c>
      <c r="DE18">
        <f>STATUS!DL9</f>
        <v>0</v>
      </c>
      <c r="DF18">
        <f>STATUS!DM9</f>
        <v>0</v>
      </c>
      <c r="DG18">
        <f>STATUS!DN9</f>
        <v>0</v>
      </c>
      <c r="DH18">
        <f>STATUS!DO9</f>
        <v>0</v>
      </c>
      <c r="DI18" s="126">
        <f>STATUS!DP9</f>
        <v>0</v>
      </c>
      <c r="DJ18" s="125">
        <f>STATUS!DQ9</f>
        <v>0</v>
      </c>
      <c r="DK18" s="86">
        <f>STATUS!DR9</f>
        <v>0</v>
      </c>
      <c r="DL18">
        <f>STATUS!DS9</f>
        <v>0</v>
      </c>
      <c r="DM18">
        <f>STATUS!DT9</f>
        <v>0</v>
      </c>
      <c r="DN18">
        <f>STATUS!DU9</f>
        <v>0</v>
      </c>
      <c r="DO18">
        <f>STATUS!DV9</f>
        <v>0</v>
      </c>
      <c r="DP18" s="126">
        <f>STATUS!DW9</f>
        <v>0</v>
      </c>
      <c r="DQ18" s="125">
        <f>STATUS!DX9</f>
        <v>0</v>
      </c>
      <c r="DR18">
        <f>STATUS!DY9</f>
        <v>0</v>
      </c>
      <c r="DS18">
        <f>STATUS!DZ9</f>
        <v>0</v>
      </c>
      <c r="DT18">
        <f>STATUS!EA9</f>
        <v>0</v>
      </c>
      <c r="DU18">
        <f>STATUS!EB9</f>
        <v>0</v>
      </c>
      <c r="DV18">
        <f>STATUS!EC9</f>
        <v>0</v>
      </c>
      <c r="DW18" s="126">
        <f>STATUS!ED9</f>
        <v>0</v>
      </c>
      <c r="DX18" s="125">
        <f>STATUS!EE9</f>
        <v>0</v>
      </c>
      <c r="DY18">
        <f>STATUS!EF9</f>
        <v>0</v>
      </c>
      <c r="DZ18">
        <f>STATUS!EG9</f>
        <v>0</v>
      </c>
      <c r="EA18">
        <f>STATUS!EH9</f>
        <v>0</v>
      </c>
      <c r="EB18">
        <f>STATUS!EI9</f>
        <v>0</v>
      </c>
      <c r="EC18">
        <f>STATUS!EJ9</f>
        <v>0</v>
      </c>
      <c r="ED18" s="126">
        <f>STATUS!EK9</f>
        <v>0</v>
      </c>
      <c r="EE18" s="125">
        <f>STATUS!EL9</f>
        <v>0</v>
      </c>
      <c r="EF18">
        <f>STATUS!EM9</f>
        <v>0</v>
      </c>
      <c r="EG18">
        <f>STATUS!EN9</f>
        <v>0</v>
      </c>
      <c r="EH18">
        <f>STATUS!EO9</f>
        <v>0</v>
      </c>
      <c r="EI18">
        <f>STATUS!EP9</f>
        <v>0</v>
      </c>
      <c r="EJ18">
        <f>STATUS!EQ9</f>
        <v>0</v>
      </c>
      <c r="EK18" s="134">
        <f>STATUS!ER9</f>
        <v>0</v>
      </c>
      <c r="EL18" s="125">
        <f>STATUS!ES9</f>
        <v>0</v>
      </c>
      <c r="EM18">
        <f>STATUS!ET9</f>
        <v>0</v>
      </c>
      <c r="EN18">
        <f>STATUS!EU9</f>
        <v>0</v>
      </c>
      <c r="EO18">
        <f>STATUS!EV9</f>
        <v>0</v>
      </c>
      <c r="EP18">
        <f>STATUS!EW9</f>
        <v>0</v>
      </c>
      <c r="EQ18">
        <f>STATUS!EX9</f>
        <v>0</v>
      </c>
      <c r="ER18" s="126">
        <f>STATUS!EY9</f>
        <v>0</v>
      </c>
      <c r="ES18" s="125">
        <f>STATUS!EZ9</f>
        <v>0</v>
      </c>
      <c r="ET18">
        <f>STATUS!FA9</f>
        <v>0</v>
      </c>
      <c r="EU18">
        <f>STATUS!FB9</f>
        <v>0</v>
      </c>
      <c r="EV18">
        <f>STATUS!FC9</f>
        <v>0</v>
      </c>
      <c r="EW18">
        <f>STATUS!FD9</f>
        <v>0</v>
      </c>
      <c r="EX18">
        <f>STATUS!FE9</f>
        <v>0</v>
      </c>
      <c r="EY18" s="400">
        <f>STATUS!FF9</f>
        <v>0</v>
      </c>
      <c r="EZ18">
        <f>STATUS!FG9</f>
        <v>0</v>
      </c>
      <c r="FA18">
        <f>STATUS!FH9</f>
        <v>0</v>
      </c>
      <c r="FB18">
        <f>STATUS!FI9</f>
        <v>0</v>
      </c>
      <c r="FC18">
        <f>STATUS!FJ9</f>
        <v>0</v>
      </c>
      <c r="FD18">
        <f>STATUS!FK9</f>
        <v>0</v>
      </c>
      <c r="FE18">
        <f>STATUS!FL9</f>
        <v>0</v>
      </c>
      <c r="FF18" s="400">
        <f>STATUS!FM9</f>
        <v>0</v>
      </c>
      <c r="FG18">
        <f>STATUS!FN9</f>
        <v>0</v>
      </c>
      <c r="FH18">
        <f>STATUS!FO9</f>
        <v>0</v>
      </c>
      <c r="FI18">
        <f>STATUS!FP9</f>
        <v>0</v>
      </c>
      <c r="FJ18">
        <f>STATUS!FQ9</f>
        <v>0</v>
      </c>
      <c r="FK18">
        <f>STATUS!FR9</f>
        <v>0</v>
      </c>
      <c r="FL18">
        <f>STATUS!FS9</f>
        <v>0</v>
      </c>
      <c r="FM18" s="400">
        <f>STATUS!FT9</f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 s="400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 s="400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 s="400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 s="126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 s="126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 s="126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 s="134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 s="621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 s="126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 s="126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 s="126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 s="126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 s="126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 s="126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 s="126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 s="126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 s="126">
        <v>0</v>
      </c>
    </row>
    <row r="19" spans="1:288" hidden="1" x14ac:dyDescent="0.3">
      <c r="A19" s="409" t="s">
        <v>130</v>
      </c>
      <c r="B19" s="83">
        <v>44</v>
      </c>
      <c r="C19">
        <v>51</v>
      </c>
      <c r="H19" s="126"/>
      <c r="I19" s="83"/>
      <c r="O19" s="126"/>
      <c r="P19" s="83"/>
      <c r="Q19">
        <v>51</v>
      </c>
      <c r="V19" s="126"/>
      <c r="AD19" s="73">
        <v>51</v>
      </c>
      <c r="AE19">
        <v>51</v>
      </c>
      <c r="AK19" s="73">
        <v>51</v>
      </c>
      <c r="AL19">
        <v>51</v>
      </c>
      <c r="AR19" s="73"/>
      <c r="AX19" s="68"/>
      <c r="AY19" s="73"/>
      <c r="BB19" s="85"/>
      <c r="BE19" s="68"/>
      <c r="BF19" s="73"/>
      <c r="BL19" s="68"/>
      <c r="BM19" s="95"/>
      <c r="BN19" s="86"/>
      <c r="BT19" s="125"/>
      <c r="BZ19" s="126"/>
      <c r="CA19" s="125"/>
      <c r="CG19" s="126"/>
      <c r="CH19" s="125"/>
      <c r="CN19" s="126"/>
      <c r="CO19" s="103"/>
      <c r="CU19" s="68"/>
      <c r="CV19" s="103"/>
      <c r="DC19" s="125"/>
      <c r="DI19" s="126"/>
      <c r="DJ19" s="125"/>
      <c r="DK19" s="86"/>
      <c r="DP19" s="126"/>
      <c r="DQ19" s="125"/>
      <c r="DW19" s="126"/>
      <c r="DX19" s="125"/>
      <c r="ED19" s="126"/>
      <c r="EE19" s="125"/>
      <c r="EK19" s="134"/>
      <c r="EL19" s="125"/>
      <c r="ER19" s="126"/>
      <c r="ES19" s="125"/>
      <c r="EY19" s="400"/>
      <c r="FF19" s="400"/>
      <c r="FM19" s="400"/>
      <c r="FT19" s="400"/>
      <c r="GA19" s="400"/>
      <c r="GH19" s="400"/>
      <c r="GO19" s="126"/>
      <c r="GV19" s="126"/>
      <c r="HC19" s="126"/>
      <c r="HJ19" s="134"/>
      <c r="HQ19" s="621"/>
      <c r="HX19" s="126"/>
      <c r="IE19" s="126"/>
      <c r="IL19" s="126"/>
      <c r="IS19" s="126"/>
      <c r="IZ19" s="126"/>
      <c r="JG19" s="126"/>
      <c r="JN19" s="126"/>
      <c r="JU19" s="126"/>
      <c r="KB19" s="126"/>
    </row>
    <row r="20" spans="1:288" ht="15" hidden="1" thickBot="1" x14ac:dyDescent="0.35">
      <c r="A20" s="54" t="s">
        <v>131</v>
      </c>
      <c r="B20" s="411">
        <f>B11/B19</f>
        <v>15.75</v>
      </c>
      <c r="C20" s="53">
        <f>C11/C19</f>
        <v>14.294117647058824</v>
      </c>
      <c r="H20" s="126"/>
      <c r="I20" s="411"/>
      <c r="J20" s="53"/>
      <c r="O20" s="126"/>
      <c r="P20" s="411"/>
      <c r="Q20" s="53">
        <f>Q11/Q19</f>
        <v>14.058823529411764</v>
      </c>
      <c r="V20" s="126"/>
      <c r="AD20" s="79">
        <f>AD11/AD19</f>
        <v>14.705882352941176</v>
      </c>
      <c r="AE20" s="53">
        <f>AE11/AE19</f>
        <v>15.901960784313726</v>
      </c>
      <c r="AK20" s="79">
        <f>AK11/AK19</f>
        <v>15.686274509803921</v>
      </c>
      <c r="AL20" s="53">
        <f>AL11/AL19</f>
        <v>15.686274509803921</v>
      </c>
      <c r="AR20" s="79"/>
      <c r="AS20" s="53"/>
      <c r="AX20" s="68"/>
      <c r="AY20" s="79"/>
      <c r="AZ20" s="53"/>
      <c r="BB20" s="85"/>
      <c r="BE20" s="68"/>
      <c r="BF20" s="79"/>
      <c r="BG20" s="53"/>
      <c r="BL20" s="68"/>
      <c r="BM20" s="99"/>
      <c r="BN20" s="110"/>
      <c r="BT20" s="127"/>
      <c r="BU20" s="128"/>
      <c r="BV20" s="227"/>
      <c r="BW20" s="227"/>
      <c r="BX20" s="227"/>
      <c r="BY20" s="227"/>
      <c r="BZ20" s="129"/>
      <c r="CA20" s="127"/>
      <c r="CB20" s="128"/>
      <c r="CC20" s="227"/>
      <c r="CD20" s="227"/>
      <c r="CE20" s="227"/>
      <c r="CF20" s="227"/>
      <c r="CG20" s="129"/>
      <c r="CH20" s="136"/>
      <c r="CI20" s="53"/>
      <c r="CN20" s="129"/>
      <c r="CO20" s="106"/>
      <c r="CP20" s="53"/>
      <c r="CU20" s="68"/>
      <c r="CV20" s="106"/>
      <c r="CW20" s="53"/>
      <c r="DC20" s="136"/>
      <c r="DD20" s="53"/>
      <c r="DI20" s="126"/>
      <c r="DJ20" s="136"/>
      <c r="DK20" s="110"/>
      <c r="DP20" s="126"/>
      <c r="DQ20" s="136"/>
      <c r="DW20" s="126"/>
      <c r="DX20" s="136"/>
      <c r="ED20" s="126"/>
      <c r="EE20" s="136"/>
      <c r="EK20" s="134"/>
      <c r="EL20" s="136"/>
      <c r="ER20" s="126"/>
      <c r="ES20" s="136"/>
      <c r="EY20" s="400"/>
      <c r="EZ20" s="53"/>
      <c r="FF20" s="400"/>
      <c r="FG20" s="53"/>
      <c r="FM20" s="400"/>
      <c r="FN20" s="53"/>
      <c r="FT20" s="400"/>
      <c r="FU20" s="53"/>
      <c r="GA20" s="400"/>
      <c r="GB20" s="53"/>
      <c r="GH20" s="400"/>
      <c r="GI20" s="53"/>
      <c r="GO20" s="126"/>
      <c r="GP20" s="53"/>
      <c r="GV20" s="126"/>
      <c r="GW20" s="53"/>
      <c r="HC20" s="126"/>
      <c r="HD20" s="53"/>
      <c r="HJ20" s="134"/>
      <c r="HK20" s="53"/>
      <c r="HQ20" s="621"/>
      <c r="HR20" s="53"/>
      <c r="HX20" s="126"/>
      <c r="HY20" s="53"/>
      <c r="IE20" s="126"/>
      <c r="IF20" s="53"/>
      <c r="IL20" s="126"/>
      <c r="IM20" s="53"/>
      <c r="IS20" s="126"/>
      <c r="IT20" s="53"/>
      <c r="IZ20" s="126"/>
      <c r="JA20" s="53"/>
      <c r="JG20" s="126"/>
      <c r="JH20" s="53"/>
      <c r="JN20" s="126"/>
      <c r="JO20" s="53"/>
      <c r="JU20" s="126"/>
      <c r="JV20" s="53"/>
      <c r="KB20" s="126"/>
    </row>
    <row r="21" spans="1:288" s="45" customFormat="1" ht="15" thickBot="1" x14ac:dyDescent="0.35">
      <c r="A21" s="19" t="s">
        <v>124</v>
      </c>
      <c r="HB21" s="45">
        <v>51700</v>
      </c>
      <c r="HC21" s="45">
        <v>10200</v>
      </c>
      <c r="HD21" s="45">
        <v>26000</v>
      </c>
      <c r="HE21" s="45">
        <v>42000</v>
      </c>
      <c r="HF21" s="45">
        <v>44547</v>
      </c>
      <c r="HH21" s="45">
        <v>48413</v>
      </c>
      <c r="HI21" s="45">
        <v>51400</v>
      </c>
      <c r="HJ21" s="606"/>
      <c r="HK21" s="45">
        <v>24250</v>
      </c>
      <c r="HL21" s="45">
        <v>53094</v>
      </c>
      <c r="HM21" s="45">
        <v>48413</v>
      </c>
      <c r="HN21" s="45">
        <v>52519</v>
      </c>
      <c r="HO21" s="45">
        <v>50065</v>
      </c>
      <c r="HP21" s="45">
        <v>48555</v>
      </c>
      <c r="HQ21" s="619">
        <v>15209</v>
      </c>
      <c r="HR21" s="45">
        <v>30500</v>
      </c>
      <c r="HS21" s="45">
        <v>46800</v>
      </c>
      <c r="HU21" s="45">
        <v>46330</v>
      </c>
      <c r="HV21" s="45">
        <v>47308</v>
      </c>
      <c r="HW21" s="145"/>
      <c r="HX21" s="123">
        <v>14397</v>
      </c>
      <c r="HY21" s="45">
        <v>28711</v>
      </c>
      <c r="HZ21" s="45">
        <v>45614</v>
      </c>
      <c r="IA21" s="45">
        <v>46156</v>
      </c>
      <c r="IB21" s="45">
        <v>47233</v>
      </c>
      <c r="IC21" s="45">
        <v>47920</v>
      </c>
      <c r="IE21" s="123"/>
      <c r="IJ21" s="45">
        <v>51503</v>
      </c>
      <c r="IL21" s="123"/>
      <c r="IM21" s="45">
        <v>35191</v>
      </c>
      <c r="IN21" s="45">
        <v>45700</v>
      </c>
      <c r="IO21" s="45">
        <v>45700</v>
      </c>
      <c r="IP21" s="45">
        <v>50000</v>
      </c>
      <c r="IQ21" s="45">
        <v>51587</v>
      </c>
      <c r="IS21" s="123"/>
      <c r="IZ21" s="123"/>
      <c r="JG21" s="123"/>
      <c r="JH21" s="647"/>
      <c r="JI21" s="145"/>
      <c r="JJ21" s="145"/>
      <c r="JK21" s="145"/>
      <c r="JL21" s="145"/>
      <c r="JM21" s="145"/>
      <c r="JN21" s="146"/>
      <c r="JO21" s="647"/>
      <c r="JP21" s="145"/>
      <c r="JQ21" s="145"/>
      <c r="JR21" s="145"/>
      <c r="JS21" s="145"/>
      <c r="JT21" s="145"/>
      <c r="JU21" s="146"/>
      <c r="JV21" s="647"/>
      <c r="JW21" s="145"/>
      <c r="JX21" s="145"/>
      <c r="JY21" s="145"/>
      <c r="JZ21" s="145"/>
      <c r="KA21" s="145"/>
      <c r="KB21" s="146"/>
    </row>
    <row r="22" spans="1:288" ht="15" thickBot="1" x14ac:dyDescent="0.35">
      <c r="A22" s="444" t="s">
        <v>132</v>
      </c>
      <c r="B22" s="410">
        <v>420</v>
      </c>
      <c r="C22" s="50">
        <v>795</v>
      </c>
      <c r="D22" s="50">
        <v>840</v>
      </c>
      <c r="E22" s="50">
        <v>800</v>
      </c>
      <c r="F22" s="50">
        <v>902</v>
      </c>
      <c r="G22" s="50">
        <v>881</v>
      </c>
      <c r="H22" s="412"/>
      <c r="I22" s="410">
        <v>483</v>
      </c>
      <c r="J22" s="50">
        <v>386</v>
      </c>
      <c r="K22" s="50">
        <v>720</v>
      </c>
      <c r="L22" s="50">
        <v>750</v>
      </c>
      <c r="M22" s="50">
        <v>866</v>
      </c>
      <c r="N22" s="50">
        <v>725</v>
      </c>
      <c r="O22" s="412"/>
      <c r="P22" s="410"/>
      <c r="Q22" s="50">
        <v>901</v>
      </c>
      <c r="R22" s="50">
        <v>795</v>
      </c>
      <c r="S22" s="50">
        <v>781</v>
      </c>
      <c r="T22" s="50">
        <v>800</v>
      </c>
      <c r="U22" s="50">
        <v>830</v>
      </c>
      <c r="V22" s="412"/>
      <c r="W22" s="49">
        <v>670</v>
      </c>
      <c r="X22" s="50">
        <v>883</v>
      </c>
      <c r="Y22" s="50">
        <v>494</v>
      </c>
      <c r="Z22" s="50">
        <v>762</v>
      </c>
      <c r="AA22" s="50">
        <v>876</v>
      </c>
      <c r="AB22" s="51">
        <v>920</v>
      </c>
      <c r="AC22" s="71"/>
      <c r="AD22" s="49">
        <v>870</v>
      </c>
      <c r="AE22" s="50">
        <v>885</v>
      </c>
      <c r="AF22" s="50">
        <v>885</v>
      </c>
      <c r="AG22" s="50">
        <v>900</v>
      </c>
      <c r="AH22" s="52"/>
      <c r="AI22" s="50">
        <v>820</v>
      </c>
      <c r="AJ22" s="71"/>
      <c r="AK22" s="49">
        <v>800</v>
      </c>
      <c r="AL22" s="50">
        <v>800</v>
      </c>
      <c r="AM22" s="50">
        <v>800</v>
      </c>
      <c r="AN22" s="50">
        <v>800</v>
      </c>
      <c r="AO22" s="80">
        <v>800</v>
      </c>
      <c r="AP22" s="50">
        <v>900</v>
      </c>
      <c r="AQ22" s="71"/>
      <c r="AR22" s="49">
        <v>700</v>
      </c>
      <c r="AS22" s="50">
        <v>800</v>
      </c>
      <c r="AT22" s="50">
        <v>800</v>
      </c>
      <c r="AU22" s="50">
        <v>800</v>
      </c>
      <c r="AV22" s="80">
        <v>870</v>
      </c>
      <c r="AW22" s="50">
        <v>900</v>
      </c>
      <c r="AX22" s="71"/>
      <c r="AY22" s="49">
        <v>900</v>
      </c>
      <c r="AZ22" s="50">
        <v>785</v>
      </c>
      <c r="BA22" s="50">
        <v>915</v>
      </c>
      <c r="BB22" s="80"/>
      <c r="BC22" s="80">
        <v>800</v>
      </c>
      <c r="BD22" s="50">
        <v>800</v>
      </c>
      <c r="BE22" s="71"/>
      <c r="BF22" s="49">
        <v>600</v>
      </c>
      <c r="BG22" s="50">
        <v>600</v>
      </c>
      <c r="BH22" s="50">
        <v>700</v>
      </c>
      <c r="BI22" s="50">
        <v>700</v>
      </c>
      <c r="BJ22" s="80">
        <v>900</v>
      </c>
      <c r="BK22" s="50">
        <v>650</v>
      </c>
      <c r="BL22" s="71"/>
      <c r="BM22" s="98"/>
      <c r="BN22" s="50">
        <v>528</v>
      </c>
      <c r="BO22" s="50">
        <v>750</v>
      </c>
      <c r="BP22" s="50">
        <v>800</v>
      </c>
      <c r="BQ22" s="80">
        <v>850</v>
      </c>
      <c r="BR22" s="50">
        <v>620</v>
      </c>
      <c r="BS22" s="52"/>
      <c r="BT22" s="137">
        <v>760</v>
      </c>
      <c r="BU22" s="84">
        <v>680</v>
      </c>
      <c r="BV22" s="84">
        <v>700</v>
      </c>
      <c r="BW22" s="84">
        <v>750</v>
      </c>
      <c r="BX22" s="138">
        <v>820</v>
      </c>
      <c r="BY22" s="139">
        <v>650</v>
      </c>
      <c r="BZ22" s="131"/>
      <c r="CA22" s="137">
        <v>575</v>
      </c>
      <c r="CB22" s="84">
        <v>692</v>
      </c>
      <c r="CC22" s="84">
        <v>580</v>
      </c>
      <c r="CD22" s="84">
        <v>650</v>
      </c>
      <c r="CE22" s="138">
        <v>750</v>
      </c>
      <c r="CF22" s="139">
        <v>465</v>
      </c>
      <c r="CG22" s="131"/>
      <c r="CH22" s="84">
        <v>475</v>
      </c>
      <c r="CI22" s="84">
        <v>500</v>
      </c>
      <c r="CJ22" s="84">
        <v>500</v>
      </c>
      <c r="CK22" s="84">
        <f>820-250</f>
        <v>570</v>
      </c>
      <c r="CL22" s="138">
        <f>820-150</f>
        <v>670</v>
      </c>
      <c r="CM22" s="139">
        <v>550</v>
      </c>
      <c r="CN22" s="131"/>
      <c r="CO22" s="137">
        <v>480</v>
      </c>
      <c r="CP22" s="84">
        <v>470</v>
      </c>
      <c r="CQ22" s="84">
        <v>570</v>
      </c>
      <c r="CR22" s="84">
        <v>550</v>
      </c>
      <c r="CS22" s="138">
        <v>650</v>
      </c>
      <c r="CT22" s="139">
        <v>540</v>
      </c>
      <c r="CU22" s="131"/>
      <c r="CV22" s="137">
        <v>411</v>
      </c>
      <c r="CW22" s="84">
        <v>470</v>
      </c>
      <c r="CX22" s="84">
        <v>440</v>
      </c>
      <c r="CY22" s="84">
        <v>560</v>
      </c>
      <c r="CZ22" s="138">
        <v>550</v>
      </c>
      <c r="DA22" s="139">
        <v>429</v>
      </c>
      <c r="DB22" s="131"/>
      <c r="DC22" s="130">
        <v>417</v>
      </c>
      <c r="DD22" s="227">
        <v>460</v>
      </c>
      <c r="DE22" s="227">
        <v>460</v>
      </c>
      <c r="DF22" s="227">
        <v>525</v>
      </c>
      <c r="DG22" s="94">
        <v>560</v>
      </c>
      <c r="DH22" s="227">
        <v>400</v>
      </c>
      <c r="DI22" s="131"/>
      <c r="DJ22" s="130">
        <v>500</v>
      </c>
      <c r="DK22" s="161"/>
      <c r="DL22" s="227">
        <v>450</v>
      </c>
      <c r="DM22" s="227">
        <v>500</v>
      </c>
      <c r="DN22" s="278">
        <v>680</v>
      </c>
      <c r="DO22" s="227">
        <v>500</v>
      </c>
      <c r="DP22" s="131"/>
      <c r="DQ22" s="137">
        <v>425</v>
      </c>
      <c r="DR22" s="94">
        <v>550</v>
      </c>
      <c r="DS22" s="138">
        <v>550</v>
      </c>
      <c r="DT22" s="227">
        <v>480</v>
      </c>
      <c r="DU22" s="94">
        <v>600</v>
      </c>
      <c r="DV22" s="227">
        <v>500</v>
      </c>
      <c r="DW22" s="131"/>
      <c r="DX22" s="137">
        <v>450</v>
      </c>
      <c r="DY22" s="94">
        <v>550</v>
      </c>
      <c r="DZ22" s="138">
        <v>550</v>
      </c>
      <c r="EA22" s="227">
        <v>550</v>
      </c>
      <c r="EB22" s="94">
        <v>600</v>
      </c>
      <c r="EC22" s="84">
        <v>650</v>
      </c>
      <c r="ED22" s="131"/>
      <c r="EE22" s="137">
        <v>450</v>
      </c>
      <c r="EF22" s="94">
        <v>450</v>
      </c>
      <c r="EG22" s="138">
        <v>650</v>
      </c>
      <c r="EH22" s="227">
        <v>640</v>
      </c>
      <c r="EI22" s="138">
        <v>600</v>
      </c>
      <c r="EJ22" s="135">
        <v>0</v>
      </c>
      <c r="EK22" s="131"/>
      <c r="EL22" s="137">
        <v>500</v>
      </c>
      <c r="EM22" s="94">
        <v>470</v>
      </c>
      <c r="EN22" s="138">
        <v>470</v>
      </c>
      <c r="EO22" s="227">
        <v>520</v>
      </c>
      <c r="EP22" s="94">
        <v>550</v>
      </c>
      <c r="EQ22" s="227">
        <v>650</v>
      </c>
      <c r="ER22" s="443">
        <v>0</v>
      </c>
      <c r="ES22" s="137">
        <v>450</v>
      </c>
      <c r="ET22" s="94">
        <v>600</v>
      </c>
      <c r="EU22" s="138">
        <v>500</v>
      </c>
      <c r="EV22" s="227">
        <v>580</v>
      </c>
      <c r="EW22" s="94">
        <v>600</v>
      </c>
      <c r="EX22" s="227">
        <v>500</v>
      </c>
      <c r="EY22" s="511">
        <v>0</v>
      </c>
      <c r="EZ22" s="84">
        <v>500</v>
      </c>
      <c r="FA22" s="227">
        <v>700</v>
      </c>
      <c r="FB22" s="84">
        <v>600</v>
      </c>
      <c r="FC22" s="227">
        <v>479</v>
      </c>
      <c r="FD22" s="227">
        <v>625</v>
      </c>
      <c r="FE22" s="227">
        <v>600</v>
      </c>
      <c r="FF22" s="511">
        <v>0</v>
      </c>
      <c r="FG22" s="84">
        <v>500</v>
      </c>
      <c r="FH22" s="227">
        <v>650</v>
      </c>
      <c r="FI22" s="84">
        <v>700</v>
      </c>
      <c r="FJ22" s="227">
        <v>700</v>
      </c>
      <c r="FK22" s="227">
        <v>700</v>
      </c>
      <c r="FL22" s="227">
        <v>700</v>
      </c>
      <c r="FM22" s="511">
        <v>0</v>
      </c>
      <c r="FN22" s="84">
        <v>550</v>
      </c>
      <c r="FO22" s="227">
        <v>650</v>
      </c>
      <c r="FP22" s="84">
        <v>700</v>
      </c>
      <c r="FQ22" s="227">
        <v>700</v>
      </c>
      <c r="FR22" s="227" t="e">
        <f>INDEX(DB!#REF!,MATCH('Operations Forecast'!FR2,DB!#REF!),18)</f>
        <v>#REF!</v>
      </c>
      <c r="FS22" s="227">
        <v>650</v>
      </c>
      <c r="FT22" s="511" t="e">
        <f>INDEX(DB!#REF!,MATCH('Operations Forecast'!FT2,DB!#REF!),18)</f>
        <v>#REF!</v>
      </c>
      <c r="FU22" s="84">
        <v>550</v>
      </c>
      <c r="FV22" s="227" t="e">
        <f>INDEX(DB!#REF!,MATCH('Operations Forecast'!FV2,DB!#REF!),18)</f>
        <v>#REF!</v>
      </c>
      <c r="FW22" s="84">
        <v>650</v>
      </c>
      <c r="FX22" s="227">
        <v>600</v>
      </c>
      <c r="FY22" s="227" t="e">
        <f>INDEX(DB!#REF!,MATCH('Operations Forecast'!FY2,DB!#REF!),18)</f>
        <v>#REF!</v>
      </c>
      <c r="FZ22" s="227">
        <v>600</v>
      </c>
      <c r="GA22" s="511" t="e">
        <f>INDEX(DB!#REF!,MATCH('Operations Forecast'!GA2,DB!#REF!),18)</f>
        <v>#REF!</v>
      </c>
      <c r="GB22" s="84" t="e">
        <f>INDEX(DB!#REF!,MATCH('Operations Forecast'!GB2,DB!#REF!),18)</f>
        <v>#REF!</v>
      </c>
      <c r="GC22" s="227" t="e">
        <f>INDEX(DB!#REF!,MATCH('Operations Forecast'!GC2,DB!#REF!),18)</f>
        <v>#REF!</v>
      </c>
      <c r="GD22" s="84" t="e">
        <f>INDEX(DB!#REF!,MATCH('Operations Forecast'!GD2,DB!#REF!),18)</f>
        <v>#REF!</v>
      </c>
      <c r="GE22" s="227" t="e">
        <f>INDEX(DB!#REF!,MATCH('Operations Forecast'!GE2,DB!#REF!),18)</f>
        <v>#REF!</v>
      </c>
      <c r="GF22" s="227" t="e">
        <f>INDEX(DB!#REF!,MATCH('Operations Forecast'!GF2,DB!#REF!),18)</f>
        <v>#REF!</v>
      </c>
      <c r="GG22" s="227" t="e">
        <f>INDEX(DB!#REF!,MATCH('Operations Forecast'!GG2,DB!#REF!),18)</f>
        <v>#REF!</v>
      </c>
      <c r="GH22" s="511" t="e">
        <f>INDEX(DB!#REF!,MATCH('Operations Forecast'!GH2,DB!#REF!),18)</f>
        <v>#REF!</v>
      </c>
      <c r="GI22" s="84">
        <v>570</v>
      </c>
      <c r="GJ22" s="227">
        <v>670</v>
      </c>
      <c r="GK22" s="84">
        <v>670</v>
      </c>
      <c r="GL22" s="227">
        <v>610</v>
      </c>
      <c r="GM22" s="94">
        <v>700</v>
      </c>
      <c r="GN22" s="598">
        <v>690</v>
      </c>
      <c r="GO22" s="131" t="e">
        <f>INDEX(DB!#REF!,MATCH('Operations Forecast'!GO2,DB!#REF!),18)</f>
        <v>#REF!</v>
      </c>
      <c r="GP22" s="227" t="e">
        <f>INDEX(DB!$3:$84,MATCH('Operations Forecast'!GP2,DB!$D$3:$D$84),18)</f>
        <v>#N/A</v>
      </c>
      <c r="GQ22" s="227">
        <v>700</v>
      </c>
      <c r="GR22" s="227">
        <v>700</v>
      </c>
      <c r="GS22" s="227">
        <v>700</v>
      </c>
      <c r="GT22" s="227">
        <v>700</v>
      </c>
      <c r="GU22" s="227" t="e">
        <f>INDEX(DB!$3:$84,MATCH('Operations Forecast'!GU2,DB!$D$3:$D$84),18)</f>
        <v>#N/A</v>
      </c>
      <c r="GV22" s="131" t="e">
        <f>INDEX(DB!$3:$84,MATCH('Operations Forecast'!GV2,DB!$D$3:$D$84),18)</f>
        <v>#N/A</v>
      </c>
      <c r="GW22" s="227">
        <v>600</v>
      </c>
      <c r="GX22" s="227">
        <v>670</v>
      </c>
      <c r="GY22" s="227">
        <v>750</v>
      </c>
      <c r="GZ22" s="227">
        <v>750</v>
      </c>
      <c r="HA22" s="227" t="e">
        <f>INDEX(DB!$3:$84,MATCH('Operations Forecast'!HA2,DB!$D$3:$D$84),18)</f>
        <v>#N/A</v>
      </c>
      <c r="HB22" s="227" t="e">
        <f>INDEX(DB!$3:$84,MATCH('Operations Forecast'!HB2,DB!$D$3:$D$84),18)</f>
        <v>#N/A</v>
      </c>
      <c r="HC22" s="131" t="e">
        <f>INDEX(DB!$3:$84,MATCH('Operations Forecast'!HC2,DB!$D$3:$D$84),18)</f>
        <v>#N/A</v>
      </c>
      <c r="HD22" s="227" t="e">
        <f>INDEX(DB!$3:$84,MATCH('Operations Forecast'!HD2,DB!$D$3:$D$84),18)</f>
        <v>#N/A</v>
      </c>
      <c r="HE22" s="227">
        <v>760</v>
      </c>
      <c r="HF22" s="227">
        <v>760</v>
      </c>
      <c r="HG22" s="227">
        <v>760</v>
      </c>
      <c r="HH22" s="94">
        <v>800</v>
      </c>
      <c r="HI22" s="227">
        <v>700</v>
      </c>
      <c r="HJ22" s="131" t="e">
        <f>INDEX(DB!$3:$84,MATCH('Operations Forecast'!HJ2,DB!$D$3:$D$84),18)</f>
        <v>#N/A</v>
      </c>
      <c r="HK22" s="433">
        <v>610</v>
      </c>
      <c r="HL22" s="84">
        <v>750</v>
      </c>
      <c r="HM22" s="611">
        <v>700</v>
      </c>
      <c r="HN22" s="84">
        <v>750</v>
      </c>
      <c r="HO22" s="611">
        <v>600</v>
      </c>
      <c r="HP22" s="611">
        <v>650</v>
      </c>
      <c r="HQ22" s="622" t="e">
        <f>INDEX(DB!$3:$84,MATCH('Operations Forecast'!HQ2,DB!$D$3:$D$84),18)</f>
        <v>#N/A</v>
      </c>
      <c r="HR22" s="84" t="e">
        <f>INDEX(DB!$3:$84,MATCH('Operations Forecast'!HR2,DB!$D$3:$D$84),18)</f>
        <v>#N/A</v>
      </c>
      <c r="HS22" s="84">
        <v>700</v>
      </c>
      <c r="HT22" s="84" t="e">
        <f>INDEX(DB!$3:$84,MATCH('Operations Forecast'!HT2,DB!$D$3:$D$84),18)</f>
        <v>#N/A</v>
      </c>
      <c r="HU22" s="84">
        <v>750</v>
      </c>
      <c r="HV22" s="84">
        <v>910</v>
      </c>
      <c r="HW22" s="84" t="e">
        <f>INDEX(DB!$3:$84,MATCH('Operations Forecast'!HW2,DB!$D$3:$D$84),18)</f>
        <v>#N/A</v>
      </c>
      <c r="HX22" s="443" t="e">
        <f>INDEX(DB!$3:$84,MATCH('Operations Forecast'!HX2,DB!$D$3:$D$84),18)</f>
        <v>#N/A</v>
      </c>
      <c r="HY22" s="84">
        <v>600</v>
      </c>
      <c r="HZ22" s="84">
        <v>700</v>
      </c>
      <c r="IA22" s="84">
        <v>700</v>
      </c>
      <c r="IB22" s="84" t="e">
        <f>INDEX(DB!$3:$84,MATCH('Operations Forecast'!IB2,DB!$D$3:$D$84),18)</f>
        <v>#N/A</v>
      </c>
      <c r="IC22" s="84" t="e">
        <f>INDEX(DB!$3:$84,MATCH('Operations Forecast'!IC2,DB!$D$3:$D$84),18)</f>
        <v>#N/A</v>
      </c>
      <c r="ID22" s="84">
        <v>750</v>
      </c>
      <c r="IE22" s="131" t="e">
        <f>INDEX(DB!$3:$84,MATCH('Operations Forecast'!IE2,DB!$D$3:$D$84),18)</f>
        <v>#N/A</v>
      </c>
      <c r="IF22" s="84">
        <v>650</v>
      </c>
      <c r="IG22" s="84">
        <v>900</v>
      </c>
      <c r="IH22" s="84">
        <v>900</v>
      </c>
      <c r="II22" s="84">
        <v>900</v>
      </c>
      <c r="IJ22" s="84" t="e">
        <f>INDEX(DB!$3:$84,MATCH('Operations Forecast'!IJ2,DB!$D$3:$D$84),18)</f>
        <v>#N/A</v>
      </c>
      <c r="IK22" s="84">
        <v>700</v>
      </c>
      <c r="IL22" s="131" t="e">
        <f>INDEX(DB!$3:$84,MATCH('Operations Forecast'!IL2,DB!$D$3:$D$84),18)</f>
        <v>#N/A</v>
      </c>
      <c r="IM22" s="596">
        <f>840-48</f>
        <v>792</v>
      </c>
      <c r="IN22" s="597">
        <v>910</v>
      </c>
      <c r="IO22" s="597" t="e">
        <f>INDEX(DB!$3:$84,MATCH('Operations Forecast'!IO2,DB!$D$3:$D$84),18)</f>
        <v>#N/A</v>
      </c>
      <c r="IP22" s="597">
        <v>810</v>
      </c>
      <c r="IQ22" s="597" t="e">
        <f>INDEX(DB!$3:$84,MATCH('Operations Forecast'!IQ2,DB!$D$3:$D$84),18)</f>
        <v>#N/A</v>
      </c>
      <c r="IR22" s="597" t="e">
        <f>INDEX(DB!$3:$84,MATCH('Operations Forecast'!IR2,DB!$D$3:$D$84),18)</f>
        <v>#N/A</v>
      </c>
      <c r="IS22" s="540" t="e">
        <f>INDEX(DB!$3:$84,MATCH('Operations Forecast'!IS2,DB!$D$3:$D$84),18)</f>
        <v>#N/A</v>
      </c>
      <c r="IT22" s="596">
        <v>597</v>
      </c>
      <c r="IU22" s="597" t="e">
        <f>INDEX(DB!$3:$84,MATCH('Operations Forecast'!IU2,DB!$D$3:$D$84),18)</f>
        <v>#N/A</v>
      </c>
      <c r="IV22" s="597" t="e">
        <f>INDEX(DB!$3:$84,MATCH('Operations Forecast'!IV2,DB!$D$3:$D$84),18)</f>
        <v>#N/A</v>
      </c>
      <c r="IW22" s="597">
        <v>800</v>
      </c>
      <c r="IX22" s="597">
        <v>700</v>
      </c>
      <c r="IY22" s="597">
        <v>750</v>
      </c>
      <c r="IZ22" s="540" t="e">
        <f>INDEX(DB!$3:$84,MATCH('Operations Forecast'!IZ2,DB!$D$3:$D$84),18)</f>
        <v>#N/A</v>
      </c>
      <c r="JA22" s="597" t="e">
        <f>INDEX(DB!$3:$84,MATCH('Operations Forecast'!JA2,DB!$D$3:$D$84),18)</f>
        <v>#N/A</v>
      </c>
      <c r="JB22" s="597">
        <v>750</v>
      </c>
      <c r="JC22" s="597" t="e">
        <f>INDEX(DB!$3:$84,MATCH('Operations Forecast'!JC2,DB!$D$3:$D$84),18)</f>
        <v>#N/A</v>
      </c>
      <c r="JD22" s="597">
        <v>750</v>
      </c>
      <c r="JE22" s="597">
        <v>750</v>
      </c>
      <c r="JF22" s="597" t="e">
        <f>INDEX(DB!$3:$84,MATCH('Operations Forecast'!JF2,DB!$D$3:$D$84),18)</f>
        <v>#N/A</v>
      </c>
      <c r="JG22" s="540" t="e">
        <f>INDEX(DB!$3:$84,MATCH('Operations Forecast'!JG2,DB!$D$3:$D$84),18)</f>
        <v>#N/A</v>
      </c>
      <c r="JH22" s="227">
        <v>700</v>
      </c>
      <c r="JI22" s="227" t="e">
        <f>INDEX(DB!$3:$84,MATCH('Operations Forecast'!JI2,DB!$D$3:$D$84),18)</f>
        <v>#N/A</v>
      </c>
      <c r="JJ22" s="227" t="e">
        <f>INDEX(DB!$3:$84,MATCH('Operations Forecast'!JJ2,DB!$D$3:$D$84),18)</f>
        <v>#N/A</v>
      </c>
      <c r="JK22" s="227" t="e">
        <f>INDEX(DB!$3:$84,MATCH('Operations Forecast'!JK2,DB!$D$3:$D$84),18)</f>
        <v>#N/A</v>
      </c>
      <c r="JL22" s="227" t="e">
        <f>INDEX(DB!$3:$84,MATCH('Operations Forecast'!JL2,DB!$D$3:$D$84),18)</f>
        <v>#N/A</v>
      </c>
      <c r="JM22" s="227" t="e">
        <f>INDEX(DB!$3:$84,MATCH('Operations Forecast'!JM2,DB!$D$3:$D$84),18)</f>
        <v>#N/A</v>
      </c>
      <c r="JN22" s="131" t="e">
        <f>INDEX(DB!$3:$84,MATCH('Operations Forecast'!JN2,DB!$D$3:$D$84),18)</f>
        <v>#N/A</v>
      </c>
      <c r="JO22" s="227">
        <v>700</v>
      </c>
      <c r="JP22" s="227" t="e">
        <f>INDEX(DB!$3:$84,MATCH('Operations Forecast'!JP2,DB!$D$3:$D$84),18)</f>
        <v>#N/A</v>
      </c>
      <c r="JQ22" s="646" t="e">
        <f>INDEX(DB!$3:$84,MATCH('Operations Forecast'!JQ2,DB!$D$3:$D$84),18)</f>
        <v>#N/A</v>
      </c>
      <c r="JR22" s="227" t="e">
        <f>INDEX(DB!$3:$84,MATCH('Operations Forecast'!JR2,DB!$D$3:$D$84),18)</f>
        <v>#N/A</v>
      </c>
      <c r="JS22" s="227">
        <v>0</v>
      </c>
      <c r="JT22" s="227">
        <v>570</v>
      </c>
      <c r="JU22" s="131">
        <v>0</v>
      </c>
      <c r="JV22" s="227">
        <v>700</v>
      </c>
      <c r="JW22" s="227" t="e">
        <f>INDEX(DB!$3:$84,MATCH('Operations Forecast'!JW2,DB!$D$3:$D$84),18)</f>
        <v>#N/A</v>
      </c>
      <c r="JX22" s="646" t="e">
        <f>INDEX(DB!$3:$84,MATCH('Operations Forecast'!JX2,DB!$D$3:$D$84),18)</f>
        <v>#N/A</v>
      </c>
      <c r="JY22" s="227" t="e">
        <f>INDEX(DB!$3:$84,MATCH('Operations Forecast'!JY2,DB!$D$3:$D$84),18)</f>
        <v>#N/A</v>
      </c>
      <c r="JZ22" s="227">
        <v>0</v>
      </c>
      <c r="KA22" s="227">
        <v>570</v>
      </c>
      <c r="KB22" s="131">
        <v>0</v>
      </c>
    </row>
    <row r="23" spans="1:288" ht="15" thickBot="1" x14ac:dyDescent="0.35">
      <c r="A23" s="431" t="s">
        <v>121</v>
      </c>
      <c r="B23" s="83">
        <v>55</v>
      </c>
      <c r="C23">
        <v>55</v>
      </c>
      <c r="D23">
        <v>54</v>
      </c>
      <c r="E23">
        <v>54</v>
      </c>
      <c r="F23">
        <v>59</v>
      </c>
      <c r="G23">
        <v>50</v>
      </c>
      <c r="H23" s="150"/>
      <c r="I23" s="83">
        <v>51</v>
      </c>
      <c r="J23">
        <v>60</v>
      </c>
      <c r="K23">
        <v>63</v>
      </c>
      <c r="L23">
        <v>57</v>
      </c>
      <c r="M23">
        <v>60</v>
      </c>
      <c r="N23">
        <v>60</v>
      </c>
      <c r="O23" s="150">
        <f>O22*O20</f>
        <v>0</v>
      </c>
      <c r="P23" s="83"/>
      <c r="Q23">
        <v>60</v>
      </c>
      <c r="R23">
        <v>55</v>
      </c>
      <c r="S23">
        <v>57</v>
      </c>
      <c r="T23">
        <v>57</v>
      </c>
      <c r="U23">
        <v>57</v>
      </c>
      <c r="V23" s="150"/>
      <c r="W23" s="73">
        <v>58</v>
      </c>
      <c r="X23">
        <v>60</v>
      </c>
      <c r="Y23">
        <v>57</v>
      </c>
      <c r="Z23">
        <v>56</v>
      </c>
      <c r="AA23">
        <v>56</v>
      </c>
      <c r="AB23">
        <v>52</v>
      </c>
      <c r="AC23" s="67">
        <f>AC22*AC20</f>
        <v>0</v>
      </c>
      <c r="AD23" s="73">
        <v>55</v>
      </c>
      <c r="AE23">
        <v>52</v>
      </c>
      <c r="AF23">
        <v>55.5</v>
      </c>
      <c r="AG23">
        <v>56.6</v>
      </c>
      <c r="AH23" s="43"/>
      <c r="AI23">
        <v>55.3</v>
      </c>
      <c r="AJ23" s="66"/>
      <c r="AK23" s="73">
        <v>55.5</v>
      </c>
      <c r="AL23">
        <v>56</v>
      </c>
      <c r="AM23">
        <v>57</v>
      </c>
      <c r="AN23">
        <v>55</v>
      </c>
      <c r="AO23">
        <v>56</v>
      </c>
      <c r="AP23">
        <v>55</v>
      </c>
      <c r="AQ23" s="66"/>
      <c r="AR23" s="73">
        <v>54</v>
      </c>
      <c r="AS23">
        <v>54</v>
      </c>
      <c r="AT23">
        <v>54</v>
      </c>
      <c r="AU23">
        <v>54</v>
      </c>
      <c r="AV23">
        <v>54</v>
      </c>
      <c r="AW23">
        <v>54</v>
      </c>
      <c r="AX23" s="71"/>
      <c r="AY23" s="73">
        <v>50</v>
      </c>
      <c r="AZ23">
        <v>48.7</v>
      </c>
      <c r="BA23">
        <v>54</v>
      </c>
      <c r="BB23" s="89"/>
      <c r="BC23">
        <v>54</v>
      </c>
      <c r="BD23">
        <v>54</v>
      </c>
      <c r="BE23" s="66"/>
      <c r="BF23" s="73">
        <v>56</v>
      </c>
      <c r="BG23">
        <v>58</v>
      </c>
      <c r="BH23">
        <v>57</v>
      </c>
      <c r="BI23">
        <v>57</v>
      </c>
      <c r="BJ23">
        <v>56</v>
      </c>
      <c r="BK23">
        <v>54</v>
      </c>
      <c r="BL23" s="71"/>
      <c r="BM23" s="95">
        <v>54</v>
      </c>
      <c r="BN23">
        <v>54</v>
      </c>
      <c r="BO23">
        <v>53.8</v>
      </c>
      <c r="BP23">
        <v>52</v>
      </c>
      <c r="BQ23">
        <v>55</v>
      </c>
      <c r="BR23">
        <v>54</v>
      </c>
      <c r="BS23" s="71"/>
      <c r="BT23" s="83">
        <v>52</v>
      </c>
      <c r="BU23">
        <v>55</v>
      </c>
      <c r="BV23">
        <v>55</v>
      </c>
      <c r="BW23">
        <v>54</v>
      </c>
      <c r="BX23">
        <v>56.4</v>
      </c>
      <c r="BY23">
        <v>56.7</v>
      </c>
      <c r="BZ23" s="132"/>
      <c r="CA23" s="83">
        <v>51</v>
      </c>
      <c r="CB23">
        <v>52</v>
      </c>
      <c r="CC23">
        <v>55</v>
      </c>
      <c r="CD23">
        <v>54</v>
      </c>
      <c r="CE23">
        <v>59</v>
      </c>
      <c r="CF23">
        <v>53.3</v>
      </c>
      <c r="CG23" s="132"/>
      <c r="CH23" s="83">
        <v>52</v>
      </c>
      <c r="CI23" s="156">
        <v>53</v>
      </c>
      <c r="CJ23" s="156">
        <v>55</v>
      </c>
      <c r="CK23" s="156">
        <v>52</v>
      </c>
      <c r="CL23">
        <v>54</v>
      </c>
      <c r="CM23">
        <v>54</v>
      </c>
      <c r="CN23" s="132"/>
      <c r="CO23" s="83">
        <v>52</v>
      </c>
      <c r="CP23">
        <v>52</v>
      </c>
      <c r="CQ23">
        <v>54</v>
      </c>
      <c r="CR23">
        <v>54</v>
      </c>
      <c r="CS23">
        <v>55</v>
      </c>
      <c r="CT23">
        <v>54</v>
      </c>
      <c r="CU23" s="132"/>
      <c r="CV23" s="83">
        <v>52</v>
      </c>
      <c r="CW23">
        <v>49</v>
      </c>
      <c r="CX23">
        <v>52</v>
      </c>
      <c r="CY23">
        <v>52</v>
      </c>
      <c r="CZ23">
        <v>52</v>
      </c>
      <c r="DA23">
        <v>54</v>
      </c>
      <c r="DB23" s="132"/>
      <c r="DC23" s="83">
        <v>52</v>
      </c>
      <c r="DD23">
        <v>49</v>
      </c>
      <c r="DE23">
        <v>51</v>
      </c>
      <c r="DF23">
        <v>52</v>
      </c>
      <c r="DG23">
        <v>52</v>
      </c>
      <c r="DH23">
        <v>52</v>
      </c>
      <c r="DI23" s="132"/>
      <c r="DJ23" s="83">
        <v>52</v>
      </c>
      <c r="DK23" s="86">
        <v>52</v>
      </c>
      <c r="DL23">
        <v>52</v>
      </c>
      <c r="DM23">
        <v>52</v>
      </c>
      <c r="DN23">
        <v>52</v>
      </c>
      <c r="DO23">
        <v>52</v>
      </c>
      <c r="DP23" s="132"/>
      <c r="DQ23" s="83">
        <v>53</v>
      </c>
      <c r="DR23">
        <v>52</v>
      </c>
      <c r="DS23">
        <v>52</v>
      </c>
      <c r="DT23">
        <v>52</v>
      </c>
      <c r="DU23">
        <v>57</v>
      </c>
      <c r="DV23">
        <v>56</v>
      </c>
      <c r="DW23" s="132"/>
      <c r="DX23" s="83">
        <v>52</v>
      </c>
      <c r="DY23">
        <v>52</v>
      </c>
      <c r="DZ23">
        <v>52</v>
      </c>
      <c r="EA23">
        <v>50</v>
      </c>
      <c r="EB23">
        <v>53</v>
      </c>
      <c r="EC23">
        <v>53</v>
      </c>
      <c r="ED23" s="132"/>
      <c r="EE23" s="83">
        <v>52</v>
      </c>
      <c r="EF23">
        <v>52</v>
      </c>
      <c r="EG23">
        <v>49</v>
      </c>
      <c r="EH23">
        <v>50</v>
      </c>
      <c r="EI23">
        <v>53</v>
      </c>
      <c r="EJ23" s="132"/>
      <c r="EK23" s="132"/>
      <c r="EL23" s="312">
        <v>54.10027073688633</v>
      </c>
      <c r="EM23" s="312">
        <v>52.13356833374565</v>
      </c>
      <c r="EN23" s="312">
        <v>50</v>
      </c>
      <c r="EO23" s="312">
        <v>51</v>
      </c>
      <c r="EP23" s="312">
        <v>55.831444557830743</v>
      </c>
      <c r="EQ23" s="312">
        <v>55</v>
      </c>
      <c r="ER23" s="133">
        <f t="shared" ref="ER23:ER24" si="113">ER22*ER21</f>
        <v>0</v>
      </c>
      <c r="ES23" s="312">
        <v>52</v>
      </c>
      <c r="ET23" s="312">
        <v>52</v>
      </c>
      <c r="EU23" s="312">
        <v>55</v>
      </c>
      <c r="EV23" s="312">
        <v>54</v>
      </c>
      <c r="EW23" s="312">
        <v>55.831444557830743</v>
      </c>
      <c r="EX23" s="312">
        <v>56</v>
      </c>
      <c r="EY23" s="512">
        <f>EY22*EY21</f>
        <v>0</v>
      </c>
      <c r="EZ23" s="312">
        <v>52</v>
      </c>
      <c r="FA23" s="312">
        <v>52</v>
      </c>
      <c r="FB23" s="312">
        <v>55</v>
      </c>
      <c r="FC23" s="312">
        <v>54</v>
      </c>
      <c r="FD23" s="312">
        <v>55.831444557830743</v>
      </c>
      <c r="FE23" s="312">
        <v>56</v>
      </c>
      <c r="FF23" s="512">
        <f>FF22*FF21</f>
        <v>0</v>
      </c>
      <c r="FG23" s="312">
        <v>51.611038568591646</v>
      </c>
      <c r="FH23" s="312">
        <v>51</v>
      </c>
      <c r="FI23" s="312">
        <v>53.20100071508098</v>
      </c>
      <c r="FJ23" s="312">
        <v>51.14560358193679</v>
      </c>
      <c r="FK23" s="312">
        <v>54.90534249061669</v>
      </c>
      <c r="FL23" s="312">
        <v>55.117658193719386</v>
      </c>
      <c r="FM23" s="512">
        <v>59.665188951526574</v>
      </c>
      <c r="FN23" s="312" t="e">
        <f>INDEX(DB!#REF!,MATCH('Operations Forecast'!FN2,DB!#REF!),9)</f>
        <v>#REF!</v>
      </c>
      <c r="FO23" s="312" t="e">
        <f>INDEX(DB!#REF!,MATCH('Operations Forecast'!FO2,DB!#REF!),9)</f>
        <v>#REF!</v>
      </c>
      <c r="FP23" s="312" t="e">
        <f>INDEX(DB!#REF!,MATCH('Operations Forecast'!FP2,DB!#REF!),9)</f>
        <v>#REF!</v>
      </c>
      <c r="FQ23" s="312" t="e">
        <f>INDEX(DB!#REF!,MATCH('Operations Forecast'!FQ2,DB!#REF!),9)</f>
        <v>#REF!</v>
      </c>
      <c r="FR23" s="312" t="e">
        <f>INDEX(DB!#REF!,MATCH('Operations Forecast'!FR2,DB!#REF!),9)</f>
        <v>#REF!</v>
      </c>
      <c r="FS23" s="312" t="e">
        <f>INDEX(DB!#REF!,MATCH('Operations Forecast'!FS2,DB!#REF!),9)</f>
        <v>#REF!</v>
      </c>
      <c r="FT23" s="512" t="e">
        <f>INDEX(DB!#REF!,MATCH('Operations Forecast'!FT2,DB!#REF!),9)</f>
        <v>#REF!</v>
      </c>
      <c r="FU23" s="312" t="e">
        <f>INDEX(DB!#REF!,MATCH('Operations Forecast'!FU2,DB!#REF!),9)</f>
        <v>#REF!</v>
      </c>
      <c r="FV23" s="312" t="e">
        <f>INDEX(DB!#REF!,MATCH('Operations Forecast'!FV2,DB!#REF!),9)</f>
        <v>#REF!</v>
      </c>
      <c r="FW23" s="312" t="e">
        <f>INDEX(DB!#REF!,MATCH('Operations Forecast'!FW2,DB!#REF!),9)</f>
        <v>#REF!</v>
      </c>
      <c r="FX23" s="312" t="e">
        <f>INDEX(DB!#REF!,MATCH('Operations Forecast'!FX2,DB!#REF!),9)</f>
        <v>#REF!</v>
      </c>
      <c r="FY23" s="312" t="e">
        <f>INDEX(DB!#REF!,MATCH('Operations Forecast'!FY2,DB!#REF!),9)</f>
        <v>#REF!</v>
      </c>
      <c r="FZ23" s="312" t="e">
        <f>INDEX(DB!#REF!,MATCH('Operations Forecast'!FZ2,DB!#REF!),9)</f>
        <v>#REF!</v>
      </c>
      <c r="GA23" s="512" t="e">
        <f>INDEX(DB!#REF!,MATCH('Operations Forecast'!GA2,DB!#REF!),9)</f>
        <v>#REF!</v>
      </c>
      <c r="GB23" s="312">
        <v>50</v>
      </c>
      <c r="GC23" s="312" t="e">
        <f>INDEX(DB!#REF!,MATCH('Operations Forecast'!GC2,DB!#REF!),9)</f>
        <v>#REF!</v>
      </c>
      <c r="GD23" s="312" t="e">
        <f>INDEX(DB!#REF!,MATCH('Operations Forecast'!GD2,DB!#REF!),9)</f>
        <v>#REF!</v>
      </c>
      <c r="GE23" s="312" t="e">
        <f>INDEX(DB!#REF!,MATCH('Operations Forecast'!GE2,DB!#REF!),9)</f>
        <v>#REF!</v>
      </c>
      <c r="GF23" s="312" t="e">
        <f>INDEX(DB!#REF!,MATCH('Operations Forecast'!GF2,DB!#REF!),9)</f>
        <v>#REF!</v>
      </c>
      <c r="GG23" s="312" t="e">
        <f>INDEX(DB!#REF!,MATCH('Operations Forecast'!GG2,DB!#REF!),9)</f>
        <v>#REF!</v>
      </c>
      <c r="GH23" s="512" t="e">
        <f>INDEX(DB!#REF!,MATCH('Operations Forecast'!GH2,DB!#REF!),9)</f>
        <v>#REF!</v>
      </c>
      <c r="GI23" s="312" t="e">
        <f>INDEX(DB!#REF!,MATCH('Operations Forecast'!GI2,DB!#REF!),9)</f>
        <v>#REF!</v>
      </c>
      <c r="GJ23" s="312" t="e">
        <f>INDEX(DB!#REF!,MATCH('Operations Forecast'!GJ2,DB!#REF!),9)</f>
        <v>#REF!</v>
      </c>
      <c r="GK23" s="312" t="e">
        <f>INDEX(DB!#REF!,MATCH('Operations Forecast'!GK2,DB!#REF!),9)</f>
        <v>#REF!</v>
      </c>
      <c r="GL23" s="312" t="e">
        <f>INDEX(DB!#REF!,MATCH('Operations Forecast'!GL2,DB!#REF!),9)</f>
        <v>#REF!</v>
      </c>
      <c r="GM23" s="312">
        <v>54</v>
      </c>
      <c r="GN23" s="312" t="e">
        <f>INDEX(DB!#REF!,MATCH('Operations Forecast'!GN2,DB!#REF!),9)</f>
        <v>#REF!</v>
      </c>
      <c r="GO23" s="133" t="e">
        <f>INDEX(DB!#REF!,MATCH('Operations Forecast'!GO2,DB!#REF!),9)</f>
        <v>#REF!</v>
      </c>
      <c r="GP23" s="312" t="e">
        <f>INDEX(DB!$3:$84,MATCH('Operations Forecast'!GP2,DB!$D$3:$D$84),9)</f>
        <v>#N/A</v>
      </c>
      <c r="GQ23" s="312" t="e">
        <f>INDEX(DB!$3:$84,MATCH('Operations Forecast'!GQ2,DB!$D$3:$D$84),9)</f>
        <v>#N/A</v>
      </c>
      <c r="GR23" s="312" t="e">
        <f>INDEX(DB!$3:$84,MATCH('Operations Forecast'!GR2,DB!$D$3:$D$84),9)</f>
        <v>#N/A</v>
      </c>
      <c r="GS23" s="312" t="e">
        <f>INDEX(DB!$3:$84,MATCH('Operations Forecast'!GS2,DB!$D$3:$D$84),9)</f>
        <v>#N/A</v>
      </c>
      <c r="GT23" s="312" t="e">
        <f>INDEX(DB!$3:$84,MATCH('Operations Forecast'!GT2,DB!$D$3:$D$84),9)</f>
        <v>#N/A</v>
      </c>
      <c r="GU23" s="312" t="e">
        <f>INDEX(DB!$3:$84,MATCH('Operations Forecast'!GU2,DB!$D$3:$D$84),9)</f>
        <v>#N/A</v>
      </c>
      <c r="GV23" s="133" t="e">
        <f>INDEX(DB!$3:$84,MATCH('Operations Forecast'!GV2,DB!$D$3:$D$84),9)</f>
        <v>#N/A</v>
      </c>
      <c r="GW23" s="312">
        <v>50</v>
      </c>
      <c r="GX23" s="312">
        <v>51</v>
      </c>
      <c r="GY23" s="312">
        <v>51</v>
      </c>
      <c r="GZ23" s="312" t="e">
        <f>INDEX(DB!$3:$84,MATCH('Operations Forecast'!GZ2,DB!$D$3:$D$84),9)</f>
        <v>#N/A</v>
      </c>
      <c r="HA23" s="312">
        <v>55</v>
      </c>
      <c r="HB23" s="312" t="e">
        <f>INDEX(DB!$3:$84,MATCH('Operations Forecast'!HB2,DB!$D$3:$D$84),9)</f>
        <v>#N/A</v>
      </c>
      <c r="HC23" s="133" t="e">
        <f>INDEX(DB!$3:$84,MATCH('Operations Forecast'!HC2,DB!$D$3:$D$84),9)</f>
        <v>#N/A</v>
      </c>
      <c r="HD23" s="312">
        <v>53</v>
      </c>
      <c r="HE23" s="312">
        <v>51</v>
      </c>
      <c r="HF23" s="312" t="e">
        <f>INDEX(DB!$3:$84,MATCH('Operations Forecast'!HF2,DB!$D$3:$D$84),9)</f>
        <v>#N/A</v>
      </c>
      <c r="HG23" s="312">
        <v>54</v>
      </c>
      <c r="HH23" s="609">
        <v>55</v>
      </c>
      <c r="HI23" s="609">
        <v>56</v>
      </c>
      <c r="HJ23" s="133" t="e">
        <f>INDEX(DB!$3:$84,MATCH('Operations Forecast'!HJ2,DB!$D$3:$D$84),9)</f>
        <v>#N/A</v>
      </c>
      <c r="HK23" s="53">
        <v>57.4</v>
      </c>
      <c r="HL23" s="53">
        <v>59</v>
      </c>
      <c r="HM23" s="53">
        <v>59.8</v>
      </c>
      <c r="HN23" s="53">
        <v>58.5</v>
      </c>
      <c r="HO23" s="53">
        <v>65</v>
      </c>
      <c r="HP23" s="53">
        <v>58.8</v>
      </c>
      <c r="HQ23" s="623" t="e">
        <f>INDEX(DB!$3:$84,MATCH('Operations Forecast'!HQ2,DB!$D$3:$D$84),9)</f>
        <v>#N/A</v>
      </c>
      <c r="HR23" s="53">
        <v>55.5</v>
      </c>
      <c r="HS23" s="53">
        <v>56.2</v>
      </c>
      <c r="HT23" s="53" t="e">
        <f>INDEX(DB!$3:$84,MATCH('Operations Forecast'!HT2,DB!$D$3:$D$84),9)</f>
        <v>#N/A</v>
      </c>
      <c r="HU23" s="53">
        <v>53.3</v>
      </c>
      <c r="HV23" s="53">
        <v>53.8</v>
      </c>
      <c r="HW23" s="53">
        <v>54.5</v>
      </c>
      <c r="HX23" s="133" t="e">
        <f>INDEX(DB!$3:$84,MATCH('Operations Forecast'!HX2,DB!$D$3:$D$84),9)</f>
        <v>#N/A</v>
      </c>
      <c r="HY23" s="312">
        <v>52</v>
      </c>
      <c r="HZ23" s="312">
        <v>49.5</v>
      </c>
      <c r="IA23" s="312">
        <v>51.8</v>
      </c>
      <c r="IB23" s="312" t="e">
        <f>INDEX(DB!$3:$84,MATCH('Operations Forecast'!IB2,DB!$D$3:$D$84),9)</f>
        <v>#N/A</v>
      </c>
      <c r="IC23" s="312">
        <v>50.9</v>
      </c>
      <c r="ID23" s="312">
        <v>52</v>
      </c>
      <c r="IE23" s="133" t="e">
        <f>INDEX(DB!$3:$84,MATCH('Operations Forecast'!IE2,DB!$D$3:$D$84),9)</f>
        <v>#N/A</v>
      </c>
      <c r="IF23" s="312">
        <v>49</v>
      </c>
      <c r="IG23" s="312">
        <v>51</v>
      </c>
      <c r="IH23" s="312">
        <v>52</v>
      </c>
      <c r="II23" s="312">
        <v>53</v>
      </c>
      <c r="IJ23" s="312">
        <v>56</v>
      </c>
      <c r="IK23" s="644">
        <v>55</v>
      </c>
      <c r="IL23" s="133">
        <v>60.127335295889218</v>
      </c>
      <c r="IM23" s="312">
        <v>52</v>
      </c>
      <c r="IN23" s="312">
        <v>53</v>
      </c>
      <c r="IO23" s="312">
        <v>56</v>
      </c>
      <c r="IP23" s="312">
        <v>55</v>
      </c>
      <c r="IQ23" s="312">
        <v>56</v>
      </c>
      <c r="IR23" s="312">
        <v>53.6</v>
      </c>
      <c r="IS23" s="133">
        <v>59.454690098591328</v>
      </c>
      <c r="IT23" s="53">
        <v>50</v>
      </c>
      <c r="IU23" s="312">
        <v>51</v>
      </c>
      <c r="IV23" s="330">
        <v>52.4</v>
      </c>
      <c r="IW23" s="312">
        <v>51</v>
      </c>
      <c r="IX23" s="312">
        <v>54.4</v>
      </c>
      <c r="IY23" s="312">
        <v>54</v>
      </c>
      <c r="IZ23" s="133">
        <v>57.80638470888772</v>
      </c>
      <c r="JA23" s="53" t="e">
        <f>INDEX(DB!$3:$84,MATCH('Operations Forecast'!JA2,DB!$D$3:$D$84),9)</f>
        <v>#N/A</v>
      </c>
      <c r="JB23" s="312">
        <v>51</v>
      </c>
      <c r="JC23" s="312">
        <v>54</v>
      </c>
      <c r="JD23" s="312" t="e">
        <f>INDEX(DB!$3:$84,MATCH('Operations Forecast'!JD2,DB!$D$3:$D$84),9)</f>
        <v>#N/A</v>
      </c>
      <c r="JE23" s="312" t="e">
        <f>INDEX(DB!$3:$84,MATCH('Operations Forecast'!JE2,DB!$D$3:$D$84),9)</f>
        <v>#N/A</v>
      </c>
      <c r="JF23" s="312" t="e">
        <f>INDEX(DB!$3:$84,MATCH('Operations Forecast'!JF2,DB!$D$3:$D$84),9)</f>
        <v>#N/A</v>
      </c>
      <c r="JG23" s="133">
        <v>57.80638470888772</v>
      </c>
      <c r="JH23" s="312">
        <v>51.973277876430643</v>
      </c>
      <c r="JI23" s="312">
        <v>51.437175460558819</v>
      </c>
      <c r="JJ23" s="312">
        <v>53.284547205801012</v>
      </c>
      <c r="JK23" s="312">
        <v>51.85348425677082</v>
      </c>
      <c r="JL23" s="312">
        <v>0</v>
      </c>
      <c r="JM23" s="312">
        <v>54.253292303402837</v>
      </c>
      <c r="JN23" s="133"/>
      <c r="JO23" s="312">
        <v>54.953661374054477</v>
      </c>
      <c r="JP23" s="312">
        <v>54.638601471869755</v>
      </c>
      <c r="JQ23" s="312">
        <v>56.478877691338361</v>
      </c>
      <c r="JR23" s="312">
        <v>52.13299966667369</v>
      </c>
      <c r="JS23" s="312">
        <v>53.865864704301458</v>
      </c>
      <c r="JT23" s="312">
        <v>54.531342690833036</v>
      </c>
      <c r="JU23" s="133">
        <v>57.80638470888772</v>
      </c>
      <c r="JV23" s="312">
        <v>54.953661374054477</v>
      </c>
      <c r="JW23" s="312">
        <v>54.638601471869755</v>
      </c>
      <c r="JX23" s="312">
        <v>56.478877691338361</v>
      </c>
      <c r="JY23" s="312">
        <v>52.13299966667369</v>
      </c>
      <c r="JZ23" s="312">
        <v>53.865864704301458</v>
      </c>
      <c r="KA23" s="312">
        <v>54.531342690833036</v>
      </c>
      <c r="KB23" s="133">
        <v>57.80638470888772</v>
      </c>
    </row>
    <row r="24" spans="1:288" x14ac:dyDescent="0.3">
      <c r="A24" s="19" t="s">
        <v>122</v>
      </c>
      <c r="B24" s="124">
        <f t="shared" ref="B24:N24" si="114">B23*B22</f>
        <v>23100</v>
      </c>
      <c r="C24" s="45">
        <f t="shared" si="114"/>
        <v>43725</v>
      </c>
      <c r="D24" s="45">
        <f t="shared" si="114"/>
        <v>45360</v>
      </c>
      <c r="E24" s="45">
        <f t="shared" si="114"/>
        <v>43200</v>
      </c>
      <c r="F24" s="45">
        <f t="shared" si="114"/>
        <v>53218</v>
      </c>
      <c r="G24" s="45">
        <f t="shared" si="114"/>
        <v>44050</v>
      </c>
      <c r="H24" s="413">
        <f t="shared" si="114"/>
        <v>0</v>
      </c>
      <c r="I24" s="124">
        <f t="shared" si="114"/>
        <v>24633</v>
      </c>
      <c r="J24" s="45">
        <f t="shared" si="114"/>
        <v>23160</v>
      </c>
      <c r="K24" s="45">
        <f t="shared" si="114"/>
        <v>45360</v>
      </c>
      <c r="L24" s="45">
        <f t="shared" si="114"/>
        <v>42750</v>
      </c>
      <c r="M24" s="45">
        <f t="shared" si="114"/>
        <v>51960</v>
      </c>
      <c r="N24" s="45">
        <f t="shared" si="114"/>
        <v>43500</v>
      </c>
      <c r="O24" s="413">
        <f>O23*O22</f>
        <v>0</v>
      </c>
      <c r="P24" s="124"/>
      <c r="Q24" s="45">
        <f t="shared" ref="Q24:AB24" si="115">Q23*Q22</f>
        <v>54060</v>
      </c>
      <c r="R24" s="45">
        <f t="shared" si="115"/>
        <v>43725</v>
      </c>
      <c r="S24" s="45">
        <f t="shared" si="115"/>
        <v>44517</v>
      </c>
      <c r="T24" s="45">
        <f t="shared" si="115"/>
        <v>45600</v>
      </c>
      <c r="U24" s="45">
        <f t="shared" si="115"/>
        <v>47310</v>
      </c>
      <c r="V24" s="413">
        <f t="shared" si="115"/>
        <v>0</v>
      </c>
      <c r="W24" s="62">
        <f t="shared" si="115"/>
        <v>38860</v>
      </c>
      <c r="X24" s="45">
        <f t="shared" si="115"/>
        <v>52980</v>
      </c>
      <c r="Y24" s="45">
        <f t="shared" si="115"/>
        <v>28158</v>
      </c>
      <c r="Z24" s="45">
        <f t="shared" si="115"/>
        <v>42672</v>
      </c>
      <c r="AA24" s="45">
        <f t="shared" si="115"/>
        <v>49056</v>
      </c>
      <c r="AB24" s="45">
        <f t="shared" si="115"/>
        <v>47840</v>
      </c>
      <c r="AC24" s="67">
        <f>AC23*AC22</f>
        <v>0</v>
      </c>
      <c r="AD24" s="62">
        <f t="shared" ref="AD24" si="116">AD23*AD22</f>
        <v>47850</v>
      </c>
      <c r="AE24" s="45">
        <f t="shared" ref="AE24:AK24" si="117">AE23*AE22</f>
        <v>46020</v>
      </c>
      <c r="AF24" s="45">
        <f t="shared" si="117"/>
        <v>49117.5</v>
      </c>
      <c r="AG24" s="45">
        <f t="shared" si="117"/>
        <v>50940</v>
      </c>
      <c r="AH24" s="56"/>
      <c r="AI24" s="45">
        <f t="shared" si="117"/>
        <v>45346</v>
      </c>
      <c r="AJ24" s="67">
        <f t="shared" si="117"/>
        <v>0</v>
      </c>
      <c r="AK24" s="62">
        <f t="shared" si="117"/>
        <v>44400</v>
      </c>
      <c r="AL24" s="45">
        <f t="shared" ref="AL24:AO24" si="118">AL23*AL22</f>
        <v>44800</v>
      </c>
      <c r="AM24" s="45">
        <f t="shared" si="118"/>
        <v>45600</v>
      </c>
      <c r="AN24" s="45">
        <f t="shared" si="118"/>
        <v>44000</v>
      </c>
      <c r="AO24" s="45">
        <f t="shared" si="118"/>
        <v>44800</v>
      </c>
      <c r="AP24" s="45">
        <f t="shared" ref="AP24:AV24" si="119">AP23*AP22</f>
        <v>49500</v>
      </c>
      <c r="AQ24" s="67">
        <f t="shared" si="119"/>
        <v>0</v>
      </c>
      <c r="AR24" s="62">
        <f t="shared" si="119"/>
        <v>37800</v>
      </c>
      <c r="AS24" s="45">
        <f t="shared" si="119"/>
        <v>43200</v>
      </c>
      <c r="AT24" s="45">
        <f t="shared" si="119"/>
        <v>43200</v>
      </c>
      <c r="AU24" s="45">
        <f t="shared" si="119"/>
        <v>43200</v>
      </c>
      <c r="AV24" s="45">
        <f t="shared" si="119"/>
        <v>46980</v>
      </c>
      <c r="AW24" s="45">
        <f t="shared" ref="AW24:BC24" si="120">AW23*AW22</f>
        <v>48600</v>
      </c>
      <c r="AX24" s="67">
        <f t="shared" si="120"/>
        <v>0</v>
      </c>
      <c r="AY24" s="62">
        <f t="shared" si="120"/>
        <v>45000</v>
      </c>
      <c r="AZ24" s="45">
        <f t="shared" si="120"/>
        <v>38229.5</v>
      </c>
      <c r="BA24" s="45">
        <f t="shared" si="120"/>
        <v>49410</v>
      </c>
      <c r="BB24" s="87"/>
      <c r="BC24" s="45">
        <f t="shared" si="120"/>
        <v>43200</v>
      </c>
      <c r="BD24" s="45">
        <f t="shared" ref="BD24:BL24" si="121">BD23*BD22</f>
        <v>43200</v>
      </c>
      <c r="BE24" s="67">
        <f t="shared" si="121"/>
        <v>0</v>
      </c>
      <c r="BF24" s="62">
        <f t="shared" si="121"/>
        <v>33600</v>
      </c>
      <c r="BG24" s="45">
        <f t="shared" si="121"/>
        <v>34800</v>
      </c>
      <c r="BH24" s="45">
        <f t="shared" si="121"/>
        <v>39900</v>
      </c>
      <c r="BI24" s="45">
        <f t="shared" si="121"/>
        <v>39900</v>
      </c>
      <c r="BJ24" s="45">
        <f t="shared" si="121"/>
        <v>50400</v>
      </c>
      <c r="BK24" s="45">
        <f t="shared" si="121"/>
        <v>35100</v>
      </c>
      <c r="BL24" s="67">
        <f t="shared" si="121"/>
        <v>0</v>
      </c>
      <c r="BM24" s="96">
        <f t="shared" ref="BM24:BS24" si="122">BM23*BM22</f>
        <v>0</v>
      </c>
      <c r="BN24" s="45">
        <f t="shared" si="122"/>
        <v>28512</v>
      </c>
      <c r="BO24" s="45">
        <f t="shared" si="122"/>
        <v>40350</v>
      </c>
      <c r="BP24" s="45">
        <f t="shared" si="122"/>
        <v>41600</v>
      </c>
      <c r="BQ24" s="45">
        <f t="shared" si="122"/>
        <v>46750</v>
      </c>
      <c r="BR24" s="45">
        <f t="shared" si="122"/>
        <v>33480</v>
      </c>
      <c r="BS24" s="67">
        <f t="shared" si="122"/>
        <v>0</v>
      </c>
      <c r="BT24" s="83">
        <f t="shared" ref="BT24:BZ24" si="123">BT23*BT22</f>
        <v>39520</v>
      </c>
      <c r="BU24" s="45">
        <f t="shared" si="123"/>
        <v>37400</v>
      </c>
      <c r="BV24" s="45">
        <f t="shared" si="123"/>
        <v>38500</v>
      </c>
      <c r="BW24" s="45">
        <f t="shared" si="123"/>
        <v>40500</v>
      </c>
      <c r="BX24" s="45">
        <f t="shared" si="123"/>
        <v>46248</v>
      </c>
      <c r="BY24" s="45">
        <f t="shared" si="123"/>
        <v>36855</v>
      </c>
      <c r="BZ24" s="133">
        <f t="shared" si="123"/>
        <v>0</v>
      </c>
      <c r="CA24" s="83">
        <f t="shared" ref="CA24:CG24" si="124">CA23*CA22</f>
        <v>29325</v>
      </c>
      <c r="CB24" s="45">
        <f t="shared" si="124"/>
        <v>35984</v>
      </c>
      <c r="CC24" s="45">
        <f t="shared" si="124"/>
        <v>31900</v>
      </c>
      <c r="CD24" s="45">
        <f t="shared" si="124"/>
        <v>35100</v>
      </c>
      <c r="CE24" s="45">
        <f t="shared" si="124"/>
        <v>44250</v>
      </c>
      <c r="CF24" s="45">
        <f t="shared" si="124"/>
        <v>24784.5</v>
      </c>
      <c r="CG24" s="133">
        <f t="shared" si="124"/>
        <v>0</v>
      </c>
      <c r="CH24" s="83">
        <f t="shared" ref="CH24:CN24" si="125">CH23*CH22</f>
        <v>24700</v>
      </c>
      <c r="CI24" s="45">
        <f t="shared" si="125"/>
        <v>26500</v>
      </c>
      <c r="CJ24" s="45">
        <f t="shared" si="125"/>
        <v>27500</v>
      </c>
      <c r="CK24" s="45">
        <f t="shared" si="125"/>
        <v>29640</v>
      </c>
      <c r="CL24" s="45">
        <f t="shared" si="125"/>
        <v>36180</v>
      </c>
      <c r="CM24" s="45">
        <f t="shared" si="125"/>
        <v>29700</v>
      </c>
      <c r="CN24" s="133">
        <f t="shared" si="125"/>
        <v>0</v>
      </c>
      <c r="CO24" s="83">
        <f t="shared" ref="CO24:DB24" si="126">CO23*CO22</f>
        <v>24960</v>
      </c>
      <c r="CP24" s="45">
        <f t="shared" si="126"/>
        <v>24440</v>
      </c>
      <c r="CQ24" s="45">
        <f t="shared" si="126"/>
        <v>30780</v>
      </c>
      <c r="CR24" s="45">
        <f t="shared" si="126"/>
        <v>29700</v>
      </c>
      <c r="CS24" s="45">
        <f t="shared" si="126"/>
        <v>35750</v>
      </c>
      <c r="CT24" s="45">
        <f t="shared" si="126"/>
        <v>29160</v>
      </c>
      <c r="CU24" s="133">
        <f t="shared" si="126"/>
        <v>0</v>
      </c>
      <c r="CV24" s="83">
        <f t="shared" si="126"/>
        <v>21372</v>
      </c>
      <c r="CW24" s="45">
        <f t="shared" si="126"/>
        <v>23030</v>
      </c>
      <c r="CX24" s="45">
        <f t="shared" si="126"/>
        <v>22880</v>
      </c>
      <c r="CY24" s="45">
        <f t="shared" si="126"/>
        <v>29120</v>
      </c>
      <c r="CZ24" s="45">
        <f t="shared" si="126"/>
        <v>28600</v>
      </c>
      <c r="DA24" s="45">
        <f t="shared" si="126"/>
        <v>23166</v>
      </c>
      <c r="DB24" s="133">
        <f t="shared" si="126"/>
        <v>0</v>
      </c>
      <c r="DC24" s="83">
        <f t="shared" ref="DC24:DI24" si="127">DC23*DC22</f>
        <v>21684</v>
      </c>
      <c r="DD24" s="45">
        <f t="shared" si="127"/>
        <v>22540</v>
      </c>
      <c r="DE24" s="45">
        <f t="shared" si="127"/>
        <v>23460</v>
      </c>
      <c r="DF24" s="45">
        <f t="shared" si="127"/>
        <v>27300</v>
      </c>
      <c r="DG24" s="45">
        <f t="shared" si="127"/>
        <v>29120</v>
      </c>
      <c r="DH24" s="45">
        <f t="shared" si="127"/>
        <v>20800</v>
      </c>
      <c r="DI24" s="133">
        <f t="shared" si="127"/>
        <v>0</v>
      </c>
      <c r="DJ24" s="83">
        <f t="shared" ref="DJ24:DP24" si="128">DJ23*DJ22</f>
        <v>26000</v>
      </c>
      <c r="DK24" s="87">
        <f t="shared" si="128"/>
        <v>0</v>
      </c>
      <c r="DL24" s="45">
        <f t="shared" si="128"/>
        <v>23400</v>
      </c>
      <c r="DM24" s="45">
        <f t="shared" si="128"/>
        <v>26000</v>
      </c>
      <c r="DN24" s="45">
        <f t="shared" si="128"/>
        <v>35360</v>
      </c>
      <c r="DO24" s="45">
        <f t="shared" si="128"/>
        <v>26000</v>
      </c>
      <c r="DP24" s="133">
        <f t="shared" si="128"/>
        <v>0</v>
      </c>
      <c r="DQ24" s="83">
        <f t="shared" ref="DQ24:DW24" si="129">DQ23*DQ22</f>
        <v>22525</v>
      </c>
      <c r="DR24" s="45">
        <f t="shared" ref="DR24" si="130">DR23*DR22</f>
        <v>28600</v>
      </c>
      <c r="DS24" s="45">
        <f t="shared" si="129"/>
        <v>28600</v>
      </c>
      <c r="DT24" s="45">
        <f t="shared" si="129"/>
        <v>24960</v>
      </c>
      <c r="DU24" s="45">
        <f t="shared" si="129"/>
        <v>34200</v>
      </c>
      <c r="DV24" s="45">
        <f t="shared" si="129"/>
        <v>28000</v>
      </c>
      <c r="DW24" s="133">
        <f t="shared" si="129"/>
        <v>0</v>
      </c>
      <c r="DX24" s="83">
        <f t="shared" ref="DX24:ED24" si="131">DX23*DX22</f>
        <v>23400</v>
      </c>
      <c r="DY24" s="45">
        <f t="shared" si="131"/>
        <v>28600</v>
      </c>
      <c r="DZ24" s="45">
        <f t="shared" si="131"/>
        <v>28600</v>
      </c>
      <c r="EA24" s="45">
        <f t="shared" si="131"/>
        <v>27500</v>
      </c>
      <c r="EB24" s="45">
        <f t="shared" si="131"/>
        <v>31800</v>
      </c>
      <c r="EC24" s="45">
        <f t="shared" si="131"/>
        <v>34450</v>
      </c>
      <c r="ED24" s="133">
        <f t="shared" si="131"/>
        <v>0</v>
      </c>
      <c r="EE24" s="83">
        <f t="shared" ref="EE24:EK24" si="132">EE23*EE22</f>
        <v>23400</v>
      </c>
      <c r="EF24" s="45">
        <f t="shared" si="132"/>
        <v>23400</v>
      </c>
      <c r="EG24" s="45">
        <f t="shared" si="132"/>
        <v>31850</v>
      </c>
      <c r="EH24" s="45">
        <f t="shared" si="132"/>
        <v>32000</v>
      </c>
      <c r="EI24" s="45">
        <f t="shared" si="132"/>
        <v>31800</v>
      </c>
      <c r="EJ24" s="134"/>
      <c r="EK24" s="133">
        <f t="shared" si="132"/>
        <v>0</v>
      </c>
      <c r="EL24" s="147">
        <f>EL23*EL22</f>
        <v>27050.135368443163</v>
      </c>
      <c r="EM24" s="45">
        <f t="shared" ref="EM24:EQ24" si="133">EM23*EM22</f>
        <v>24502.777116860456</v>
      </c>
      <c r="EN24" s="45">
        <f t="shared" si="133"/>
        <v>23500</v>
      </c>
      <c r="EO24" s="45">
        <f t="shared" si="133"/>
        <v>26520</v>
      </c>
      <c r="EP24" s="45">
        <f t="shared" si="133"/>
        <v>30707.294506806909</v>
      </c>
      <c r="EQ24" s="45">
        <f t="shared" si="133"/>
        <v>35750</v>
      </c>
      <c r="ER24" s="133">
        <f t="shared" si="113"/>
        <v>0</v>
      </c>
      <c r="ES24" s="147">
        <f t="shared" ref="ES24:EX24" si="134">ES23*ES22</f>
        <v>23400</v>
      </c>
      <c r="ET24" s="45">
        <f t="shared" si="134"/>
        <v>31200</v>
      </c>
      <c r="EU24" s="45">
        <f t="shared" si="134"/>
        <v>27500</v>
      </c>
      <c r="EV24" s="45">
        <f t="shared" si="134"/>
        <v>31320</v>
      </c>
      <c r="EW24" s="45">
        <f t="shared" si="134"/>
        <v>33498.866734698444</v>
      </c>
      <c r="EX24" s="45">
        <f t="shared" si="134"/>
        <v>28000</v>
      </c>
      <c r="EY24" s="512">
        <f>EY23*EY22</f>
        <v>0</v>
      </c>
      <c r="EZ24" s="45">
        <f t="shared" ref="EZ24:FE24" si="135">EZ23*EZ22</f>
        <v>26000</v>
      </c>
      <c r="FA24" s="45">
        <f t="shared" si="135"/>
        <v>36400</v>
      </c>
      <c r="FB24" s="45">
        <f t="shared" si="135"/>
        <v>33000</v>
      </c>
      <c r="FC24" s="45">
        <f t="shared" si="135"/>
        <v>25866</v>
      </c>
      <c r="FD24" s="45">
        <f t="shared" si="135"/>
        <v>34894.652848644211</v>
      </c>
      <c r="FE24" s="45">
        <f t="shared" si="135"/>
        <v>33600</v>
      </c>
      <c r="FF24" s="512">
        <f>FF23*FF22</f>
        <v>0</v>
      </c>
      <c r="FG24" s="45">
        <f t="shared" ref="FG24" si="136">FG22*FG23*$A$1</f>
        <v>25031.353705766949</v>
      </c>
      <c r="FH24" s="45">
        <f t="shared" ref="FH24" si="137">FH22*FH23*$A$1</f>
        <v>32155.5</v>
      </c>
      <c r="FI24" s="45">
        <f t="shared" ref="FI24" si="138">FI22*FI23*$A$1</f>
        <v>36123.479485539981</v>
      </c>
      <c r="FJ24" s="45">
        <f t="shared" ref="FJ24" si="139">FJ22*FJ23*$A$1</f>
        <v>34727.864832135077</v>
      </c>
      <c r="FK24" s="45">
        <f t="shared" ref="FK24" si="140">FK22*FK23*$A$1</f>
        <v>37280.72755112873</v>
      </c>
      <c r="FL24" s="45">
        <f t="shared" ref="FL24" si="141">FL22*FL23*$A$1</f>
        <v>37424.889913535466</v>
      </c>
      <c r="FM24" s="512">
        <f t="shared" ref="FM24" si="142">FM22*FM23*$A$1</f>
        <v>0</v>
      </c>
      <c r="FN24" s="45" t="e">
        <f t="shared" ref="FN24:GA24" si="143">FN22*FN23*$A$1</f>
        <v>#REF!</v>
      </c>
      <c r="FO24" s="45" t="e">
        <f t="shared" si="143"/>
        <v>#REF!</v>
      </c>
      <c r="FP24" s="45" t="e">
        <f t="shared" si="143"/>
        <v>#REF!</v>
      </c>
      <c r="FQ24" s="45" t="e">
        <f t="shared" si="143"/>
        <v>#REF!</v>
      </c>
      <c r="FR24" s="45" t="e">
        <f t="shared" si="143"/>
        <v>#REF!</v>
      </c>
      <c r="FS24" s="45" t="e">
        <f t="shared" si="143"/>
        <v>#REF!</v>
      </c>
      <c r="FT24" s="512" t="e">
        <f t="shared" si="143"/>
        <v>#REF!</v>
      </c>
      <c r="FU24" s="45" t="e">
        <f t="shared" si="143"/>
        <v>#REF!</v>
      </c>
      <c r="FV24" s="45" t="e">
        <f t="shared" si="143"/>
        <v>#REF!</v>
      </c>
      <c r="FW24" s="45" t="e">
        <f t="shared" si="143"/>
        <v>#REF!</v>
      </c>
      <c r="FX24" s="45" t="e">
        <f t="shared" si="143"/>
        <v>#REF!</v>
      </c>
      <c r="FY24" s="45" t="e">
        <f>FY22*FY23*$A$1</f>
        <v>#REF!</v>
      </c>
      <c r="FZ24" s="45" t="e">
        <f t="shared" si="143"/>
        <v>#REF!</v>
      </c>
      <c r="GA24" s="512" t="e">
        <f t="shared" si="143"/>
        <v>#REF!</v>
      </c>
      <c r="GB24" s="45" t="e">
        <f t="shared" ref="GB24" si="144">GB22*GB23*$A$1</f>
        <v>#REF!</v>
      </c>
      <c r="GC24" s="45" t="e">
        <f t="shared" ref="GC24" si="145">GC22*GC23*$A$1</f>
        <v>#REF!</v>
      </c>
      <c r="GD24" s="45" t="e">
        <f t="shared" ref="GD24" si="146">GD22*GD23*$A$1</f>
        <v>#REF!</v>
      </c>
      <c r="GE24" s="45" t="e">
        <f t="shared" ref="GE24" si="147">GE22*GE23*$A$1</f>
        <v>#REF!</v>
      </c>
      <c r="GF24" s="45" t="e">
        <f t="shared" ref="GF24" si="148">GF22*GF23*$A$1</f>
        <v>#REF!</v>
      </c>
      <c r="GG24" s="45" t="e">
        <f t="shared" ref="GG24" si="149">GG22*GG23*$A$1</f>
        <v>#REF!</v>
      </c>
      <c r="GH24" s="512" t="e">
        <f t="shared" ref="GH24:GO24" si="150">GH22*GH23*$A$1</f>
        <v>#REF!</v>
      </c>
      <c r="GI24" s="45" t="e">
        <f t="shared" si="150"/>
        <v>#REF!</v>
      </c>
      <c r="GJ24" s="45" t="e">
        <f t="shared" si="150"/>
        <v>#REF!</v>
      </c>
      <c r="GK24" s="45" t="e">
        <f t="shared" si="150"/>
        <v>#REF!</v>
      </c>
      <c r="GL24" s="45" t="e">
        <f t="shared" si="150"/>
        <v>#REF!</v>
      </c>
      <c r="GM24" s="45">
        <f t="shared" si="150"/>
        <v>36666</v>
      </c>
      <c r="GN24" s="45" t="e">
        <f t="shared" si="150"/>
        <v>#REF!</v>
      </c>
      <c r="GO24" s="133" t="e">
        <f t="shared" si="150"/>
        <v>#REF!</v>
      </c>
      <c r="GP24" s="45" t="e">
        <f t="shared" ref="GP24:GV24" si="151">GP22*GP23*$A$1</f>
        <v>#N/A</v>
      </c>
      <c r="GQ24" s="45" t="e">
        <f t="shared" si="151"/>
        <v>#N/A</v>
      </c>
      <c r="GR24" s="45" t="e">
        <f t="shared" si="151"/>
        <v>#N/A</v>
      </c>
      <c r="GS24" s="45" t="e">
        <f t="shared" si="151"/>
        <v>#N/A</v>
      </c>
      <c r="GT24" s="45" t="e">
        <f t="shared" si="151"/>
        <v>#N/A</v>
      </c>
      <c r="GU24" s="45" t="e">
        <f t="shared" si="151"/>
        <v>#N/A</v>
      </c>
      <c r="GV24" s="133" t="e">
        <f t="shared" si="151"/>
        <v>#N/A</v>
      </c>
      <c r="GW24" s="45">
        <f t="shared" ref="GW24:IE24" si="152">GW22*GW23*$A$1</f>
        <v>29100</v>
      </c>
      <c r="GX24" s="45">
        <f t="shared" si="152"/>
        <v>33144.9</v>
      </c>
      <c r="GY24" s="45">
        <f t="shared" si="152"/>
        <v>37102.5</v>
      </c>
      <c r="GZ24" s="45" t="e">
        <f t="shared" si="152"/>
        <v>#N/A</v>
      </c>
      <c r="HA24" s="45" t="e">
        <f t="shared" si="152"/>
        <v>#N/A</v>
      </c>
      <c r="HB24" s="45" t="e">
        <f t="shared" si="152"/>
        <v>#N/A</v>
      </c>
      <c r="HC24" s="133" t="e">
        <f t="shared" si="152"/>
        <v>#N/A</v>
      </c>
      <c r="HD24" s="45" t="e">
        <f t="shared" si="152"/>
        <v>#N/A</v>
      </c>
      <c r="HE24" s="45">
        <f t="shared" si="152"/>
        <v>37597.199999999997</v>
      </c>
      <c r="HF24" s="45" t="e">
        <f t="shared" si="152"/>
        <v>#N/A</v>
      </c>
      <c r="HG24" s="45">
        <f t="shared" si="152"/>
        <v>39808.799999999996</v>
      </c>
      <c r="HH24" s="45">
        <f t="shared" si="152"/>
        <v>42680</v>
      </c>
      <c r="HI24" s="45">
        <f t="shared" si="152"/>
        <v>38024</v>
      </c>
      <c r="HJ24" s="133" t="e">
        <f t="shared" si="152"/>
        <v>#N/A</v>
      </c>
      <c r="HK24" s="45">
        <f t="shared" si="152"/>
        <v>33963.58</v>
      </c>
      <c r="HL24" s="45">
        <f t="shared" si="152"/>
        <v>42922.5</v>
      </c>
      <c r="HM24" s="45">
        <f t="shared" si="152"/>
        <v>40604.199999999997</v>
      </c>
      <c r="HN24" s="45">
        <f t="shared" si="152"/>
        <v>42558.75</v>
      </c>
      <c r="HO24" s="45">
        <f t="shared" si="152"/>
        <v>37830</v>
      </c>
      <c r="HP24" s="45">
        <f t="shared" si="152"/>
        <v>37073.4</v>
      </c>
      <c r="HQ24" s="623" t="e">
        <f t="shared" si="152"/>
        <v>#N/A</v>
      </c>
      <c r="HR24" s="45" t="e">
        <f t="shared" si="152"/>
        <v>#N/A</v>
      </c>
      <c r="HS24" s="45">
        <f t="shared" si="152"/>
        <v>38159.799999999996</v>
      </c>
      <c r="HT24" s="45" t="e">
        <f t="shared" si="152"/>
        <v>#N/A</v>
      </c>
      <c r="HU24" s="45">
        <f t="shared" si="152"/>
        <v>38775.75</v>
      </c>
      <c r="HV24" s="45">
        <f t="shared" si="152"/>
        <v>47489.26</v>
      </c>
      <c r="HW24" s="45" t="e">
        <f t="shared" si="152"/>
        <v>#N/A</v>
      </c>
      <c r="HX24" s="133" t="e">
        <f t="shared" si="152"/>
        <v>#N/A</v>
      </c>
      <c r="HY24" s="45">
        <f t="shared" si="152"/>
        <v>30264</v>
      </c>
      <c r="HZ24" s="45">
        <f t="shared" si="152"/>
        <v>33610.5</v>
      </c>
      <c r="IA24" s="45">
        <f t="shared" si="152"/>
        <v>35172.199999999997</v>
      </c>
      <c r="IB24" s="45" t="e">
        <f t="shared" si="152"/>
        <v>#N/A</v>
      </c>
      <c r="IC24" s="45" t="e">
        <f t="shared" si="152"/>
        <v>#N/A</v>
      </c>
      <c r="ID24" s="45">
        <f t="shared" si="152"/>
        <v>37830</v>
      </c>
      <c r="IE24" s="133" t="e">
        <f t="shared" si="152"/>
        <v>#N/A</v>
      </c>
      <c r="IF24" s="45">
        <f t="shared" ref="IF24:IS24" si="153">IF22*IF23*$A$1</f>
        <v>30894.5</v>
      </c>
      <c r="IG24" s="45">
        <f t="shared" si="153"/>
        <v>44523</v>
      </c>
      <c r="IH24" s="45">
        <f t="shared" si="153"/>
        <v>45396</v>
      </c>
      <c r="II24" s="45">
        <f t="shared" si="153"/>
        <v>46269</v>
      </c>
      <c r="IJ24" s="45" t="e">
        <f t="shared" si="153"/>
        <v>#N/A</v>
      </c>
      <c r="IK24" s="45">
        <f>IK22*IK23*$A$1</f>
        <v>37345</v>
      </c>
      <c r="IL24" s="133" t="e">
        <f t="shared" si="153"/>
        <v>#N/A</v>
      </c>
      <c r="IM24" s="45">
        <f t="shared" si="153"/>
        <v>39948.479999999996</v>
      </c>
      <c r="IN24" s="45">
        <f t="shared" si="153"/>
        <v>46783.1</v>
      </c>
      <c r="IO24" s="45" t="e">
        <f t="shared" si="153"/>
        <v>#N/A</v>
      </c>
      <c r="IP24" s="45">
        <f t="shared" si="153"/>
        <v>43213.5</v>
      </c>
      <c r="IQ24" s="45" t="e">
        <f t="shared" si="153"/>
        <v>#N/A</v>
      </c>
      <c r="IR24" s="45" t="e">
        <f t="shared" si="153"/>
        <v>#N/A</v>
      </c>
      <c r="IS24" s="133" t="e">
        <f t="shared" si="153"/>
        <v>#N/A</v>
      </c>
      <c r="IT24" s="45">
        <f t="shared" ref="IT24:IZ24" si="154">IT22*IT23*$A$1</f>
        <v>28954.5</v>
      </c>
      <c r="IU24" s="45" t="e">
        <f t="shared" si="154"/>
        <v>#N/A</v>
      </c>
      <c r="IV24" s="45" t="e">
        <f t="shared" si="154"/>
        <v>#N/A</v>
      </c>
      <c r="IW24" s="45">
        <f t="shared" si="154"/>
        <v>39576</v>
      </c>
      <c r="IX24" s="45">
        <f t="shared" si="154"/>
        <v>36937.599999999999</v>
      </c>
      <c r="IY24" s="45">
        <f t="shared" si="154"/>
        <v>39285</v>
      </c>
      <c r="IZ24" s="133" t="e">
        <f t="shared" si="154"/>
        <v>#N/A</v>
      </c>
      <c r="JA24" s="45" t="e">
        <f t="shared" ref="JA24:JU24" si="155">JA22*JA23*$A$1</f>
        <v>#N/A</v>
      </c>
      <c r="JB24" s="45">
        <f t="shared" si="155"/>
        <v>37102.5</v>
      </c>
      <c r="JC24" s="45" t="e">
        <f t="shared" si="155"/>
        <v>#N/A</v>
      </c>
      <c r="JD24" s="45" t="e">
        <f t="shared" si="155"/>
        <v>#N/A</v>
      </c>
      <c r="JE24" s="45" t="e">
        <f t="shared" si="155"/>
        <v>#N/A</v>
      </c>
      <c r="JF24" s="45" t="e">
        <f t="shared" si="155"/>
        <v>#N/A</v>
      </c>
      <c r="JG24" s="133" t="e">
        <f t="shared" si="155"/>
        <v>#N/A</v>
      </c>
      <c r="JH24" s="45">
        <f t="shared" si="155"/>
        <v>35289.855678096406</v>
      </c>
      <c r="JI24" s="45" t="e">
        <f t="shared" si="155"/>
        <v>#N/A</v>
      </c>
      <c r="JJ24" s="45" t="e">
        <f t="shared" si="155"/>
        <v>#N/A</v>
      </c>
      <c r="JK24" s="45" t="e">
        <f t="shared" si="155"/>
        <v>#N/A</v>
      </c>
      <c r="JL24" s="45" t="e">
        <f t="shared" si="155"/>
        <v>#N/A</v>
      </c>
      <c r="JM24" s="45" t="e">
        <f t="shared" si="155"/>
        <v>#N/A</v>
      </c>
      <c r="JN24" s="133" t="e">
        <f t="shared" si="155"/>
        <v>#N/A</v>
      </c>
      <c r="JO24" s="45">
        <f t="shared" si="155"/>
        <v>37313.536072982992</v>
      </c>
      <c r="JP24" s="45" t="e">
        <f t="shared" si="155"/>
        <v>#N/A</v>
      </c>
      <c r="JQ24" s="45" t="e">
        <f t="shared" si="155"/>
        <v>#N/A</v>
      </c>
      <c r="JR24" s="45" t="e">
        <f t="shared" si="155"/>
        <v>#N/A</v>
      </c>
      <c r="JS24" s="45">
        <f t="shared" si="155"/>
        <v>0</v>
      </c>
      <c r="JT24" s="45">
        <f t="shared" si="155"/>
        <v>30150.379373761585</v>
      </c>
      <c r="JU24" s="133">
        <f t="shared" si="155"/>
        <v>0</v>
      </c>
      <c r="JV24" s="45">
        <f t="shared" ref="JV24:KB24" si="156">JV22*JV23*$A$1</f>
        <v>37313.536072982992</v>
      </c>
      <c r="JW24" s="45" t="e">
        <f t="shared" si="156"/>
        <v>#N/A</v>
      </c>
      <c r="JX24" s="45" t="e">
        <f t="shared" si="156"/>
        <v>#N/A</v>
      </c>
      <c r="JY24" s="45" t="e">
        <f t="shared" si="156"/>
        <v>#N/A</v>
      </c>
      <c r="JZ24" s="45">
        <f t="shared" si="156"/>
        <v>0</v>
      </c>
      <c r="KA24" s="45">
        <f t="shared" si="156"/>
        <v>30150.379373761585</v>
      </c>
      <c r="KB24" s="133">
        <f t="shared" si="156"/>
        <v>0</v>
      </c>
    </row>
    <row r="25" spans="1:288" x14ac:dyDescent="0.3">
      <c r="A25" s="19" t="s">
        <v>123</v>
      </c>
      <c r="B25" s="124"/>
      <c r="C25" s="45"/>
      <c r="D25" s="45"/>
      <c r="E25" s="45"/>
      <c r="F25" s="45"/>
      <c r="G25" s="45"/>
      <c r="H25" s="413"/>
      <c r="I25" s="124"/>
      <c r="J25" s="45"/>
      <c r="K25" s="45"/>
      <c r="L25" s="45"/>
      <c r="M25" s="45"/>
      <c r="N25" s="45"/>
      <c r="O25" s="413"/>
      <c r="P25" s="124"/>
      <c r="Q25" s="45"/>
      <c r="R25" s="45"/>
      <c r="S25" s="45"/>
      <c r="T25" s="45"/>
      <c r="U25" s="45"/>
      <c r="V25" s="413"/>
      <c r="W25" s="62"/>
      <c r="X25" s="45"/>
      <c r="Y25" s="45"/>
      <c r="Z25" s="45"/>
      <c r="AA25" s="45"/>
      <c r="AB25" s="45"/>
      <c r="AC25" s="67"/>
      <c r="AD25" s="62"/>
      <c r="AE25" s="45"/>
      <c r="AF25" s="45"/>
      <c r="AG25" s="45"/>
      <c r="AH25" s="56"/>
      <c r="AI25" s="45"/>
      <c r="AJ25" s="67"/>
      <c r="AK25" s="62"/>
      <c r="AL25" s="45"/>
      <c r="AM25" s="45"/>
      <c r="AN25" s="45"/>
      <c r="AO25" s="45"/>
      <c r="AP25" s="45"/>
      <c r="AQ25" s="67"/>
      <c r="AR25" s="62"/>
      <c r="AS25" s="45"/>
      <c r="AT25" s="45"/>
      <c r="AU25" s="45"/>
      <c r="AV25" s="45"/>
      <c r="AW25" s="45"/>
      <c r="AX25" s="67"/>
      <c r="AY25" s="62"/>
      <c r="AZ25" s="45"/>
      <c r="BA25" s="45"/>
      <c r="BB25" s="87"/>
      <c r="BC25" s="45"/>
      <c r="BD25" s="45"/>
      <c r="BE25" s="67"/>
      <c r="BF25" s="62"/>
      <c r="BG25" s="45"/>
      <c r="BH25" s="45"/>
      <c r="BI25" s="45"/>
      <c r="BJ25" s="45"/>
      <c r="BK25" s="45"/>
      <c r="BL25" s="67"/>
      <c r="BM25" s="96"/>
      <c r="BN25" s="45"/>
      <c r="BO25" s="45"/>
      <c r="BP25" s="45"/>
      <c r="BQ25" s="45"/>
      <c r="BR25" s="45"/>
      <c r="BS25" s="67"/>
      <c r="BT25" s="83"/>
      <c r="BU25" s="45"/>
      <c r="BV25" s="45"/>
      <c r="BW25" s="45"/>
      <c r="BX25" s="45"/>
      <c r="BY25" s="45"/>
      <c r="BZ25" s="133"/>
      <c r="CA25" s="83"/>
      <c r="CB25" s="45"/>
      <c r="CC25" s="45"/>
      <c r="CD25" s="45"/>
      <c r="CE25" s="45"/>
      <c r="CF25" s="45"/>
      <c r="CG25" s="133"/>
      <c r="CI25" s="45"/>
      <c r="CJ25" s="45"/>
      <c r="CK25" s="45"/>
      <c r="CL25" s="45"/>
      <c r="CM25" s="45"/>
      <c r="CN25" s="133"/>
      <c r="CO25" s="83"/>
      <c r="CP25" s="45"/>
      <c r="CQ25" s="45"/>
      <c r="CR25" s="45"/>
      <c r="CS25" s="45"/>
      <c r="CT25" s="45"/>
      <c r="CU25" s="133"/>
      <c r="CV25" s="83"/>
      <c r="CW25" s="45"/>
      <c r="CX25" s="45"/>
      <c r="CY25" s="45"/>
      <c r="CZ25" s="45"/>
      <c r="DA25" s="45"/>
      <c r="DB25" s="133"/>
      <c r="DC25" s="83"/>
      <c r="DD25" s="45"/>
      <c r="DE25" s="45"/>
      <c r="DF25" s="45"/>
      <c r="DG25" s="45"/>
      <c r="DH25" s="45"/>
      <c r="DI25" s="133"/>
      <c r="DJ25" s="83"/>
      <c r="DK25" s="87"/>
      <c r="DL25" s="45"/>
      <c r="DM25" s="45"/>
      <c r="DN25" s="45"/>
      <c r="DO25" s="45"/>
      <c r="DP25" s="133"/>
      <c r="DQ25" s="83"/>
      <c r="DR25" s="45"/>
      <c r="DS25" s="45"/>
      <c r="DT25" s="45"/>
      <c r="DU25" s="45"/>
      <c r="DV25" s="45"/>
      <c r="DW25" s="133"/>
      <c r="DX25" s="83"/>
      <c r="DY25" s="45"/>
      <c r="DZ25" s="45"/>
      <c r="EA25" s="45"/>
      <c r="EB25" s="45"/>
      <c r="EC25" s="45"/>
      <c r="ED25" s="133"/>
      <c r="EE25" s="83"/>
      <c r="EF25" s="45"/>
      <c r="EG25" s="45"/>
      <c r="EH25" s="45"/>
      <c r="EI25" s="45"/>
      <c r="EJ25" s="134"/>
      <c r="EK25" s="133"/>
      <c r="EL25" s="147"/>
      <c r="EM25" s="45"/>
      <c r="EN25" s="45"/>
      <c r="EO25" s="45"/>
      <c r="EP25" s="45"/>
      <c r="EQ25" s="45"/>
      <c r="ER25" s="133"/>
      <c r="ES25" s="147"/>
      <c r="ET25" s="45"/>
      <c r="EU25" s="45"/>
      <c r="EV25" s="45"/>
      <c r="EW25" s="45"/>
      <c r="EX25" s="45"/>
      <c r="EY25" s="512"/>
      <c r="EZ25" s="45"/>
      <c r="FA25" s="45"/>
      <c r="FB25" s="45"/>
      <c r="FC25" s="45"/>
      <c r="FD25" s="45"/>
      <c r="FE25" s="45"/>
      <c r="FF25" s="512">
        <v>0</v>
      </c>
      <c r="FG25" s="45"/>
      <c r="FH25" s="45"/>
      <c r="FI25" s="45"/>
      <c r="FJ25" s="45"/>
      <c r="FK25" s="45"/>
      <c r="FL25" s="45"/>
      <c r="FM25" s="512"/>
      <c r="FN25" s="45">
        <v>530</v>
      </c>
      <c r="FO25" s="45"/>
      <c r="FP25" s="45"/>
      <c r="FQ25" s="45"/>
      <c r="FR25" s="45"/>
      <c r="FS25" s="45"/>
      <c r="FT25" s="512"/>
      <c r="FU25" s="45">
        <v>530</v>
      </c>
      <c r="FV25" s="45">
        <v>598</v>
      </c>
      <c r="FW25" s="45">
        <v>647</v>
      </c>
      <c r="FX25" s="45">
        <v>597</v>
      </c>
      <c r="FY25" s="45">
        <v>600</v>
      </c>
      <c r="FZ25" s="45"/>
      <c r="GA25" s="512"/>
      <c r="GB25" s="45"/>
      <c r="GC25" s="45">
        <f>650-107-85</f>
        <v>458</v>
      </c>
      <c r="GD25" s="45">
        <v>607</v>
      </c>
      <c r="GE25" s="45">
        <v>604</v>
      </c>
      <c r="GF25" s="45">
        <v>668</v>
      </c>
      <c r="GG25" s="45"/>
      <c r="GH25" s="512"/>
      <c r="GI25" s="45">
        <v>566</v>
      </c>
      <c r="GJ25" s="45">
        <f>670-9</f>
        <v>661</v>
      </c>
      <c r="GK25" s="45">
        <f>660</f>
        <v>660</v>
      </c>
      <c r="GL25" s="45">
        <v>610</v>
      </c>
      <c r="GM25" s="45">
        <v>700</v>
      </c>
      <c r="GN25" s="45">
        <v>690</v>
      </c>
      <c r="GO25" s="133"/>
      <c r="GP25" s="45">
        <v>550</v>
      </c>
      <c r="GQ25" s="45">
        <v>693</v>
      </c>
      <c r="GR25" s="45">
        <v>710</v>
      </c>
      <c r="GS25" s="45">
        <v>710</v>
      </c>
      <c r="GT25" s="45">
        <v>716</v>
      </c>
      <c r="GU25" s="45">
        <v>720</v>
      </c>
      <c r="GV25" s="133"/>
      <c r="GW25" s="45">
        <v>610</v>
      </c>
      <c r="GX25" s="45">
        <v>670</v>
      </c>
      <c r="GY25" s="45">
        <v>760</v>
      </c>
      <c r="GZ25" s="45">
        <v>760</v>
      </c>
      <c r="HA25" s="45">
        <v>757</v>
      </c>
      <c r="HB25" s="45">
        <v>720</v>
      </c>
      <c r="HC25" s="133"/>
      <c r="HD25" s="45">
        <v>610</v>
      </c>
      <c r="HE25" s="45">
        <v>760</v>
      </c>
      <c r="HF25" s="45">
        <v>760</v>
      </c>
      <c r="HG25" s="45">
        <v>760</v>
      </c>
      <c r="HH25" s="45">
        <v>800</v>
      </c>
      <c r="HI25" s="45">
        <v>700</v>
      </c>
      <c r="HJ25" s="133"/>
      <c r="HK25" s="45">
        <v>610</v>
      </c>
      <c r="HL25" s="45">
        <v>750</v>
      </c>
      <c r="HM25" s="45">
        <v>700</v>
      </c>
      <c r="HN25" s="45">
        <v>750</v>
      </c>
      <c r="HO25" s="45">
        <v>600</v>
      </c>
      <c r="HP25" s="45">
        <v>650</v>
      </c>
      <c r="HQ25" s="623"/>
      <c r="HR25" s="45">
        <v>600</v>
      </c>
      <c r="HS25" s="45">
        <v>700</v>
      </c>
      <c r="HT25" s="45"/>
      <c r="HU25" s="45">
        <v>600</v>
      </c>
      <c r="HV25" s="45"/>
      <c r="HW25" s="45"/>
      <c r="HX25" s="133"/>
      <c r="HY25" s="45">
        <v>599</v>
      </c>
      <c r="HZ25" s="45">
        <v>698</v>
      </c>
      <c r="IA25" s="45">
        <v>740</v>
      </c>
      <c r="IB25" s="45"/>
      <c r="IC25" s="45"/>
      <c r="ID25" s="45"/>
      <c r="IE25" s="133"/>
      <c r="IF25" s="45">
        <f>680-6</f>
        <v>674</v>
      </c>
      <c r="IG25" s="45">
        <v>835</v>
      </c>
      <c r="IH25" s="45">
        <f>900-182</f>
        <v>718</v>
      </c>
      <c r="II25" s="45">
        <f>865-11-24-34</f>
        <v>796</v>
      </c>
      <c r="IJ25" s="45">
        <v>850</v>
      </c>
      <c r="IK25" s="45">
        <v>693</v>
      </c>
      <c r="IL25" s="133"/>
      <c r="IM25" s="45"/>
      <c r="IN25" s="45"/>
      <c r="IO25" s="45">
        <v>790</v>
      </c>
      <c r="IP25" s="45"/>
      <c r="IQ25" s="45"/>
      <c r="IR25" s="45"/>
      <c r="IS25" s="133"/>
      <c r="IT25" s="45"/>
      <c r="IU25" s="45"/>
      <c r="IV25" s="45"/>
      <c r="IW25" s="45"/>
      <c r="IX25" s="45"/>
      <c r="IY25" s="45"/>
      <c r="IZ25" s="133"/>
      <c r="JA25" s="45"/>
      <c r="JB25" s="45"/>
      <c r="JC25" s="45"/>
      <c r="JD25" s="45"/>
      <c r="JE25" s="45"/>
      <c r="JF25" s="45"/>
      <c r="JG25" s="133"/>
      <c r="JH25" s="45"/>
      <c r="JI25" s="45"/>
      <c r="JJ25" s="45"/>
      <c r="JK25" s="45"/>
      <c r="JL25" s="45"/>
      <c r="JM25" s="45"/>
      <c r="JN25" s="133"/>
      <c r="JO25" s="45"/>
      <c r="JP25" s="45"/>
      <c r="JQ25" s="45"/>
      <c r="JR25" s="45"/>
      <c r="JS25" s="45"/>
      <c r="JT25" s="45"/>
      <c r="JU25" s="133"/>
      <c r="JV25" s="45"/>
      <c r="JW25" s="45"/>
      <c r="JX25" s="45"/>
      <c r="JY25" s="45"/>
      <c r="JZ25" s="45"/>
      <c r="KA25" s="45"/>
      <c r="KB25" s="133"/>
    </row>
    <row r="26" spans="1:288" s="401" customFormat="1" hidden="1" x14ac:dyDescent="0.3">
      <c r="A26" s="19" t="s">
        <v>124</v>
      </c>
      <c r="B26" s="475">
        <v>20500</v>
      </c>
      <c r="C26" s="467">
        <v>37852</v>
      </c>
      <c r="D26" s="467">
        <v>41000</v>
      </c>
      <c r="E26" s="467">
        <v>50300</v>
      </c>
      <c r="F26" s="467"/>
      <c r="G26" s="467"/>
      <c r="H26" s="473"/>
      <c r="I26" s="475">
        <v>25876</v>
      </c>
      <c r="J26" s="467">
        <v>20990</v>
      </c>
      <c r="K26" s="467">
        <v>40094</v>
      </c>
      <c r="L26" s="467">
        <v>41743</v>
      </c>
      <c r="M26" s="467">
        <v>46238</v>
      </c>
      <c r="N26" s="467">
        <v>41022</v>
      </c>
      <c r="O26" s="473"/>
      <c r="P26" s="475"/>
      <c r="Q26" s="467">
        <v>43197</v>
      </c>
      <c r="R26" s="467">
        <v>39154</v>
      </c>
      <c r="S26" s="467">
        <v>37000</v>
      </c>
      <c r="T26" s="467">
        <v>39300</v>
      </c>
      <c r="U26" s="467">
        <v>47101</v>
      </c>
      <c r="V26" s="473"/>
      <c r="W26" s="466">
        <v>32660</v>
      </c>
      <c r="X26" s="467">
        <v>41612</v>
      </c>
      <c r="Y26" s="467">
        <v>24698</v>
      </c>
      <c r="Z26" s="467">
        <v>41507</v>
      </c>
      <c r="AA26" s="467">
        <v>42000</v>
      </c>
      <c r="AB26" s="467">
        <v>39000</v>
      </c>
      <c r="AC26" s="470"/>
      <c r="AD26" s="466">
        <v>40000</v>
      </c>
      <c r="AE26" s="467">
        <v>44000</v>
      </c>
      <c r="AF26" s="467">
        <v>46200</v>
      </c>
      <c r="AG26" s="478">
        <v>46000</v>
      </c>
      <c r="AH26" s="469"/>
      <c r="AI26" s="481"/>
      <c r="AJ26" s="470"/>
      <c r="AK26" s="466">
        <v>36757</v>
      </c>
      <c r="AL26" s="467">
        <v>40000</v>
      </c>
      <c r="AM26" s="467">
        <v>41078</v>
      </c>
      <c r="AN26" s="467">
        <v>43361</v>
      </c>
      <c r="AO26" s="467">
        <v>44132</v>
      </c>
      <c r="AP26" s="467">
        <v>47500</v>
      </c>
      <c r="AQ26" s="470"/>
      <c r="AR26" s="466">
        <v>35000</v>
      </c>
      <c r="AS26" s="467">
        <v>41000</v>
      </c>
      <c r="AT26" s="467">
        <v>41500</v>
      </c>
      <c r="AU26" s="467">
        <v>41755</v>
      </c>
      <c r="AV26" s="467">
        <v>42000</v>
      </c>
      <c r="AW26" s="467">
        <v>45852</v>
      </c>
      <c r="AX26" s="470"/>
      <c r="AY26" s="466">
        <v>36400</v>
      </c>
      <c r="AZ26" s="467">
        <v>33700</v>
      </c>
      <c r="BA26" s="467">
        <v>47500</v>
      </c>
      <c r="BB26" s="471"/>
      <c r="BC26" s="467">
        <v>37204</v>
      </c>
      <c r="BD26" s="467"/>
      <c r="BE26" s="470"/>
      <c r="BF26" s="466">
        <v>34000</v>
      </c>
      <c r="BG26" s="467">
        <v>31925</v>
      </c>
      <c r="BH26" s="467">
        <v>38666</v>
      </c>
      <c r="BI26" s="467">
        <v>41370</v>
      </c>
      <c r="BJ26" s="467">
        <v>47800</v>
      </c>
      <c r="BK26" s="467"/>
      <c r="BL26" s="470"/>
      <c r="BM26" s="472"/>
      <c r="BN26" s="467">
        <v>28584</v>
      </c>
      <c r="BO26" s="467">
        <v>39092</v>
      </c>
      <c r="BP26" s="467">
        <v>40000</v>
      </c>
      <c r="BQ26" s="467">
        <v>41000</v>
      </c>
      <c r="BR26" s="467">
        <v>34000</v>
      </c>
      <c r="BS26" s="470"/>
      <c r="BT26" s="463">
        <v>35000</v>
      </c>
      <c r="BU26" s="467">
        <v>34000</v>
      </c>
      <c r="BV26" s="467">
        <v>37658</v>
      </c>
      <c r="BW26" s="467">
        <v>39000</v>
      </c>
      <c r="BX26" s="467">
        <v>43277</v>
      </c>
      <c r="BY26" s="467">
        <v>31821</v>
      </c>
      <c r="BZ26" s="480"/>
      <c r="CA26" s="463">
        <v>29700</v>
      </c>
      <c r="CB26" s="467">
        <v>33374</v>
      </c>
      <c r="CC26" s="467">
        <v>29915</v>
      </c>
      <c r="CD26" s="467">
        <v>33044</v>
      </c>
      <c r="CE26" s="467">
        <v>37500</v>
      </c>
      <c r="CF26" s="467">
        <v>23300</v>
      </c>
      <c r="CG26" s="480"/>
      <c r="CH26" s="482">
        <v>25000</v>
      </c>
      <c r="CI26" s="467">
        <v>26084</v>
      </c>
      <c r="CJ26" s="467">
        <v>33705</v>
      </c>
      <c r="CK26" s="467">
        <v>28500</v>
      </c>
      <c r="CL26" s="467">
        <v>36600</v>
      </c>
      <c r="CM26" s="467">
        <v>30000</v>
      </c>
      <c r="CN26" s="480"/>
      <c r="CO26" s="463">
        <v>24048</v>
      </c>
      <c r="CP26" s="467">
        <v>41562</v>
      </c>
      <c r="CQ26" s="467">
        <v>32747</v>
      </c>
      <c r="CR26" s="467">
        <v>27951</v>
      </c>
      <c r="CS26" s="467">
        <v>32800</v>
      </c>
      <c r="CT26" s="467">
        <v>30000</v>
      </c>
      <c r="CU26" s="480"/>
      <c r="CV26" s="467">
        <v>18982</v>
      </c>
      <c r="CW26" s="467">
        <v>21072</v>
      </c>
      <c r="CX26" s="467">
        <v>23938</v>
      </c>
      <c r="CY26" s="467">
        <v>27598</v>
      </c>
      <c r="CZ26" s="467">
        <v>27981</v>
      </c>
      <c r="DA26" s="467">
        <v>22442</v>
      </c>
      <c r="DB26" s="480"/>
      <c r="DC26" s="463">
        <v>20894</v>
      </c>
      <c r="DD26" s="467">
        <v>22451</v>
      </c>
      <c r="DE26" s="467">
        <v>23000</v>
      </c>
      <c r="DF26" s="467">
        <v>25883</v>
      </c>
      <c r="DG26" s="467">
        <v>23605</v>
      </c>
      <c r="DH26" s="467">
        <v>23535</v>
      </c>
      <c r="DI26" s="480"/>
      <c r="DJ26" s="463">
        <v>26247</v>
      </c>
      <c r="DK26" s="471"/>
      <c r="DL26" s="467">
        <v>28066</v>
      </c>
      <c r="DM26" s="467">
        <v>24500</v>
      </c>
      <c r="DN26" s="467">
        <v>34263</v>
      </c>
      <c r="DO26" s="467">
        <v>25000</v>
      </c>
      <c r="DP26" s="480"/>
      <c r="DQ26" s="463"/>
      <c r="DR26" s="467"/>
      <c r="DS26" s="467"/>
      <c r="DT26" s="467"/>
      <c r="DU26" s="467"/>
      <c r="DV26" s="467"/>
      <c r="DW26" s="480"/>
      <c r="DX26" s="463"/>
      <c r="DY26" s="467"/>
      <c r="DZ26" s="467"/>
      <c r="EA26" s="467"/>
      <c r="EB26" s="467"/>
      <c r="EC26" s="467"/>
      <c r="ED26" s="480"/>
      <c r="EE26" s="463"/>
      <c r="EF26" s="467"/>
      <c r="EG26" s="467"/>
      <c r="EH26" s="467"/>
      <c r="EI26" s="467"/>
      <c r="EJ26" s="483"/>
      <c r="EK26" s="480"/>
      <c r="EL26" s="463"/>
      <c r="EM26" s="467"/>
      <c r="EN26" s="467"/>
      <c r="EO26" s="467"/>
      <c r="EP26" s="467"/>
      <c r="ER26" s="480"/>
      <c r="ES26" s="463"/>
      <c r="ET26" s="45"/>
      <c r="EU26" s="45"/>
      <c r="EV26" s="45"/>
      <c r="EW26" s="45"/>
      <c r="EX26"/>
      <c r="EY26" s="524"/>
      <c r="EZ26"/>
      <c r="FA26" s="45"/>
      <c r="FB26" s="45"/>
      <c r="FC26" s="45"/>
      <c r="FD26" s="45"/>
      <c r="FE26"/>
      <c r="FF26" s="524"/>
      <c r="FG26"/>
      <c r="FH26" s="45"/>
      <c r="FI26" s="45"/>
      <c r="FJ26" s="45"/>
      <c r="FK26" s="45"/>
      <c r="FL26"/>
      <c r="FM26" s="512"/>
      <c r="FN26"/>
      <c r="FO26" s="45"/>
      <c r="FP26" s="45"/>
      <c r="FQ26" s="45"/>
      <c r="FR26" s="45"/>
      <c r="FS26"/>
      <c r="FT26" s="512"/>
      <c r="FU26"/>
      <c r="FV26" s="45"/>
      <c r="FW26" s="45"/>
      <c r="FX26" s="45"/>
      <c r="FY26" s="45"/>
      <c r="FZ26"/>
      <c r="GA26" s="512"/>
      <c r="GB26"/>
      <c r="GC26" s="45"/>
      <c r="GD26" s="45"/>
      <c r="GE26" s="45"/>
      <c r="GF26" s="45"/>
      <c r="GG26"/>
      <c r="GH26" s="512"/>
      <c r="GI26"/>
      <c r="GJ26" s="45"/>
      <c r="GK26" s="45"/>
      <c r="GL26" s="45"/>
      <c r="GM26" s="45"/>
      <c r="GN26"/>
      <c r="GO26" s="133"/>
      <c r="GP26"/>
      <c r="GQ26" s="45"/>
      <c r="GR26" s="45"/>
      <c r="GS26" s="45"/>
      <c r="GT26" s="45"/>
      <c r="GU26"/>
      <c r="GV26" s="133"/>
      <c r="GW26"/>
      <c r="GX26" s="45"/>
      <c r="GY26" s="45"/>
      <c r="GZ26" s="45"/>
      <c r="HA26" s="45"/>
      <c r="HB26"/>
      <c r="HC26" s="133"/>
      <c r="HD26"/>
      <c r="HE26" s="45"/>
      <c r="HF26" s="45"/>
      <c r="HG26" s="45"/>
      <c r="HH26" s="45"/>
      <c r="HI26"/>
      <c r="HJ26" s="133"/>
      <c r="HK26"/>
      <c r="HL26" s="45"/>
      <c r="HM26" s="45"/>
      <c r="HN26" s="45"/>
      <c r="HO26" s="45"/>
      <c r="HP26"/>
      <c r="HQ26" s="623"/>
      <c r="HR26"/>
      <c r="HS26" s="45"/>
      <c r="HT26" s="45"/>
      <c r="HU26" s="45"/>
      <c r="HV26" s="45"/>
      <c r="HW26"/>
      <c r="HX26" s="133"/>
      <c r="HY26"/>
      <c r="HZ26" s="45"/>
      <c r="IA26" s="45"/>
      <c r="IB26" s="45"/>
      <c r="IC26" s="45"/>
      <c r="ID26"/>
      <c r="IE26" s="133"/>
      <c r="IF26"/>
      <c r="IG26" s="45"/>
      <c r="IH26" s="45"/>
      <c r="II26" s="45"/>
      <c r="IJ26" s="45"/>
      <c r="IK26"/>
      <c r="IL26" s="133"/>
      <c r="IM26"/>
      <c r="IN26" s="45"/>
      <c r="IO26" s="45"/>
      <c r="IP26" s="45"/>
      <c r="IQ26" s="45"/>
      <c r="IR26"/>
      <c r="IS26" s="133"/>
      <c r="IT26"/>
      <c r="IU26" s="45"/>
      <c r="IV26" s="45"/>
      <c r="IW26" s="45"/>
      <c r="IX26" s="45"/>
      <c r="IY26"/>
      <c r="IZ26" s="133"/>
      <c r="JA26"/>
      <c r="JB26" s="45"/>
      <c r="JC26" s="45"/>
      <c r="JD26" s="45"/>
      <c r="JE26" s="45"/>
      <c r="JF26"/>
      <c r="JG26" s="133"/>
      <c r="JH26"/>
      <c r="JI26" s="45"/>
      <c r="JJ26" s="45"/>
      <c r="JK26" s="45"/>
      <c r="JL26" s="45"/>
      <c r="JM26"/>
      <c r="JN26" s="133"/>
      <c r="JO26"/>
      <c r="JP26" s="45"/>
      <c r="JQ26" s="45"/>
      <c r="JR26" s="45"/>
      <c r="JS26" s="45"/>
      <c r="JT26"/>
      <c r="JU26" s="133"/>
      <c r="JV26"/>
      <c r="JW26" s="45"/>
      <c r="JX26" s="45"/>
      <c r="JY26" s="45"/>
      <c r="JZ26" s="45"/>
      <c r="KA26"/>
      <c r="KB26" s="133"/>
    </row>
    <row r="27" spans="1:288" hidden="1" x14ac:dyDescent="0.3">
      <c r="A27" s="19" t="s">
        <v>125</v>
      </c>
      <c r="B27" s="165">
        <f t="shared" ref="B27:G27" si="157">B26/B22</f>
        <v>48.80952380952381</v>
      </c>
      <c r="C27" s="45">
        <f t="shared" si="157"/>
        <v>47.612578616352202</v>
      </c>
      <c r="D27" s="45">
        <f t="shared" si="157"/>
        <v>48.80952380952381</v>
      </c>
      <c r="E27" s="45">
        <f t="shared" si="157"/>
        <v>62.875</v>
      </c>
      <c r="F27" s="45">
        <f t="shared" si="157"/>
        <v>0</v>
      </c>
      <c r="G27" s="45">
        <f t="shared" si="157"/>
        <v>0</v>
      </c>
      <c r="H27" s="414"/>
      <c r="I27" s="165">
        <f t="shared" ref="I27:N27" si="158">I26/I22</f>
        <v>53.573498964803314</v>
      </c>
      <c r="J27" s="45">
        <f t="shared" si="158"/>
        <v>54.37823834196891</v>
      </c>
      <c r="K27" s="45">
        <f t="shared" si="158"/>
        <v>55.68611111111111</v>
      </c>
      <c r="L27" s="45">
        <f t="shared" si="158"/>
        <v>55.657333333333334</v>
      </c>
      <c r="M27" s="45">
        <f t="shared" si="158"/>
        <v>53.392609699769054</v>
      </c>
      <c r="N27" s="45">
        <f t="shared" si="158"/>
        <v>56.582068965517244</v>
      </c>
      <c r="O27" s="414"/>
      <c r="P27" s="165"/>
      <c r="Q27" s="45">
        <f>Q26/Q22</f>
        <v>47.943396226415096</v>
      </c>
      <c r="R27" s="45">
        <f>R26/R22</f>
        <v>49.250314465408806</v>
      </c>
      <c r="S27" s="45">
        <f>S26/S22</f>
        <v>47.37516005121639</v>
      </c>
      <c r="T27" s="45">
        <f>T26/T22</f>
        <v>49.125</v>
      </c>
      <c r="U27" s="45">
        <f>U26/U22</f>
        <v>56.748192771084341</v>
      </c>
      <c r="V27" s="414"/>
      <c r="W27" s="62">
        <f t="shared" ref="W27:AB27" si="159">W26/W22</f>
        <v>48.746268656716417</v>
      </c>
      <c r="X27" s="45">
        <f t="shared" si="159"/>
        <v>47.125707814269539</v>
      </c>
      <c r="Y27" s="45">
        <f t="shared" si="159"/>
        <v>49.995951417004051</v>
      </c>
      <c r="Z27" s="45">
        <f t="shared" si="159"/>
        <v>54.471128608923884</v>
      </c>
      <c r="AA27" s="45">
        <f t="shared" si="159"/>
        <v>47.945205479452056</v>
      </c>
      <c r="AB27" s="45">
        <f t="shared" si="159"/>
        <v>42.391304347826086</v>
      </c>
      <c r="AC27" s="72"/>
      <c r="AD27" s="62">
        <f>AD26/AD22</f>
        <v>45.977011494252871</v>
      </c>
      <c r="AE27" s="45">
        <f>AE26/AE22</f>
        <v>49.717514124293785</v>
      </c>
      <c r="AF27" s="45">
        <f>AF26/AF22</f>
        <v>52.203389830508478</v>
      </c>
      <c r="AG27" s="45">
        <f>AG26/AG22</f>
        <v>51.111111111111114</v>
      </c>
      <c r="AH27" s="56"/>
      <c r="AI27" s="45">
        <f>AI26/AI22</f>
        <v>0</v>
      </c>
      <c r="AJ27" s="72"/>
      <c r="AK27" s="62">
        <f>AK26/AK22</f>
        <v>45.946249999999999</v>
      </c>
      <c r="AL27" s="45">
        <f>AL26/AL22</f>
        <v>50</v>
      </c>
      <c r="AM27" s="45">
        <f>AM26/AM22</f>
        <v>51.347499999999997</v>
      </c>
      <c r="AN27" s="45">
        <f>AN26/AN22</f>
        <v>54.201250000000002</v>
      </c>
      <c r="AP27" s="45">
        <f>AP26/AP22</f>
        <v>52.777777777777779</v>
      </c>
      <c r="AQ27" s="72"/>
      <c r="AR27" s="62">
        <f>AR26/AR22</f>
        <v>50</v>
      </c>
      <c r="AS27" s="45">
        <f>AS26/AS22</f>
        <v>51.25</v>
      </c>
      <c r="AT27" s="45">
        <f>AT26/AT22</f>
        <v>51.875</v>
      </c>
      <c r="AU27" s="45">
        <f>AU26/AU22</f>
        <v>52.193750000000001</v>
      </c>
      <c r="AW27" s="45">
        <f>AW26/AW22</f>
        <v>50.946666666666665</v>
      </c>
      <c r="AX27" s="72"/>
      <c r="AY27" s="62">
        <f>AY26/AY22</f>
        <v>40.444444444444443</v>
      </c>
      <c r="AZ27" s="45">
        <f>AZ26/AZ22</f>
        <v>42.929936305732483</v>
      </c>
      <c r="BA27" s="45">
        <f>BA26/BA22</f>
        <v>51.912568306010932</v>
      </c>
      <c r="BB27" s="87"/>
      <c r="BC27" s="45">
        <f>BC26/BC22</f>
        <v>46.505000000000003</v>
      </c>
      <c r="BD27" s="45">
        <f>BD26/BD22</f>
        <v>0</v>
      </c>
      <c r="BE27" s="72"/>
      <c r="BF27" s="62">
        <f>BF26/BF22</f>
        <v>56.666666666666664</v>
      </c>
      <c r="BG27" s="45">
        <f>BG26/BG22</f>
        <v>53.208333333333336</v>
      </c>
      <c r="BH27" s="45">
        <f>BH26/BH22</f>
        <v>55.237142857142857</v>
      </c>
      <c r="BI27" s="45">
        <f>BI26/BI22</f>
        <v>59.1</v>
      </c>
      <c r="BK27" s="45">
        <f>BK26/BK22</f>
        <v>0</v>
      </c>
      <c r="BL27" s="72"/>
      <c r="BM27" s="96" t="e">
        <f t="shared" ref="BM27:BR27" si="160">BM26/BM22</f>
        <v>#DIV/0!</v>
      </c>
      <c r="BN27" s="45">
        <f t="shared" si="160"/>
        <v>54.136363636363633</v>
      </c>
      <c r="BO27" s="45">
        <f t="shared" si="160"/>
        <v>52.122666666666667</v>
      </c>
      <c r="BP27" s="45">
        <f t="shared" si="160"/>
        <v>50</v>
      </c>
      <c r="BQ27" s="45">
        <f t="shared" si="160"/>
        <v>48.235294117647058</v>
      </c>
      <c r="BR27" s="45">
        <f t="shared" si="160"/>
        <v>54.838709677419352</v>
      </c>
      <c r="BS27" s="72"/>
      <c r="BT27" s="124">
        <f>BT26/BT22</f>
        <v>46.05263157894737</v>
      </c>
      <c r="BU27" s="45">
        <f>BU26/BU22</f>
        <v>50</v>
      </c>
      <c r="BV27" s="45">
        <f>BV26/BV22</f>
        <v>53.797142857142859</v>
      </c>
      <c r="BW27" s="45">
        <f>BW26/BW22</f>
        <v>52</v>
      </c>
      <c r="BX27" s="45"/>
      <c r="BY27" s="45">
        <f>BY26/BY22</f>
        <v>48.955384615384617</v>
      </c>
      <c r="BZ27" s="133"/>
      <c r="CA27" s="124">
        <f>CA26/CA22</f>
        <v>51.652173913043477</v>
      </c>
      <c r="CB27" s="45">
        <f>CB26/CB22</f>
        <v>48.228323699421964</v>
      </c>
      <c r="CC27" s="45">
        <f>CC26/CC22</f>
        <v>51.577586206896555</v>
      </c>
      <c r="CD27" s="45">
        <f>CD26/CD22</f>
        <v>50.836923076923078</v>
      </c>
      <c r="CE27" s="45"/>
      <c r="CF27" s="45">
        <v>53</v>
      </c>
      <c r="CG27" s="133"/>
      <c r="CH27" s="45">
        <f t="shared" ref="CH27:CM27" si="161">CH26/CH22</f>
        <v>52.631578947368418</v>
      </c>
      <c r="CI27" s="45">
        <f t="shared" si="161"/>
        <v>52.167999999999999</v>
      </c>
      <c r="CJ27" s="45">
        <f t="shared" si="161"/>
        <v>67.41</v>
      </c>
      <c r="CK27" s="45">
        <f t="shared" si="161"/>
        <v>50</v>
      </c>
      <c r="CL27" s="45">
        <f t="shared" si="161"/>
        <v>54.626865671641788</v>
      </c>
      <c r="CM27" s="45">
        <f t="shared" si="161"/>
        <v>54.545454545454547</v>
      </c>
      <c r="CN27" s="133"/>
      <c r="CO27" s="124">
        <f>CO26/CO22</f>
        <v>50.1</v>
      </c>
      <c r="CP27" s="45">
        <f>CP26/CP22</f>
        <v>88.42978723404255</v>
      </c>
      <c r="CQ27" s="45">
        <f>CQ26/CQ22</f>
        <v>57.450877192982453</v>
      </c>
      <c r="CR27" s="45">
        <f>CR26/CR22</f>
        <v>50.82</v>
      </c>
      <c r="CS27" s="45"/>
      <c r="CT27" s="45">
        <f>CT26/CT22</f>
        <v>55.555555555555557</v>
      </c>
      <c r="CU27" s="133"/>
      <c r="CV27" s="124">
        <f>CV26/CV22</f>
        <v>46.18491484184915</v>
      </c>
      <c r="CW27" s="45">
        <f>CW26/CW22</f>
        <v>44.834042553191487</v>
      </c>
      <c r="CX27" s="45">
        <f>CX26/CX22</f>
        <v>54.404545454545456</v>
      </c>
      <c r="CY27" s="45">
        <f>CX26/CY22</f>
        <v>42.746428571428574</v>
      </c>
      <c r="CZ27" s="45"/>
      <c r="DA27" s="45">
        <f>DA26/DA22</f>
        <v>52.312354312354316</v>
      </c>
      <c r="DB27" s="133"/>
      <c r="DC27" s="124">
        <f>DC26/DC22</f>
        <v>50.105515587529979</v>
      </c>
      <c r="DD27" s="45">
        <v>49</v>
      </c>
      <c r="DE27" s="45">
        <f>DE26/DE22</f>
        <v>50</v>
      </c>
      <c r="DF27" s="45">
        <v>50</v>
      </c>
      <c r="DG27" s="45">
        <v>50</v>
      </c>
      <c r="DH27" s="45">
        <f>DH26/DH22</f>
        <v>58.837499999999999</v>
      </c>
      <c r="DI27" s="133"/>
      <c r="DJ27" s="124">
        <f>DJ26/DJ22</f>
        <v>52.494</v>
      </c>
      <c r="DK27" s="87" t="e">
        <f>DK26/DK22</f>
        <v>#DIV/0!</v>
      </c>
      <c r="DL27" s="45">
        <v>49</v>
      </c>
      <c r="DM27" s="45">
        <v>50</v>
      </c>
      <c r="DN27" s="45">
        <v>50</v>
      </c>
      <c r="DO27" s="45">
        <f>DO26/DO22</f>
        <v>50</v>
      </c>
      <c r="DP27" s="133"/>
      <c r="DQ27" s="124">
        <v>54</v>
      </c>
      <c r="DR27" s="45">
        <v>50</v>
      </c>
      <c r="DS27" s="45">
        <v>51</v>
      </c>
      <c r="DT27" s="45">
        <v>51</v>
      </c>
      <c r="DU27" s="45">
        <v>57</v>
      </c>
      <c r="DV27" s="45">
        <v>55.055918075860426</v>
      </c>
      <c r="DW27" s="133"/>
      <c r="DX27" s="124">
        <v>52</v>
      </c>
      <c r="DY27" s="45">
        <v>52</v>
      </c>
      <c r="DZ27" s="45">
        <v>53</v>
      </c>
      <c r="EA27" s="45">
        <v>50</v>
      </c>
      <c r="EB27" s="45">
        <v>53</v>
      </c>
      <c r="EC27" s="45">
        <f>EC26/EC22</f>
        <v>0</v>
      </c>
      <c r="ED27" s="133"/>
      <c r="EE27" s="124">
        <v>52</v>
      </c>
      <c r="EF27" s="45">
        <v>52</v>
      </c>
      <c r="EG27" s="45">
        <v>49</v>
      </c>
      <c r="EH27" s="45">
        <v>50</v>
      </c>
      <c r="EI27" s="45">
        <v>53</v>
      </c>
      <c r="EJ27" s="134"/>
      <c r="EK27" s="133"/>
      <c r="EL27" s="124"/>
      <c r="EM27" s="45"/>
      <c r="EN27" s="45"/>
      <c r="EO27" s="45"/>
      <c r="EP27" s="45"/>
      <c r="ER27" s="133"/>
      <c r="ES27" s="124"/>
      <c r="ET27" s="45"/>
      <c r="EU27" s="45"/>
      <c r="EV27" s="45"/>
      <c r="EW27" s="45"/>
      <c r="EY27" s="512"/>
      <c r="EZ27" s="45"/>
      <c r="FA27" s="45"/>
      <c r="FB27" s="45"/>
      <c r="FC27" s="45"/>
      <c r="FD27" s="45"/>
      <c r="FF27" s="512"/>
      <c r="FG27" s="44" t="str">
        <f t="shared" ref="FG27:FL27" si="162">IFERROR(FG26/FG25,"")</f>
        <v/>
      </c>
      <c r="FH27" s="44" t="str">
        <f t="shared" si="162"/>
        <v/>
      </c>
      <c r="FI27" s="44" t="str">
        <f t="shared" si="162"/>
        <v/>
      </c>
      <c r="FJ27" s="44" t="str">
        <f t="shared" si="162"/>
        <v/>
      </c>
      <c r="FK27" s="44" t="str">
        <f t="shared" si="162"/>
        <v/>
      </c>
      <c r="FL27" t="str">
        <f t="shared" si="162"/>
        <v/>
      </c>
      <c r="FM27" s="512"/>
      <c r="FN27" s="45">
        <f t="shared" ref="FN27:GO27" si="163">IFERROR(FN26/FN25,"")</f>
        <v>0</v>
      </c>
      <c r="FO27" s="45" t="str">
        <f t="shared" si="163"/>
        <v/>
      </c>
      <c r="FP27" s="45" t="str">
        <f t="shared" si="163"/>
        <v/>
      </c>
      <c r="FQ27" s="45" t="str">
        <f t="shared" si="163"/>
        <v/>
      </c>
      <c r="FR27" s="45" t="str">
        <f t="shared" si="163"/>
        <v/>
      </c>
      <c r="FS27" t="str">
        <f t="shared" si="163"/>
        <v/>
      </c>
      <c r="FT27" s="512" t="str">
        <f t="shared" si="163"/>
        <v/>
      </c>
      <c r="FU27" s="45">
        <f t="shared" si="163"/>
        <v>0</v>
      </c>
      <c r="FV27" s="45">
        <f t="shared" si="163"/>
        <v>0</v>
      </c>
      <c r="FW27" s="45">
        <f t="shared" si="163"/>
        <v>0</v>
      </c>
      <c r="FX27" s="45">
        <f t="shared" si="163"/>
        <v>0</v>
      </c>
      <c r="FY27" s="45">
        <f t="shared" si="163"/>
        <v>0</v>
      </c>
      <c r="FZ27" t="str">
        <f t="shared" si="163"/>
        <v/>
      </c>
      <c r="GA27" s="512" t="str">
        <f t="shared" si="163"/>
        <v/>
      </c>
      <c r="GB27" s="45" t="str">
        <f t="shared" si="163"/>
        <v/>
      </c>
      <c r="GC27" s="45">
        <f t="shared" si="163"/>
        <v>0</v>
      </c>
      <c r="GD27" s="45">
        <f t="shared" si="163"/>
        <v>0</v>
      </c>
      <c r="GE27" s="45">
        <f t="shared" si="163"/>
        <v>0</v>
      </c>
      <c r="GF27" s="45">
        <f t="shared" si="163"/>
        <v>0</v>
      </c>
      <c r="GG27" t="str">
        <f t="shared" si="163"/>
        <v/>
      </c>
      <c r="GH27" s="512" t="str">
        <f t="shared" si="163"/>
        <v/>
      </c>
      <c r="GI27" s="45">
        <f t="shared" si="163"/>
        <v>0</v>
      </c>
      <c r="GJ27" s="45">
        <f t="shared" si="163"/>
        <v>0</v>
      </c>
      <c r="GK27" s="45">
        <f t="shared" si="163"/>
        <v>0</v>
      </c>
      <c r="GL27" s="45">
        <f t="shared" si="163"/>
        <v>0</v>
      </c>
      <c r="GM27" s="45">
        <f t="shared" si="163"/>
        <v>0</v>
      </c>
      <c r="GN27">
        <f t="shared" si="163"/>
        <v>0</v>
      </c>
      <c r="GO27" s="133" t="str">
        <f t="shared" si="163"/>
        <v/>
      </c>
      <c r="GP27" s="45">
        <f t="shared" ref="GP27:GV27" si="164">IFERROR(GP26/GP25,"")</f>
        <v>0</v>
      </c>
      <c r="GQ27" s="45">
        <f t="shared" si="164"/>
        <v>0</v>
      </c>
      <c r="GR27" s="45">
        <f t="shared" si="164"/>
        <v>0</v>
      </c>
      <c r="GS27" s="45">
        <f t="shared" si="164"/>
        <v>0</v>
      </c>
      <c r="GT27" s="45">
        <f t="shared" si="164"/>
        <v>0</v>
      </c>
      <c r="GU27">
        <f t="shared" si="164"/>
        <v>0</v>
      </c>
      <c r="GV27" s="133" t="str">
        <f t="shared" si="164"/>
        <v/>
      </c>
      <c r="GW27" s="45">
        <f t="shared" ref="GW27:IE27" si="165">IFERROR(GW26/GW25,"")</f>
        <v>0</v>
      </c>
      <c r="GX27" s="45">
        <f t="shared" si="165"/>
        <v>0</v>
      </c>
      <c r="GY27" s="45">
        <f t="shared" si="165"/>
        <v>0</v>
      </c>
      <c r="GZ27" s="45">
        <f t="shared" si="165"/>
        <v>0</v>
      </c>
      <c r="HA27" s="45">
        <f t="shared" si="165"/>
        <v>0</v>
      </c>
      <c r="HB27">
        <f t="shared" si="165"/>
        <v>0</v>
      </c>
      <c r="HC27" s="133" t="str">
        <f t="shared" si="165"/>
        <v/>
      </c>
      <c r="HD27" s="45">
        <f t="shared" si="165"/>
        <v>0</v>
      </c>
      <c r="HE27" s="45">
        <f t="shared" si="165"/>
        <v>0</v>
      </c>
      <c r="HF27" s="45">
        <f t="shared" si="165"/>
        <v>0</v>
      </c>
      <c r="HG27" s="45">
        <f t="shared" si="165"/>
        <v>0</v>
      </c>
      <c r="HH27" s="45">
        <f t="shared" si="165"/>
        <v>0</v>
      </c>
      <c r="HI27">
        <f t="shared" si="165"/>
        <v>0</v>
      </c>
      <c r="HJ27" s="133" t="str">
        <f t="shared" si="165"/>
        <v/>
      </c>
      <c r="HK27" s="45">
        <f t="shared" si="165"/>
        <v>0</v>
      </c>
      <c r="HL27" s="45">
        <f t="shared" si="165"/>
        <v>0</v>
      </c>
      <c r="HM27" s="45">
        <f t="shared" si="165"/>
        <v>0</v>
      </c>
      <c r="HN27" s="45">
        <f t="shared" si="165"/>
        <v>0</v>
      </c>
      <c r="HO27" s="45">
        <f t="shared" si="165"/>
        <v>0</v>
      </c>
      <c r="HP27">
        <f t="shared" si="165"/>
        <v>0</v>
      </c>
      <c r="HQ27" s="623" t="str">
        <f t="shared" si="165"/>
        <v/>
      </c>
      <c r="HR27" s="45">
        <f t="shared" si="165"/>
        <v>0</v>
      </c>
      <c r="HS27" s="45">
        <f t="shared" si="165"/>
        <v>0</v>
      </c>
      <c r="HT27" s="45" t="str">
        <f t="shared" si="165"/>
        <v/>
      </c>
      <c r="HU27" s="45">
        <f t="shared" si="165"/>
        <v>0</v>
      </c>
      <c r="HV27" s="45" t="str">
        <f t="shared" si="165"/>
        <v/>
      </c>
      <c r="HW27" t="str">
        <f t="shared" si="165"/>
        <v/>
      </c>
      <c r="HX27" s="133" t="str">
        <f t="shared" si="165"/>
        <v/>
      </c>
      <c r="HY27" s="45">
        <f t="shared" si="165"/>
        <v>0</v>
      </c>
      <c r="HZ27" s="45">
        <f t="shared" si="165"/>
        <v>0</v>
      </c>
      <c r="IA27" s="45">
        <f t="shared" si="165"/>
        <v>0</v>
      </c>
      <c r="IB27" s="45" t="str">
        <f t="shared" si="165"/>
        <v/>
      </c>
      <c r="IC27" s="45" t="str">
        <f t="shared" si="165"/>
        <v/>
      </c>
      <c r="ID27" t="str">
        <f t="shared" si="165"/>
        <v/>
      </c>
      <c r="IE27" s="133" t="str">
        <f t="shared" si="165"/>
        <v/>
      </c>
      <c r="IF27" s="45">
        <f t="shared" ref="IF27:IS27" si="166">IFERROR(IF26/IF25,"")</f>
        <v>0</v>
      </c>
      <c r="IG27" s="45">
        <f t="shared" si="166"/>
        <v>0</v>
      </c>
      <c r="IH27" s="45">
        <f t="shared" si="166"/>
        <v>0</v>
      </c>
      <c r="II27" s="45">
        <f t="shared" si="166"/>
        <v>0</v>
      </c>
      <c r="IJ27" s="45">
        <f t="shared" si="166"/>
        <v>0</v>
      </c>
      <c r="IK27">
        <f t="shared" si="166"/>
        <v>0</v>
      </c>
      <c r="IL27" s="133" t="str">
        <f t="shared" si="166"/>
        <v/>
      </c>
      <c r="IM27" s="45" t="str">
        <f t="shared" si="166"/>
        <v/>
      </c>
      <c r="IN27" s="45" t="str">
        <f t="shared" si="166"/>
        <v/>
      </c>
      <c r="IO27" s="45">
        <f t="shared" si="166"/>
        <v>0</v>
      </c>
      <c r="IP27" s="45" t="str">
        <f t="shared" si="166"/>
        <v/>
      </c>
      <c r="IQ27" s="45" t="str">
        <f t="shared" si="166"/>
        <v/>
      </c>
      <c r="IR27" t="str">
        <f t="shared" si="166"/>
        <v/>
      </c>
      <c r="IS27" s="133" t="str">
        <f t="shared" si="166"/>
        <v/>
      </c>
      <c r="IT27" s="45" t="str">
        <f t="shared" ref="IT27:IZ27" si="167">IFERROR(IT26/IT25,"")</f>
        <v/>
      </c>
      <c r="IU27" s="45" t="str">
        <f t="shared" si="167"/>
        <v/>
      </c>
      <c r="IV27" s="45" t="str">
        <f t="shared" si="167"/>
        <v/>
      </c>
      <c r="IW27" s="45" t="str">
        <f t="shared" si="167"/>
        <v/>
      </c>
      <c r="IX27" s="45" t="str">
        <f t="shared" si="167"/>
        <v/>
      </c>
      <c r="IY27" t="str">
        <f t="shared" si="167"/>
        <v/>
      </c>
      <c r="IZ27" s="133" t="str">
        <f t="shared" si="167"/>
        <v/>
      </c>
      <c r="JA27" s="45" t="str">
        <f t="shared" ref="JA27:JU27" si="168">IFERROR(JA26/JA25,"")</f>
        <v/>
      </c>
      <c r="JB27" s="45" t="str">
        <f t="shared" si="168"/>
        <v/>
      </c>
      <c r="JC27" s="45" t="str">
        <f t="shared" si="168"/>
        <v/>
      </c>
      <c r="JD27" s="45" t="str">
        <f t="shared" si="168"/>
        <v/>
      </c>
      <c r="JE27" s="45" t="str">
        <f t="shared" si="168"/>
        <v/>
      </c>
      <c r="JF27" t="str">
        <f t="shared" si="168"/>
        <v/>
      </c>
      <c r="JG27" s="133" t="str">
        <f t="shared" si="168"/>
        <v/>
      </c>
      <c r="JH27" s="45" t="str">
        <f t="shared" si="168"/>
        <v/>
      </c>
      <c r="JI27" s="45" t="str">
        <f t="shared" si="168"/>
        <v/>
      </c>
      <c r="JJ27" s="45" t="str">
        <f t="shared" si="168"/>
        <v/>
      </c>
      <c r="JK27" s="45" t="str">
        <f t="shared" si="168"/>
        <v/>
      </c>
      <c r="JL27" s="45" t="str">
        <f t="shared" si="168"/>
        <v/>
      </c>
      <c r="JM27" t="str">
        <f t="shared" si="168"/>
        <v/>
      </c>
      <c r="JN27" s="133" t="str">
        <f t="shared" si="168"/>
        <v/>
      </c>
      <c r="JO27" s="45" t="str">
        <f t="shared" si="168"/>
        <v/>
      </c>
      <c r="JP27" s="45" t="str">
        <f t="shared" si="168"/>
        <v/>
      </c>
      <c r="JQ27" s="45" t="str">
        <f t="shared" si="168"/>
        <v/>
      </c>
      <c r="JR27" s="45" t="str">
        <f t="shared" si="168"/>
        <v/>
      </c>
      <c r="JS27" s="45" t="str">
        <f t="shared" si="168"/>
        <v/>
      </c>
      <c r="JT27" t="str">
        <f t="shared" si="168"/>
        <v/>
      </c>
      <c r="JU27" s="133" t="str">
        <f t="shared" si="168"/>
        <v/>
      </c>
      <c r="JV27" s="45" t="str">
        <f t="shared" ref="JV27:KB27" si="169">IFERROR(JV26/JV25,"")</f>
        <v/>
      </c>
      <c r="JW27" s="45" t="str">
        <f t="shared" si="169"/>
        <v/>
      </c>
      <c r="JX27" s="45" t="str">
        <f t="shared" si="169"/>
        <v/>
      </c>
      <c r="JY27" s="45" t="str">
        <f t="shared" si="169"/>
        <v/>
      </c>
      <c r="JZ27" s="45" t="str">
        <f t="shared" si="169"/>
        <v/>
      </c>
      <c r="KA27" t="str">
        <f t="shared" si="169"/>
        <v/>
      </c>
      <c r="KB27" s="133" t="str">
        <f t="shared" si="169"/>
        <v/>
      </c>
    </row>
    <row r="28" spans="1:288" ht="15" hidden="1" thickBot="1" x14ac:dyDescent="0.35">
      <c r="A28" s="474" t="s">
        <v>128</v>
      </c>
      <c r="B28" s="165">
        <f>B22/12.3</f>
        <v>34.146341463414629</v>
      </c>
      <c r="C28" s="44">
        <f t="shared" ref="C28:H28" si="170">C22/13.5</f>
        <v>58.888888888888886</v>
      </c>
      <c r="D28" s="44">
        <f t="shared" si="170"/>
        <v>62.222222222222221</v>
      </c>
      <c r="E28" s="44">
        <f t="shared" si="170"/>
        <v>59.25925925925926</v>
      </c>
      <c r="F28" s="44">
        <f t="shared" si="170"/>
        <v>66.81481481481481</v>
      </c>
      <c r="G28" s="44">
        <f t="shared" si="170"/>
        <v>65.259259259259252</v>
      </c>
      <c r="H28" s="414">
        <f t="shared" si="170"/>
        <v>0</v>
      </c>
      <c r="I28" s="165">
        <f t="shared" ref="I28:N28" si="171">I22/13</f>
        <v>37.153846153846153</v>
      </c>
      <c r="J28" s="44">
        <f t="shared" si="171"/>
        <v>29.692307692307693</v>
      </c>
      <c r="K28" s="44">
        <f t="shared" si="171"/>
        <v>55.384615384615387</v>
      </c>
      <c r="L28" s="44">
        <f t="shared" si="171"/>
        <v>57.692307692307693</v>
      </c>
      <c r="M28" s="44">
        <f t="shared" si="171"/>
        <v>66.615384615384613</v>
      </c>
      <c r="N28" s="44">
        <f t="shared" si="171"/>
        <v>55.769230769230766</v>
      </c>
      <c r="O28" s="414">
        <f>O22/13.5</f>
        <v>0</v>
      </c>
      <c r="P28" s="165"/>
      <c r="Q28" s="44">
        <f>Q22/13</f>
        <v>69.307692307692307</v>
      </c>
      <c r="R28" s="44">
        <f>R22/13</f>
        <v>61.153846153846153</v>
      </c>
      <c r="S28" s="44">
        <f>S22/13</f>
        <v>60.07692307692308</v>
      </c>
      <c r="T28" s="44">
        <f>T22/13</f>
        <v>61.53846153846154</v>
      </c>
      <c r="U28" s="44">
        <f>U22/13</f>
        <v>63.846153846153847</v>
      </c>
      <c r="V28" s="414">
        <f>V22/13.5</f>
        <v>0</v>
      </c>
      <c r="W28" s="76">
        <f t="shared" ref="W28:AB28" si="172">W22/13</f>
        <v>51.53846153846154</v>
      </c>
      <c r="X28" s="44">
        <f t="shared" si="172"/>
        <v>67.92307692307692</v>
      </c>
      <c r="Y28" s="44">
        <f t="shared" si="172"/>
        <v>38</v>
      </c>
      <c r="Z28" s="44">
        <f t="shared" si="172"/>
        <v>58.615384615384613</v>
      </c>
      <c r="AA28" s="44">
        <f t="shared" si="172"/>
        <v>67.384615384615387</v>
      </c>
      <c r="AB28" s="44">
        <f t="shared" si="172"/>
        <v>70.769230769230774</v>
      </c>
      <c r="AC28" s="72">
        <f>AC22/13.5</f>
        <v>0</v>
      </c>
      <c r="AD28" s="76">
        <f>AD22/13</f>
        <v>66.92307692307692</v>
      </c>
      <c r="AE28" s="44">
        <f>AE22/13</f>
        <v>68.07692307692308</v>
      </c>
      <c r="AF28" s="44">
        <f>AF22/13</f>
        <v>68.07692307692308</v>
      </c>
      <c r="AG28" s="44">
        <f>AG22/13</f>
        <v>69.230769230769226</v>
      </c>
      <c r="AH28" s="78"/>
      <c r="AI28" s="44">
        <f>AI22/13</f>
        <v>63.07692307692308</v>
      </c>
      <c r="AJ28" s="72">
        <f>AJ22/13.5</f>
        <v>0</v>
      </c>
      <c r="AK28" s="76">
        <f>AK22/13</f>
        <v>61.53846153846154</v>
      </c>
      <c r="AL28" s="44">
        <f>AL22/13</f>
        <v>61.53846153846154</v>
      </c>
      <c r="AM28" s="44">
        <f>AM22/13</f>
        <v>61.53846153846154</v>
      </c>
      <c r="AN28" s="44">
        <f>AN22/13</f>
        <v>61.53846153846154</v>
      </c>
      <c r="AO28" s="44"/>
      <c r="AP28" s="44">
        <f>AP22/13</f>
        <v>69.230769230769226</v>
      </c>
      <c r="AQ28" s="72">
        <f>AQ22/13.5</f>
        <v>0</v>
      </c>
      <c r="AR28" s="76">
        <f t="shared" ref="AR28:AW28" si="173">AR22/13</f>
        <v>53.846153846153847</v>
      </c>
      <c r="AS28" s="44">
        <f t="shared" si="173"/>
        <v>61.53846153846154</v>
      </c>
      <c r="AT28" s="44">
        <f t="shared" si="173"/>
        <v>61.53846153846154</v>
      </c>
      <c r="AU28" s="44">
        <f t="shared" si="173"/>
        <v>61.53846153846154</v>
      </c>
      <c r="AV28" s="44">
        <f t="shared" si="173"/>
        <v>66.92307692307692</v>
      </c>
      <c r="AW28" s="44">
        <f t="shared" si="173"/>
        <v>69.230769230769226</v>
      </c>
      <c r="AX28" s="72">
        <f>AX22/13.5</f>
        <v>0</v>
      </c>
      <c r="AY28" s="76">
        <f>AY22/13</f>
        <v>69.230769230769226</v>
      </c>
      <c r="AZ28" s="44">
        <f>AZ22/13</f>
        <v>60.384615384615387</v>
      </c>
      <c r="BA28" s="44">
        <f>BA22/13</f>
        <v>70.384615384615387</v>
      </c>
      <c r="BB28" s="88"/>
      <c r="BC28" s="44"/>
      <c r="BD28" s="44">
        <f>BD22/13</f>
        <v>61.53846153846154</v>
      </c>
      <c r="BE28" s="72">
        <f>BE22/13.5</f>
        <v>0</v>
      </c>
      <c r="BF28" s="76">
        <f t="shared" ref="BF28:BK28" si="174">BF22/13</f>
        <v>46.153846153846153</v>
      </c>
      <c r="BG28" s="76">
        <f t="shared" si="174"/>
        <v>46.153846153846153</v>
      </c>
      <c r="BH28" s="76">
        <f t="shared" si="174"/>
        <v>53.846153846153847</v>
      </c>
      <c r="BI28" s="76">
        <f t="shared" si="174"/>
        <v>53.846153846153847</v>
      </c>
      <c r="BJ28" s="76">
        <f t="shared" si="174"/>
        <v>69.230769230769226</v>
      </c>
      <c r="BK28" s="76">
        <f t="shared" si="174"/>
        <v>50</v>
      </c>
      <c r="BL28" s="72">
        <f>BL22/13.5</f>
        <v>0</v>
      </c>
      <c r="BM28" s="97">
        <f>BM22/13</f>
        <v>0</v>
      </c>
      <c r="BN28" s="76">
        <f t="shared" ref="BN28:BY28" si="175">BN22/14</f>
        <v>37.714285714285715</v>
      </c>
      <c r="BO28" s="76">
        <f t="shared" si="175"/>
        <v>53.571428571428569</v>
      </c>
      <c r="BP28" s="76">
        <f t="shared" si="175"/>
        <v>57.142857142857146</v>
      </c>
      <c r="BQ28" s="76">
        <f t="shared" si="175"/>
        <v>60.714285714285715</v>
      </c>
      <c r="BR28" s="76">
        <f t="shared" si="175"/>
        <v>44.285714285714285</v>
      </c>
      <c r="BS28" s="97">
        <f t="shared" si="175"/>
        <v>0</v>
      </c>
      <c r="BT28" s="124">
        <f t="shared" si="175"/>
        <v>54.285714285714285</v>
      </c>
      <c r="BU28" s="45">
        <f t="shared" si="175"/>
        <v>48.571428571428569</v>
      </c>
      <c r="BV28" s="45">
        <f t="shared" si="175"/>
        <v>50</v>
      </c>
      <c r="BW28" s="45">
        <f t="shared" si="175"/>
        <v>53.571428571428569</v>
      </c>
      <c r="BX28" s="45">
        <f t="shared" si="175"/>
        <v>58.571428571428569</v>
      </c>
      <c r="BY28" s="45">
        <f t="shared" si="175"/>
        <v>46.428571428571431</v>
      </c>
      <c r="BZ28" s="133">
        <f>BZ22/13.5</f>
        <v>0</v>
      </c>
      <c r="CA28" s="124">
        <f t="shared" ref="CA28:CF28" si="176">CA22/14</f>
        <v>41.071428571428569</v>
      </c>
      <c r="CB28" s="45">
        <f t="shared" si="176"/>
        <v>49.428571428571431</v>
      </c>
      <c r="CC28" s="45">
        <f t="shared" si="176"/>
        <v>41.428571428571431</v>
      </c>
      <c r="CD28" s="45">
        <f t="shared" si="176"/>
        <v>46.428571428571431</v>
      </c>
      <c r="CE28" s="45">
        <f t="shared" si="176"/>
        <v>53.571428571428569</v>
      </c>
      <c r="CF28" s="45">
        <f t="shared" si="176"/>
        <v>33.214285714285715</v>
      </c>
      <c r="CG28" s="133">
        <f>CG22/13.5</f>
        <v>0</v>
      </c>
      <c r="CH28" s="124">
        <f t="shared" ref="CH28:CM28" si="177">CH22/14</f>
        <v>33.928571428571431</v>
      </c>
      <c r="CI28" s="45">
        <f t="shared" si="177"/>
        <v>35.714285714285715</v>
      </c>
      <c r="CJ28" s="45">
        <f t="shared" si="177"/>
        <v>35.714285714285715</v>
      </c>
      <c r="CK28" s="45">
        <f t="shared" si="177"/>
        <v>40.714285714285715</v>
      </c>
      <c r="CL28" s="45">
        <f t="shared" si="177"/>
        <v>47.857142857142854</v>
      </c>
      <c r="CM28" s="45">
        <f t="shared" si="177"/>
        <v>39.285714285714285</v>
      </c>
      <c r="CN28" s="133">
        <f>CN22/13.5</f>
        <v>0</v>
      </c>
      <c r="CO28" s="124">
        <f t="shared" ref="CO28:CT28" si="178">CO22/14</f>
        <v>34.285714285714285</v>
      </c>
      <c r="CP28" s="45">
        <f t="shared" si="178"/>
        <v>33.571428571428569</v>
      </c>
      <c r="CQ28" s="45">
        <f t="shared" si="178"/>
        <v>40.714285714285715</v>
      </c>
      <c r="CR28" s="45">
        <f t="shared" si="178"/>
        <v>39.285714285714285</v>
      </c>
      <c r="CS28" s="45">
        <f t="shared" si="178"/>
        <v>46.428571428571431</v>
      </c>
      <c r="CT28" s="45">
        <f t="shared" si="178"/>
        <v>38.571428571428569</v>
      </c>
      <c r="CU28" s="133">
        <f>CU22/13.5</f>
        <v>0</v>
      </c>
      <c r="CV28" s="124">
        <f t="shared" ref="CV28:DA28" si="179">CV22/14</f>
        <v>29.357142857142858</v>
      </c>
      <c r="CW28" s="45">
        <f t="shared" si="179"/>
        <v>33.571428571428569</v>
      </c>
      <c r="CX28" s="45">
        <f t="shared" si="179"/>
        <v>31.428571428571427</v>
      </c>
      <c r="CY28" s="45">
        <f t="shared" si="179"/>
        <v>40</v>
      </c>
      <c r="CZ28" s="45">
        <f t="shared" si="179"/>
        <v>39.285714285714285</v>
      </c>
      <c r="DA28" s="45">
        <f t="shared" si="179"/>
        <v>30.642857142857142</v>
      </c>
      <c r="DB28" s="133">
        <f>DB22/13.5</f>
        <v>0</v>
      </c>
      <c r="DC28" s="124">
        <f t="shared" ref="DC28:DH28" si="180">DC22/14</f>
        <v>29.785714285714285</v>
      </c>
      <c r="DD28" s="45">
        <f t="shared" si="180"/>
        <v>32.857142857142854</v>
      </c>
      <c r="DE28" s="45">
        <f t="shared" si="180"/>
        <v>32.857142857142854</v>
      </c>
      <c r="DF28" s="45">
        <f t="shared" si="180"/>
        <v>37.5</v>
      </c>
      <c r="DG28" s="45">
        <f t="shared" si="180"/>
        <v>40</v>
      </c>
      <c r="DH28" s="45">
        <f t="shared" si="180"/>
        <v>28.571428571428573</v>
      </c>
      <c r="DI28" s="133">
        <f>DI22/13.5</f>
        <v>0</v>
      </c>
      <c r="DJ28" s="124">
        <f t="shared" ref="DJ28:DO28" si="181">DJ22/14</f>
        <v>35.714285714285715</v>
      </c>
      <c r="DK28" s="87">
        <f t="shared" si="181"/>
        <v>0</v>
      </c>
      <c r="DL28" s="45">
        <f t="shared" si="181"/>
        <v>32.142857142857146</v>
      </c>
      <c r="DM28" s="45">
        <f t="shared" si="181"/>
        <v>35.714285714285715</v>
      </c>
      <c r="DN28" s="45">
        <f t="shared" si="181"/>
        <v>48.571428571428569</v>
      </c>
      <c r="DO28" s="45">
        <f t="shared" si="181"/>
        <v>35.714285714285715</v>
      </c>
      <c r="DP28" s="133">
        <f>DP22/13.5</f>
        <v>0</v>
      </c>
      <c r="DQ28" s="124">
        <f t="shared" ref="DQ28:DV28" si="182">DQ22/14</f>
        <v>30.357142857142858</v>
      </c>
      <c r="DR28" s="45">
        <f t="shared" si="182"/>
        <v>39.285714285714285</v>
      </c>
      <c r="DS28" s="45">
        <f t="shared" si="182"/>
        <v>39.285714285714285</v>
      </c>
      <c r="DT28" s="45">
        <f t="shared" si="182"/>
        <v>34.285714285714285</v>
      </c>
      <c r="DU28" s="45">
        <f t="shared" si="182"/>
        <v>42.857142857142854</v>
      </c>
      <c r="DV28" s="45">
        <f t="shared" si="182"/>
        <v>35.714285714285715</v>
      </c>
      <c r="DW28" s="133">
        <f>DW22/13.5</f>
        <v>0</v>
      </c>
      <c r="DX28" s="124">
        <f t="shared" ref="DX28:EC28" si="183">DX22/14</f>
        <v>32.142857142857146</v>
      </c>
      <c r="DY28" s="45">
        <f t="shared" si="183"/>
        <v>39.285714285714285</v>
      </c>
      <c r="DZ28" s="45">
        <f t="shared" si="183"/>
        <v>39.285714285714285</v>
      </c>
      <c r="EA28" s="45">
        <f t="shared" si="183"/>
        <v>39.285714285714285</v>
      </c>
      <c r="EB28" s="45">
        <f t="shared" si="183"/>
        <v>42.857142857142854</v>
      </c>
      <c r="EC28" s="45">
        <f t="shared" si="183"/>
        <v>46.428571428571431</v>
      </c>
      <c r="ED28" s="133">
        <f>ED22/13.5</f>
        <v>0</v>
      </c>
      <c r="EE28" s="124">
        <f>EE22/14</f>
        <v>32.142857142857146</v>
      </c>
      <c r="EF28" s="45">
        <f>EF22/14</f>
        <v>32.142857142857146</v>
      </c>
      <c r="EG28" s="45">
        <f>EG22/14</f>
        <v>46.428571428571431</v>
      </c>
      <c r="EH28" s="45">
        <f>EH22/14</f>
        <v>45.714285714285715</v>
      </c>
      <c r="EI28" s="45">
        <f>EI22/14</f>
        <v>42.857142857142854</v>
      </c>
      <c r="EJ28" s="308"/>
      <c r="EK28" s="133">
        <f>EK22/13.5</f>
        <v>0</v>
      </c>
      <c r="EL28" s="124">
        <f>EL22/14</f>
        <v>35.714285714285715</v>
      </c>
      <c r="EM28" s="45">
        <f>EM22/14</f>
        <v>33.571428571428569</v>
      </c>
      <c r="EN28" s="45">
        <f>EN22/14</f>
        <v>33.571428571428569</v>
      </c>
      <c r="EO28" s="45">
        <f>EO22/14</f>
        <v>37.142857142857146</v>
      </c>
      <c r="EP28" s="45">
        <f>EP22/14</f>
        <v>39.285714285714285</v>
      </c>
      <c r="EQ28" s="145"/>
      <c r="ER28" s="133">
        <f>ER22/13.5</f>
        <v>0</v>
      </c>
      <c r="ES28" s="124">
        <f>ES22/14</f>
        <v>32.142857142857146</v>
      </c>
      <c r="ET28" s="45">
        <f>ET22/14</f>
        <v>42.857142857142854</v>
      </c>
      <c r="EU28" s="45">
        <f>EU22/14</f>
        <v>35.714285714285715</v>
      </c>
      <c r="EV28" s="45">
        <f>EV22/14</f>
        <v>41.428571428571431</v>
      </c>
      <c r="EW28" s="45">
        <f>EW22/14</f>
        <v>42.857142857142854</v>
      </c>
      <c r="EX28" s="145"/>
      <c r="EY28" s="512">
        <f>EY22/13.5</f>
        <v>0</v>
      </c>
      <c r="EZ28" s="45">
        <f>EZ22/14</f>
        <v>35.714285714285715</v>
      </c>
      <c r="FA28" s="45">
        <f>FA22/14</f>
        <v>50</v>
      </c>
      <c r="FB28" s="45">
        <f>FB22/14</f>
        <v>42.857142857142854</v>
      </c>
      <c r="FC28" s="45">
        <f>FC22/14</f>
        <v>34.214285714285715</v>
      </c>
      <c r="FD28" s="45">
        <f>FD22/14</f>
        <v>44.642857142857146</v>
      </c>
      <c r="FE28" s="145"/>
      <c r="FF28" s="512">
        <f>FF22/13.5</f>
        <v>0</v>
      </c>
      <c r="FG28" s="45">
        <f>FG22/14</f>
        <v>35.714285714285715</v>
      </c>
      <c r="FH28" s="45">
        <f>FH22/14</f>
        <v>46.428571428571431</v>
      </c>
      <c r="FI28" s="45">
        <f>FI22/14</f>
        <v>50</v>
      </c>
      <c r="FJ28" s="45">
        <f>FJ22/14</f>
        <v>50</v>
      </c>
      <c r="FK28" s="45">
        <f>FK22/14</f>
        <v>50</v>
      </c>
      <c r="FL28" s="145"/>
      <c r="FM28" s="512">
        <f>FM22/13.5</f>
        <v>0</v>
      </c>
      <c r="FN28" s="45">
        <v>35.714285714285715</v>
      </c>
      <c r="FO28" s="45">
        <v>44.928571428571431</v>
      </c>
      <c r="FP28" s="45">
        <v>44.428571428571431</v>
      </c>
      <c r="FQ28" s="45">
        <v>50</v>
      </c>
      <c r="FR28" s="45">
        <v>42.857142857142854</v>
      </c>
      <c r="FS28" s="145"/>
      <c r="FT28" s="512">
        <v>0</v>
      </c>
      <c r="FU28" s="45">
        <v>35.714285714285715</v>
      </c>
      <c r="FV28" s="45">
        <v>44.928571428571431</v>
      </c>
      <c r="FW28" s="45">
        <v>44.428571428571431</v>
      </c>
      <c r="FX28" s="45">
        <v>50</v>
      </c>
      <c r="FY28" s="45">
        <v>42.857142857142854</v>
      </c>
      <c r="FZ28" s="145"/>
      <c r="GA28" s="512">
        <v>0</v>
      </c>
      <c r="GB28" s="45">
        <v>35.714285714285715</v>
      </c>
      <c r="GC28" s="45">
        <v>44.928571428571431</v>
      </c>
      <c r="GD28" s="45">
        <v>44.428571428571431</v>
      </c>
      <c r="GE28" s="45">
        <v>50</v>
      </c>
      <c r="GF28" s="45">
        <v>42.857142857142854</v>
      </c>
      <c r="GG28" s="145"/>
      <c r="GH28" s="512">
        <v>0</v>
      </c>
      <c r="GI28" s="45">
        <v>35.714285714285715</v>
      </c>
      <c r="GJ28" s="45">
        <v>44.928571428571431</v>
      </c>
      <c r="GK28" s="45">
        <v>44.428571428571431</v>
      </c>
      <c r="GL28" s="45">
        <v>50</v>
      </c>
      <c r="GM28" s="45">
        <v>42.857142857142854</v>
      </c>
      <c r="GN28" s="145"/>
      <c r="GO28" s="133">
        <v>0</v>
      </c>
      <c r="GP28" s="45">
        <v>35.714285714285715</v>
      </c>
      <c r="GQ28" s="45">
        <v>44.928571428571431</v>
      </c>
      <c r="GR28" s="45">
        <v>44.428571428571431</v>
      </c>
      <c r="GS28" s="45">
        <v>50</v>
      </c>
      <c r="GT28" s="45">
        <v>42.857142857142854</v>
      </c>
      <c r="GU28" s="145"/>
      <c r="GV28" s="133">
        <v>0</v>
      </c>
      <c r="GW28" s="45">
        <v>35.714285714285715</v>
      </c>
      <c r="GX28" s="45">
        <v>44.928571428571431</v>
      </c>
      <c r="GY28" s="45">
        <v>44.428571428571431</v>
      </c>
      <c r="GZ28" s="45">
        <v>50</v>
      </c>
      <c r="HA28" s="45">
        <v>42.857142857142854</v>
      </c>
      <c r="HB28" s="145"/>
      <c r="HC28" s="133">
        <v>0</v>
      </c>
      <c r="HD28" s="45">
        <v>35.714285714285715</v>
      </c>
      <c r="HE28" s="45">
        <v>44.928571428571431</v>
      </c>
      <c r="HF28" s="45">
        <v>44.428571428571431</v>
      </c>
      <c r="HG28" s="45">
        <v>50</v>
      </c>
      <c r="HH28" s="45">
        <v>42.857142857142854</v>
      </c>
      <c r="HI28" s="145"/>
      <c r="HJ28" s="133">
        <v>0</v>
      </c>
      <c r="HK28" s="45">
        <v>35.714285714285715</v>
      </c>
      <c r="HL28" s="45">
        <v>44.928571428571431</v>
      </c>
      <c r="HM28" s="45">
        <v>44.428571428571431</v>
      </c>
      <c r="HN28" s="45">
        <v>50</v>
      </c>
      <c r="HO28" s="45">
        <v>42.857142857142854</v>
      </c>
      <c r="HP28" s="145"/>
      <c r="HQ28" s="623">
        <v>0</v>
      </c>
      <c r="HR28" s="45">
        <v>35.714285714285715</v>
      </c>
      <c r="HS28" s="45">
        <v>44.928571428571431</v>
      </c>
      <c r="HT28" s="45">
        <v>44.428571428571431</v>
      </c>
      <c r="HU28" s="45">
        <v>50</v>
      </c>
      <c r="HV28" s="45">
        <v>42.857142857142854</v>
      </c>
      <c r="HW28" s="145"/>
      <c r="HX28" s="133">
        <v>0</v>
      </c>
      <c r="HY28" s="45">
        <v>35.714285714285715</v>
      </c>
      <c r="HZ28" s="45">
        <v>44.928571428571431</v>
      </c>
      <c r="IA28" s="45">
        <v>44.428571428571431</v>
      </c>
      <c r="IB28" s="45">
        <v>50</v>
      </c>
      <c r="IC28" s="45">
        <v>42.857142857142854</v>
      </c>
      <c r="ID28" s="145"/>
      <c r="IE28" s="133">
        <v>0</v>
      </c>
      <c r="IF28" s="45">
        <v>35.714285714285715</v>
      </c>
      <c r="IG28" s="45">
        <v>44.928571428571431</v>
      </c>
      <c r="IH28" s="45">
        <v>44.428571428571431</v>
      </c>
      <c r="II28" s="45">
        <v>50</v>
      </c>
      <c r="IJ28" s="45">
        <v>42.857142857142854</v>
      </c>
      <c r="IK28" s="145"/>
      <c r="IL28" s="133">
        <v>0</v>
      </c>
      <c r="IM28" s="45">
        <v>35.714285714285715</v>
      </c>
      <c r="IN28" s="45">
        <v>44.928571428571431</v>
      </c>
      <c r="IO28" s="45">
        <v>44.428571428571431</v>
      </c>
      <c r="IP28" s="45">
        <v>50</v>
      </c>
      <c r="IQ28" s="45">
        <v>42.857142857142854</v>
      </c>
      <c r="IR28" s="145"/>
      <c r="IS28" s="133">
        <v>0</v>
      </c>
      <c r="IT28" s="45">
        <v>35.714285714285715</v>
      </c>
      <c r="IU28" s="45">
        <v>44.928571428571431</v>
      </c>
      <c r="IV28" s="45">
        <v>44.428571428571431</v>
      </c>
      <c r="IW28" s="45">
        <v>50</v>
      </c>
      <c r="IX28" s="45">
        <v>42.857142857142854</v>
      </c>
      <c r="IY28" s="145"/>
      <c r="IZ28" s="133">
        <v>0</v>
      </c>
      <c r="JA28" s="45">
        <v>35.714285714285715</v>
      </c>
      <c r="JB28" s="45">
        <v>44.928571428571431</v>
      </c>
      <c r="JC28" s="45">
        <v>44.428571428571431</v>
      </c>
      <c r="JD28" s="45">
        <v>50</v>
      </c>
      <c r="JE28" s="45">
        <v>42.857142857142854</v>
      </c>
      <c r="JF28" s="145"/>
      <c r="JG28" s="133">
        <v>0</v>
      </c>
      <c r="JH28" s="45">
        <v>35.714285714285715</v>
      </c>
      <c r="JI28" s="45">
        <v>44.928571428571431</v>
      </c>
      <c r="JJ28" s="45">
        <v>44.428571428571431</v>
      </c>
      <c r="JK28" s="45">
        <v>50</v>
      </c>
      <c r="JL28" s="45">
        <v>42.857142857142854</v>
      </c>
      <c r="JM28" s="145"/>
      <c r="JN28" s="133">
        <v>0</v>
      </c>
      <c r="JO28" s="45">
        <v>35.714285714285715</v>
      </c>
      <c r="JP28" s="45">
        <v>44.928571428571431</v>
      </c>
      <c r="JQ28" s="45">
        <v>44.428571428571431</v>
      </c>
      <c r="JR28" s="45">
        <v>50</v>
      </c>
      <c r="JS28" s="45">
        <v>42.857142857142854</v>
      </c>
      <c r="JT28" s="145"/>
      <c r="JU28" s="133">
        <v>0</v>
      </c>
      <c r="JV28" s="45">
        <v>35.714285714285715</v>
      </c>
      <c r="JW28" s="45">
        <v>44.928571428571431</v>
      </c>
      <c r="JX28" s="45">
        <v>44.428571428571431</v>
      </c>
      <c r="JY28" s="45">
        <v>50</v>
      </c>
      <c r="JZ28" s="45">
        <v>42.857142857142854</v>
      </c>
      <c r="KA28" s="145"/>
      <c r="KB28" s="133">
        <v>0</v>
      </c>
    </row>
    <row r="29" spans="1:288" hidden="1" x14ac:dyDescent="0.3">
      <c r="A29" s="409" t="s">
        <v>129</v>
      </c>
      <c r="B29" s="165">
        <f>B22/13</f>
        <v>32.307692307692307</v>
      </c>
      <c r="C29" s="44">
        <f>C22/13</f>
        <v>61.153846153846153</v>
      </c>
      <c r="D29" s="44">
        <f>STATUS!K9</f>
        <v>68</v>
      </c>
      <c r="E29" s="44">
        <f>STATUS!L9</f>
        <v>68</v>
      </c>
      <c r="F29" s="44">
        <f>STATUS!M9</f>
        <v>70</v>
      </c>
      <c r="G29" s="44">
        <f>STATUS!N9</f>
        <v>70</v>
      </c>
      <c r="H29" s="311"/>
      <c r="I29" s="165">
        <f>STATUS!P9</f>
        <v>70</v>
      </c>
      <c r="J29" s="44">
        <f>STATUS!Q9</f>
        <v>70</v>
      </c>
      <c r="K29" s="44">
        <f>STATUS!R9</f>
        <v>70</v>
      </c>
      <c r="L29" s="44">
        <f>STATUS!S9</f>
        <v>70</v>
      </c>
      <c r="M29" s="44">
        <f>STATUS!T9</f>
        <v>70</v>
      </c>
      <c r="N29" s="44">
        <f>STATUS!U9</f>
        <v>65</v>
      </c>
      <c r="O29" s="311"/>
      <c r="P29" s="165"/>
      <c r="Q29" s="44">
        <f>Q22/13</f>
        <v>69.307692307692307</v>
      </c>
      <c r="R29" s="44">
        <f>STATUS!Y9</f>
        <v>70</v>
      </c>
      <c r="S29" s="44">
        <f>STATUS!Z9</f>
        <v>70</v>
      </c>
      <c r="T29" s="44">
        <f>STATUS!AA9</f>
        <v>70</v>
      </c>
      <c r="U29" s="44">
        <f>STATUS!AB9</f>
        <v>65</v>
      </c>
      <c r="V29" s="311"/>
      <c r="W29" s="76">
        <f>STATUS!AD9</f>
        <v>0</v>
      </c>
      <c r="X29" s="44">
        <f>STATUS!AE9</f>
        <v>0</v>
      </c>
      <c r="Y29" s="44">
        <f>STATUS!AF9</f>
        <v>0</v>
      </c>
      <c r="Z29" s="44">
        <f>STATUS!AG9</f>
        <v>0</v>
      </c>
      <c r="AA29" s="44">
        <f>STATUS!AH9</f>
        <v>0</v>
      </c>
      <c r="AB29" s="44">
        <f>STATUS!AI9</f>
        <v>0</v>
      </c>
      <c r="AC29" s="70"/>
      <c r="AD29" s="76">
        <f>AD22/13</f>
        <v>66.92307692307692</v>
      </c>
      <c r="AE29" s="44">
        <f>AE22/13</f>
        <v>68.07692307692308</v>
      </c>
      <c r="AF29" s="44">
        <f>STATUS!AM9</f>
        <v>0</v>
      </c>
      <c r="AG29" s="44">
        <f>STATUS!AN9</f>
        <v>0</v>
      </c>
      <c r="AH29" s="78"/>
      <c r="AI29" s="44">
        <f>STATUS!AP9</f>
        <v>0</v>
      </c>
      <c r="AJ29" s="70"/>
      <c r="AK29" s="76">
        <f>AK22/13</f>
        <v>61.53846153846154</v>
      </c>
      <c r="AL29" s="44">
        <f>AL22/13</f>
        <v>61.53846153846154</v>
      </c>
      <c r="AM29" s="44">
        <f>STATUS!AT9</f>
        <v>0</v>
      </c>
      <c r="AN29" s="44">
        <f>STATUS!AU9</f>
        <v>0</v>
      </c>
      <c r="AO29" s="45"/>
      <c r="AP29" s="44">
        <f>STATUS!AW9</f>
        <v>0</v>
      </c>
      <c r="AQ29" s="70"/>
      <c r="AR29" s="76">
        <f>AR22/13</f>
        <v>53.846153846153847</v>
      </c>
      <c r="AS29" s="44">
        <f>AS22/13</f>
        <v>61.53846153846154</v>
      </c>
      <c r="AT29" s="44">
        <f>STATUS!BA9</f>
        <v>0</v>
      </c>
      <c r="AU29" s="44">
        <f>STATUS!BB9</f>
        <v>0</v>
      </c>
      <c r="AV29" s="45"/>
      <c r="AW29" s="44">
        <f>STATUS!BD9</f>
        <v>0</v>
      </c>
      <c r="AX29" s="70"/>
      <c r="AY29" s="76">
        <f>AY22/13</f>
        <v>69.230769230769226</v>
      </c>
      <c r="AZ29" s="44">
        <f>AZ22/13</f>
        <v>60.384615384615387</v>
      </c>
      <c r="BA29" s="44">
        <f>STATUS!BH9</f>
        <v>0</v>
      </c>
      <c r="BB29" s="88"/>
      <c r="BC29" s="45"/>
      <c r="BD29" s="44">
        <f>STATUS!BK9</f>
        <v>0</v>
      </c>
      <c r="BE29" s="70"/>
      <c r="BF29" s="76">
        <f>BF22/13</f>
        <v>46.153846153846153</v>
      </c>
      <c r="BG29" s="44">
        <f>BG22/13</f>
        <v>46.153846153846153</v>
      </c>
      <c r="BH29" s="44">
        <f>STATUS!BO9</f>
        <v>0</v>
      </c>
      <c r="BI29" s="44">
        <f>STATUS!BP9</f>
        <v>0</v>
      </c>
      <c r="BJ29" s="45"/>
      <c r="BK29" s="44">
        <f>STATUS!BR9</f>
        <v>0</v>
      </c>
      <c r="BL29" s="70"/>
      <c r="BM29" s="97">
        <f>BM22/13</f>
        <v>0</v>
      </c>
      <c r="BN29" s="44">
        <f>BN22/13</f>
        <v>40.615384615384613</v>
      </c>
      <c r="BO29" s="44">
        <f>STATUS!BV9</f>
        <v>0</v>
      </c>
      <c r="BP29" s="44">
        <f>STATUS!BW9</f>
        <v>0</v>
      </c>
      <c r="BQ29" s="45"/>
      <c r="BR29" s="44">
        <f>STATUS!BY9</f>
        <v>0</v>
      </c>
      <c r="BS29" s="70"/>
      <c r="BT29" s="125"/>
      <c r="BW29">
        <f>STATUS!CD9</f>
        <v>0</v>
      </c>
      <c r="BY29">
        <f>STATUS!CF9</f>
        <v>0</v>
      </c>
      <c r="BZ29" s="134"/>
      <c r="CA29" s="125"/>
      <c r="CG29" s="134"/>
      <c r="CH29" s="125"/>
      <c r="CN29" s="134"/>
      <c r="CO29" s="125"/>
      <c r="CU29" s="134"/>
      <c r="CV29" s="125"/>
      <c r="DB29" s="134"/>
      <c r="DC29" s="125"/>
      <c r="DI29" s="134"/>
      <c r="DJ29" s="125"/>
      <c r="DK29" s="86"/>
      <c r="DP29" s="134"/>
      <c r="DQ29" s="125"/>
      <c r="DW29" s="134"/>
      <c r="DX29" s="125"/>
      <c r="ED29" s="134"/>
      <c r="EE29" s="125"/>
      <c r="EJ29" s="86"/>
      <c r="EK29" s="134"/>
      <c r="EL29" s="125"/>
      <c r="ER29" s="134"/>
      <c r="ES29" s="125"/>
      <c r="EY29" s="506"/>
      <c r="FF29" s="506"/>
      <c r="FM29" s="506"/>
      <c r="FT29" s="506"/>
      <c r="GA29" s="506"/>
      <c r="GH29" s="506"/>
      <c r="GO29" s="134"/>
      <c r="GV29" s="134"/>
      <c r="HC29" s="134"/>
      <c r="HJ29" s="134"/>
      <c r="HQ29" s="624"/>
      <c r="HX29" s="134"/>
      <c r="IE29" s="134"/>
      <c r="IL29" s="134"/>
      <c r="IS29" s="134"/>
      <c r="IZ29" s="134"/>
      <c r="JG29" s="134"/>
      <c r="JN29" s="134"/>
      <c r="JU29" s="134"/>
      <c r="KB29" s="134"/>
    </row>
    <row r="30" spans="1:288" hidden="1" x14ac:dyDescent="0.3">
      <c r="A30" s="409" t="s">
        <v>130</v>
      </c>
      <c r="B30" s="83">
        <v>31</v>
      </c>
      <c r="C30">
        <v>57</v>
      </c>
      <c r="H30" s="126"/>
      <c r="I30" s="83"/>
      <c r="O30" s="126"/>
      <c r="P30" s="83"/>
      <c r="Q30">
        <v>57</v>
      </c>
      <c r="V30" s="126"/>
      <c r="AD30" s="73">
        <v>57</v>
      </c>
      <c r="AE30">
        <v>57</v>
      </c>
      <c r="AK30" s="73">
        <v>57</v>
      </c>
      <c r="AL30">
        <v>57</v>
      </c>
      <c r="AR30" s="73"/>
      <c r="AX30" s="68"/>
      <c r="AY30" s="73"/>
      <c r="BB30" s="86"/>
      <c r="BE30" s="68"/>
      <c r="BF30" s="73"/>
      <c r="BL30" s="68"/>
      <c r="BM30" s="95"/>
      <c r="BS30" s="68"/>
      <c r="BT30" s="125"/>
      <c r="BZ30" s="134"/>
      <c r="CA30" s="125"/>
      <c r="CG30" s="134"/>
      <c r="CH30" s="125"/>
      <c r="CN30" s="134"/>
      <c r="CO30" s="125"/>
      <c r="CU30" s="134"/>
      <c r="CV30" s="125"/>
      <c r="DB30" s="134"/>
      <c r="DC30" s="125"/>
      <c r="DI30" s="134"/>
      <c r="DJ30" s="125"/>
      <c r="DK30" s="86"/>
      <c r="DP30" s="134"/>
      <c r="DQ30" s="125"/>
      <c r="DW30" s="134"/>
      <c r="DX30" s="125"/>
      <c r="ED30" s="134"/>
      <c r="EE30" s="125"/>
      <c r="EJ30" s="86"/>
      <c r="EK30" s="134"/>
      <c r="EL30" s="125"/>
      <c r="ER30" s="134"/>
      <c r="ES30" s="125"/>
      <c r="EY30" s="506"/>
      <c r="FF30" s="506"/>
      <c r="FM30" s="506"/>
      <c r="FT30" s="506"/>
      <c r="GA30" s="506"/>
      <c r="GH30" s="506"/>
      <c r="GO30" s="134"/>
      <c r="GV30" s="134"/>
      <c r="HC30" s="134"/>
      <c r="HJ30" s="134"/>
      <c r="HQ30" s="624"/>
      <c r="HX30" s="134"/>
      <c r="IE30" s="134"/>
      <c r="IL30" s="134"/>
      <c r="IS30" s="134"/>
      <c r="IZ30" s="134"/>
      <c r="JG30" s="134"/>
      <c r="JN30" s="134"/>
      <c r="JU30" s="134"/>
      <c r="KB30" s="134"/>
    </row>
    <row r="31" spans="1:288" s="45" customFormat="1" ht="15" thickBot="1" x14ac:dyDescent="0.35">
      <c r="A31" s="19" t="s">
        <v>124</v>
      </c>
      <c r="GZ31" s="45">
        <v>36800</v>
      </c>
      <c r="HD31" s="45">
        <v>32000</v>
      </c>
      <c r="HE31" s="45">
        <v>38024</v>
      </c>
      <c r="HH31" s="45">
        <v>42000</v>
      </c>
      <c r="HI31" s="45">
        <v>38802</v>
      </c>
      <c r="HJ31" s="606"/>
      <c r="HK31" s="45">
        <v>34576</v>
      </c>
      <c r="HL31" s="45">
        <v>42265</v>
      </c>
      <c r="HM31" s="45">
        <v>41200</v>
      </c>
      <c r="HN31" s="45">
        <v>43284</v>
      </c>
      <c r="HO31" s="45">
        <v>38619</v>
      </c>
      <c r="HQ31" s="625"/>
      <c r="HR31" s="45">
        <v>32506</v>
      </c>
      <c r="HW31" s="145">
        <v>36229</v>
      </c>
      <c r="HX31" s="146"/>
      <c r="HY31" s="45">
        <v>29025</v>
      </c>
      <c r="HZ31" s="45">
        <v>32947</v>
      </c>
      <c r="IA31" s="45">
        <v>30088</v>
      </c>
      <c r="IB31" s="45">
        <v>34015</v>
      </c>
      <c r="IE31" s="146"/>
      <c r="IL31" s="146"/>
      <c r="IM31" s="45">
        <v>38952</v>
      </c>
      <c r="IN31" s="45">
        <v>46745</v>
      </c>
      <c r="IO31" s="45">
        <v>41000</v>
      </c>
      <c r="IP31" s="45">
        <v>43000</v>
      </c>
      <c r="IS31" s="123"/>
      <c r="IZ31" s="123"/>
      <c r="JG31" s="123"/>
      <c r="JN31" s="123"/>
      <c r="JU31" s="123"/>
      <c r="KB31" s="123"/>
    </row>
    <row r="32" spans="1:288" ht="15" thickBot="1" x14ac:dyDescent="0.35">
      <c r="A32" s="494" t="s">
        <v>133</v>
      </c>
      <c r="B32" s="445">
        <f t="shared" ref="B32:H32" si="184">B24+B13</f>
        <v>61215</v>
      </c>
      <c r="C32" s="446">
        <f t="shared" si="184"/>
        <v>83820</v>
      </c>
      <c r="D32" s="446">
        <f t="shared" si="184"/>
        <v>98928</v>
      </c>
      <c r="E32" s="446">
        <f t="shared" si="184"/>
        <v>97749</v>
      </c>
      <c r="F32" s="446">
        <f t="shared" si="184"/>
        <v>104917</v>
      </c>
      <c r="G32" s="446">
        <f t="shared" si="184"/>
        <v>88400</v>
      </c>
      <c r="H32" s="447">
        <f t="shared" si="184"/>
        <v>30351</v>
      </c>
      <c r="I32" s="445">
        <f t="shared" ref="I32:O32" si="185">I24+I13+I6</f>
        <v>55455</v>
      </c>
      <c r="J32" s="446">
        <f t="shared" si="185"/>
        <v>71195</v>
      </c>
      <c r="K32" s="446">
        <f t="shared" si="185"/>
        <v>102200</v>
      </c>
      <c r="L32" s="446">
        <f t="shared" si="185"/>
        <v>98699</v>
      </c>
      <c r="M32" s="446">
        <f t="shared" si="185"/>
        <v>113266</v>
      </c>
      <c r="N32" s="446">
        <f t="shared" si="185"/>
        <v>108273</v>
      </c>
      <c r="O32" s="447">
        <f t="shared" si="185"/>
        <v>24000</v>
      </c>
      <c r="P32" s="445"/>
      <c r="Q32" s="446">
        <f t="shared" ref="Q32:AC32" si="186">Q24+Q13+Q6</f>
        <v>110355</v>
      </c>
      <c r="R32" s="446">
        <f t="shared" si="186"/>
        <v>100260</v>
      </c>
      <c r="S32" s="446">
        <f t="shared" si="186"/>
        <v>99394</v>
      </c>
      <c r="T32" s="446">
        <f t="shared" si="186"/>
        <v>105184</v>
      </c>
      <c r="U32" s="446">
        <f t="shared" si="186"/>
        <v>111710</v>
      </c>
      <c r="V32" s="447">
        <f t="shared" si="186"/>
        <v>17420</v>
      </c>
      <c r="W32" s="448">
        <f t="shared" si="186"/>
        <v>86375</v>
      </c>
      <c r="X32" s="446">
        <f t="shared" si="186"/>
        <v>112464</v>
      </c>
      <c r="Y32" s="446">
        <f t="shared" si="186"/>
        <v>90048</v>
      </c>
      <c r="Z32" s="446">
        <f t="shared" si="186"/>
        <v>102480</v>
      </c>
      <c r="AA32" s="446">
        <f t="shared" si="186"/>
        <v>102801</v>
      </c>
      <c r="AB32" s="446">
        <f t="shared" si="186"/>
        <v>107130</v>
      </c>
      <c r="AC32" s="449">
        <f t="shared" si="186"/>
        <v>25145</v>
      </c>
      <c r="AD32" s="448">
        <f t="shared" ref="AD32:BE32" si="187">AD24+AD13</f>
        <v>89100</v>
      </c>
      <c r="AE32" s="448">
        <f t="shared" si="187"/>
        <v>88192</v>
      </c>
      <c r="AF32" s="448">
        <f t="shared" si="187"/>
        <v>99622.5</v>
      </c>
      <c r="AG32" s="448">
        <f t="shared" si="187"/>
        <v>97918</v>
      </c>
      <c r="AH32" s="448">
        <f t="shared" si="187"/>
        <v>50688</v>
      </c>
      <c r="AI32" s="448">
        <f t="shared" si="187"/>
        <v>86821</v>
      </c>
      <c r="AJ32" s="448">
        <f t="shared" si="187"/>
        <v>20254</v>
      </c>
      <c r="AK32" s="448">
        <f t="shared" si="187"/>
        <v>88800</v>
      </c>
      <c r="AL32" s="448">
        <f t="shared" si="187"/>
        <v>89600</v>
      </c>
      <c r="AM32" s="448">
        <f t="shared" si="187"/>
        <v>91200</v>
      </c>
      <c r="AN32" s="448">
        <f t="shared" si="187"/>
        <v>88000</v>
      </c>
      <c r="AO32" s="448">
        <f t="shared" si="187"/>
        <v>96100</v>
      </c>
      <c r="AP32" s="448">
        <f t="shared" si="187"/>
        <v>98100</v>
      </c>
      <c r="AQ32" s="448">
        <f t="shared" si="187"/>
        <v>23780</v>
      </c>
      <c r="AR32" s="448">
        <f t="shared" si="187"/>
        <v>81000</v>
      </c>
      <c r="AS32" s="448">
        <f t="shared" si="187"/>
        <v>86400</v>
      </c>
      <c r="AT32" s="448">
        <f t="shared" si="187"/>
        <v>86400</v>
      </c>
      <c r="AU32" s="448">
        <f t="shared" si="187"/>
        <v>86400</v>
      </c>
      <c r="AV32" s="448">
        <f t="shared" si="187"/>
        <v>93960</v>
      </c>
      <c r="AW32" s="448">
        <f t="shared" si="187"/>
        <v>98010</v>
      </c>
      <c r="AX32" s="448">
        <f t="shared" si="187"/>
        <v>12366</v>
      </c>
      <c r="AY32" s="448">
        <f t="shared" si="187"/>
        <v>89500</v>
      </c>
      <c r="AZ32" s="448">
        <f t="shared" si="187"/>
        <v>83033.5</v>
      </c>
      <c r="BA32" s="448">
        <f t="shared" si="187"/>
        <v>100710</v>
      </c>
      <c r="BB32" s="448">
        <f t="shared" si="187"/>
        <v>49500</v>
      </c>
      <c r="BC32" s="448">
        <f t="shared" si="187"/>
        <v>88776</v>
      </c>
      <c r="BD32" s="448">
        <f t="shared" si="187"/>
        <v>91800</v>
      </c>
      <c r="BE32" s="448">
        <f t="shared" si="187"/>
        <v>8850</v>
      </c>
      <c r="BF32" s="448">
        <f t="shared" ref="BF32:BS32" si="188">BF24+BF13+BF6</f>
        <v>94281</v>
      </c>
      <c r="BG32" s="448">
        <f t="shared" si="188"/>
        <v>92680</v>
      </c>
      <c r="BH32" s="446">
        <f t="shared" si="188"/>
        <v>101080</v>
      </c>
      <c r="BI32" s="446">
        <f t="shared" si="188"/>
        <v>95970</v>
      </c>
      <c r="BJ32" s="446">
        <f t="shared" si="188"/>
        <v>132608</v>
      </c>
      <c r="BK32" s="446">
        <f t="shared" si="188"/>
        <v>116100</v>
      </c>
      <c r="BL32" s="449">
        <f t="shared" si="188"/>
        <v>27000</v>
      </c>
      <c r="BM32" s="450">
        <f t="shared" si="188"/>
        <v>0</v>
      </c>
      <c r="BN32" s="448">
        <f t="shared" si="188"/>
        <v>58822</v>
      </c>
      <c r="BO32" s="446">
        <f t="shared" si="188"/>
        <v>108570</v>
      </c>
      <c r="BP32" s="446">
        <f t="shared" si="188"/>
        <v>109600</v>
      </c>
      <c r="BQ32" s="446">
        <f t="shared" si="188"/>
        <v>118772</v>
      </c>
      <c r="BR32" s="446">
        <f t="shared" si="188"/>
        <v>102330</v>
      </c>
      <c r="BS32" s="449">
        <f t="shared" si="188"/>
        <v>12000</v>
      </c>
      <c r="BT32" s="137">
        <f t="shared" ref="BT32:CY32" si="189">BT24+BT13</f>
        <v>70720</v>
      </c>
      <c r="BU32" s="84">
        <f t="shared" si="189"/>
        <v>74800</v>
      </c>
      <c r="BV32" s="84">
        <f t="shared" si="189"/>
        <v>77000</v>
      </c>
      <c r="BW32" s="84">
        <f t="shared" si="189"/>
        <v>81000</v>
      </c>
      <c r="BX32" s="138">
        <f t="shared" si="189"/>
        <v>92496</v>
      </c>
      <c r="BY32" s="84">
        <f t="shared" si="189"/>
        <v>83349</v>
      </c>
      <c r="BZ32" s="451">
        <f t="shared" si="189"/>
        <v>10602</v>
      </c>
      <c r="CA32" s="137">
        <f t="shared" si="189"/>
        <v>62475</v>
      </c>
      <c r="CB32" s="84">
        <f t="shared" si="189"/>
        <v>73164</v>
      </c>
      <c r="CC32" s="84">
        <f t="shared" si="189"/>
        <v>70620</v>
      </c>
      <c r="CD32" s="84">
        <f t="shared" si="189"/>
        <v>75060</v>
      </c>
      <c r="CE32" s="138">
        <f t="shared" si="189"/>
        <v>88500</v>
      </c>
      <c r="CF32" s="84">
        <f t="shared" si="189"/>
        <v>67424.5</v>
      </c>
      <c r="CG32" s="451">
        <f t="shared" si="189"/>
        <v>10450</v>
      </c>
      <c r="CH32" s="149">
        <f t="shared" si="189"/>
        <v>48620</v>
      </c>
      <c r="CI32" s="93">
        <f t="shared" si="189"/>
        <v>66780</v>
      </c>
      <c r="CJ32" s="93">
        <f t="shared" si="189"/>
        <v>71500</v>
      </c>
      <c r="CK32" s="446">
        <f t="shared" si="189"/>
        <v>72280</v>
      </c>
      <c r="CL32" s="452">
        <f t="shared" si="189"/>
        <v>80460</v>
      </c>
      <c r="CM32" s="93">
        <f t="shared" si="189"/>
        <v>76680</v>
      </c>
      <c r="CN32" s="453">
        <f t="shared" si="189"/>
        <v>0</v>
      </c>
      <c r="CO32" s="137">
        <f t="shared" si="189"/>
        <v>48360</v>
      </c>
      <c r="CP32" s="84">
        <f t="shared" si="189"/>
        <v>66840</v>
      </c>
      <c r="CQ32" s="84">
        <f t="shared" si="189"/>
        <v>73980</v>
      </c>
      <c r="CR32" s="84">
        <f t="shared" si="189"/>
        <v>67500</v>
      </c>
      <c r="CS32" s="138">
        <f t="shared" si="189"/>
        <v>76350</v>
      </c>
      <c r="CT32" s="84">
        <f t="shared" si="189"/>
        <v>72360</v>
      </c>
      <c r="CU32" s="451">
        <f t="shared" si="189"/>
        <v>4950</v>
      </c>
      <c r="CV32" s="137">
        <f t="shared" si="189"/>
        <v>42360</v>
      </c>
      <c r="CW32" s="84">
        <f t="shared" si="189"/>
        <v>57820</v>
      </c>
      <c r="CX32" s="84">
        <f t="shared" si="189"/>
        <v>63232</v>
      </c>
      <c r="CY32" s="84">
        <f t="shared" si="189"/>
        <v>67080</v>
      </c>
      <c r="CZ32" s="138">
        <f t="shared" ref="CZ32:EE32" si="190">CZ24+CZ13</f>
        <v>69640</v>
      </c>
      <c r="DA32" s="84">
        <f t="shared" si="190"/>
        <v>56646</v>
      </c>
      <c r="DB32" s="451">
        <f t="shared" si="190"/>
        <v>4565</v>
      </c>
      <c r="DC32" s="137">
        <f t="shared" si="190"/>
        <v>42068</v>
      </c>
      <c r="DD32" s="84">
        <f t="shared" si="190"/>
        <v>58310</v>
      </c>
      <c r="DE32" s="84">
        <f t="shared" si="190"/>
        <v>58140</v>
      </c>
      <c r="DF32" s="84">
        <f t="shared" si="190"/>
        <v>61880</v>
      </c>
      <c r="DG32" s="138">
        <f t="shared" si="190"/>
        <v>66040</v>
      </c>
      <c r="DH32" s="84">
        <f t="shared" si="190"/>
        <v>53248</v>
      </c>
      <c r="DI32" s="451">
        <f t="shared" si="190"/>
        <v>4680</v>
      </c>
      <c r="DJ32" s="137">
        <f t="shared" si="190"/>
        <v>52000</v>
      </c>
      <c r="DK32" s="84">
        <f t="shared" si="190"/>
        <v>0</v>
      </c>
      <c r="DL32" s="84">
        <f t="shared" si="190"/>
        <v>58968</v>
      </c>
      <c r="DM32" s="84">
        <f t="shared" si="190"/>
        <v>58760</v>
      </c>
      <c r="DN32" s="138">
        <f t="shared" si="190"/>
        <v>78000</v>
      </c>
      <c r="DO32" s="84">
        <f t="shared" si="190"/>
        <v>61360</v>
      </c>
      <c r="DP32" s="451">
        <f t="shared" si="190"/>
        <v>5220</v>
      </c>
      <c r="DQ32" s="137">
        <f t="shared" si="190"/>
        <v>42135</v>
      </c>
      <c r="DR32" s="84">
        <f t="shared" si="190"/>
        <v>70200</v>
      </c>
      <c r="DS32" s="84">
        <f t="shared" si="190"/>
        <v>70200</v>
      </c>
      <c r="DT32" s="84">
        <f t="shared" si="190"/>
        <v>66560</v>
      </c>
      <c r="DU32" s="138">
        <f t="shared" si="190"/>
        <v>79800</v>
      </c>
      <c r="DV32" s="84">
        <f t="shared" si="190"/>
        <v>73920</v>
      </c>
      <c r="DW32" s="451">
        <f t="shared" si="190"/>
        <v>5130</v>
      </c>
      <c r="DX32" s="137">
        <f t="shared" si="190"/>
        <v>46800</v>
      </c>
      <c r="DY32" s="84">
        <f t="shared" si="190"/>
        <v>70200</v>
      </c>
      <c r="DZ32" s="84">
        <f t="shared" si="190"/>
        <v>70200</v>
      </c>
      <c r="EA32" s="454">
        <f t="shared" si="190"/>
        <v>67500</v>
      </c>
      <c r="EB32" s="138">
        <f t="shared" si="190"/>
        <v>74200</v>
      </c>
      <c r="EC32" s="84">
        <f t="shared" si="190"/>
        <v>76850</v>
      </c>
      <c r="ED32" s="451">
        <f t="shared" si="190"/>
        <v>4680</v>
      </c>
      <c r="EE32" s="137">
        <f t="shared" si="190"/>
        <v>44200</v>
      </c>
      <c r="EF32" s="84">
        <f t="shared" ref="EF32:FM32" si="191">EF24+EF13</f>
        <v>65000</v>
      </c>
      <c r="EG32" s="84">
        <f t="shared" si="191"/>
        <v>71050</v>
      </c>
      <c r="EH32" s="454">
        <f t="shared" si="191"/>
        <v>71500</v>
      </c>
      <c r="EI32" s="138">
        <f t="shared" si="191"/>
        <v>71550</v>
      </c>
      <c r="EJ32" s="84">
        <f t="shared" si="191"/>
        <v>39600</v>
      </c>
      <c r="EK32" s="451">
        <f t="shared" si="191"/>
        <v>0</v>
      </c>
      <c r="EL32" s="137">
        <f t="shared" si="191"/>
        <v>51395.257200042011</v>
      </c>
      <c r="EM32" s="84">
        <f t="shared" si="191"/>
        <v>60502.777116860452</v>
      </c>
      <c r="EN32" s="84">
        <f t="shared" si="191"/>
        <v>62850</v>
      </c>
      <c r="EO32" s="454">
        <f t="shared" si="191"/>
        <v>62679</v>
      </c>
      <c r="EP32" s="138">
        <f t="shared" si="191"/>
        <v>69207.294506806909</v>
      </c>
      <c r="EQ32" s="84">
        <f t="shared" si="191"/>
        <v>73150</v>
      </c>
      <c r="ER32" s="451">
        <f t="shared" si="191"/>
        <v>5850</v>
      </c>
      <c r="ES32" s="137">
        <f t="shared" si="191"/>
        <v>41600</v>
      </c>
      <c r="ET32" s="84">
        <f t="shared" si="191"/>
        <v>72800</v>
      </c>
      <c r="EU32" s="84">
        <f t="shared" si="191"/>
        <v>71500</v>
      </c>
      <c r="EV32" s="454">
        <f t="shared" si="191"/>
        <v>71820</v>
      </c>
      <c r="EW32" s="138">
        <f t="shared" si="191"/>
        <v>80248.866734698444</v>
      </c>
      <c r="EX32" s="84">
        <f t="shared" si="191"/>
        <v>73920</v>
      </c>
      <c r="EY32" s="529">
        <f t="shared" si="191"/>
        <v>4950</v>
      </c>
      <c r="EZ32" s="528">
        <f t="shared" si="191"/>
        <v>49400</v>
      </c>
      <c r="FA32" s="496">
        <f t="shared" si="191"/>
        <v>78000</v>
      </c>
      <c r="FB32" s="496">
        <f t="shared" si="191"/>
        <v>77000</v>
      </c>
      <c r="FC32" s="485">
        <f t="shared" si="191"/>
        <v>66906</v>
      </c>
      <c r="FD32" s="484">
        <f t="shared" si="191"/>
        <v>76144.652848644211</v>
      </c>
      <c r="FE32" s="496">
        <f t="shared" si="191"/>
        <v>81200</v>
      </c>
      <c r="FF32" s="525">
        <f t="shared" si="191"/>
        <v>5109.7791595733624</v>
      </c>
      <c r="FG32" s="485">
        <f t="shared" si="191"/>
        <v>47559.572040957202</v>
      </c>
      <c r="FH32" s="485">
        <f t="shared" si="191"/>
        <v>71731.5</v>
      </c>
      <c r="FI32" s="485">
        <f t="shared" si="191"/>
        <v>78439.555454315385</v>
      </c>
      <c r="FJ32" s="485">
        <f t="shared" si="191"/>
        <v>74416.853211718029</v>
      </c>
      <c r="FK32" s="485">
        <f t="shared" si="191"/>
        <v>80952.436968165246</v>
      </c>
      <c r="FL32" s="485">
        <f t="shared" si="191"/>
        <v>81265.475240819869</v>
      </c>
      <c r="FM32" s="513">
        <f t="shared" si="191"/>
        <v>5208.7709954682696</v>
      </c>
      <c r="FN32" s="485" t="e">
        <f t="shared" ref="FN32:GO32" si="192">FN13+FN24</f>
        <v>#REF!</v>
      </c>
      <c r="FO32" s="485" t="e">
        <f t="shared" si="192"/>
        <v>#REF!</v>
      </c>
      <c r="FP32" s="485" t="e">
        <f t="shared" si="192"/>
        <v>#REF!</v>
      </c>
      <c r="FQ32" s="485" t="e">
        <f t="shared" si="192"/>
        <v>#REF!</v>
      </c>
      <c r="FR32" s="485" t="e">
        <f t="shared" si="192"/>
        <v>#REF!</v>
      </c>
      <c r="FS32" s="485" t="e">
        <f t="shared" si="192"/>
        <v>#REF!</v>
      </c>
      <c r="FT32" s="513" t="e">
        <f t="shared" si="192"/>
        <v>#REF!</v>
      </c>
      <c r="FU32" s="485" t="e">
        <f t="shared" si="192"/>
        <v>#REF!</v>
      </c>
      <c r="FV32" s="485" t="e">
        <f t="shared" si="192"/>
        <v>#REF!</v>
      </c>
      <c r="FW32" s="485" t="e">
        <f t="shared" si="192"/>
        <v>#REF!</v>
      </c>
      <c r="FX32" s="485" t="e">
        <f t="shared" si="192"/>
        <v>#REF!</v>
      </c>
      <c r="FY32" s="485" t="e">
        <f>FY13+FY24</f>
        <v>#REF!</v>
      </c>
      <c r="FZ32" s="485" t="e">
        <f t="shared" si="192"/>
        <v>#REF!</v>
      </c>
      <c r="GA32" s="513" t="e">
        <f t="shared" si="192"/>
        <v>#REF!</v>
      </c>
      <c r="GB32" s="485" t="e">
        <f t="shared" si="192"/>
        <v>#REF!</v>
      </c>
      <c r="GC32" s="485" t="e">
        <f t="shared" si="192"/>
        <v>#REF!</v>
      </c>
      <c r="GD32" s="485" t="e">
        <f t="shared" si="192"/>
        <v>#REF!</v>
      </c>
      <c r="GE32" s="485" t="e">
        <f t="shared" si="192"/>
        <v>#REF!</v>
      </c>
      <c r="GF32" s="485" t="e">
        <f t="shared" si="192"/>
        <v>#REF!</v>
      </c>
      <c r="GG32" s="485" t="e">
        <f t="shared" si="192"/>
        <v>#REF!</v>
      </c>
      <c r="GH32" s="513" t="e">
        <f t="shared" si="192"/>
        <v>#REF!</v>
      </c>
      <c r="GI32" s="485" t="e">
        <f t="shared" si="192"/>
        <v>#REF!</v>
      </c>
      <c r="GJ32" s="485" t="e">
        <f t="shared" si="192"/>
        <v>#REF!</v>
      </c>
      <c r="GK32" s="485" t="e">
        <f t="shared" si="192"/>
        <v>#REF!</v>
      </c>
      <c r="GL32" s="485" t="e">
        <f t="shared" si="192"/>
        <v>#REF!</v>
      </c>
      <c r="GM32" s="485">
        <f t="shared" si="192"/>
        <v>80141.399999999994</v>
      </c>
      <c r="GN32" s="485" t="e">
        <f t="shared" si="192"/>
        <v>#REF!</v>
      </c>
      <c r="GO32" s="488" t="e">
        <f t="shared" si="192"/>
        <v>#REF!</v>
      </c>
      <c r="GP32" s="485" t="e">
        <f t="shared" ref="GP32:GV32" si="193">GP13+GP24</f>
        <v>#N/A</v>
      </c>
      <c r="GQ32" s="485" t="e">
        <f t="shared" si="193"/>
        <v>#N/A</v>
      </c>
      <c r="GR32" s="485" t="e">
        <f t="shared" si="193"/>
        <v>#N/A</v>
      </c>
      <c r="GS32" s="485" t="e">
        <f t="shared" si="193"/>
        <v>#N/A</v>
      </c>
      <c r="GT32" s="485" t="e">
        <f t="shared" si="193"/>
        <v>#N/A</v>
      </c>
      <c r="GU32" s="485" t="e">
        <f t="shared" si="193"/>
        <v>#N/A</v>
      </c>
      <c r="GV32" s="488" t="e">
        <f t="shared" si="193"/>
        <v>#N/A</v>
      </c>
      <c r="GW32" s="485">
        <f t="shared" ref="GW32:IE32" si="194">GW13+GW24</f>
        <v>51895</v>
      </c>
      <c r="GX32" s="485">
        <f t="shared" si="194"/>
        <v>74205</v>
      </c>
      <c r="GY32" s="485" t="e">
        <f t="shared" si="194"/>
        <v>#N/A</v>
      </c>
      <c r="GZ32" s="485" t="e">
        <f t="shared" si="194"/>
        <v>#N/A</v>
      </c>
      <c r="HA32" s="485" t="e">
        <f t="shared" si="194"/>
        <v>#N/A</v>
      </c>
      <c r="HB32" s="485" t="e">
        <f t="shared" si="194"/>
        <v>#N/A</v>
      </c>
      <c r="HC32" s="488" t="e">
        <f t="shared" si="194"/>
        <v>#N/A</v>
      </c>
      <c r="HD32" s="485" t="e">
        <f t="shared" si="194"/>
        <v>#N/A</v>
      </c>
      <c r="HE32" s="485">
        <f t="shared" si="194"/>
        <v>78657.299999999988</v>
      </c>
      <c r="HF32" s="485" t="e">
        <f t="shared" si="194"/>
        <v>#N/A</v>
      </c>
      <c r="HG32" s="485">
        <f t="shared" si="194"/>
        <v>83284.2</v>
      </c>
      <c r="HH32" s="485" t="e">
        <f t="shared" si="194"/>
        <v>#N/A</v>
      </c>
      <c r="HI32" s="485" t="e">
        <f t="shared" si="194"/>
        <v>#N/A</v>
      </c>
      <c r="HJ32" s="488" t="e">
        <f t="shared" si="194"/>
        <v>#N/A</v>
      </c>
      <c r="HK32" s="485" t="e">
        <f t="shared" si="194"/>
        <v>#N/A</v>
      </c>
      <c r="HL32" s="485">
        <f t="shared" si="194"/>
        <v>94429.5</v>
      </c>
      <c r="HM32" s="485">
        <f t="shared" si="194"/>
        <v>89909.299999999988</v>
      </c>
      <c r="HN32" s="485" t="e">
        <f t="shared" si="194"/>
        <v>#N/A</v>
      </c>
      <c r="HO32" s="485">
        <f t="shared" si="194"/>
        <v>85554</v>
      </c>
      <c r="HP32" s="485">
        <f t="shared" si="194"/>
        <v>83842.92</v>
      </c>
      <c r="HQ32" s="488" t="e">
        <f t="shared" si="194"/>
        <v>#N/A</v>
      </c>
      <c r="HR32" s="485" t="e">
        <f t="shared" si="194"/>
        <v>#N/A</v>
      </c>
      <c r="HS32" s="485">
        <f t="shared" si="194"/>
        <v>84991.4</v>
      </c>
      <c r="HT32" s="485" t="e">
        <f t="shared" si="194"/>
        <v>#N/A</v>
      </c>
      <c r="HU32" s="485">
        <f t="shared" si="194"/>
        <v>85306.65</v>
      </c>
      <c r="HV32" s="485" t="e">
        <f t="shared" si="194"/>
        <v>#N/A</v>
      </c>
      <c r="HW32" s="485" t="e">
        <f t="shared" si="194"/>
        <v>#N/A</v>
      </c>
      <c r="HX32" s="488" t="e">
        <f t="shared" si="194"/>
        <v>#N/A</v>
      </c>
      <c r="HY32" s="485" t="e">
        <f t="shared" si="194"/>
        <v>#N/A</v>
      </c>
      <c r="HZ32" s="485" t="e">
        <f t="shared" si="194"/>
        <v>#N/A</v>
      </c>
      <c r="IA32" s="485" t="e">
        <f t="shared" si="194"/>
        <v>#N/A</v>
      </c>
      <c r="IB32" s="485" t="e">
        <f t="shared" si="194"/>
        <v>#N/A</v>
      </c>
      <c r="IC32" s="485" t="e">
        <f t="shared" si="194"/>
        <v>#N/A</v>
      </c>
      <c r="ID32" s="485" t="e">
        <f t="shared" si="194"/>
        <v>#N/A</v>
      </c>
      <c r="IE32" s="488" t="e">
        <f t="shared" si="194"/>
        <v>#N/A</v>
      </c>
      <c r="IF32" s="485">
        <f t="shared" ref="IF32:IS32" si="195">IF13+IF24</f>
        <v>61789</v>
      </c>
      <c r="IG32" s="485">
        <f t="shared" ref="IG32:IL32" si="196">IG13+IG24</f>
        <v>84099</v>
      </c>
      <c r="IH32" s="485" t="e">
        <f t="shared" si="196"/>
        <v>#N/A</v>
      </c>
      <c r="II32" s="485" t="e">
        <f t="shared" si="196"/>
        <v>#N/A</v>
      </c>
      <c r="IJ32" s="485" t="e">
        <f t="shared" si="196"/>
        <v>#N/A</v>
      </c>
      <c r="IK32" s="485">
        <f t="shared" si="196"/>
        <v>85893.5</v>
      </c>
      <c r="IL32" s="485" t="e">
        <f t="shared" si="196"/>
        <v>#N/A</v>
      </c>
      <c r="IM32" s="642">
        <f t="shared" si="195"/>
        <v>72583.16</v>
      </c>
      <c r="IN32" s="485">
        <f t="shared" si="195"/>
        <v>90481.600000000006</v>
      </c>
      <c r="IO32" s="485" t="e">
        <f t="shared" si="195"/>
        <v>#N/A</v>
      </c>
      <c r="IP32" s="485">
        <f t="shared" si="195"/>
        <v>91762</v>
      </c>
      <c r="IQ32" s="485" t="e">
        <f t="shared" si="195"/>
        <v>#N/A</v>
      </c>
      <c r="IR32" s="485" t="e">
        <f t="shared" si="195"/>
        <v>#N/A</v>
      </c>
      <c r="IS32" s="488" t="e">
        <f t="shared" si="195"/>
        <v>#N/A</v>
      </c>
      <c r="IT32" s="642">
        <f t="shared" ref="IT32:IZ32" si="197">IT13+IT24</f>
        <v>53592.5</v>
      </c>
      <c r="IU32" s="485" t="e">
        <f t="shared" si="197"/>
        <v>#N/A</v>
      </c>
      <c r="IV32" s="485" t="e">
        <f t="shared" si="197"/>
        <v>#N/A</v>
      </c>
      <c r="IW32" s="485">
        <f t="shared" si="197"/>
        <v>72226.2</v>
      </c>
      <c r="IX32" s="485">
        <f t="shared" si="197"/>
        <v>80260.127999999997</v>
      </c>
      <c r="IY32" s="485">
        <f t="shared" si="197"/>
        <v>83284.2</v>
      </c>
      <c r="IZ32" s="488" t="e">
        <f t="shared" si="197"/>
        <v>#N/A</v>
      </c>
      <c r="JA32" s="642" t="e">
        <f t="shared" ref="JA32:JU32" si="198">JA13+JA24</f>
        <v>#N/A</v>
      </c>
      <c r="JB32" s="485">
        <f t="shared" si="198"/>
        <v>79152</v>
      </c>
      <c r="JC32" s="485" t="e">
        <f t="shared" si="198"/>
        <v>#N/A</v>
      </c>
      <c r="JD32" s="485" t="e">
        <f t="shared" si="198"/>
        <v>#N/A</v>
      </c>
      <c r="JE32" s="485" t="e">
        <f t="shared" si="198"/>
        <v>#N/A</v>
      </c>
      <c r="JF32" s="485" t="e">
        <f t="shared" si="198"/>
        <v>#N/A</v>
      </c>
      <c r="JG32" s="488" t="e">
        <f t="shared" si="198"/>
        <v>#N/A</v>
      </c>
      <c r="JH32" s="642">
        <f t="shared" si="198"/>
        <v>80662.527264220349</v>
      </c>
      <c r="JI32" s="485" t="e">
        <f t="shared" si="198"/>
        <v>#N/A</v>
      </c>
      <c r="JJ32" s="485" t="e">
        <f t="shared" si="198"/>
        <v>#N/A</v>
      </c>
      <c r="JK32" s="485" t="e">
        <f t="shared" si="198"/>
        <v>#N/A</v>
      </c>
      <c r="JL32" s="485" t="e">
        <f t="shared" si="198"/>
        <v>#N/A</v>
      </c>
      <c r="JM32" s="485" t="e">
        <f t="shared" si="198"/>
        <v>#N/A</v>
      </c>
      <c r="JN32" s="488" t="e">
        <f t="shared" si="198"/>
        <v>#N/A</v>
      </c>
      <c r="JO32" s="642">
        <f t="shared" si="198"/>
        <v>85288.082452532544</v>
      </c>
      <c r="JP32" s="485" t="e">
        <f t="shared" si="198"/>
        <v>#N/A</v>
      </c>
      <c r="JQ32" s="485" t="e">
        <f t="shared" si="198"/>
        <v>#N/A</v>
      </c>
      <c r="JR32" s="485" t="e">
        <f t="shared" si="198"/>
        <v>#N/A</v>
      </c>
      <c r="JS32" s="485">
        <f t="shared" si="198"/>
        <v>0</v>
      </c>
      <c r="JT32" s="485">
        <f t="shared" si="198"/>
        <v>67177.161060837214</v>
      </c>
      <c r="JU32" s="488">
        <f t="shared" si="198"/>
        <v>5046.4973850858978</v>
      </c>
      <c r="JV32" s="642">
        <f t="shared" ref="JV32:KB32" si="199">JV13+JV24</f>
        <v>85288.082452532544</v>
      </c>
      <c r="JW32" s="485" t="e">
        <f t="shared" si="199"/>
        <v>#N/A</v>
      </c>
      <c r="JX32" s="485" t="e">
        <f t="shared" si="199"/>
        <v>#N/A</v>
      </c>
      <c r="JY32" s="485" t="e">
        <f t="shared" si="199"/>
        <v>#N/A</v>
      </c>
      <c r="JZ32" s="485">
        <f t="shared" si="199"/>
        <v>0</v>
      </c>
      <c r="KA32" s="485">
        <f t="shared" si="199"/>
        <v>67177.161060837214</v>
      </c>
      <c r="KB32" s="488">
        <f t="shared" si="199"/>
        <v>5046.4973850858978</v>
      </c>
    </row>
    <row r="33" spans="1:288" ht="15" thickBot="1" x14ac:dyDescent="0.35">
      <c r="A33" s="495" t="s">
        <v>134</v>
      </c>
      <c r="B33" s="124"/>
      <c r="C33" s="45"/>
      <c r="D33" s="45"/>
      <c r="E33" s="45"/>
      <c r="F33" s="45"/>
      <c r="G33" s="45"/>
      <c r="H33" s="123"/>
      <c r="I33" s="124"/>
      <c r="J33" s="45"/>
      <c r="K33" s="45"/>
      <c r="L33" s="45"/>
      <c r="M33" s="45"/>
      <c r="N33" s="45"/>
      <c r="O33" s="123"/>
      <c r="P33" s="124"/>
      <c r="Q33" s="45"/>
      <c r="R33" s="45"/>
      <c r="S33" s="45"/>
      <c r="T33" s="45"/>
      <c r="U33" s="45"/>
      <c r="V33" s="123"/>
      <c r="W33" s="62"/>
      <c r="X33" s="45"/>
      <c r="Y33" s="45"/>
      <c r="Z33" s="45"/>
      <c r="AA33" s="45"/>
      <c r="AB33" s="45"/>
      <c r="AC33" s="48"/>
      <c r="AD33" s="62"/>
      <c r="AE33" s="62"/>
      <c r="AF33" s="45"/>
      <c r="AG33" s="45"/>
      <c r="AH33" s="45"/>
      <c r="AI33" s="45"/>
      <c r="AJ33" s="45"/>
      <c r="AK33" s="141">
        <f t="shared" ref="AK33:BL33" si="200">AK22+AK11</f>
        <v>1600</v>
      </c>
      <c r="AL33" s="142">
        <f t="shared" si="200"/>
        <v>1600</v>
      </c>
      <c r="AM33" s="142">
        <f t="shared" si="200"/>
        <v>1600</v>
      </c>
      <c r="AN33" s="142">
        <f t="shared" si="200"/>
        <v>1600</v>
      </c>
      <c r="AO33" s="142">
        <f t="shared" si="200"/>
        <v>1700</v>
      </c>
      <c r="AP33" s="142">
        <f t="shared" si="200"/>
        <v>1800</v>
      </c>
      <c r="AQ33" s="143">
        <f t="shared" si="200"/>
        <v>410</v>
      </c>
      <c r="AR33" s="141">
        <f t="shared" si="200"/>
        <v>1500</v>
      </c>
      <c r="AS33" s="142">
        <f t="shared" si="200"/>
        <v>1600</v>
      </c>
      <c r="AT33" s="142">
        <f t="shared" si="200"/>
        <v>1600</v>
      </c>
      <c r="AU33" s="142">
        <f t="shared" si="200"/>
        <v>1600</v>
      </c>
      <c r="AV33" s="142">
        <f t="shared" si="200"/>
        <v>1740</v>
      </c>
      <c r="AW33" s="142">
        <f t="shared" si="200"/>
        <v>1815</v>
      </c>
      <c r="AX33" s="143">
        <f t="shared" si="200"/>
        <v>229</v>
      </c>
      <c r="AY33" s="141">
        <f t="shared" si="200"/>
        <v>1790</v>
      </c>
      <c r="AZ33" s="142">
        <f t="shared" si="200"/>
        <v>1705</v>
      </c>
      <c r="BA33" s="142">
        <f t="shared" si="200"/>
        <v>1865</v>
      </c>
      <c r="BB33" s="142">
        <f t="shared" si="200"/>
        <v>900</v>
      </c>
      <c r="BC33" s="142">
        <f t="shared" si="200"/>
        <v>1644</v>
      </c>
      <c r="BD33" s="142">
        <f t="shared" si="200"/>
        <v>1700</v>
      </c>
      <c r="BE33" s="143">
        <f t="shared" si="200"/>
        <v>150</v>
      </c>
      <c r="BF33" s="141">
        <f t="shared" si="200"/>
        <v>1200</v>
      </c>
      <c r="BG33" s="142">
        <f t="shared" si="200"/>
        <v>1300</v>
      </c>
      <c r="BH33" s="142">
        <f t="shared" si="200"/>
        <v>1400</v>
      </c>
      <c r="BI33" s="142">
        <f t="shared" si="200"/>
        <v>1400</v>
      </c>
      <c r="BJ33" s="142">
        <f t="shared" si="200"/>
        <v>1800</v>
      </c>
      <c r="BK33" s="142">
        <f t="shared" si="200"/>
        <v>1550</v>
      </c>
      <c r="BL33" s="143">
        <f t="shared" si="200"/>
        <v>450</v>
      </c>
      <c r="BM33" s="96"/>
      <c r="BN33" s="62"/>
      <c r="BO33" s="45"/>
      <c r="BP33" s="45"/>
      <c r="BQ33" s="45"/>
      <c r="BR33" s="45"/>
      <c r="BS33" s="48"/>
      <c r="BT33" s="141">
        <f t="shared" ref="BT33:CY33" si="201">BT22+BT11</f>
        <v>1360</v>
      </c>
      <c r="BU33" s="142">
        <f t="shared" si="201"/>
        <v>1360</v>
      </c>
      <c r="BV33" s="142">
        <f t="shared" si="201"/>
        <v>1400</v>
      </c>
      <c r="BW33" s="142">
        <f t="shared" si="201"/>
        <v>1500</v>
      </c>
      <c r="BX33" s="142">
        <f t="shared" si="201"/>
        <v>1640</v>
      </c>
      <c r="BY33" s="142">
        <f t="shared" si="201"/>
        <v>1470</v>
      </c>
      <c r="BZ33" s="143">
        <f t="shared" si="201"/>
        <v>190</v>
      </c>
      <c r="CA33" s="141">
        <f t="shared" si="201"/>
        <v>1225</v>
      </c>
      <c r="CB33" s="142">
        <f t="shared" si="201"/>
        <v>1407</v>
      </c>
      <c r="CC33" s="142">
        <f t="shared" si="201"/>
        <v>1284</v>
      </c>
      <c r="CD33" s="142">
        <f t="shared" si="201"/>
        <v>1390</v>
      </c>
      <c r="CE33" s="142">
        <f t="shared" si="201"/>
        <v>1500</v>
      </c>
      <c r="CF33" s="142">
        <f t="shared" si="201"/>
        <v>1265</v>
      </c>
      <c r="CG33" s="143">
        <f t="shared" si="201"/>
        <v>190</v>
      </c>
      <c r="CH33" s="141">
        <f t="shared" si="201"/>
        <v>935</v>
      </c>
      <c r="CI33" s="142">
        <f t="shared" si="201"/>
        <v>1260</v>
      </c>
      <c r="CJ33" s="142">
        <f t="shared" si="201"/>
        <v>1300</v>
      </c>
      <c r="CK33" s="142">
        <f t="shared" si="201"/>
        <v>1390</v>
      </c>
      <c r="CL33" s="142">
        <f t="shared" si="201"/>
        <v>1490</v>
      </c>
      <c r="CM33" s="142">
        <f t="shared" si="201"/>
        <v>1420</v>
      </c>
      <c r="CN33" s="143">
        <f t="shared" si="201"/>
        <v>0</v>
      </c>
      <c r="CO33" s="141">
        <f t="shared" si="201"/>
        <v>930</v>
      </c>
      <c r="CP33" s="142">
        <f t="shared" si="201"/>
        <v>1270</v>
      </c>
      <c r="CQ33" s="142">
        <f t="shared" si="201"/>
        <v>1370</v>
      </c>
      <c r="CR33" s="142">
        <f t="shared" si="201"/>
        <v>1250</v>
      </c>
      <c r="CS33" s="142">
        <f t="shared" si="201"/>
        <v>1350</v>
      </c>
      <c r="CT33" s="142">
        <f t="shared" si="201"/>
        <v>1340</v>
      </c>
      <c r="CU33" s="143">
        <f t="shared" si="201"/>
        <v>90</v>
      </c>
      <c r="CV33" s="141">
        <f t="shared" si="201"/>
        <v>807</v>
      </c>
      <c r="CW33" s="142">
        <f t="shared" si="201"/>
        <v>1180</v>
      </c>
      <c r="CX33" s="142">
        <f t="shared" si="201"/>
        <v>1216</v>
      </c>
      <c r="CY33" s="142">
        <f t="shared" si="201"/>
        <v>1290</v>
      </c>
      <c r="CZ33" s="142">
        <f t="shared" ref="CZ33:EE33" si="202">CZ22+CZ11</f>
        <v>1310</v>
      </c>
      <c r="DA33" s="142">
        <f t="shared" si="202"/>
        <v>1049</v>
      </c>
      <c r="DB33" s="143">
        <f t="shared" si="202"/>
        <v>83</v>
      </c>
      <c r="DC33" s="141">
        <f t="shared" si="202"/>
        <v>809</v>
      </c>
      <c r="DD33" s="142">
        <f t="shared" si="202"/>
        <v>1190</v>
      </c>
      <c r="DE33" s="142">
        <f t="shared" si="202"/>
        <v>1140</v>
      </c>
      <c r="DF33" s="142">
        <f t="shared" si="202"/>
        <v>1190</v>
      </c>
      <c r="DG33" s="142">
        <f t="shared" si="202"/>
        <v>1270</v>
      </c>
      <c r="DH33" s="142">
        <f t="shared" si="202"/>
        <v>1024</v>
      </c>
      <c r="DI33" s="143">
        <f t="shared" si="202"/>
        <v>90</v>
      </c>
      <c r="DJ33" s="141">
        <f t="shared" si="202"/>
        <v>1000</v>
      </c>
      <c r="DK33" s="142">
        <f t="shared" si="202"/>
        <v>0</v>
      </c>
      <c r="DL33" s="142">
        <f t="shared" si="202"/>
        <v>1134</v>
      </c>
      <c r="DM33" s="142">
        <f t="shared" si="202"/>
        <v>1130</v>
      </c>
      <c r="DN33" s="142">
        <f t="shared" si="202"/>
        <v>1500</v>
      </c>
      <c r="DO33" s="142">
        <f t="shared" si="202"/>
        <v>1180</v>
      </c>
      <c r="DP33" s="143">
        <f t="shared" si="202"/>
        <v>90</v>
      </c>
      <c r="DQ33" s="141">
        <f t="shared" si="202"/>
        <v>795</v>
      </c>
      <c r="DR33" s="142">
        <f t="shared" si="202"/>
        <v>1350</v>
      </c>
      <c r="DS33" s="142">
        <f t="shared" si="202"/>
        <v>1350</v>
      </c>
      <c r="DT33" s="142">
        <f t="shared" si="202"/>
        <v>1280</v>
      </c>
      <c r="DU33" s="142">
        <f t="shared" si="202"/>
        <v>1400</v>
      </c>
      <c r="DV33" s="142">
        <f t="shared" si="202"/>
        <v>1320</v>
      </c>
      <c r="DW33" s="143">
        <f t="shared" si="202"/>
        <v>90</v>
      </c>
      <c r="DX33" s="141">
        <f t="shared" si="202"/>
        <v>900</v>
      </c>
      <c r="DY33" s="142">
        <f t="shared" si="202"/>
        <v>1350</v>
      </c>
      <c r="DZ33" s="142">
        <f t="shared" si="202"/>
        <v>1350</v>
      </c>
      <c r="EA33" s="142">
        <f t="shared" si="202"/>
        <v>1350</v>
      </c>
      <c r="EB33" s="142">
        <f t="shared" si="202"/>
        <v>1400</v>
      </c>
      <c r="EC33" s="142">
        <f t="shared" si="202"/>
        <v>1450</v>
      </c>
      <c r="ED33" s="143">
        <f t="shared" si="202"/>
        <v>90</v>
      </c>
      <c r="EE33" s="141">
        <f t="shared" si="202"/>
        <v>850</v>
      </c>
      <c r="EF33" s="142">
        <f t="shared" ref="EF33:FM33" si="203">EF22+EF11</f>
        <v>1250</v>
      </c>
      <c r="EG33" s="142">
        <f t="shared" si="203"/>
        <v>1450</v>
      </c>
      <c r="EH33" s="142">
        <f t="shared" si="203"/>
        <v>1430</v>
      </c>
      <c r="EI33" s="142">
        <f t="shared" si="203"/>
        <v>1350</v>
      </c>
      <c r="EJ33" s="142">
        <f t="shared" si="203"/>
        <v>720</v>
      </c>
      <c r="EK33" s="143">
        <f t="shared" si="203"/>
        <v>0</v>
      </c>
      <c r="EL33" s="141">
        <f t="shared" si="203"/>
        <v>950</v>
      </c>
      <c r="EM33" s="142">
        <f t="shared" si="203"/>
        <v>1190</v>
      </c>
      <c r="EN33" s="142">
        <f t="shared" si="203"/>
        <v>1257</v>
      </c>
      <c r="EO33" s="142">
        <f t="shared" si="203"/>
        <v>1229</v>
      </c>
      <c r="EP33" s="142">
        <f t="shared" si="203"/>
        <v>1250</v>
      </c>
      <c r="EQ33" s="142">
        <f t="shared" si="203"/>
        <v>1330</v>
      </c>
      <c r="ER33" s="143">
        <f t="shared" si="203"/>
        <v>90</v>
      </c>
      <c r="ES33" s="141">
        <f t="shared" si="203"/>
        <v>800</v>
      </c>
      <c r="ET33" s="142">
        <f t="shared" si="203"/>
        <v>1400</v>
      </c>
      <c r="EU33" s="142">
        <f t="shared" si="203"/>
        <v>1300</v>
      </c>
      <c r="EV33" s="142">
        <f t="shared" si="203"/>
        <v>1330</v>
      </c>
      <c r="EW33" s="142">
        <f t="shared" si="203"/>
        <v>1450</v>
      </c>
      <c r="EX33" s="142">
        <f t="shared" si="203"/>
        <v>1320</v>
      </c>
      <c r="EY33" s="530">
        <f t="shared" si="203"/>
        <v>90</v>
      </c>
      <c r="EZ33" s="81">
        <f t="shared" si="203"/>
        <v>950</v>
      </c>
      <c r="FA33" s="81">
        <f t="shared" si="203"/>
        <v>1500</v>
      </c>
      <c r="FB33" s="81">
        <f t="shared" si="203"/>
        <v>1400</v>
      </c>
      <c r="FC33" s="81">
        <f t="shared" si="203"/>
        <v>1239</v>
      </c>
      <c r="FD33" s="81">
        <f t="shared" si="203"/>
        <v>1375</v>
      </c>
      <c r="FE33" s="81">
        <f t="shared" si="203"/>
        <v>1450</v>
      </c>
      <c r="FF33" s="526">
        <f t="shared" si="203"/>
        <v>90</v>
      </c>
      <c r="FG33" s="145">
        <f t="shared" si="203"/>
        <v>950</v>
      </c>
      <c r="FH33" s="145">
        <f t="shared" si="203"/>
        <v>1450</v>
      </c>
      <c r="FI33" s="145">
        <f t="shared" si="203"/>
        <v>1520</v>
      </c>
      <c r="FJ33" s="145">
        <f t="shared" si="203"/>
        <v>1500</v>
      </c>
      <c r="FK33" s="145">
        <f t="shared" si="203"/>
        <v>1520</v>
      </c>
      <c r="FL33" s="145">
        <f t="shared" si="203"/>
        <v>1520</v>
      </c>
      <c r="FM33" s="514">
        <f t="shared" si="203"/>
        <v>90</v>
      </c>
      <c r="FN33" s="145" t="e">
        <f t="shared" ref="FN33:GO33" si="204">FN11+FN22</f>
        <v>#REF!</v>
      </c>
      <c r="FO33" s="145" t="e">
        <f t="shared" si="204"/>
        <v>#REF!</v>
      </c>
      <c r="FP33" s="145">
        <f t="shared" si="204"/>
        <v>1520</v>
      </c>
      <c r="FQ33" s="145">
        <f t="shared" si="204"/>
        <v>1520</v>
      </c>
      <c r="FR33" s="145" t="e">
        <f t="shared" si="204"/>
        <v>#REF!</v>
      </c>
      <c r="FS33" s="145" t="e">
        <f t="shared" si="204"/>
        <v>#REF!</v>
      </c>
      <c r="FT33" s="514" t="e">
        <f t="shared" si="204"/>
        <v>#REF!</v>
      </c>
      <c r="FU33" s="145">
        <f t="shared" si="204"/>
        <v>1000</v>
      </c>
      <c r="FV33" s="145" t="e">
        <f t="shared" si="204"/>
        <v>#REF!</v>
      </c>
      <c r="FW33" s="145" t="e">
        <f t="shared" si="204"/>
        <v>#REF!</v>
      </c>
      <c r="FX33" s="145">
        <f t="shared" si="204"/>
        <v>1420</v>
      </c>
      <c r="FY33" s="145" t="e">
        <f t="shared" si="204"/>
        <v>#REF!</v>
      </c>
      <c r="FZ33" s="145">
        <f t="shared" si="204"/>
        <v>1430</v>
      </c>
      <c r="GA33" s="514" t="e">
        <f t="shared" si="204"/>
        <v>#REF!</v>
      </c>
      <c r="GB33" s="145" t="e">
        <f t="shared" si="204"/>
        <v>#REF!</v>
      </c>
      <c r="GC33" s="145" t="e">
        <f t="shared" si="204"/>
        <v>#REF!</v>
      </c>
      <c r="GD33" s="145" t="e">
        <f t="shared" si="204"/>
        <v>#REF!</v>
      </c>
      <c r="GE33" s="145" t="e">
        <f t="shared" si="204"/>
        <v>#REF!</v>
      </c>
      <c r="GF33" s="145" t="e">
        <f t="shared" si="204"/>
        <v>#REF!</v>
      </c>
      <c r="GG33" s="145" t="e">
        <f t="shared" si="204"/>
        <v>#REF!</v>
      </c>
      <c r="GH33" s="514" t="e">
        <f t="shared" si="204"/>
        <v>#REF!</v>
      </c>
      <c r="GI33" s="145">
        <f t="shared" si="204"/>
        <v>1000</v>
      </c>
      <c r="GJ33" s="145">
        <f t="shared" si="204"/>
        <v>1410</v>
      </c>
      <c r="GK33" s="145">
        <f t="shared" si="204"/>
        <v>1510</v>
      </c>
      <c r="GL33" s="145">
        <f t="shared" si="204"/>
        <v>1460</v>
      </c>
      <c r="GM33" s="145">
        <f t="shared" si="204"/>
        <v>1530</v>
      </c>
      <c r="GN33" s="145">
        <f t="shared" si="204"/>
        <v>1545</v>
      </c>
      <c r="GO33" s="146" t="e">
        <f t="shared" si="204"/>
        <v>#REF!</v>
      </c>
      <c r="GP33" s="145" t="e">
        <f t="shared" ref="GP33:GV33" si="205">GP11+GP22</f>
        <v>#N/A</v>
      </c>
      <c r="GQ33" s="145" t="e">
        <f t="shared" si="205"/>
        <v>#N/A</v>
      </c>
      <c r="GR33" s="145" t="e">
        <f t="shared" si="205"/>
        <v>#N/A</v>
      </c>
      <c r="GS33" s="145" t="e">
        <f t="shared" si="205"/>
        <v>#N/A</v>
      </c>
      <c r="GT33" s="145">
        <f t="shared" si="205"/>
        <v>1600</v>
      </c>
      <c r="GU33" s="145" t="e">
        <f t="shared" si="205"/>
        <v>#N/A</v>
      </c>
      <c r="GV33" s="146" t="e">
        <f t="shared" si="205"/>
        <v>#N/A</v>
      </c>
      <c r="GW33" s="145">
        <f t="shared" ref="GW33:IE33" si="206">GW11+GW22</f>
        <v>1070</v>
      </c>
      <c r="GX33" s="145">
        <f t="shared" si="206"/>
        <v>1500</v>
      </c>
      <c r="GY33" s="145" t="e">
        <f t="shared" si="206"/>
        <v>#N/A</v>
      </c>
      <c r="GZ33" s="145" t="e">
        <f t="shared" si="206"/>
        <v>#N/A</v>
      </c>
      <c r="HA33" s="145" t="e">
        <f t="shared" si="206"/>
        <v>#N/A</v>
      </c>
      <c r="HB33" s="145" t="e">
        <f t="shared" si="206"/>
        <v>#N/A</v>
      </c>
      <c r="HC33" s="146" t="e">
        <f t="shared" si="206"/>
        <v>#N/A</v>
      </c>
      <c r="HD33" s="145" t="e">
        <f t="shared" si="206"/>
        <v>#N/A</v>
      </c>
      <c r="HE33" s="145">
        <f t="shared" si="206"/>
        <v>1590</v>
      </c>
      <c r="HF33" s="145">
        <f t="shared" si="206"/>
        <v>1590</v>
      </c>
      <c r="HG33" s="145">
        <f t="shared" si="206"/>
        <v>1590</v>
      </c>
      <c r="HH33" s="145" t="e">
        <f t="shared" si="206"/>
        <v>#N/A</v>
      </c>
      <c r="HI33" s="145" t="e">
        <f t="shared" si="206"/>
        <v>#N/A</v>
      </c>
      <c r="HJ33" s="146" t="e">
        <f t="shared" si="206"/>
        <v>#N/A</v>
      </c>
      <c r="HK33" s="145" t="e">
        <f t="shared" si="206"/>
        <v>#N/A</v>
      </c>
      <c r="HL33" s="145">
        <f t="shared" si="206"/>
        <v>1650</v>
      </c>
      <c r="HM33" s="145">
        <f t="shared" si="206"/>
        <v>1550</v>
      </c>
      <c r="HN33" s="145" t="e">
        <f t="shared" si="206"/>
        <v>#N/A</v>
      </c>
      <c r="HO33" s="145">
        <f t="shared" si="206"/>
        <v>1420</v>
      </c>
      <c r="HP33" s="145">
        <f t="shared" si="206"/>
        <v>1470</v>
      </c>
      <c r="HQ33" s="146" t="e">
        <f t="shared" si="206"/>
        <v>#N/A</v>
      </c>
      <c r="HR33" s="145" t="e">
        <f t="shared" si="206"/>
        <v>#N/A</v>
      </c>
      <c r="HS33" s="145">
        <f t="shared" si="206"/>
        <v>1550</v>
      </c>
      <c r="HT33" s="145" t="e">
        <f t="shared" si="206"/>
        <v>#N/A</v>
      </c>
      <c r="HU33" s="145">
        <f t="shared" si="206"/>
        <v>1650</v>
      </c>
      <c r="HV33" s="145" t="e">
        <f t="shared" si="206"/>
        <v>#N/A</v>
      </c>
      <c r="HW33" s="145" t="e">
        <f t="shared" si="206"/>
        <v>#N/A</v>
      </c>
      <c r="HX33" s="146" t="e">
        <f t="shared" si="206"/>
        <v>#N/A</v>
      </c>
      <c r="HY33" s="145" t="e">
        <f t="shared" si="206"/>
        <v>#N/A</v>
      </c>
      <c r="HZ33" s="145" t="e">
        <f t="shared" si="206"/>
        <v>#N/A</v>
      </c>
      <c r="IA33" s="145" t="e">
        <f t="shared" si="206"/>
        <v>#N/A</v>
      </c>
      <c r="IB33" s="145" t="e">
        <f t="shared" si="206"/>
        <v>#N/A</v>
      </c>
      <c r="IC33" s="145" t="e">
        <f t="shared" si="206"/>
        <v>#N/A</v>
      </c>
      <c r="ID33" s="145" t="e">
        <f t="shared" si="206"/>
        <v>#N/A</v>
      </c>
      <c r="IE33" s="146" t="e">
        <f t="shared" si="206"/>
        <v>#N/A</v>
      </c>
      <c r="IF33" s="145">
        <f t="shared" ref="IF33:IS33" si="207">IF11+IF22</f>
        <v>1300</v>
      </c>
      <c r="IG33" s="145">
        <f t="shared" si="207"/>
        <v>1700</v>
      </c>
      <c r="IH33" s="145" t="e">
        <f t="shared" si="207"/>
        <v>#N/A</v>
      </c>
      <c r="II33" s="145" t="e">
        <f t="shared" si="207"/>
        <v>#N/A</v>
      </c>
      <c r="IJ33" s="145" t="e">
        <f t="shared" si="207"/>
        <v>#N/A</v>
      </c>
      <c r="IK33" s="145">
        <f t="shared" si="207"/>
        <v>1610</v>
      </c>
      <c r="IL33" s="146" t="e">
        <f t="shared" si="207"/>
        <v>#N/A</v>
      </c>
      <c r="IM33" s="145">
        <f t="shared" si="207"/>
        <v>1439</v>
      </c>
      <c r="IN33" s="145">
        <f t="shared" si="207"/>
        <v>1760</v>
      </c>
      <c r="IO33" s="145" t="e">
        <f t="shared" si="207"/>
        <v>#N/A</v>
      </c>
      <c r="IP33" s="145">
        <f t="shared" si="207"/>
        <v>1720</v>
      </c>
      <c r="IQ33" s="145" t="e">
        <f t="shared" si="207"/>
        <v>#N/A</v>
      </c>
      <c r="IR33" s="145" t="e">
        <f t="shared" si="207"/>
        <v>#N/A</v>
      </c>
      <c r="IS33" s="146" t="e">
        <f t="shared" si="207"/>
        <v>#N/A</v>
      </c>
      <c r="IT33" s="145">
        <f t="shared" ref="IT33:IZ33" si="208">IT11+IT22</f>
        <v>1105</v>
      </c>
      <c r="IU33" s="145" t="e">
        <f t="shared" si="208"/>
        <v>#N/A</v>
      </c>
      <c r="IV33" s="145" t="e">
        <f t="shared" si="208"/>
        <v>#N/A</v>
      </c>
      <c r="IW33" s="145">
        <f t="shared" si="208"/>
        <v>1460</v>
      </c>
      <c r="IX33" s="145">
        <f t="shared" si="208"/>
        <v>1521</v>
      </c>
      <c r="IY33" s="145">
        <f t="shared" si="208"/>
        <v>1590</v>
      </c>
      <c r="IZ33" s="146" t="e">
        <f t="shared" si="208"/>
        <v>#N/A</v>
      </c>
      <c r="JA33" s="145" t="e">
        <f t="shared" ref="JA33:JU33" si="209">JA11+JA22</f>
        <v>#N/A</v>
      </c>
      <c r="JB33" s="145">
        <f t="shared" si="209"/>
        <v>1600</v>
      </c>
      <c r="JC33" s="145" t="e">
        <f t="shared" si="209"/>
        <v>#N/A</v>
      </c>
      <c r="JD33" s="145">
        <f t="shared" si="209"/>
        <v>1550</v>
      </c>
      <c r="JE33" s="145">
        <f t="shared" si="209"/>
        <v>1600</v>
      </c>
      <c r="JF33" s="145" t="e">
        <f t="shared" si="209"/>
        <v>#N/A</v>
      </c>
      <c r="JG33" s="146" t="e">
        <f t="shared" si="209"/>
        <v>#N/A</v>
      </c>
      <c r="JH33" s="145">
        <f t="shared" si="209"/>
        <v>1600</v>
      </c>
      <c r="JI33" s="145" t="e">
        <f t="shared" si="209"/>
        <v>#N/A</v>
      </c>
      <c r="JJ33" s="145" t="e">
        <f t="shared" si="209"/>
        <v>#N/A</v>
      </c>
      <c r="JK33" s="145" t="e">
        <f t="shared" si="209"/>
        <v>#N/A</v>
      </c>
      <c r="JL33" s="145" t="e">
        <f t="shared" si="209"/>
        <v>#N/A</v>
      </c>
      <c r="JM33" s="145" t="e">
        <f t="shared" si="209"/>
        <v>#N/A</v>
      </c>
      <c r="JN33" s="146" t="e">
        <f t="shared" si="209"/>
        <v>#N/A</v>
      </c>
      <c r="JO33" s="145">
        <f t="shared" si="209"/>
        <v>1600</v>
      </c>
      <c r="JP33" s="145" t="e">
        <f t="shared" si="209"/>
        <v>#N/A</v>
      </c>
      <c r="JQ33" s="145" t="e">
        <f t="shared" si="209"/>
        <v>#N/A</v>
      </c>
      <c r="JR33" s="145" t="e">
        <f t="shared" si="209"/>
        <v>#N/A</v>
      </c>
      <c r="JS33" s="145">
        <f t="shared" si="209"/>
        <v>0</v>
      </c>
      <c r="JT33" s="145">
        <f t="shared" si="209"/>
        <v>1270</v>
      </c>
      <c r="JU33" s="146">
        <f t="shared" si="209"/>
        <v>90</v>
      </c>
      <c r="JV33" s="145">
        <f t="shared" ref="JV33:KB33" si="210">JV11+JV22</f>
        <v>1600</v>
      </c>
      <c r="JW33" s="145" t="e">
        <f t="shared" si="210"/>
        <v>#N/A</v>
      </c>
      <c r="JX33" s="145" t="e">
        <f t="shared" si="210"/>
        <v>#N/A</v>
      </c>
      <c r="JY33" s="145" t="e">
        <f t="shared" si="210"/>
        <v>#N/A</v>
      </c>
      <c r="JZ33" s="145">
        <f t="shared" si="210"/>
        <v>0</v>
      </c>
      <c r="KA33" s="145">
        <f t="shared" si="210"/>
        <v>1270</v>
      </c>
      <c r="KB33" s="146">
        <f t="shared" si="210"/>
        <v>90</v>
      </c>
    </row>
    <row r="34" spans="1:288" ht="15" thickBot="1" x14ac:dyDescent="0.35">
      <c r="A34" s="500" t="s">
        <v>135</v>
      </c>
      <c r="B34" s="124"/>
      <c r="C34" s="45"/>
      <c r="D34" s="45"/>
      <c r="E34" s="45"/>
      <c r="F34" s="45"/>
      <c r="G34" s="45"/>
      <c r="H34" s="123"/>
      <c r="I34" s="124"/>
      <c r="J34" s="45"/>
      <c r="K34" s="45"/>
      <c r="L34" s="45"/>
      <c r="M34" s="45"/>
      <c r="N34" s="45"/>
      <c r="O34" s="123"/>
      <c r="P34" s="124"/>
      <c r="Q34" s="45"/>
      <c r="R34" s="45"/>
      <c r="S34" s="45"/>
      <c r="T34" s="45"/>
      <c r="U34" s="45"/>
      <c r="V34" s="123"/>
      <c r="W34" s="62"/>
      <c r="X34" s="45"/>
      <c r="Y34" s="45"/>
      <c r="Z34" s="45"/>
      <c r="AA34" s="45"/>
      <c r="AB34" s="45"/>
      <c r="AC34" s="48"/>
      <c r="AD34" s="62"/>
      <c r="AE34" s="62"/>
      <c r="AF34" s="45"/>
      <c r="AG34" s="45"/>
      <c r="AH34" s="45"/>
      <c r="AI34" s="45"/>
      <c r="AJ34" s="45"/>
      <c r="AK34" s="147">
        <f t="shared" ref="AK34:BL34" si="211">AK32+AK6</f>
        <v>100552</v>
      </c>
      <c r="AL34" s="81">
        <f t="shared" si="211"/>
        <v>107800</v>
      </c>
      <c r="AM34" s="81">
        <f t="shared" si="211"/>
        <v>110280</v>
      </c>
      <c r="AN34" s="81">
        <f t="shared" si="211"/>
        <v>107663</v>
      </c>
      <c r="AO34" s="81">
        <f t="shared" si="211"/>
        <v>113113</v>
      </c>
      <c r="AP34" s="81">
        <f t="shared" si="211"/>
        <v>120980</v>
      </c>
      <c r="AQ34" s="148">
        <f t="shared" si="211"/>
        <v>23780</v>
      </c>
      <c r="AR34" s="147">
        <f t="shared" si="211"/>
        <v>100656</v>
      </c>
      <c r="AS34" s="81">
        <f t="shared" si="211"/>
        <v>102156</v>
      </c>
      <c r="AT34" s="81">
        <f t="shared" si="211"/>
        <v>107106</v>
      </c>
      <c r="AU34" s="81">
        <f t="shared" si="211"/>
        <v>107004</v>
      </c>
      <c r="AV34" s="81">
        <f t="shared" si="211"/>
        <v>116910</v>
      </c>
      <c r="AW34" s="81">
        <f t="shared" si="211"/>
        <v>121623</v>
      </c>
      <c r="AX34" s="148">
        <f t="shared" si="211"/>
        <v>12366</v>
      </c>
      <c r="AY34" s="147">
        <f t="shared" si="211"/>
        <v>107140</v>
      </c>
      <c r="AZ34" s="81">
        <f t="shared" si="211"/>
        <v>95993.7</v>
      </c>
      <c r="BA34" s="81">
        <f t="shared" si="211"/>
        <v>133710</v>
      </c>
      <c r="BB34" s="81">
        <f t="shared" si="211"/>
        <v>49500</v>
      </c>
      <c r="BC34" s="81">
        <f t="shared" si="211"/>
        <v>113256</v>
      </c>
      <c r="BD34" s="81">
        <f t="shared" si="211"/>
        <v>117300</v>
      </c>
      <c r="BE34" s="148">
        <f t="shared" si="211"/>
        <v>8850</v>
      </c>
      <c r="BF34" s="147">
        <f t="shared" si="211"/>
        <v>121362</v>
      </c>
      <c r="BG34" s="81">
        <f t="shared" si="211"/>
        <v>109960</v>
      </c>
      <c r="BH34" s="81">
        <f t="shared" si="211"/>
        <v>122360</v>
      </c>
      <c r="BI34" s="81">
        <f t="shared" si="211"/>
        <v>112140</v>
      </c>
      <c r="BJ34" s="81">
        <f t="shared" si="211"/>
        <v>164416</v>
      </c>
      <c r="BK34" s="81">
        <f t="shared" si="211"/>
        <v>146700</v>
      </c>
      <c r="BL34" s="148">
        <f t="shared" si="211"/>
        <v>27000</v>
      </c>
      <c r="BM34" s="96"/>
      <c r="BN34" s="62"/>
      <c r="BO34" s="45"/>
      <c r="BP34" s="45"/>
      <c r="BQ34" s="45"/>
      <c r="BR34" s="45"/>
      <c r="BS34" s="48"/>
      <c r="BT34" s="152">
        <f t="shared" ref="BT34:CY34" si="212">BT32+BT6</f>
        <v>98920</v>
      </c>
      <c r="BU34" s="153">
        <f t="shared" si="212"/>
        <v>95968</v>
      </c>
      <c r="BV34" s="153">
        <f t="shared" si="212"/>
        <v>96250</v>
      </c>
      <c r="BW34" s="153">
        <f t="shared" si="212"/>
        <v>98100</v>
      </c>
      <c r="BX34" s="153">
        <f t="shared" si="212"/>
        <v>128766</v>
      </c>
      <c r="BY34" s="153">
        <f t="shared" si="212"/>
        <v>112499</v>
      </c>
      <c r="BZ34" s="154">
        <f t="shared" si="212"/>
        <v>10602</v>
      </c>
      <c r="CA34" s="152">
        <f t="shared" si="212"/>
        <v>96033</v>
      </c>
      <c r="CB34" s="153">
        <f t="shared" si="212"/>
        <v>98164</v>
      </c>
      <c r="CC34" s="153">
        <f t="shared" si="212"/>
        <v>91734</v>
      </c>
      <c r="CD34" s="153">
        <f t="shared" si="212"/>
        <v>97460</v>
      </c>
      <c r="CE34" s="153">
        <f t="shared" si="212"/>
        <v>122820</v>
      </c>
      <c r="CF34" s="153">
        <f t="shared" si="212"/>
        <v>110304.5</v>
      </c>
      <c r="CG34" s="154">
        <f t="shared" si="212"/>
        <v>10450</v>
      </c>
      <c r="CH34" s="152">
        <f t="shared" si="212"/>
        <v>73120</v>
      </c>
      <c r="CI34" s="153">
        <f t="shared" si="212"/>
        <v>85110</v>
      </c>
      <c r="CJ34" s="153">
        <f t="shared" si="212"/>
        <v>90850</v>
      </c>
      <c r="CK34" s="153">
        <f t="shared" si="212"/>
        <v>92680</v>
      </c>
      <c r="CL34" s="153">
        <f t="shared" si="212"/>
        <v>113850</v>
      </c>
      <c r="CM34" s="153">
        <f t="shared" si="212"/>
        <v>110070</v>
      </c>
      <c r="CN34" s="154">
        <f t="shared" si="212"/>
        <v>0</v>
      </c>
      <c r="CO34" s="152">
        <f t="shared" si="212"/>
        <v>65510</v>
      </c>
      <c r="CP34" s="153">
        <f t="shared" si="212"/>
        <v>81240</v>
      </c>
      <c r="CQ34" s="153">
        <f t="shared" si="212"/>
        <v>92030</v>
      </c>
      <c r="CR34" s="153">
        <f t="shared" si="212"/>
        <v>87500</v>
      </c>
      <c r="CS34" s="153">
        <f t="shared" si="212"/>
        <v>107850</v>
      </c>
      <c r="CT34" s="153">
        <f t="shared" si="212"/>
        <v>115560</v>
      </c>
      <c r="CU34" s="154">
        <f t="shared" si="212"/>
        <v>4950</v>
      </c>
      <c r="CV34" s="152">
        <f t="shared" si="212"/>
        <v>61560</v>
      </c>
      <c r="CW34" s="153">
        <f t="shared" si="212"/>
        <v>70060</v>
      </c>
      <c r="CX34" s="153">
        <f t="shared" si="212"/>
        <v>82582</v>
      </c>
      <c r="CY34" s="153">
        <f t="shared" si="212"/>
        <v>87930</v>
      </c>
      <c r="CZ34" s="153">
        <f t="shared" ref="CZ34:EE34" si="213">CZ32+CZ6</f>
        <v>108640</v>
      </c>
      <c r="DA34" s="153">
        <f t="shared" si="213"/>
        <v>98092</v>
      </c>
      <c r="DB34" s="154">
        <f t="shared" si="213"/>
        <v>4565</v>
      </c>
      <c r="DC34" s="152">
        <f t="shared" si="213"/>
        <v>66273</v>
      </c>
      <c r="DD34" s="153">
        <f t="shared" si="213"/>
        <v>72340</v>
      </c>
      <c r="DE34" s="153">
        <f t="shared" si="213"/>
        <v>73964</v>
      </c>
      <c r="DF34" s="153">
        <f t="shared" si="213"/>
        <v>82808</v>
      </c>
      <c r="DG34" s="153">
        <f t="shared" si="213"/>
        <v>99580</v>
      </c>
      <c r="DH34" s="153">
        <f t="shared" si="213"/>
        <v>86164</v>
      </c>
      <c r="DI34" s="154">
        <f t="shared" si="213"/>
        <v>4680</v>
      </c>
      <c r="DJ34" s="152">
        <f t="shared" si="213"/>
        <v>74050</v>
      </c>
      <c r="DK34" s="153">
        <f t="shared" si="213"/>
        <v>0</v>
      </c>
      <c r="DL34" s="153">
        <f t="shared" si="213"/>
        <v>77256</v>
      </c>
      <c r="DM34" s="153">
        <f t="shared" si="213"/>
        <v>73400</v>
      </c>
      <c r="DN34" s="153">
        <f t="shared" si="213"/>
        <v>110760</v>
      </c>
      <c r="DO34" s="153">
        <f t="shared" si="213"/>
        <v>94120</v>
      </c>
      <c r="DP34" s="154">
        <f t="shared" si="213"/>
        <v>5220</v>
      </c>
      <c r="DQ34" s="152">
        <f t="shared" si="213"/>
        <v>66635</v>
      </c>
      <c r="DR34" s="153">
        <f t="shared" si="213"/>
        <v>79800</v>
      </c>
      <c r="DS34" s="153">
        <f t="shared" si="213"/>
        <v>89400</v>
      </c>
      <c r="DT34" s="153">
        <f t="shared" si="213"/>
        <v>85760</v>
      </c>
      <c r="DU34" s="153">
        <f t="shared" si="213"/>
        <v>106800</v>
      </c>
      <c r="DV34" s="153">
        <f t="shared" si="213"/>
        <v>105120</v>
      </c>
      <c r="DW34" s="154">
        <f t="shared" si="213"/>
        <v>5130</v>
      </c>
      <c r="DX34" s="152">
        <f t="shared" si="213"/>
        <v>67600</v>
      </c>
      <c r="DY34" s="153">
        <f t="shared" si="213"/>
        <v>87840</v>
      </c>
      <c r="DZ34" s="153">
        <f t="shared" si="213"/>
        <v>89800</v>
      </c>
      <c r="EA34" s="153">
        <f t="shared" si="213"/>
        <v>89550</v>
      </c>
      <c r="EB34" s="153">
        <f t="shared" si="213"/>
        <v>105700</v>
      </c>
      <c r="EC34" s="153">
        <f t="shared" si="213"/>
        <v>110850</v>
      </c>
      <c r="ED34" s="154">
        <f t="shared" si="213"/>
        <v>4680</v>
      </c>
      <c r="EE34" s="152">
        <f t="shared" si="213"/>
        <v>67600</v>
      </c>
      <c r="EF34" s="153">
        <f t="shared" ref="EF34:FK34" si="214">EF32+EF6</f>
        <v>83000</v>
      </c>
      <c r="EG34" s="153">
        <f t="shared" si="214"/>
        <v>95050</v>
      </c>
      <c r="EH34" s="153">
        <f t="shared" si="214"/>
        <v>96000</v>
      </c>
      <c r="EI34" s="153">
        <f t="shared" si="214"/>
        <v>104050</v>
      </c>
      <c r="EJ34" s="153">
        <f t="shared" si="214"/>
        <v>39600</v>
      </c>
      <c r="EK34" s="154">
        <f t="shared" si="214"/>
        <v>0</v>
      </c>
      <c r="EL34" s="152">
        <f t="shared" si="214"/>
        <v>70995.473410882754</v>
      </c>
      <c r="EM34" s="153">
        <f t="shared" si="214"/>
        <v>78791.228448702706</v>
      </c>
      <c r="EN34" s="153">
        <f t="shared" si="214"/>
        <v>82058.719814553086</v>
      </c>
      <c r="EO34" s="153">
        <f t="shared" si="214"/>
        <v>85679</v>
      </c>
      <c r="EP34" s="153">
        <f t="shared" si="214"/>
        <v>109207.29450680691</v>
      </c>
      <c r="EQ34" s="153">
        <f t="shared" si="214"/>
        <v>112150</v>
      </c>
      <c r="ER34" s="154">
        <f t="shared" si="214"/>
        <v>5850</v>
      </c>
      <c r="ES34" s="152">
        <f t="shared" si="214"/>
        <v>63200</v>
      </c>
      <c r="ET34" s="153">
        <f t="shared" si="214"/>
        <v>100850</v>
      </c>
      <c r="EU34" s="153">
        <f t="shared" si="214"/>
        <v>98000</v>
      </c>
      <c r="EV34" s="153">
        <f t="shared" si="214"/>
        <v>96820</v>
      </c>
      <c r="EW34" s="153">
        <f t="shared" si="214"/>
        <v>122748.86673469844</v>
      </c>
      <c r="EX34" s="153">
        <f t="shared" si="214"/>
        <v>105720</v>
      </c>
      <c r="EY34" s="531">
        <f t="shared" si="214"/>
        <v>4950</v>
      </c>
      <c r="EZ34" s="484">
        <f t="shared" si="214"/>
        <v>71000</v>
      </c>
      <c r="FA34" s="484">
        <f t="shared" si="214"/>
        <v>108600</v>
      </c>
      <c r="FB34" s="484">
        <f t="shared" si="214"/>
        <v>106150</v>
      </c>
      <c r="FC34" s="484">
        <f t="shared" si="214"/>
        <v>94406</v>
      </c>
      <c r="FD34" s="484">
        <f t="shared" si="214"/>
        <v>111144.65284864421</v>
      </c>
      <c r="FE34" s="484">
        <f t="shared" si="214"/>
        <v>116200</v>
      </c>
      <c r="FF34" s="527">
        <f t="shared" si="214"/>
        <v>5109.7791595733624</v>
      </c>
      <c r="FG34" s="485">
        <f t="shared" si="214"/>
        <v>68692.676773114508</v>
      </c>
      <c r="FH34" s="485">
        <f t="shared" si="214"/>
        <v>100104</v>
      </c>
      <c r="FI34" s="485">
        <f t="shared" si="214"/>
        <v>109056.13852522118</v>
      </c>
      <c r="FJ34" s="485">
        <f t="shared" si="214"/>
        <v>102394.02440526258</v>
      </c>
      <c r="FK34" s="485">
        <f t="shared" si="214"/>
        <v>119481.66795860798</v>
      </c>
      <c r="FL34" s="485">
        <f t="shared" ref="FL34:FS34" si="215">FL32+FL6</f>
        <v>121957.18250775168</v>
      </c>
      <c r="FM34" s="513">
        <f t="shared" si="215"/>
        <v>5208.7709954682696</v>
      </c>
      <c r="FN34" s="485" t="e">
        <f t="shared" si="215"/>
        <v>#REF!</v>
      </c>
      <c r="FO34" s="485" t="e">
        <f t="shared" si="215"/>
        <v>#REF!</v>
      </c>
      <c r="FP34" s="485" t="e">
        <f t="shared" si="215"/>
        <v>#REF!</v>
      </c>
      <c r="FQ34" s="485" t="e">
        <f t="shared" si="215"/>
        <v>#REF!</v>
      </c>
      <c r="FR34" s="485" t="e">
        <f t="shared" si="215"/>
        <v>#REF!</v>
      </c>
      <c r="FS34" s="485" t="e">
        <f t="shared" si="215"/>
        <v>#REF!</v>
      </c>
      <c r="FT34" s="513">
        <v>5369.8670056373912</v>
      </c>
      <c r="FU34" s="485" t="e">
        <f t="shared" ref="FU34:GO34" si="216">FU32+FU6</f>
        <v>#REF!</v>
      </c>
      <c r="FV34" s="485" t="e">
        <f t="shared" si="216"/>
        <v>#REF!</v>
      </c>
      <c r="FW34" s="485" t="e">
        <f t="shared" si="216"/>
        <v>#REF!</v>
      </c>
      <c r="FX34" s="485" t="e">
        <f t="shared" si="216"/>
        <v>#REF!</v>
      </c>
      <c r="FY34" s="485" t="e">
        <f>FY32+FY6</f>
        <v>#REF!</v>
      </c>
      <c r="FZ34" s="485" t="e">
        <f t="shared" si="216"/>
        <v>#REF!</v>
      </c>
      <c r="GA34" s="513" t="e">
        <f t="shared" si="216"/>
        <v>#REF!</v>
      </c>
      <c r="GB34" s="485" t="e">
        <f t="shared" si="216"/>
        <v>#REF!</v>
      </c>
      <c r="GC34" s="485" t="e">
        <f t="shared" si="216"/>
        <v>#REF!</v>
      </c>
      <c r="GD34" s="485" t="e">
        <f t="shared" si="216"/>
        <v>#REF!</v>
      </c>
      <c r="GE34" s="485" t="e">
        <f t="shared" si="216"/>
        <v>#REF!</v>
      </c>
      <c r="GF34" s="485" t="e">
        <f t="shared" si="216"/>
        <v>#REF!</v>
      </c>
      <c r="GG34" s="485" t="e">
        <f t="shared" si="216"/>
        <v>#REF!</v>
      </c>
      <c r="GH34" s="513" t="e">
        <f t="shared" si="216"/>
        <v>#REF!</v>
      </c>
      <c r="GI34" s="485" t="e">
        <f t="shared" si="216"/>
        <v>#REF!</v>
      </c>
      <c r="GJ34" s="485" t="e">
        <f t="shared" si="216"/>
        <v>#REF!</v>
      </c>
      <c r="GK34" s="485" t="e">
        <f t="shared" si="216"/>
        <v>#REF!</v>
      </c>
      <c r="GL34" s="485" t="e">
        <f t="shared" si="216"/>
        <v>#REF!</v>
      </c>
      <c r="GM34" s="485">
        <f t="shared" si="216"/>
        <v>127137.9</v>
      </c>
      <c r="GN34" s="485" t="e">
        <f t="shared" si="216"/>
        <v>#REF!</v>
      </c>
      <c r="GO34" s="488" t="e">
        <f t="shared" si="216"/>
        <v>#REF!</v>
      </c>
      <c r="GP34" s="485" t="e">
        <f t="shared" ref="GP34:GV34" si="217">GP32+GP6</f>
        <v>#N/A</v>
      </c>
      <c r="GQ34" s="485" t="e">
        <f t="shared" si="217"/>
        <v>#N/A</v>
      </c>
      <c r="GR34" s="485" t="e">
        <f t="shared" si="217"/>
        <v>#N/A</v>
      </c>
      <c r="GS34" s="485" t="e">
        <f t="shared" si="217"/>
        <v>#N/A</v>
      </c>
      <c r="GT34" s="485" t="e">
        <f t="shared" si="217"/>
        <v>#N/A</v>
      </c>
      <c r="GU34" s="485" t="e">
        <f t="shared" si="217"/>
        <v>#N/A</v>
      </c>
      <c r="GV34" s="488" t="e">
        <f t="shared" si="217"/>
        <v>#N/A</v>
      </c>
      <c r="GW34" s="485" t="e">
        <f t="shared" ref="GW34:IE34" si="218">GW32+GW6</f>
        <v>#N/A</v>
      </c>
      <c r="GX34" s="485">
        <f t="shared" si="218"/>
        <v>99279.5</v>
      </c>
      <c r="GY34" s="485" t="e">
        <f t="shared" si="218"/>
        <v>#N/A</v>
      </c>
      <c r="GZ34" s="485" t="e">
        <f t="shared" si="218"/>
        <v>#N/A</v>
      </c>
      <c r="HA34" s="485" t="e">
        <f t="shared" si="218"/>
        <v>#N/A</v>
      </c>
      <c r="HB34" s="485" t="e">
        <f t="shared" si="218"/>
        <v>#N/A</v>
      </c>
      <c r="HC34" s="488" t="e">
        <f t="shared" si="218"/>
        <v>#N/A</v>
      </c>
      <c r="HD34" s="485" t="e">
        <f t="shared" si="218"/>
        <v>#N/A</v>
      </c>
      <c r="HE34" s="485">
        <f t="shared" si="218"/>
        <v>98057.299999999988</v>
      </c>
      <c r="HF34" s="485" t="e">
        <f>HF32+HF6</f>
        <v>#N/A</v>
      </c>
      <c r="HG34" s="485">
        <f>HG32+HG6</f>
        <v>109959.2</v>
      </c>
      <c r="HH34" s="485" t="e">
        <f t="shared" si="218"/>
        <v>#N/A</v>
      </c>
      <c r="HI34" s="485" t="e">
        <f t="shared" si="218"/>
        <v>#N/A</v>
      </c>
      <c r="HJ34" s="488" t="e">
        <f t="shared" si="218"/>
        <v>#N/A</v>
      </c>
      <c r="HK34" s="485" t="e">
        <f t="shared" si="218"/>
        <v>#N/A</v>
      </c>
      <c r="HL34" s="485">
        <f t="shared" si="218"/>
        <v>121104.5</v>
      </c>
      <c r="HM34" s="485">
        <f t="shared" si="218"/>
        <v>116448.49999999999</v>
      </c>
      <c r="HN34" s="485" t="e">
        <f t="shared" si="218"/>
        <v>#N/A</v>
      </c>
      <c r="HO34" s="485">
        <f t="shared" si="218"/>
        <v>130251.6</v>
      </c>
      <c r="HP34" s="485">
        <f t="shared" si="218"/>
        <v>130509.62</v>
      </c>
      <c r="HQ34" s="488" t="e">
        <f t="shared" si="218"/>
        <v>#N/A</v>
      </c>
      <c r="HR34" s="485" t="e">
        <f t="shared" si="218"/>
        <v>#N/A</v>
      </c>
      <c r="HS34" s="485">
        <f t="shared" si="218"/>
        <v>117146.9</v>
      </c>
      <c r="HT34" s="485" t="e">
        <f t="shared" si="218"/>
        <v>#N/A</v>
      </c>
      <c r="HU34" s="485">
        <f t="shared" si="218"/>
        <v>127655.87999999999</v>
      </c>
      <c r="HV34" s="485" t="e">
        <f t="shared" si="218"/>
        <v>#N/A</v>
      </c>
      <c r="HW34" s="485" t="e">
        <f t="shared" si="218"/>
        <v>#N/A</v>
      </c>
      <c r="HX34" s="488" t="e">
        <f t="shared" si="218"/>
        <v>#N/A</v>
      </c>
      <c r="HY34" s="485" t="e">
        <f t="shared" si="218"/>
        <v>#N/A</v>
      </c>
      <c r="HZ34" s="485" t="e">
        <f t="shared" si="218"/>
        <v>#N/A</v>
      </c>
      <c r="IA34" s="485" t="e">
        <f t="shared" si="218"/>
        <v>#N/A</v>
      </c>
      <c r="IB34" s="485" t="e">
        <f t="shared" si="218"/>
        <v>#N/A</v>
      </c>
      <c r="IC34" s="485" t="e">
        <f t="shared" si="218"/>
        <v>#N/A</v>
      </c>
      <c r="ID34" s="485" t="e">
        <f t="shared" si="218"/>
        <v>#N/A</v>
      </c>
      <c r="IE34" s="488" t="e">
        <f t="shared" si="218"/>
        <v>#N/A</v>
      </c>
      <c r="IF34" s="485">
        <f t="shared" ref="IF34:IS34" si="219">IF32+IF6</f>
        <v>95933</v>
      </c>
      <c r="IG34" s="485">
        <f>IG32+IG6</f>
        <v>107039.5</v>
      </c>
      <c r="IH34" s="485" t="e">
        <f t="shared" si="219"/>
        <v>#N/A</v>
      </c>
      <c r="II34" s="485" t="e">
        <f t="shared" si="219"/>
        <v>#N/A</v>
      </c>
      <c r="IJ34" s="485" t="e">
        <f t="shared" si="219"/>
        <v>#N/A</v>
      </c>
      <c r="IK34" s="485">
        <f t="shared" si="219"/>
        <v>142784</v>
      </c>
      <c r="IL34" s="488" t="e">
        <f t="shared" si="219"/>
        <v>#N/A</v>
      </c>
      <c r="IM34" s="485">
        <f t="shared" si="219"/>
        <v>134950.28</v>
      </c>
      <c r="IN34" s="485">
        <f t="shared" si="219"/>
        <v>129941.20000000001</v>
      </c>
      <c r="IO34" s="485" t="e">
        <f t="shared" si="219"/>
        <v>#N/A</v>
      </c>
      <c r="IP34" s="485">
        <f t="shared" si="219"/>
        <v>127409.5</v>
      </c>
      <c r="IQ34" s="485" t="e">
        <f t="shared" si="219"/>
        <v>#N/A</v>
      </c>
      <c r="IR34" s="485" t="e">
        <f t="shared" si="219"/>
        <v>#N/A</v>
      </c>
      <c r="IS34" s="488" t="e">
        <f t="shared" si="219"/>
        <v>#N/A</v>
      </c>
      <c r="IT34" s="485">
        <f t="shared" ref="IT34:IZ34" si="220">IT32+IT6</f>
        <v>90018.91</v>
      </c>
      <c r="IU34" s="485" t="e">
        <f t="shared" si="220"/>
        <v>#N/A</v>
      </c>
      <c r="IV34" s="485" t="e">
        <f t="shared" si="220"/>
        <v>#N/A</v>
      </c>
      <c r="IW34" s="485" t="e">
        <f t="shared" si="220"/>
        <v>#N/A</v>
      </c>
      <c r="IX34" s="485" t="e">
        <f t="shared" si="220"/>
        <v>#N/A</v>
      </c>
      <c r="IY34" s="485" t="e">
        <f t="shared" si="220"/>
        <v>#N/A</v>
      </c>
      <c r="IZ34" s="488" t="e">
        <f t="shared" si="220"/>
        <v>#N/A</v>
      </c>
      <c r="JA34" s="485" t="e">
        <f t="shared" ref="JA34:JU34" si="221">JA32+JA6</f>
        <v>#N/A</v>
      </c>
      <c r="JB34" s="485">
        <f t="shared" si="221"/>
        <v>111380.25</v>
      </c>
      <c r="JC34" s="485" t="e">
        <f t="shared" si="221"/>
        <v>#N/A</v>
      </c>
      <c r="JD34" s="485" t="e">
        <f t="shared" si="221"/>
        <v>#N/A</v>
      </c>
      <c r="JE34" s="485" t="e">
        <f t="shared" si="221"/>
        <v>#N/A</v>
      </c>
      <c r="JF34" s="485" t="e">
        <f t="shared" si="221"/>
        <v>#N/A</v>
      </c>
      <c r="JG34" s="488" t="e">
        <f t="shared" si="221"/>
        <v>#N/A</v>
      </c>
      <c r="JH34" s="485" t="e">
        <f t="shared" si="221"/>
        <v>#N/A</v>
      </c>
      <c r="JI34" s="485" t="e">
        <f t="shared" si="221"/>
        <v>#N/A</v>
      </c>
      <c r="JJ34" s="485" t="e">
        <f t="shared" si="221"/>
        <v>#N/A</v>
      </c>
      <c r="JK34" s="485" t="e">
        <f t="shared" si="221"/>
        <v>#N/A</v>
      </c>
      <c r="JL34" s="485" t="e">
        <f t="shared" si="221"/>
        <v>#N/A</v>
      </c>
      <c r="JM34" s="485" t="e">
        <f t="shared" si="221"/>
        <v>#N/A</v>
      </c>
      <c r="JN34" s="488" t="e">
        <f t="shared" si="221"/>
        <v>#N/A</v>
      </c>
      <c r="JO34" s="485" t="e">
        <f t="shared" si="221"/>
        <v>#N/A</v>
      </c>
      <c r="JP34" s="485" t="e">
        <f t="shared" si="221"/>
        <v>#N/A</v>
      </c>
      <c r="JQ34" s="485" t="e">
        <f t="shared" si="221"/>
        <v>#N/A</v>
      </c>
      <c r="JR34" s="485" t="e">
        <f t="shared" si="221"/>
        <v>#N/A</v>
      </c>
      <c r="JS34" s="485">
        <f t="shared" si="221"/>
        <v>0</v>
      </c>
      <c r="JT34" s="485">
        <f t="shared" si="221"/>
        <v>116327.06106083721</v>
      </c>
      <c r="JU34" s="488">
        <f t="shared" si="221"/>
        <v>5046.4973850858978</v>
      </c>
      <c r="JV34" s="485" t="e">
        <f t="shared" ref="JV34:KB34" si="222">JV32+JV6</f>
        <v>#N/A</v>
      </c>
      <c r="JW34" s="485" t="e">
        <f t="shared" si="222"/>
        <v>#N/A</v>
      </c>
      <c r="JX34" s="485" t="e">
        <f t="shared" si="222"/>
        <v>#N/A</v>
      </c>
      <c r="JY34" s="485" t="e">
        <f t="shared" si="222"/>
        <v>#N/A</v>
      </c>
      <c r="JZ34" s="485">
        <f t="shared" si="222"/>
        <v>0</v>
      </c>
      <c r="KA34" s="485">
        <f t="shared" si="222"/>
        <v>116327.06106083721</v>
      </c>
      <c r="KB34" s="488">
        <f t="shared" si="222"/>
        <v>5046.4973850858978</v>
      </c>
    </row>
    <row r="35" spans="1:288" ht="15" thickBot="1" x14ac:dyDescent="0.35">
      <c r="A35" s="499" t="s">
        <v>136</v>
      </c>
      <c r="B35" s="124">
        <f t="shared" ref="B35:O35" si="223">B22+B11+B4</f>
        <v>1113</v>
      </c>
      <c r="C35" s="45">
        <f t="shared" si="223"/>
        <v>1524</v>
      </c>
      <c r="D35" s="45">
        <f t="shared" si="223"/>
        <v>1832</v>
      </c>
      <c r="E35" s="45">
        <f t="shared" si="223"/>
        <v>1757</v>
      </c>
      <c r="F35" s="45">
        <f t="shared" si="223"/>
        <v>1809</v>
      </c>
      <c r="G35" s="45">
        <f t="shared" si="223"/>
        <v>1768</v>
      </c>
      <c r="H35" s="123">
        <f t="shared" si="223"/>
        <v>453</v>
      </c>
      <c r="I35" s="124">
        <f t="shared" si="223"/>
        <v>1076</v>
      </c>
      <c r="J35" s="45">
        <f t="shared" si="223"/>
        <v>1201</v>
      </c>
      <c r="K35" s="45">
        <f t="shared" si="223"/>
        <v>1644</v>
      </c>
      <c r="L35" s="45">
        <f t="shared" si="223"/>
        <v>1730</v>
      </c>
      <c r="M35" s="45">
        <f t="shared" si="223"/>
        <v>1923</v>
      </c>
      <c r="N35" s="45">
        <f t="shared" si="223"/>
        <v>1828</v>
      </c>
      <c r="O35" s="123">
        <f t="shared" si="223"/>
        <v>400</v>
      </c>
      <c r="P35" s="124"/>
      <c r="Q35" s="45">
        <f t="shared" ref="Q35:AV35" si="224">Q22+Q11+Q4</f>
        <v>1843</v>
      </c>
      <c r="R35" s="45">
        <f t="shared" si="224"/>
        <v>1806</v>
      </c>
      <c r="S35" s="45">
        <f t="shared" si="224"/>
        <v>1749</v>
      </c>
      <c r="T35" s="45">
        <f t="shared" si="224"/>
        <v>1864</v>
      </c>
      <c r="U35" s="45">
        <f t="shared" si="224"/>
        <v>1980</v>
      </c>
      <c r="V35" s="123">
        <f t="shared" si="224"/>
        <v>335</v>
      </c>
      <c r="W35" s="62">
        <f t="shared" si="224"/>
        <v>1535</v>
      </c>
      <c r="X35" s="45">
        <f t="shared" si="224"/>
        <v>1889</v>
      </c>
      <c r="Y35" s="45">
        <f t="shared" si="224"/>
        <v>1585</v>
      </c>
      <c r="Z35" s="45">
        <f t="shared" si="224"/>
        <v>1830</v>
      </c>
      <c r="AA35" s="45">
        <f t="shared" si="224"/>
        <v>1841</v>
      </c>
      <c r="AB35" s="45">
        <f t="shared" si="224"/>
        <v>2090</v>
      </c>
      <c r="AC35" s="48">
        <f t="shared" si="224"/>
        <v>470</v>
      </c>
      <c r="AD35" s="62">
        <f t="shared" si="224"/>
        <v>1720</v>
      </c>
      <c r="AE35" s="62">
        <f t="shared" si="224"/>
        <v>1893</v>
      </c>
      <c r="AF35" s="45">
        <f t="shared" si="224"/>
        <v>2073</v>
      </c>
      <c r="AG35" s="45">
        <f t="shared" si="224"/>
        <v>2070</v>
      </c>
      <c r="AH35" s="45">
        <f t="shared" si="224"/>
        <v>880</v>
      </c>
      <c r="AI35" s="45">
        <f t="shared" si="224"/>
        <v>1940</v>
      </c>
      <c r="AJ35" s="48">
        <f t="shared" si="224"/>
        <v>380</v>
      </c>
      <c r="AK35" s="144">
        <f t="shared" si="224"/>
        <v>1826</v>
      </c>
      <c r="AL35" s="145">
        <f t="shared" si="224"/>
        <v>1950</v>
      </c>
      <c r="AM35" s="145">
        <f t="shared" si="224"/>
        <v>1960</v>
      </c>
      <c r="AN35" s="145">
        <f t="shared" si="224"/>
        <v>1971</v>
      </c>
      <c r="AO35" s="145">
        <f t="shared" si="224"/>
        <v>2021</v>
      </c>
      <c r="AP35" s="145">
        <f t="shared" si="224"/>
        <v>2216</v>
      </c>
      <c r="AQ35" s="146">
        <f t="shared" si="224"/>
        <v>410</v>
      </c>
      <c r="AR35" s="144">
        <f t="shared" si="224"/>
        <v>1878</v>
      </c>
      <c r="AS35" s="145">
        <f t="shared" si="224"/>
        <v>1903</v>
      </c>
      <c r="AT35" s="145">
        <f t="shared" si="224"/>
        <v>2006</v>
      </c>
      <c r="AU35" s="145">
        <f t="shared" si="224"/>
        <v>2004</v>
      </c>
      <c r="AV35" s="145">
        <f t="shared" si="224"/>
        <v>2190</v>
      </c>
      <c r="AW35" s="145">
        <f t="shared" ref="AW35:CB35" si="225">AW22+AW11+AW4</f>
        <v>2278</v>
      </c>
      <c r="AX35" s="146">
        <f t="shared" si="225"/>
        <v>229</v>
      </c>
      <c r="AY35" s="144">
        <f t="shared" si="225"/>
        <v>2150</v>
      </c>
      <c r="AZ35" s="145">
        <f t="shared" si="225"/>
        <v>1979</v>
      </c>
      <c r="BA35" s="145">
        <f t="shared" si="225"/>
        <v>2465</v>
      </c>
      <c r="BB35" s="145">
        <f t="shared" si="225"/>
        <v>900</v>
      </c>
      <c r="BC35" s="145">
        <f t="shared" si="225"/>
        <v>2124</v>
      </c>
      <c r="BD35" s="145">
        <f t="shared" si="225"/>
        <v>2200</v>
      </c>
      <c r="BE35" s="146">
        <f t="shared" si="225"/>
        <v>150</v>
      </c>
      <c r="BF35" s="144">
        <f t="shared" si="225"/>
        <v>1731</v>
      </c>
      <c r="BG35" s="145">
        <f t="shared" si="225"/>
        <v>1620</v>
      </c>
      <c r="BH35" s="145">
        <f t="shared" si="225"/>
        <v>1800</v>
      </c>
      <c r="BI35" s="145">
        <f t="shared" si="225"/>
        <v>1700</v>
      </c>
      <c r="BJ35" s="145">
        <f t="shared" si="225"/>
        <v>2368</v>
      </c>
      <c r="BK35" s="145">
        <f t="shared" si="225"/>
        <v>2150</v>
      </c>
      <c r="BL35" s="146">
        <f t="shared" si="225"/>
        <v>450</v>
      </c>
      <c r="BM35" s="96">
        <f t="shared" si="225"/>
        <v>0</v>
      </c>
      <c r="BN35" s="62">
        <f t="shared" si="225"/>
        <v>1228</v>
      </c>
      <c r="BO35" s="45">
        <f t="shared" si="225"/>
        <v>2090</v>
      </c>
      <c r="BP35" s="45">
        <f t="shared" si="225"/>
        <v>2150</v>
      </c>
      <c r="BQ35" s="45">
        <f t="shared" si="225"/>
        <v>2186</v>
      </c>
      <c r="BR35" s="45">
        <f t="shared" si="225"/>
        <v>1920</v>
      </c>
      <c r="BS35" s="48">
        <f t="shared" si="225"/>
        <v>200</v>
      </c>
      <c r="BT35" s="144">
        <f t="shared" si="225"/>
        <v>1960</v>
      </c>
      <c r="BU35" s="145">
        <f t="shared" si="225"/>
        <v>1792</v>
      </c>
      <c r="BV35" s="145">
        <f t="shared" si="225"/>
        <v>1750</v>
      </c>
      <c r="BW35" s="145">
        <f t="shared" si="225"/>
        <v>1800</v>
      </c>
      <c r="BX35" s="145">
        <f t="shared" si="225"/>
        <v>2290</v>
      </c>
      <c r="BY35" s="145">
        <f t="shared" si="225"/>
        <v>2000</v>
      </c>
      <c r="BZ35" s="146">
        <f t="shared" si="225"/>
        <v>190</v>
      </c>
      <c r="CA35" s="144">
        <f t="shared" si="225"/>
        <v>1883</v>
      </c>
      <c r="CB35" s="145">
        <f t="shared" si="225"/>
        <v>1907</v>
      </c>
      <c r="CC35" s="145">
        <f t="shared" ref="CC35:DH35" si="226">CC22+CC11+CC4</f>
        <v>1698</v>
      </c>
      <c r="CD35" s="145">
        <f t="shared" si="226"/>
        <v>1790</v>
      </c>
      <c r="CE35" s="145">
        <f t="shared" si="226"/>
        <v>2160</v>
      </c>
      <c r="CF35" s="145">
        <f t="shared" si="226"/>
        <v>2065</v>
      </c>
      <c r="CG35" s="146">
        <f t="shared" si="226"/>
        <v>190</v>
      </c>
      <c r="CH35" s="144">
        <f t="shared" si="226"/>
        <v>1435</v>
      </c>
      <c r="CI35" s="145">
        <f t="shared" si="226"/>
        <v>1650</v>
      </c>
      <c r="CJ35" s="145">
        <f t="shared" si="226"/>
        <v>1687</v>
      </c>
      <c r="CK35" s="145">
        <f t="shared" si="226"/>
        <v>1790</v>
      </c>
      <c r="CL35" s="145">
        <f t="shared" si="226"/>
        <v>2120</v>
      </c>
      <c r="CM35" s="145">
        <f t="shared" si="226"/>
        <v>2050</v>
      </c>
      <c r="CN35" s="146">
        <f t="shared" si="226"/>
        <v>0</v>
      </c>
      <c r="CO35" s="144">
        <f t="shared" si="226"/>
        <v>1280</v>
      </c>
      <c r="CP35" s="145">
        <f t="shared" si="226"/>
        <v>1570</v>
      </c>
      <c r="CQ35" s="145">
        <f t="shared" si="226"/>
        <v>1731</v>
      </c>
      <c r="CR35" s="145">
        <f t="shared" si="226"/>
        <v>1650</v>
      </c>
      <c r="CS35" s="145">
        <f t="shared" si="226"/>
        <v>1980</v>
      </c>
      <c r="CT35" s="145">
        <f t="shared" si="226"/>
        <v>2140</v>
      </c>
      <c r="CU35" s="146">
        <f t="shared" si="226"/>
        <v>90</v>
      </c>
      <c r="CV35" s="144">
        <f t="shared" si="226"/>
        <v>1207</v>
      </c>
      <c r="CW35" s="145">
        <f t="shared" si="226"/>
        <v>1452</v>
      </c>
      <c r="CX35" s="145">
        <f t="shared" si="226"/>
        <v>1603</v>
      </c>
      <c r="CY35" s="145">
        <f t="shared" si="226"/>
        <v>1707</v>
      </c>
      <c r="CZ35" s="145">
        <f t="shared" si="226"/>
        <v>2090</v>
      </c>
      <c r="DA35" s="145">
        <f t="shared" si="226"/>
        <v>1831</v>
      </c>
      <c r="DB35" s="146">
        <f t="shared" si="226"/>
        <v>83</v>
      </c>
      <c r="DC35" s="144">
        <f t="shared" si="226"/>
        <v>1324</v>
      </c>
      <c r="DD35" s="145">
        <f t="shared" si="226"/>
        <v>1495</v>
      </c>
      <c r="DE35" s="145">
        <f t="shared" si="226"/>
        <v>1508</v>
      </c>
      <c r="DF35" s="145">
        <f t="shared" si="226"/>
        <v>1626</v>
      </c>
      <c r="DG35" s="145">
        <f t="shared" si="226"/>
        <v>1915</v>
      </c>
      <c r="DH35" s="145">
        <f t="shared" si="226"/>
        <v>1657</v>
      </c>
      <c r="DI35" s="146">
        <f t="shared" ref="DI35:EN35" si="227">DI22+DI11+DI4</f>
        <v>90</v>
      </c>
      <c r="DJ35" s="144">
        <f t="shared" si="227"/>
        <v>1450</v>
      </c>
      <c r="DK35" s="145">
        <f t="shared" si="227"/>
        <v>0</v>
      </c>
      <c r="DL35" s="145">
        <f t="shared" si="227"/>
        <v>1515</v>
      </c>
      <c r="DM35" s="145">
        <f t="shared" si="227"/>
        <v>1435</v>
      </c>
      <c r="DN35" s="145">
        <f t="shared" si="227"/>
        <v>2130</v>
      </c>
      <c r="DO35" s="145">
        <f t="shared" si="227"/>
        <v>1810</v>
      </c>
      <c r="DP35" s="146">
        <f t="shared" si="227"/>
        <v>90</v>
      </c>
      <c r="DQ35" s="144">
        <f t="shared" si="227"/>
        <v>1295</v>
      </c>
      <c r="DR35" s="145">
        <f t="shared" si="227"/>
        <v>1550</v>
      </c>
      <c r="DS35" s="145">
        <f t="shared" si="227"/>
        <v>1750</v>
      </c>
      <c r="DT35" s="145">
        <f t="shared" si="227"/>
        <v>1680</v>
      </c>
      <c r="DU35" s="145">
        <f t="shared" si="227"/>
        <v>1900</v>
      </c>
      <c r="DV35" s="145">
        <f t="shared" si="227"/>
        <v>1920</v>
      </c>
      <c r="DW35" s="146">
        <f t="shared" si="227"/>
        <v>90</v>
      </c>
      <c r="DX35" s="144">
        <f t="shared" si="227"/>
        <v>1300</v>
      </c>
      <c r="DY35" s="145">
        <f t="shared" si="227"/>
        <v>1742</v>
      </c>
      <c r="DZ35" s="145">
        <f t="shared" si="227"/>
        <v>1750</v>
      </c>
      <c r="EA35" s="145">
        <f t="shared" si="227"/>
        <v>1800</v>
      </c>
      <c r="EB35" s="145">
        <f t="shared" si="227"/>
        <v>2030</v>
      </c>
      <c r="EC35" s="145">
        <f t="shared" si="227"/>
        <v>2130</v>
      </c>
      <c r="ED35" s="146">
        <f t="shared" si="227"/>
        <v>90</v>
      </c>
      <c r="EE35" s="144">
        <f t="shared" si="227"/>
        <v>1300</v>
      </c>
      <c r="EF35" s="145">
        <f t="shared" si="227"/>
        <v>1650</v>
      </c>
      <c r="EG35" s="145">
        <f t="shared" si="227"/>
        <v>1950</v>
      </c>
      <c r="EH35" s="145">
        <f t="shared" si="227"/>
        <v>1920</v>
      </c>
      <c r="EI35" s="145">
        <f t="shared" si="227"/>
        <v>2000</v>
      </c>
      <c r="EJ35" s="145">
        <f t="shared" si="227"/>
        <v>720</v>
      </c>
      <c r="EK35" s="146">
        <f t="shared" si="227"/>
        <v>0</v>
      </c>
      <c r="EL35" s="144">
        <f t="shared" si="227"/>
        <v>1400</v>
      </c>
      <c r="EM35" s="145">
        <f t="shared" si="227"/>
        <v>1640</v>
      </c>
      <c r="EN35" s="145">
        <f t="shared" si="227"/>
        <v>1707</v>
      </c>
      <c r="EO35" s="145">
        <f t="shared" ref="EO35:FM35" si="228">EO22+EO11+EO4</f>
        <v>1729</v>
      </c>
      <c r="EP35" s="145">
        <f t="shared" si="228"/>
        <v>2050</v>
      </c>
      <c r="EQ35" s="145">
        <f t="shared" si="228"/>
        <v>2080</v>
      </c>
      <c r="ER35" s="146">
        <f t="shared" si="228"/>
        <v>90</v>
      </c>
      <c r="ES35" s="144">
        <f t="shared" si="228"/>
        <v>1200</v>
      </c>
      <c r="ET35" s="145">
        <f t="shared" si="228"/>
        <v>1950</v>
      </c>
      <c r="EU35" s="145">
        <f t="shared" si="228"/>
        <v>1800</v>
      </c>
      <c r="EV35" s="145">
        <f t="shared" si="228"/>
        <v>1830</v>
      </c>
      <c r="EW35" s="145">
        <f t="shared" si="228"/>
        <v>2300</v>
      </c>
      <c r="EX35" s="145">
        <f t="shared" si="228"/>
        <v>1920</v>
      </c>
      <c r="EY35" s="514">
        <f t="shared" si="228"/>
        <v>90</v>
      </c>
      <c r="EZ35" s="357">
        <f t="shared" si="228"/>
        <v>1350</v>
      </c>
      <c r="FA35" s="145">
        <f t="shared" si="228"/>
        <v>2100</v>
      </c>
      <c r="FB35" s="145">
        <f t="shared" si="228"/>
        <v>1950</v>
      </c>
      <c r="FC35" s="145">
        <f t="shared" si="228"/>
        <v>1789</v>
      </c>
      <c r="FD35" s="145">
        <f t="shared" si="228"/>
        <v>2075</v>
      </c>
      <c r="FE35" s="145">
        <f t="shared" si="228"/>
        <v>2150</v>
      </c>
      <c r="FF35" s="514">
        <f t="shared" si="228"/>
        <v>90</v>
      </c>
      <c r="FG35" s="145">
        <f t="shared" si="228"/>
        <v>1400</v>
      </c>
      <c r="FH35" s="145">
        <f t="shared" si="228"/>
        <v>2100</v>
      </c>
      <c r="FI35" s="145">
        <f t="shared" si="228"/>
        <v>2170</v>
      </c>
      <c r="FJ35" s="145">
        <f t="shared" si="228"/>
        <v>2100</v>
      </c>
      <c r="FK35" s="145">
        <f t="shared" si="228"/>
        <v>2320</v>
      </c>
      <c r="FL35" s="145">
        <f t="shared" si="228"/>
        <v>2370</v>
      </c>
      <c r="FM35" s="514">
        <f t="shared" si="228"/>
        <v>90</v>
      </c>
      <c r="FN35" s="145" t="e">
        <f t="shared" ref="FN35:GO35" si="229">FN33+FN4</f>
        <v>#REF!</v>
      </c>
      <c r="FO35" s="145" t="e">
        <f t="shared" si="229"/>
        <v>#REF!</v>
      </c>
      <c r="FP35" s="145">
        <f t="shared" si="229"/>
        <v>2120</v>
      </c>
      <c r="FQ35" s="145">
        <f t="shared" si="229"/>
        <v>2120</v>
      </c>
      <c r="FR35" s="145" t="e">
        <f t="shared" si="229"/>
        <v>#REF!</v>
      </c>
      <c r="FS35" s="145" t="e">
        <f t="shared" si="229"/>
        <v>#REF!</v>
      </c>
      <c r="FT35" s="514" t="e">
        <f t="shared" si="229"/>
        <v>#REF!</v>
      </c>
      <c r="FU35" s="145">
        <f t="shared" si="229"/>
        <v>1550</v>
      </c>
      <c r="FV35" s="145" t="e">
        <f t="shared" si="229"/>
        <v>#REF!</v>
      </c>
      <c r="FW35" s="145" t="e">
        <f t="shared" si="229"/>
        <v>#REF!</v>
      </c>
      <c r="FX35" s="145">
        <f t="shared" si="229"/>
        <v>1920</v>
      </c>
      <c r="FY35" s="145" t="e">
        <f t="shared" si="229"/>
        <v>#REF!</v>
      </c>
      <c r="FZ35" s="145">
        <f t="shared" si="229"/>
        <v>2280</v>
      </c>
      <c r="GA35" s="514" t="e">
        <f t="shared" si="229"/>
        <v>#REF!</v>
      </c>
      <c r="GB35" s="145" t="e">
        <f t="shared" si="229"/>
        <v>#REF!</v>
      </c>
      <c r="GC35" s="145" t="e">
        <f t="shared" si="229"/>
        <v>#REF!</v>
      </c>
      <c r="GD35" s="145" t="e">
        <f t="shared" si="229"/>
        <v>#REF!</v>
      </c>
      <c r="GE35" s="145" t="e">
        <f t="shared" si="229"/>
        <v>#REF!</v>
      </c>
      <c r="GF35" s="145" t="e">
        <f t="shared" si="229"/>
        <v>#REF!</v>
      </c>
      <c r="GG35" s="145" t="e">
        <f t="shared" si="229"/>
        <v>#REF!</v>
      </c>
      <c r="GH35" s="514" t="e">
        <f t="shared" si="229"/>
        <v>#REF!</v>
      </c>
      <c r="GI35" s="145">
        <f t="shared" si="229"/>
        <v>1670</v>
      </c>
      <c r="GJ35" s="145" t="e">
        <f t="shared" si="229"/>
        <v>#REF!</v>
      </c>
      <c r="GK35" s="145">
        <f t="shared" si="229"/>
        <v>2060</v>
      </c>
      <c r="GL35" s="145">
        <f t="shared" si="229"/>
        <v>2010</v>
      </c>
      <c r="GM35" s="145">
        <f t="shared" si="229"/>
        <v>2480</v>
      </c>
      <c r="GN35" s="145">
        <f t="shared" si="229"/>
        <v>2545</v>
      </c>
      <c r="GO35" s="146" t="e">
        <f t="shared" si="229"/>
        <v>#REF!</v>
      </c>
      <c r="GP35" s="145" t="e">
        <f t="shared" ref="GP35:GV35" si="230">GP33+GP4</f>
        <v>#N/A</v>
      </c>
      <c r="GQ35" s="145" t="e">
        <f t="shared" si="230"/>
        <v>#N/A</v>
      </c>
      <c r="GR35" s="145" t="e">
        <f t="shared" si="230"/>
        <v>#N/A</v>
      </c>
      <c r="GS35" s="145" t="e">
        <f t="shared" si="230"/>
        <v>#N/A</v>
      </c>
      <c r="GT35" s="145">
        <f t="shared" si="230"/>
        <v>2550</v>
      </c>
      <c r="GU35" s="145" t="e">
        <f t="shared" si="230"/>
        <v>#N/A</v>
      </c>
      <c r="GV35" s="146" t="e">
        <f t="shared" si="230"/>
        <v>#N/A</v>
      </c>
      <c r="GW35" s="145">
        <f t="shared" ref="GW35:IE35" si="231">GW33+GW4</f>
        <v>1670</v>
      </c>
      <c r="GX35" s="145">
        <f t="shared" si="231"/>
        <v>2050</v>
      </c>
      <c r="GY35" s="145" t="e">
        <f t="shared" si="231"/>
        <v>#N/A</v>
      </c>
      <c r="GZ35" s="145" t="e">
        <f t="shared" si="231"/>
        <v>#N/A</v>
      </c>
      <c r="HA35" s="145" t="e">
        <f t="shared" si="231"/>
        <v>#N/A</v>
      </c>
      <c r="HB35" s="145" t="e">
        <f t="shared" si="231"/>
        <v>#N/A</v>
      </c>
      <c r="HC35" s="146" t="e">
        <f t="shared" si="231"/>
        <v>#N/A</v>
      </c>
      <c r="HD35" s="145" t="e">
        <f t="shared" si="231"/>
        <v>#N/A</v>
      </c>
      <c r="HE35" s="145">
        <f t="shared" si="231"/>
        <v>1990</v>
      </c>
      <c r="HF35" s="145">
        <f t="shared" si="231"/>
        <v>2240</v>
      </c>
      <c r="HG35" s="145">
        <f t="shared" si="231"/>
        <v>2140</v>
      </c>
      <c r="HH35" s="145" t="e">
        <f t="shared" si="231"/>
        <v>#N/A</v>
      </c>
      <c r="HI35" s="145" t="e">
        <f t="shared" si="231"/>
        <v>#N/A</v>
      </c>
      <c r="HJ35" s="146" t="e">
        <f t="shared" si="231"/>
        <v>#N/A</v>
      </c>
      <c r="HK35" s="145" t="e">
        <f t="shared" si="231"/>
        <v>#N/A</v>
      </c>
      <c r="HL35" s="145">
        <f t="shared" si="231"/>
        <v>2150</v>
      </c>
      <c r="HM35" s="145">
        <f t="shared" si="231"/>
        <v>2000</v>
      </c>
      <c r="HN35" s="145" t="e">
        <f t="shared" si="231"/>
        <v>#N/A</v>
      </c>
      <c r="HO35" s="145">
        <f t="shared" si="231"/>
        <v>2220</v>
      </c>
      <c r="HP35" s="145">
        <f t="shared" si="231"/>
        <v>2320</v>
      </c>
      <c r="HQ35" s="146" t="e">
        <f t="shared" si="231"/>
        <v>#N/A</v>
      </c>
      <c r="HR35" s="145" t="e">
        <f t="shared" si="231"/>
        <v>#N/A</v>
      </c>
      <c r="HS35" s="145">
        <f t="shared" si="231"/>
        <v>2200</v>
      </c>
      <c r="HT35" s="145" t="e">
        <f t="shared" si="231"/>
        <v>#N/A</v>
      </c>
      <c r="HU35" s="145">
        <f t="shared" si="231"/>
        <v>2460</v>
      </c>
      <c r="HV35" s="145" t="e">
        <f t="shared" si="231"/>
        <v>#N/A</v>
      </c>
      <c r="HW35" s="145" t="e">
        <f t="shared" si="231"/>
        <v>#N/A</v>
      </c>
      <c r="HX35" s="146" t="e">
        <f t="shared" si="231"/>
        <v>#N/A</v>
      </c>
      <c r="HY35" s="145" t="e">
        <f t="shared" si="231"/>
        <v>#N/A</v>
      </c>
      <c r="HZ35" s="145" t="e">
        <f t="shared" si="231"/>
        <v>#N/A</v>
      </c>
      <c r="IA35" s="145" t="e">
        <f t="shared" si="231"/>
        <v>#N/A</v>
      </c>
      <c r="IB35" s="145" t="e">
        <f t="shared" si="231"/>
        <v>#N/A</v>
      </c>
      <c r="IC35" s="145" t="e">
        <f t="shared" si="231"/>
        <v>#N/A</v>
      </c>
      <c r="ID35" s="145" t="e">
        <f t="shared" si="231"/>
        <v>#N/A</v>
      </c>
      <c r="IE35" s="146" t="e">
        <f t="shared" si="231"/>
        <v>#N/A</v>
      </c>
      <c r="IF35" s="145">
        <f t="shared" ref="IF35:IS35" si="232">IF33+IF4</f>
        <v>2100</v>
      </c>
      <c r="IG35" s="145">
        <f t="shared" si="232"/>
        <v>2250</v>
      </c>
      <c r="IH35" s="145" t="e">
        <f t="shared" si="232"/>
        <v>#N/A</v>
      </c>
      <c r="II35" s="145" t="e">
        <f t="shared" si="232"/>
        <v>#N/A</v>
      </c>
      <c r="IJ35" s="145" t="e">
        <f t="shared" si="232"/>
        <v>#N/A</v>
      </c>
      <c r="IK35" s="145">
        <f t="shared" si="232"/>
        <v>2760</v>
      </c>
      <c r="IL35" s="146" t="e">
        <f t="shared" si="232"/>
        <v>#N/A</v>
      </c>
      <c r="IM35" s="145">
        <f t="shared" si="232"/>
        <v>2807</v>
      </c>
      <c r="IN35" s="145">
        <f t="shared" si="232"/>
        <v>2664</v>
      </c>
      <c r="IO35" s="145" t="e">
        <f t="shared" si="232"/>
        <v>#N/A</v>
      </c>
      <c r="IP35" s="145">
        <f t="shared" si="232"/>
        <v>2470</v>
      </c>
      <c r="IQ35" s="145" t="e">
        <f t="shared" si="232"/>
        <v>#N/A</v>
      </c>
      <c r="IR35" s="145" t="e">
        <f t="shared" si="232"/>
        <v>#N/A</v>
      </c>
      <c r="IS35" s="146" t="e">
        <f t="shared" si="232"/>
        <v>#N/A</v>
      </c>
      <c r="IT35" s="145">
        <f t="shared" ref="IT35:IZ35" si="233">IT33+IT4</f>
        <v>1904</v>
      </c>
      <c r="IU35" s="145" t="e">
        <f t="shared" si="233"/>
        <v>#N/A</v>
      </c>
      <c r="IV35" s="145" t="e">
        <f t="shared" si="233"/>
        <v>#N/A</v>
      </c>
      <c r="IW35" s="145" t="e">
        <f t="shared" si="233"/>
        <v>#N/A</v>
      </c>
      <c r="IX35" s="145" t="e">
        <f t="shared" si="233"/>
        <v>#N/A</v>
      </c>
      <c r="IY35" s="145" t="e">
        <f t="shared" si="233"/>
        <v>#N/A</v>
      </c>
      <c r="IZ35" s="146" t="e">
        <f t="shared" si="233"/>
        <v>#N/A</v>
      </c>
      <c r="JA35" s="145" t="e">
        <f t="shared" ref="JA35:JU35" si="234">JA33+JA4</f>
        <v>#N/A</v>
      </c>
      <c r="JB35" s="145">
        <f t="shared" si="234"/>
        <v>2350</v>
      </c>
      <c r="JC35" s="145" t="e">
        <f t="shared" si="234"/>
        <v>#N/A</v>
      </c>
      <c r="JD35" s="145">
        <f t="shared" si="234"/>
        <v>2250</v>
      </c>
      <c r="JE35" s="145">
        <f t="shared" si="234"/>
        <v>2650</v>
      </c>
      <c r="JF35" s="145" t="e">
        <f t="shared" si="234"/>
        <v>#N/A</v>
      </c>
      <c r="JG35" s="146" t="e">
        <f t="shared" si="234"/>
        <v>#N/A</v>
      </c>
      <c r="JH35" s="145" t="e">
        <f t="shared" si="234"/>
        <v>#N/A</v>
      </c>
      <c r="JI35" s="145" t="e">
        <f t="shared" si="234"/>
        <v>#N/A</v>
      </c>
      <c r="JJ35" s="145" t="e">
        <f t="shared" si="234"/>
        <v>#N/A</v>
      </c>
      <c r="JK35" s="145" t="e">
        <f t="shared" si="234"/>
        <v>#N/A</v>
      </c>
      <c r="JL35" s="145" t="e">
        <f t="shared" si="234"/>
        <v>#N/A</v>
      </c>
      <c r="JM35" s="145" t="e">
        <f t="shared" si="234"/>
        <v>#N/A</v>
      </c>
      <c r="JN35" s="146" t="e">
        <f t="shared" si="234"/>
        <v>#N/A</v>
      </c>
      <c r="JO35" s="145" t="e">
        <f t="shared" si="234"/>
        <v>#N/A</v>
      </c>
      <c r="JP35" s="145" t="e">
        <f t="shared" si="234"/>
        <v>#N/A</v>
      </c>
      <c r="JQ35" s="145" t="e">
        <f t="shared" si="234"/>
        <v>#N/A</v>
      </c>
      <c r="JR35" s="145" t="e">
        <f t="shared" si="234"/>
        <v>#N/A</v>
      </c>
      <c r="JS35" s="145">
        <f t="shared" si="234"/>
        <v>0</v>
      </c>
      <c r="JT35" s="145">
        <f t="shared" si="234"/>
        <v>2396</v>
      </c>
      <c r="JU35" s="146">
        <f t="shared" si="234"/>
        <v>90</v>
      </c>
      <c r="JV35" s="145" t="e">
        <f t="shared" ref="JV35:KB35" si="235">JV33+JV4</f>
        <v>#N/A</v>
      </c>
      <c r="JW35" s="145" t="e">
        <f t="shared" si="235"/>
        <v>#N/A</v>
      </c>
      <c r="JX35" s="145" t="e">
        <f t="shared" si="235"/>
        <v>#N/A</v>
      </c>
      <c r="JY35" s="145" t="e">
        <f t="shared" si="235"/>
        <v>#N/A</v>
      </c>
      <c r="JZ35" s="145">
        <f t="shared" si="235"/>
        <v>0</v>
      </c>
      <c r="KA35" s="145">
        <f t="shared" si="235"/>
        <v>2396</v>
      </c>
      <c r="KB35" s="146">
        <f t="shared" si="235"/>
        <v>90</v>
      </c>
    </row>
    <row r="36" spans="1:288" ht="15" hidden="1" customHeight="1" x14ac:dyDescent="0.3">
      <c r="A36" s="455" t="s">
        <v>137</v>
      </c>
      <c r="B36" s="124">
        <f t="shared" ref="B36:O36" si="236">B26+B15</f>
        <v>56100</v>
      </c>
      <c r="C36" s="45">
        <f t="shared" si="236"/>
        <v>76912</v>
      </c>
      <c r="D36" s="45">
        <f t="shared" si="236"/>
        <v>92294</v>
      </c>
      <c r="E36" s="45">
        <f t="shared" si="236"/>
        <v>101838</v>
      </c>
      <c r="F36" s="45">
        <f t="shared" si="236"/>
        <v>54007</v>
      </c>
      <c r="G36" s="45">
        <f t="shared" si="236"/>
        <v>0</v>
      </c>
      <c r="H36" s="123">
        <f t="shared" si="236"/>
        <v>30351</v>
      </c>
      <c r="I36" s="124">
        <f t="shared" si="236"/>
        <v>45576</v>
      </c>
      <c r="J36" s="45">
        <f t="shared" si="236"/>
        <v>59577</v>
      </c>
      <c r="K36" s="45">
        <f t="shared" si="236"/>
        <v>86624</v>
      </c>
      <c r="L36" s="45">
        <f t="shared" si="236"/>
        <v>84743</v>
      </c>
      <c r="M36" s="45">
        <f t="shared" si="236"/>
        <v>91825</v>
      </c>
      <c r="N36" s="45">
        <f t="shared" si="236"/>
        <v>88598</v>
      </c>
      <c r="O36" s="123">
        <f t="shared" si="236"/>
        <v>0</v>
      </c>
      <c r="P36" s="124"/>
      <c r="Q36" s="45">
        <f t="shared" ref="Q36:AL36" si="237">Q26+Q15+Q8</f>
        <v>91846</v>
      </c>
      <c r="R36" s="45">
        <f t="shared" si="237"/>
        <v>89208</v>
      </c>
      <c r="S36" s="45">
        <f t="shared" si="237"/>
        <v>84600</v>
      </c>
      <c r="T36" s="45">
        <f t="shared" si="237"/>
        <v>89272</v>
      </c>
      <c r="U36" s="45">
        <f t="shared" si="237"/>
        <v>103377</v>
      </c>
      <c r="V36" s="123">
        <f t="shared" si="237"/>
        <v>15325</v>
      </c>
      <c r="W36" s="62">
        <f t="shared" si="237"/>
        <v>72294</v>
      </c>
      <c r="X36" s="45">
        <f t="shared" si="237"/>
        <v>95312</v>
      </c>
      <c r="Y36" s="45">
        <f t="shared" si="237"/>
        <v>79698</v>
      </c>
      <c r="Z36" s="45">
        <f t="shared" si="237"/>
        <v>100268</v>
      </c>
      <c r="AA36" s="45">
        <f t="shared" si="237"/>
        <v>93131</v>
      </c>
      <c r="AB36" s="45">
        <f t="shared" si="237"/>
        <v>96500</v>
      </c>
      <c r="AC36" s="48">
        <f t="shared" si="237"/>
        <v>0</v>
      </c>
      <c r="AD36" s="62">
        <f t="shared" si="237"/>
        <v>83300</v>
      </c>
      <c r="AE36" s="62">
        <f t="shared" si="237"/>
        <v>95700</v>
      </c>
      <c r="AF36" s="45">
        <f t="shared" si="237"/>
        <v>111018</v>
      </c>
      <c r="AG36" s="45">
        <f t="shared" si="237"/>
        <v>107630</v>
      </c>
      <c r="AH36" s="45">
        <f t="shared" si="237"/>
        <v>47600</v>
      </c>
      <c r="AI36" s="45">
        <f t="shared" si="237"/>
        <v>58512</v>
      </c>
      <c r="AJ36" s="48">
        <f t="shared" si="237"/>
        <v>0</v>
      </c>
      <c r="AK36" s="62">
        <f t="shared" si="237"/>
        <v>89280</v>
      </c>
      <c r="AL36" s="62">
        <f t="shared" si="237"/>
        <v>99712</v>
      </c>
      <c r="AM36" s="45">
        <f>AM26+AM15+AN8</f>
        <v>104224</v>
      </c>
      <c r="AN36" s="45">
        <f t="shared" ref="AN36:BA36" si="238">AN26+AN15+AN8</f>
        <v>105261</v>
      </c>
      <c r="AO36" s="45">
        <f t="shared" si="238"/>
        <v>111136</v>
      </c>
      <c r="AP36" s="45">
        <f t="shared" si="238"/>
        <v>117003</v>
      </c>
      <c r="AQ36" s="45">
        <f t="shared" si="238"/>
        <v>21640</v>
      </c>
      <c r="AR36" s="45">
        <f t="shared" si="238"/>
        <v>95641</v>
      </c>
      <c r="AS36" s="45">
        <f t="shared" si="238"/>
        <v>97246</v>
      </c>
      <c r="AT36" s="45">
        <f t="shared" si="238"/>
        <v>105893</v>
      </c>
      <c r="AU36" s="45">
        <f t="shared" si="238"/>
        <v>105652</v>
      </c>
      <c r="AV36" s="45">
        <f t="shared" si="238"/>
        <v>112500</v>
      </c>
      <c r="AW36" s="45">
        <f t="shared" si="238"/>
        <v>115078</v>
      </c>
      <c r="AX36" s="45">
        <f t="shared" si="238"/>
        <v>12366</v>
      </c>
      <c r="AY36" s="45">
        <f t="shared" si="238"/>
        <v>98652</v>
      </c>
      <c r="AZ36" s="45">
        <f t="shared" si="238"/>
        <v>87466</v>
      </c>
      <c r="BA36" s="45">
        <f t="shared" si="238"/>
        <v>129100</v>
      </c>
      <c r="BB36" s="87"/>
      <c r="BC36" s="45">
        <f t="shared" ref="BC36:BX36" si="239">BC26+BC15+BC8</f>
        <v>105544</v>
      </c>
      <c r="BD36" s="45">
        <f t="shared" si="239"/>
        <v>23300</v>
      </c>
      <c r="BE36" s="48">
        <f t="shared" si="239"/>
        <v>0</v>
      </c>
      <c r="BF36" s="62">
        <f t="shared" si="239"/>
        <v>93696</v>
      </c>
      <c r="BG36" s="62">
        <f t="shared" si="239"/>
        <v>86430</v>
      </c>
      <c r="BH36" s="45">
        <f t="shared" si="239"/>
        <v>97709</v>
      </c>
      <c r="BI36" s="45">
        <f t="shared" si="239"/>
        <v>96181</v>
      </c>
      <c r="BJ36" s="45">
        <f t="shared" si="239"/>
        <v>132097</v>
      </c>
      <c r="BK36" s="45">
        <f t="shared" si="239"/>
        <v>76500</v>
      </c>
      <c r="BL36" s="48">
        <f t="shared" si="239"/>
        <v>22500</v>
      </c>
      <c r="BM36" s="96">
        <f t="shared" si="239"/>
        <v>0</v>
      </c>
      <c r="BN36" s="62">
        <f t="shared" si="239"/>
        <v>56584</v>
      </c>
      <c r="BO36" s="45">
        <f t="shared" si="239"/>
        <v>108242</v>
      </c>
      <c r="BP36" s="45">
        <f t="shared" si="239"/>
        <v>107751</v>
      </c>
      <c r="BQ36" s="45">
        <f t="shared" si="239"/>
        <v>109410</v>
      </c>
      <c r="BR36" s="45">
        <f t="shared" si="239"/>
        <v>100000</v>
      </c>
      <c r="BS36" s="48">
        <f t="shared" si="239"/>
        <v>12156</v>
      </c>
      <c r="BT36" s="104">
        <f t="shared" si="239"/>
        <v>91000</v>
      </c>
      <c r="BU36" s="62">
        <f t="shared" si="239"/>
        <v>89966</v>
      </c>
      <c r="BV36" s="45">
        <f t="shared" si="239"/>
        <v>94844</v>
      </c>
      <c r="BW36" s="45">
        <f t="shared" si="239"/>
        <v>94224</v>
      </c>
      <c r="BX36" s="45">
        <f t="shared" si="239"/>
        <v>120789</v>
      </c>
      <c r="BY36" s="45">
        <f>BY26+BX15+BY8</f>
        <v>101835</v>
      </c>
      <c r="BZ36" s="48">
        <f t="shared" ref="BZ36:CN36" si="240">BZ26+BZ15+BZ8</f>
        <v>9117</v>
      </c>
      <c r="CA36" s="104">
        <f t="shared" si="240"/>
        <v>85798</v>
      </c>
      <c r="CB36" s="62">
        <f t="shared" si="240"/>
        <v>89685</v>
      </c>
      <c r="CC36" s="45">
        <f t="shared" si="240"/>
        <v>89625</v>
      </c>
      <c r="CD36" s="45">
        <f t="shared" si="240"/>
        <v>92944</v>
      </c>
      <c r="CE36" s="45">
        <f t="shared" si="240"/>
        <v>115059</v>
      </c>
      <c r="CF36" s="45">
        <f t="shared" si="240"/>
        <v>67600</v>
      </c>
      <c r="CG36" s="48">
        <f t="shared" si="240"/>
        <v>7631</v>
      </c>
      <c r="CH36" s="104">
        <f t="shared" si="240"/>
        <v>73800</v>
      </c>
      <c r="CI36" s="62">
        <f t="shared" si="240"/>
        <v>83300</v>
      </c>
      <c r="CJ36" s="45">
        <f t="shared" si="240"/>
        <v>85005</v>
      </c>
      <c r="CK36" s="45">
        <f t="shared" si="240"/>
        <v>79100</v>
      </c>
      <c r="CL36" s="45">
        <f t="shared" si="240"/>
        <v>112060</v>
      </c>
      <c r="CM36" s="45">
        <f t="shared" si="240"/>
        <v>104000</v>
      </c>
      <c r="CN36" s="48">
        <f t="shared" si="240"/>
        <v>0</v>
      </c>
      <c r="EY36" s="400"/>
      <c r="FF36" s="400"/>
      <c r="FM36" s="400"/>
      <c r="FT36" s="400"/>
      <c r="GA36" s="400"/>
      <c r="GH36" s="400"/>
      <c r="GO36" s="126"/>
      <c r="GV36" s="126"/>
      <c r="HC36" s="126"/>
      <c r="HJ36" s="126"/>
      <c r="HQ36" s="126"/>
      <c r="HX36" s="126"/>
      <c r="IE36" s="126"/>
      <c r="IF36" s="485">
        <f>IF7*IF5+IF12*IF14+IF25*IF23</f>
        <v>95028</v>
      </c>
      <c r="IG36" s="485">
        <f t="shared" ref="IG36:IK36" si="241">IG7*IG5+IG12*IG14+IG25*IG23</f>
        <v>105221</v>
      </c>
      <c r="IH36" s="485">
        <f t="shared" si="241"/>
        <v>110281</v>
      </c>
      <c r="II36" s="485">
        <f t="shared" si="241"/>
        <v>115579</v>
      </c>
      <c r="IJ36" s="485">
        <f t="shared" si="241"/>
        <v>153092</v>
      </c>
      <c r="IK36" s="485">
        <f t="shared" si="241"/>
        <v>146760</v>
      </c>
      <c r="IL36" s="488"/>
      <c r="IS36" s="126"/>
      <c r="IZ36" s="126"/>
      <c r="JG36" s="126"/>
      <c r="JN36" s="126"/>
      <c r="JU36" s="126"/>
      <c r="KB36" s="126"/>
    </row>
    <row r="37" spans="1:288" ht="15" hidden="1" thickBot="1" x14ac:dyDescent="0.35">
      <c r="A37" s="455" t="s">
        <v>138</v>
      </c>
      <c r="B37" s="124">
        <v>34600</v>
      </c>
      <c r="C37" s="45">
        <v>39700</v>
      </c>
      <c r="D37" s="45">
        <v>39800</v>
      </c>
      <c r="E37" s="45">
        <v>32000</v>
      </c>
      <c r="F37" s="45">
        <v>45200</v>
      </c>
      <c r="G37" s="45">
        <v>35700</v>
      </c>
      <c r="H37" s="123">
        <v>0</v>
      </c>
      <c r="I37" s="124">
        <v>32000</v>
      </c>
      <c r="J37" s="45">
        <v>37500</v>
      </c>
      <c r="K37" s="45">
        <v>33400</v>
      </c>
      <c r="L37" s="45">
        <v>32000</v>
      </c>
      <c r="M37" s="45">
        <v>37500</v>
      </c>
      <c r="N37" s="45">
        <v>33400</v>
      </c>
      <c r="O37" s="123">
        <v>0</v>
      </c>
      <c r="P37" s="124">
        <v>32200</v>
      </c>
      <c r="Q37" s="45">
        <v>39700</v>
      </c>
      <c r="R37" s="45">
        <v>39800</v>
      </c>
      <c r="S37" s="45">
        <v>32000</v>
      </c>
      <c r="T37" s="45">
        <v>45200</v>
      </c>
      <c r="U37" s="45">
        <v>35700</v>
      </c>
      <c r="V37" s="123">
        <v>0</v>
      </c>
      <c r="W37" s="63">
        <v>0</v>
      </c>
      <c r="X37" s="46">
        <v>38000</v>
      </c>
      <c r="Y37" s="46">
        <v>41000</v>
      </c>
      <c r="Z37" s="46">
        <v>38000</v>
      </c>
      <c r="AA37" s="46">
        <v>47000</v>
      </c>
      <c r="AB37" s="46">
        <v>41000</v>
      </c>
      <c r="AC37" s="47">
        <v>0</v>
      </c>
      <c r="AD37" s="63">
        <v>36700</v>
      </c>
      <c r="AE37" s="63">
        <v>48500</v>
      </c>
      <c r="AF37" s="46"/>
      <c r="AG37" s="46">
        <v>37000</v>
      </c>
      <c r="AH37" s="46">
        <v>49000</v>
      </c>
      <c r="AI37" s="46">
        <v>46000</v>
      </c>
      <c r="AJ37" s="47">
        <v>0</v>
      </c>
      <c r="AK37" s="63">
        <v>36700</v>
      </c>
      <c r="AL37" s="63">
        <v>48500</v>
      </c>
      <c r="AM37" s="46"/>
      <c r="AN37" s="46">
        <v>37000</v>
      </c>
      <c r="AO37" s="46">
        <v>49000</v>
      </c>
      <c r="AP37" s="46">
        <v>46000</v>
      </c>
      <c r="AQ37" s="47">
        <v>0</v>
      </c>
      <c r="AR37" s="63">
        <v>36700</v>
      </c>
      <c r="AS37" s="63">
        <v>48500</v>
      </c>
      <c r="AT37" s="46"/>
      <c r="AU37" s="46">
        <v>37000</v>
      </c>
      <c r="AV37" s="46">
        <v>49000</v>
      </c>
      <c r="AW37" s="46">
        <v>46000</v>
      </c>
      <c r="AX37" s="47">
        <v>0</v>
      </c>
      <c r="AY37" s="63">
        <v>36700</v>
      </c>
      <c r="AZ37" s="63">
        <v>48500</v>
      </c>
      <c r="BA37" s="46"/>
      <c r="BB37" s="90"/>
      <c r="BC37" s="46">
        <v>49000</v>
      </c>
      <c r="BD37" s="46">
        <v>46000</v>
      </c>
      <c r="BE37" s="47">
        <v>0</v>
      </c>
      <c r="BF37" s="63">
        <v>36700</v>
      </c>
      <c r="BG37" s="63">
        <v>48500</v>
      </c>
      <c r="BH37" s="46"/>
      <c r="BI37" s="46">
        <v>37000</v>
      </c>
      <c r="BJ37" s="46">
        <v>49000</v>
      </c>
      <c r="BK37" s="46">
        <v>46000</v>
      </c>
      <c r="BL37" s="47">
        <v>0</v>
      </c>
      <c r="BM37" s="100">
        <v>36700</v>
      </c>
      <c r="BN37" s="63">
        <v>48500</v>
      </c>
      <c r="BO37" s="46"/>
      <c r="BP37" s="46">
        <v>37000</v>
      </c>
      <c r="BQ37" s="46">
        <v>49000</v>
      </c>
      <c r="BR37" s="46">
        <v>46000</v>
      </c>
      <c r="BS37" s="47">
        <v>0</v>
      </c>
      <c r="BT37" s="107">
        <v>36700</v>
      </c>
      <c r="BU37" s="63">
        <v>48500</v>
      </c>
      <c r="BV37" s="46"/>
      <c r="BW37" s="46">
        <v>37000</v>
      </c>
      <c r="BX37" s="46">
        <v>49000</v>
      </c>
      <c r="BY37" s="46">
        <v>46000</v>
      </c>
      <c r="BZ37" s="47">
        <v>0</v>
      </c>
      <c r="CA37" s="107">
        <v>36700</v>
      </c>
      <c r="CB37" s="63">
        <v>48500</v>
      </c>
      <c r="CC37" s="46"/>
      <c r="CD37" s="46">
        <v>37000</v>
      </c>
      <c r="CE37" s="46">
        <v>49000</v>
      </c>
      <c r="CF37" s="46">
        <v>46000</v>
      </c>
      <c r="CG37" s="47">
        <v>0</v>
      </c>
      <c r="CH37" s="107">
        <v>36700</v>
      </c>
      <c r="CI37" s="63">
        <v>48500</v>
      </c>
      <c r="CJ37" s="46"/>
      <c r="CK37" s="46">
        <v>37000</v>
      </c>
      <c r="CL37" s="46">
        <v>49000</v>
      </c>
      <c r="CM37" s="46">
        <v>46000</v>
      </c>
      <c r="CN37" s="47">
        <v>0</v>
      </c>
      <c r="EY37" s="400"/>
      <c r="FF37" s="400"/>
      <c r="FM37" s="400"/>
      <c r="FT37" s="400"/>
      <c r="GA37" s="400"/>
      <c r="GH37" s="400"/>
      <c r="GO37" s="126"/>
      <c r="GV37" s="126"/>
      <c r="HC37" s="126"/>
      <c r="HJ37" s="126"/>
      <c r="HQ37" s="126"/>
      <c r="HX37" s="126"/>
      <c r="IE37" s="126"/>
      <c r="IL37" s="126"/>
      <c r="IS37" s="126"/>
      <c r="IZ37" s="126"/>
      <c r="JG37" s="126"/>
      <c r="JN37" s="126"/>
      <c r="JU37" s="126"/>
      <c r="KB37" s="126"/>
    </row>
    <row r="38" spans="1:288" ht="15" hidden="1" thickBot="1" x14ac:dyDescent="0.35">
      <c r="A38" s="456" t="s">
        <v>139</v>
      </c>
      <c r="B38" s="415">
        <f t="shared" ref="B38:G38" si="242">(B32-B37)/B37</f>
        <v>0.76921965317919072</v>
      </c>
      <c r="C38" s="58">
        <f t="shared" si="242"/>
        <v>1.1113350125944585</v>
      </c>
      <c r="D38" s="57">
        <f t="shared" si="242"/>
        <v>1.4856281407035177</v>
      </c>
      <c r="E38" s="57">
        <f t="shared" si="242"/>
        <v>2.0546562499999999</v>
      </c>
      <c r="F38" s="57">
        <f t="shared" si="242"/>
        <v>1.3211725663716813</v>
      </c>
      <c r="G38" s="57">
        <f t="shared" si="242"/>
        <v>1.4761904761904763</v>
      </c>
      <c r="H38" s="416">
        <v>1</v>
      </c>
      <c r="I38" s="415">
        <f t="shared" ref="I38:N38" si="243">(I32-I37)/I37</f>
        <v>0.73296874999999995</v>
      </c>
      <c r="J38" s="58">
        <f t="shared" si="243"/>
        <v>0.8985333333333333</v>
      </c>
      <c r="K38" s="57">
        <f t="shared" si="243"/>
        <v>2.0598802395209579</v>
      </c>
      <c r="L38" s="57">
        <f t="shared" si="243"/>
        <v>2.0843437499999999</v>
      </c>
      <c r="M38" s="57">
        <f t="shared" si="243"/>
        <v>2.0204266666666668</v>
      </c>
      <c r="N38" s="57">
        <f t="shared" si="243"/>
        <v>2.2417065868263473</v>
      </c>
      <c r="O38" s="416">
        <v>1</v>
      </c>
      <c r="P38" s="415"/>
      <c r="Q38" s="58">
        <f>(Q32-Q37)/Q37</f>
        <v>1.7797229219143578</v>
      </c>
      <c r="R38" s="57">
        <f>(R32-R37)/R37</f>
        <v>1.5190954773869347</v>
      </c>
      <c r="S38" s="57">
        <f>(S32-S37)/S37</f>
        <v>2.1060625000000002</v>
      </c>
      <c r="T38" s="57">
        <f>(T32-T37)/T37</f>
        <v>1.327079646017699</v>
      </c>
      <c r="U38" s="57">
        <f>(U32-U37)/U37</f>
        <v>2.1291316526610644</v>
      </c>
      <c r="V38" s="416">
        <v>1</v>
      </c>
      <c r="W38" s="77" t="e">
        <f t="shared" ref="W38:AB38" si="244">(W32-W37)/W37</f>
        <v>#DIV/0!</v>
      </c>
      <c r="X38" s="64">
        <f t="shared" si="244"/>
        <v>1.9595789473684211</v>
      </c>
      <c r="Y38" s="64">
        <f t="shared" si="244"/>
        <v>1.1962926829268292</v>
      </c>
      <c r="Z38" s="64">
        <f t="shared" si="244"/>
        <v>1.6968421052631579</v>
      </c>
      <c r="AA38" s="64">
        <f t="shared" si="244"/>
        <v>1.1872553191489361</v>
      </c>
      <c r="AB38" s="64">
        <f t="shared" si="244"/>
        <v>1.6129268292682928</v>
      </c>
      <c r="AC38" s="65">
        <v>1</v>
      </c>
      <c r="AD38" s="77">
        <f t="shared" ref="AD38:AI38" si="245">(AD32-AD37)/AD37</f>
        <v>1.4277929155313351</v>
      </c>
      <c r="AE38" s="64">
        <f t="shared" si="245"/>
        <v>0.81839175257731955</v>
      </c>
      <c r="AF38" s="64" t="e">
        <f t="shared" si="245"/>
        <v>#DIV/0!</v>
      </c>
      <c r="AG38" s="64">
        <f t="shared" si="245"/>
        <v>1.6464324324324324</v>
      </c>
      <c r="AH38" s="64">
        <f t="shared" si="245"/>
        <v>3.4448979591836737E-2</v>
      </c>
      <c r="AI38" s="64">
        <f t="shared" si="245"/>
        <v>0.88741304347826089</v>
      </c>
      <c r="AJ38" s="65">
        <v>1</v>
      </c>
      <c r="AK38" s="77">
        <f t="shared" ref="AK38:AP38" si="246">(AK32-AK37)/AK37</f>
        <v>1.4196185286103542</v>
      </c>
      <c r="AL38" s="64">
        <f t="shared" si="246"/>
        <v>0.84742268041237112</v>
      </c>
      <c r="AM38" s="64" t="e">
        <f t="shared" si="246"/>
        <v>#DIV/0!</v>
      </c>
      <c r="AN38" s="64">
        <f t="shared" si="246"/>
        <v>1.3783783783783783</v>
      </c>
      <c r="AO38" s="64">
        <f t="shared" si="246"/>
        <v>0.96122448979591835</v>
      </c>
      <c r="AP38" s="64">
        <f t="shared" si="246"/>
        <v>1.1326086956521739</v>
      </c>
      <c r="AQ38" s="65">
        <v>1</v>
      </c>
      <c r="AR38" s="77">
        <f t="shared" ref="AR38:AW38" si="247">(AR32-AR37)/AR37</f>
        <v>1.2070844686648501</v>
      </c>
      <c r="AS38" s="64">
        <f t="shared" si="247"/>
        <v>0.78144329896907216</v>
      </c>
      <c r="AT38" s="64" t="e">
        <f t="shared" si="247"/>
        <v>#DIV/0!</v>
      </c>
      <c r="AU38" s="64">
        <f t="shared" si="247"/>
        <v>1.335135135135135</v>
      </c>
      <c r="AV38" s="64">
        <f t="shared" si="247"/>
        <v>0.91755102040816328</v>
      </c>
      <c r="AW38" s="64">
        <f t="shared" si="247"/>
        <v>1.1306521739130435</v>
      </c>
      <c r="AX38" s="65">
        <v>1</v>
      </c>
      <c r="AY38" s="77">
        <f t="shared" ref="AY38:BD38" si="248">(AY32-AY37)/AY37</f>
        <v>1.438692098092643</v>
      </c>
      <c r="AZ38" s="64">
        <f t="shared" si="248"/>
        <v>0.71203092783505151</v>
      </c>
      <c r="BA38" s="64" t="e">
        <f t="shared" si="248"/>
        <v>#DIV/0!</v>
      </c>
      <c r="BB38" s="91"/>
      <c r="BC38" s="64">
        <f t="shared" si="248"/>
        <v>0.81175510204081636</v>
      </c>
      <c r="BD38" s="64">
        <f t="shared" si="248"/>
        <v>0.9956521739130435</v>
      </c>
      <c r="BE38" s="65">
        <v>1</v>
      </c>
      <c r="BF38" s="77">
        <f t="shared" ref="BF38:BK38" si="249">(BF32-BF37)/BF37</f>
        <v>1.5689645776566759</v>
      </c>
      <c r="BG38" s="64">
        <f t="shared" si="249"/>
        <v>0.9109278350515464</v>
      </c>
      <c r="BH38" s="64" t="e">
        <f t="shared" si="249"/>
        <v>#DIV/0!</v>
      </c>
      <c r="BI38" s="64">
        <f t="shared" si="249"/>
        <v>1.5937837837837838</v>
      </c>
      <c r="BJ38" s="64">
        <f t="shared" si="249"/>
        <v>1.7062857142857142</v>
      </c>
      <c r="BK38" s="64">
        <f t="shared" si="249"/>
        <v>1.5239130434782608</v>
      </c>
      <c r="BL38" s="65">
        <v>1</v>
      </c>
      <c r="BM38" s="101">
        <f t="shared" ref="BM38:BR38" si="250">(BM32-BM37)/BM37</f>
        <v>-1</v>
      </c>
      <c r="BN38" s="64">
        <f t="shared" si="250"/>
        <v>0.21282474226804124</v>
      </c>
      <c r="BO38" s="64" t="e">
        <f>(BO32-BO37)/BO37</f>
        <v>#DIV/0!</v>
      </c>
      <c r="BP38" s="64">
        <f t="shared" si="250"/>
        <v>1.9621621621621621</v>
      </c>
      <c r="BQ38" s="64">
        <f t="shared" si="250"/>
        <v>1.4239183673469389</v>
      </c>
      <c r="BR38" s="64">
        <f t="shared" si="250"/>
        <v>1.2245652173913044</v>
      </c>
      <c r="BS38" s="65">
        <v>1</v>
      </c>
      <c r="BT38" s="108">
        <f t="shared" ref="BT38:BY38" si="251">(BT32-BT37)/BT37</f>
        <v>0.92697547683923709</v>
      </c>
      <c r="BU38" s="64">
        <f t="shared" si="251"/>
        <v>0.54226804123711336</v>
      </c>
      <c r="BV38" s="64" t="e">
        <f t="shared" si="251"/>
        <v>#DIV/0!</v>
      </c>
      <c r="BW38" s="64">
        <f t="shared" si="251"/>
        <v>1.1891891891891893</v>
      </c>
      <c r="BX38" s="64">
        <f t="shared" si="251"/>
        <v>0.88767346938775515</v>
      </c>
      <c r="BY38" s="64">
        <f t="shared" si="251"/>
        <v>0.81193478260869567</v>
      </c>
      <c r="BZ38" s="65">
        <v>1</v>
      </c>
      <c r="CA38" s="108">
        <f t="shared" ref="CA38:CF38" si="252">(CA32-CA37)/CA37</f>
        <v>0.70231607629427795</v>
      </c>
      <c r="CB38" s="64">
        <f t="shared" si="252"/>
        <v>0.50853608247422677</v>
      </c>
      <c r="CC38" s="64" t="e">
        <f t="shared" si="252"/>
        <v>#DIV/0!</v>
      </c>
      <c r="CD38" s="64">
        <f t="shared" si="252"/>
        <v>1.0286486486486486</v>
      </c>
      <c r="CE38" s="64">
        <f t="shared" si="252"/>
        <v>0.80612244897959184</v>
      </c>
      <c r="CF38" s="64">
        <f t="shared" si="252"/>
        <v>0.46575</v>
      </c>
      <c r="CG38" s="65">
        <v>1</v>
      </c>
      <c r="CH38" s="108">
        <f t="shared" ref="CH38:CM38" si="253">(CH32-CH37)/CH37</f>
        <v>0.3247956403269755</v>
      </c>
      <c r="CI38" s="64">
        <f t="shared" si="253"/>
        <v>0.37690721649484538</v>
      </c>
      <c r="CJ38" s="64" t="e">
        <f t="shared" si="253"/>
        <v>#DIV/0!</v>
      </c>
      <c r="CK38" s="64">
        <f t="shared" si="253"/>
        <v>0.95351351351351354</v>
      </c>
      <c r="CL38" s="64">
        <f t="shared" si="253"/>
        <v>0.64204081632653065</v>
      </c>
      <c r="CM38" s="64">
        <f t="shared" si="253"/>
        <v>0.66695652173913045</v>
      </c>
      <c r="CN38" s="65">
        <v>1</v>
      </c>
      <c r="EY38" s="400"/>
      <c r="FF38" s="400"/>
      <c r="FM38" s="400"/>
      <c r="FT38" s="400"/>
      <c r="GA38" s="400"/>
      <c r="GH38" s="400"/>
      <c r="GO38" s="126"/>
      <c r="GV38" s="126"/>
      <c r="HC38" s="126"/>
      <c r="HJ38" s="126"/>
      <c r="HQ38" s="126"/>
      <c r="HX38" s="126"/>
      <c r="IE38" s="126"/>
      <c r="IL38" s="126"/>
      <c r="IS38" s="126"/>
      <c r="IZ38" s="126"/>
      <c r="JG38" s="126"/>
      <c r="JN38" s="126"/>
      <c r="JU38" s="126"/>
      <c r="KB38" s="126"/>
    </row>
    <row r="39" spans="1:288" ht="15" hidden="1" thickBot="1" x14ac:dyDescent="0.35">
      <c r="A39" s="457" t="s">
        <v>140</v>
      </c>
      <c r="B39" s="417">
        <f>(B36-B37)/B37</f>
        <v>0.62138728323699421</v>
      </c>
      <c r="C39" s="59">
        <f>(C36-C37)/C37</f>
        <v>0.93732997481108316</v>
      </c>
      <c r="D39" s="60">
        <f t="shared" ref="D39:O39" si="254">(D36-D37)/D37</f>
        <v>1.3189447236180905</v>
      </c>
      <c r="E39" s="60">
        <f t="shared" si="254"/>
        <v>2.1824374999999998</v>
      </c>
      <c r="F39" s="60">
        <f t="shared" si="254"/>
        <v>0.19484513274336282</v>
      </c>
      <c r="G39" s="60">
        <f t="shared" si="254"/>
        <v>-1</v>
      </c>
      <c r="H39" s="418" t="e">
        <f t="shared" si="254"/>
        <v>#DIV/0!</v>
      </c>
      <c r="I39" s="417">
        <f t="shared" si="254"/>
        <v>0.42425000000000002</v>
      </c>
      <c r="J39" s="59">
        <f t="shared" si="254"/>
        <v>0.58872000000000002</v>
      </c>
      <c r="K39" s="60">
        <f t="shared" si="254"/>
        <v>1.5935329341317366</v>
      </c>
      <c r="L39" s="60">
        <f t="shared" si="254"/>
        <v>1.6482187500000001</v>
      </c>
      <c r="M39" s="60">
        <f t="shared" si="254"/>
        <v>1.4486666666666668</v>
      </c>
      <c r="N39" s="60">
        <f t="shared" si="254"/>
        <v>1.6526347305389222</v>
      </c>
      <c r="O39" s="418" t="e">
        <f t="shared" si="254"/>
        <v>#DIV/0!</v>
      </c>
      <c r="P39" s="417"/>
      <c r="Q39" s="59">
        <f>(Q36-Q37)/Q37</f>
        <v>1.3135012594458437</v>
      </c>
      <c r="R39" s="60">
        <f t="shared" ref="R39:AC39" si="255">(R36-R37)/R37</f>
        <v>1.2414070351758795</v>
      </c>
      <c r="S39" s="60">
        <f t="shared" si="255"/>
        <v>1.64375</v>
      </c>
      <c r="T39" s="60">
        <f t="shared" si="255"/>
        <v>0.97504424778761067</v>
      </c>
      <c r="U39" s="60">
        <f t="shared" si="255"/>
        <v>1.8957142857142857</v>
      </c>
      <c r="V39" s="418" t="e">
        <f t="shared" si="255"/>
        <v>#DIV/0!</v>
      </c>
      <c r="W39" s="59" t="e">
        <f t="shared" si="255"/>
        <v>#DIV/0!</v>
      </c>
      <c r="X39" s="60">
        <f t="shared" si="255"/>
        <v>1.5082105263157894</v>
      </c>
      <c r="Y39" s="60">
        <f t="shared" si="255"/>
        <v>0.94385365853658532</v>
      </c>
      <c r="Z39" s="60">
        <f t="shared" si="255"/>
        <v>1.6386315789473684</v>
      </c>
      <c r="AA39" s="60">
        <f t="shared" si="255"/>
        <v>0.98151063829787233</v>
      </c>
      <c r="AB39" s="60">
        <f t="shared" si="255"/>
        <v>1.3536585365853659</v>
      </c>
      <c r="AC39" s="61" t="e">
        <f t="shared" si="255"/>
        <v>#DIV/0!</v>
      </c>
      <c r="AD39" s="59">
        <f>(AD36-AD37)/AD37</f>
        <v>1.2697547683923707</v>
      </c>
      <c r="AE39" s="60">
        <f>(AE36-AE37)/AE37</f>
        <v>0.97319587628865978</v>
      </c>
      <c r="AF39" s="60" t="e">
        <f t="shared" ref="AF39:AJ39" si="256">(AF36-AF37)/AF37</f>
        <v>#DIV/0!</v>
      </c>
      <c r="AG39" s="60">
        <f t="shared" si="256"/>
        <v>1.9089189189189189</v>
      </c>
      <c r="AH39" s="60">
        <f t="shared" si="256"/>
        <v>-2.8571428571428571E-2</v>
      </c>
      <c r="AI39" s="60">
        <f t="shared" si="256"/>
        <v>0.27200000000000002</v>
      </c>
      <c r="AJ39" s="61" t="e">
        <f t="shared" si="256"/>
        <v>#DIV/0!</v>
      </c>
      <c r="AK39" s="59">
        <f>(AK36-AK37)/AK37</f>
        <v>1.4326975476839237</v>
      </c>
      <c r="AL39" s="60">
        <f>(AL36-AL37)/AL37</f>
        <v>1.0559175257731959</v>
      </c>
      <c r="AM39" s="60" t="e">
        <f t="shared" ref="AM39:AQ39" si="257">(AM36-AM37)/AM37</f>
        <v>#DIV/0!</v>
      </c>
      <c r="AN39" s="60">
        <f t="shared" si="257"/>
        <v>1.844891891891892</v>
      </c>
      <c r="AO39" s="60">
        <f t="shared" si="257"/>
        <v>1.2680816326530613</v>
      </c>
      <c r="AP39" s="60">
        <f t="shared" si="257"/>
        <v>1.5435434782608695</v>
      </c>
      <c r="AQ39" s="61" t="e">
        <f t="shared" si="257"/>
        <v>#DIV/0!</v>
      </c>
      <c r="AR39" s="59">
        <f>(AR36-AR37)/AR37</f>
        <v>1.6060217983651226</v>
      </c>
      <c r="AS39" s="60">
        <f>(AS36-AS37)/AS37</f>
        <v>1.0050721649484535</v>
      </c>
      <c r="AT39" s="60" t="e">
        <f t="shared" ref="AT39:AX39" si="258">(AT36-AT37)/AT37</f>
        <v>#DIV/0!</v>
      </c>
      <c r="AU39" s="60">
        <f t="shared" si="258"/>
        <v>1.8554594594594596</v>
      </c>
      <c r="AV39" s="60">
        <f t="shared" si="258"/>
        <v>1.2959183673469388</v>
      </c>
      <c r="AW39" s="60">
        <f t="shared" si="258"/>
        <v>1.5016956521739131</v>
      </c>
      <c r="AX39" s="61" t="e">
        <f t="shared" si="258"/>
        <v>#DIV/0!</v>
      </c>
      <c r="AY39" s="59">
        <f>(AY36-AY37)/AY37</f>
        <v>1.6880653950953679</v>
      </c>
      <c r="AZ39" s="60">
        <f>(AZ36-AZ37)/AZ37</f>
        <v>0.80342268041237108</v>
      </c>
      <c r="BA39" s="60" t="e">
        <f t="shared" ref="BA39:BE39" si="259">(BA36-BA37)/BA37</f>
        <v>#DIV/0!</v>
      </c>
      <c r="BB39" s="92"/>
      <c r="BC39" s="60">
        <f t="shared" si="259"/>
        <v>1.1539591836734693</v>
      </c>
      <c r="BD39" s="60">
        <f t="shared" si="259"/>
        <v>-0.4934782608695652</v>
      </c>
      <c r="BE39" s="61" t="e">
        <f t="shared" si="259"/>
        <v>#DIV/0!</v>
      </c>
      <c r="BF39" s="59">
        <f>(BF36-BF37)/BF37</f>
        <v>1.5530245231607629</v>
      </c>
      <c r="BG39" s="60">
        <f>(BG36-BG37)/BG37</f>
        <v>0.78206185567010311</v>
      </c>
      <c r="BH39" s="60" t="e">
        <f t="shared" ref="BH39:BL39" si="260">(BH36-BH37)/BH37</f>
        <v>#DIV/0!</v>
      </c>
      <c r="BI39" s="60">
        <f t="shared" si="260"/>
        <v>1.5994864864864864</v>
      </c>
      <c r="BJ39" s="60">
        <f t="shared" si="260"/>
        <v>1.695857142857143</v>
      </c>
      <c r="BK39" s="60">
        <f t="shared" si="260"/>
        <v>0.66304347826086951</v>
      </c>
      <c r="BL39" s="61" t="e">
        <f t="shared" si="260"/>
        <v>#DIV/0!</v>
      </c>
      <c r="BM39" s="102">
        <f>(BM36-BM37)/BM37</f>
        <v>-1</v>
      </c>
      <c r="BN39" s="60">
        <f>(BN36-BN37)/BN37</f>
        <v>0.16668041237113401</v>
      </c>
      <c r="BO39" s="60" t="e">
        <f t="shared" ref="BO39:BS39" si="261">(BO36-BO37)/BO37</f>
        <v>#DIV/0!</v>
      </c>
      <c r="BP39" s="60">
        <f t="shared" si="261"/>
        <v>1.9121891891891891</v>
      </c>
      <c r="BQ39" s="60">
        <f t="shared" si="261"/>
        <v>1.2328571428571429</v>
      </c>
      <c r="BR39" s="60">
        <f t="shared" si="261"/>
        <v>1.173913043478261</v>
      </c>
      <c r="BS39" s="61" t="e">
        <f t="shared" si="261"/>
        <v>#DIV/0!</v>
      </c>
      <c r="BT39" s="109">
        <f>(BT36-BT37)/BT37</f>
        <v>1.4795640326975477</v>
      </c>
      <c r="BU39" s="60">
        <f>(BU36-BU37)/BU37</f>
        <v>0.85496907216494844</v>
      </c>
      <c r="BV39" s="60" t="e">
        <f t="shared" ref="BV39:BZ39" si="262">(BV36-BV37)/BV37</f>
        <v>#DIV/0!</v>
      </c>
      <c r="BW39" s="60">
        <f t="shared" si="262"/>
        <v>1.5465945945945947</v>
      </c>
      <c r="BX39" s="60">
        <f t="shared" si="262"/>
        <v>1.4650816326530611</v>
      </c>
      <c r="BY39" s="60">
        <f t="shared" si="262"/>
        <v>1.2138043478260869</v>
      </c>
      <c r="BZ39" s="61" t="e">
        <f t="shared" si="262"/>
        <v>#DIV/0!</v>
      </c>
      <c r="CA39" s="109">
        <f>(CA36-CA37)/CA37</f>
        <v>1.3378201634877385</v>
      </c>
      <c r="CB39" s="60">
        <f>(CB36-CB37)/CB37</f>
        <v>0.84917525773195879</v>
      </c>
      <c r="CC39" s="60" t="e">
        <f t="shared" ref="CC39:CG39" si="263">(CC36-CC37)/CC37</f>
        <v>#DIV/0!</v>
      </c>
      <c r="CD39" s="60">
        <f t="shared" si="263"/>
        <v>1.512</v>
      </c>
      <c r="CE39" s="60">
        <f t="shared" si="263"/>
        <v>1.3481428571428571</v>
      </c>
      <c r="CF39" s="60">
        <f t="shared" si="263"/>
        <v>0.46956521739130436</v>
      </c>
      <c r="CG39" s="61" t="e">
        <f t="shared" si="263"/>
        <v>#DIV/0!</v>
      </c>
      <c r="CH39" s="109">
        <f>(CH36-CH37)/CH37</f>
        <v>1.0108991825613078</v>
      </c>
      <c r="CI39" s="60">
        <f>(CI36-CI37)/CI37</f>
        <v>0.71752577319587629</v>
      </c>
      <c r="CJ39" s="60" t="e">
        <f t="shared" ref="CJ39:CN39" si="264">(CJ36-CJ37)/CJ37</f>
        <v>#DIV/0!</v>
      </c>
      <c r="CK39" s="60">
        <f t="shared" si="264"/>
        <v>1.1378378378378378</v>
      </c>
      <c r="CL39" s="60">
        <f t="shared" si="264"/>
        <v>1.2869387755102042</v>
      </c>
      <c r="CM39" s="60">
        <f t="shared" si="264"/>
        <v>1.2608695652173914</v>
      </c>
      <c r="CN39" s="61" t="e">
        <f t="shared" si="264"/>
        <v>#DIV/0!</v>
      </c>
      <c r="EY39" s="400"/>
      <c r="FF39" s="400"/>
      <c r="FM39" s="400"/>
      <c r="FT39" s="400"/>
      <c r="GA39" s="400"/>
      <c r="GH39" s="400"/>
      <c r="GO39" s="126"/>
      <c r="GV39" s="126"/>
      <c r="HC39" s="126"/>
      <c r="HJ39" s="126"/>
      <c r="HQ39" s="126"/>
      <c r="HX39" s="126"/>
      <c r="IE39" s="126"/>
      <c r="IL39" s="126"/>
      <c r="IS39" s="126"/>
      <c r="IZ39" s="126"/>
      <c r="JG39" s="126"/>
      <c r="JN39" s="126"/>
      <c r="JU39" s="126"/>
      <c r="KB39" s="126"/>
    </row>
    <row r="40" spans="1:288" ht="15" hidden="1" thickBot="1" x14ac:dyDescent="0.35">
      <c r="A40" s="495"/>
      <c r="B40" s="419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EY40" s="400"/>
      <c r="FF40" s="400"/>
      <c r="FM40" s="400"/>
      <c r="FT40" s="400"/>
      <c r="GA40" s="510"/>
      <c r="GH40" s="400"/>
      <c r="GO40" s="126"/>
      <c r="GV40" s="126"/>
      <c r="HC40" s="126"/>
      <c r="HJ40" s="126"/>
      <c r="HQ40" s="126"/>
      <c r="HX40" s="126"/>
      <c r="IE40" s="126"/>
      <c r="IL40" s="126"/>
      <c r="IS40" s="126"/>
      <c r="IZ40" s="126"/>
      <c r="JG40" s="126"/>
      <c r="JN40" s="126"/>
      <c r="JU40" s="126"/>
      <c r="KB40" s="126"/>
    </row>
    <row r="41" spans="1:288" ht="17.25" customHeight="1" thickBot="1" x14ac:dyDescent="0.35">
      <c r="A41" s="432" t="s">
        <v>141</v>
      </c>
      <c r="B41" s="433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927"/>
      <c r="AM41" s="927"/>
      <c r="AN41" s="927"/>
      <c r="AO41" s="927"/>
      <c r="AP41" s="927"/>
      <c r="AQ41" s="927"/>
      <c r="AR41" s="927"/>
      <c r="AS41" s="927"/>
      <c r="AT41" s="927"/>
      <c r="AU41" s="927"/>
      <c r="AV41" s="927"/>
      <c r="AW41" s="927"/>
      <c r="AX41" s="927"/>
      <c r="AY41" s="927"/>
      <c r="AZ41" s="927"/>
      <c r="BA41" s="927"/>
      <c r="BB41" s="927"/>
      <c r="BC41" s="927"/>
      <c r="BD41" s="927"/>
      <c r="BE41" s="927"/>
      <c r="BF41" s="927"/>
      <c r="BG41" s="927"/>
      <c r="BH41" s="927"/>
      <c r="BI41" s="927"/>
      <c r="BJ41" s="927"/>
      <c r="BK41" s="927"/>
      <c r="BL41" s="927"/>
      <c r="BM41" s="927"/>
      <c r="BN41" s="927"/>
      <c r="BO41" s="927"/>
      <c r="BP41" s="927"/>
      <c r="BQ41" s="927"/>
      <c r="BR41" s="927"/>
      <c r="BS41" s="927"/>
      <c r="BT41" s="927"/>
      <c r="BU41" s="927"/>
      <c r="BV41" s="927"/>
      <c r="BW41" s="927"/>
      <c r="BX41" s="927"/>
      <c r="BY41" s="927"/>
      <c r="BZ41" s="927"/>
      <c r="CA41" s="927"/>
      <c r="CB41" s="927"/>
      <c r="CC41" s="927"/>
      <c r="CD41" s="927"/>
      <c r="CE41" s="927"/>
      <c r="CF41" s="927"/>
      <c r="CG41" s="927"/>
      <c r="CH41" s="927"/>
      <c r="CI41" s="927"/>
      <c r="CJ41" s="927"/>
      <c r="CK41" s="927"/>
      <c r="CL41" s="927"/>
      <c r="CM41" s="927"/>
      <c r="CN41" s="927"/>
      <c r="CO41" s="927"/>
      <c r="CP41" s="927"/>
      <c r="CQ41" s="927"/>
      <c r="CR41" s="927"/>
      <c r="CS41" s="927"/>
      <c r="CT41" s="927"/>
      <c r="CU41" s="927"/>
      <c r="CV41" s="927"/>
      <c r="CW41" s="927"/>
      <c r="CX41" s="927"/>
      <c r="CY41" s="927"/>
      <c r="CZ41" s="927"/>
      <c r="DA41" s="927"/>
      <c r="DB41" s="927"/>
      <c r="DC41" s="927"/>
      <c r="DD41" s="927"/>
      <c r="DE41" s="927"/>
      <c r="DF41" s="927"/>
      <c r="DG41" s="927"/>
      <c r="DH41" s="927"/>
      <c r="DI41" s="927"/>
      <c r="DJ41" s="927"/>
      <c r="DK41" s="927"/>
      <c r="DL41" s="927"/>
      <c r="DM41" s="927"/>
      <c r="DN41" s="927"/>
      <c r="DO41" s="927"/>
      <c r="DP41" s="927"/>
      <c r="DQ41" s="927"/>
      <c r="DR41" s="927"/>
      <c r="DS41" s="927"/>
      <c r="DT41" s="927"/>
      <c r="DU41" s="927"/>
      <c r="DV41" s="927"/>
      <c r="DW41" s="927"/>
      <c r="DX41" s="927"/>
      <c r="DY41" s="927"/>
      <c r="DZ41" s="927"/>
      <c r="EA41" s="927"/>
      <c r="EB41" s="927"/>
      <c r="EC41" s="927"/>
      <c r="ED41" s="927"/>
      <c r="EE41" s="927"/>
      <c r="EF41" s="927"/>
      <c r="EG41" s="927"/>
      <c r="EH41" s="927"/>
      <c r="EI41" s="927"/>
      <c r="EJ41" s="927"/>
      <c r="EK41" s="927"/>
      <c r="EL41" s="927"/>
      <c r="EM41" s="927"/>
      <c r="EN41" s="927"/>
      <c r="EO41" s="927"/>
      <c r="EP41" s="927"/>
      <c r="EQ41" s="927"/>
      <c r="ER41" s="927"/>
      <c r="ES41" s="84"/>
      <c r="ET41" s="84"/>
      <c r="EU41" s="84"/>
      <c r="EV41" s="84"/>
      <c r="EW41" s="84"/>
      <c r="EX41" s="84"/>
      <c r="EY41" s="434"/>
      <c r="EZ41" s="485" t="str">
        <f>IFERROR(INDEX(DB!#REF!,MATCH('Operations Forecast'!EZ2,DB!#REF!),43),"-")</f>
        <v>-</v>
      </c>
      <c r="FA41" s="454" t="str">
        <f>IFERROR(INDEX(DB!#REF!,MATCH('Operations Forecast'!FA2,DB!#REF!),43),"-")</f>
        <v>-</v>
      </c>
      <c r="FB41" s="454" t="str">
        <f>IFERROR(INDEX(DB!#REF!,MATCH('Operations Forecast'!FB2,DB!#REF!),43),"-")</f>
        <v>-</v>
      </c>
      <c r="FC41" s="454" t="str">
        <f>IFERROR(INDEX(DB!#REF!,MATCH('Operations Forecast'!FC2,DB!#REF!),43),"-")</f>
        <v>-</v>
      </c>
      <c r="FD41" s="454" t="str">
        <f>IFERROR(INDEX(DB!#REF!,MATCH('Operations Forecast'!FD2,DB!#REF!),43),"-")</f>
        <v>-</v>
      </c>
      <c r="FE41" s="454" t="str">
        <f>IFERROR(INDEX(DB!#REF!,MATCH('Operations Forecast'!FE2,DB!#REF!),43),"-")</f>
        <v>-</v>
      </c>
      <c r="FF41" s="454" t="str">
        <f>IFERROR(INDEX(DB!#REF!,MATCH('Operations Forecast'!FF2,DB!#REF!),43),"-")</f>
        <v>-</v>
      </c>
      <c r="FG41" s="532" t="str">
        <f>IFERROR(INDEX(DB!#REF!,MATCH('Operations Forecast'!FG2,DB!#REF!),43),"-")</f>
        <v>-</v>
      </c>
      <c r="FH41" s="485" t="str">
        <f>IFERROR(INDEX(DB!#REF!,MATCH('Operations Forecast'!FH2,DB!#REF!),43),"-")</f>
        <v>-</v>
      </c>
      <c r="FI41" s="485" t="str">
        <f>IFERROR(INDEX(DB!#REF!,MATCH('Operations Forecast'!FI2,DB!#REF!),43),"-")</f>
        <v>-</v>
      </c>
      <c r="FJ41" s="485" t="str">
        <f>IFERROR(INDEX(DB!#REF!,MATCH('Operations Forecast'!FJ2,DB!#REF!),43),"-")</f>
        <v>-</v>
      </c>
      <c r="FK41" s="485" t="str">
        <f>IFERROR(INDEX(DB!#REF!,MATCH('Operations Forecast'!FK2,DB!#REF!),43),"-")</f>
        <v>-</v>
      </c>
      <c r="FL41" s="485" t="str">
        <f>IFERROR(INDEX(DB!#REF!,MATCH('Operations Forecast'!FL2,DB!#REF!),43),"-")</f>
        <v>-</v>
      </c>
      <c r="FM41" s="485" t="str">
        <f>IFERROR(INDEX(DB!#REF!,MATCH('Operations Forecast'!FM2,DB!#REF!),43),"-")</f>
        <v>-</v>
      </c>
      <c r="FN41" s="532">
        <v>130000</v>
      </c>
      <c r="FO41" s="485">
        <v>110000</v>
      </c>
      <c r="FP41" s="485">
        <v>105000</v>
      </c>
      <c r="FQ41" s="485">
        <v>82000</v>
      </c>
      <c r="FR41" s="485">
        <v>80000</v>
      </c>
      <c r="FS41" s="485" t="str">
        <f>IFERROR(INDEX(DB!#REF!,MATCH('Operations Forecast'!FS2,DB!#REF!),43),"-")</f>
        <v>-</v>
      </c>
      <c r="FT41" s="485" t="str">
        <f>IFERROR(INDEX(DB!#REF!,MATCH('Operations Forecast'!FT2,DB!#REF!),43),"-")</f>
        <v>-</v>
      </c>
      <c r="FU41" s="532">
        <v>160000</v>
      </c>
      <c r="FV41" s="454">
        <v>100000</v>
      </c>
      <c r="FW41" s="454">
        <v>110000</v>
      </c>
      <c r="FX41" s="454">
        <v>93000</v>
      </c>
      <c r="FY41" s="454">
        <v>85000</v>
      </c>
      <c r="FZ41" s="454">
        <v>73000</v>
      </c>
      <c r="GA41" s="454" t="str">
        <f>IFERROR(INDEX(DB!#REF!,MATCH('Operations Forecast'!GA2,DB!#REF!),43),"-")</f>
        <v>-</v>
      </c>
      <c r="GB41" s="532">
        <v>130000</v>
      </c>
      <c r="GC41" s="454">
        <v>120000</v>
      </c>
      <c r="GD41" s="454">
        <v>122000</v>
      </c>
      <c r="GE41" s="454">
        <v>100000</v>
      </c>
      <c r="GF41" s="454" t="str">
        <f>IFERROR(INDEX(DB!#REF!,MATCH('Operations Forecast'!GF2,DB!#REF!),43),"-")</f>
        <v>-</v>
      </c>
      <c r="GG41" s="454">
        <v>75000</v>
      </c>
      <c r="GH41" s="534" t="str">
        <f>IFERROR(INDEX(DB!#REF!,MATCH('Operations Forecast'!GH2,DB!#REF!),43),"-")</f>
        <v>-</v>
      </c>
      <c r="GI41" s="454">
        <v>117000</v>
      </c>
      <c r="GJ41" s="454">
        <v>130000</v>
      </c>
      <c r="GK41" s="454">
        <v>120000</v>
      </c>
      <c r="GL41" s="454">
        <v>100000</v>
      </c>
      <c r="GM41" s="454" t="str">
        <f>IFERROR(INDEX(DB!#REF!,MATCH('Operations Forecast'!GM2,DB!#REF!),43),"-")</f>
        <v>-</v>
      </c>
      <c r="GN41" s="454" t="str">
        <f>IFERROR(INDEX(DB!#REF!,MATCH('Operations Forecast'!GN2,DB!#REF!),43),"-")</f>
        <v>-</v>
      </c>
      <c r="GO41" s="535" t="str">
        <f>IFERROR(INDEX(DB!#REF!,MATCH('Operations Forecast'!GO2,DB!#REF!),43),"-")</f>
        <v>-</v>
      </c>
      <c r="GP41" s="454" t="str">
        <f>IFERROR(INDEX(DB!$3:$84,MATCH('Operations Forecast'!GP2,DB!$D$3:$D$84),43),"-")</f>
        <v>-</v>
      </c>
      <c r="GQ41" s="454" t="str">
        <f>IFERROR(INDEX(DB!$3:$84,MATCH('Operations Forecast'!GQ2,DB!$D$3:$D$84),43),"-")</f>
        <v>-</v>
      </c>
      <c r="GR41" s="454" t="str">
        <f>IFERROR(INDEX(DB!$3:$84,MATCH('Operations Forecast'!GR2,DB!$D$3:$D$84),43),"-")</f>
        <v>-</v>
      </c>
      <c r="GS41" s="454" t="str">
        <f>IFERROR(INDEX(DB!$3:$84,MATCH('Operations Forecast'!GS2,DB!$D$3:$D$84),43),"-")</f>
        <v>-</v>
      </c>
      <c r="GT41" s="454" t="str">
        <f>IFERROR(INDEX(DB!$3:$84,MATCH('Operations Forecast'!GT2,DB!$D$3:$D$84),43),"-")</f>
        <v>-</v>
      </c>
      <c r="GU41" s="454" t="str">
        <f>IFERROR(INDEX(DB!$3:$84,MATCH('Operations Forecast'!GU2,DB!$D$3:$D$84),43),"-")</f>
        <v>-</v>
      </c>
      <c r="GV41" s="535" t="str">
        <f>IFERROR(INDEX(DB!$3:$84,MATCH('Operations Forecast'!GV2,DB!$D$3:$D$84),43),"-")</f>
        <v>-</v>
      </c>
      <c r="GW41" s="454" t="str">
        <f>IFERROR(INDEX(DB!$3:$84,MATCH('Operations Forecast'!GW2,DB!$D$3:$D$84),43),"-")</f>
        <v>-</v>
      </c>
      <c r="GX41" s="454" t="str">
        <f>IFERROR(INDEX(DB!$3:$84,MATCH('Operations Forecast'!GX2,DB!$D$3:$D$84),43),"-")</f>
        <v>-</v>
      </c>
      <c r="GY41" s="454" t="str">
        <f>IFERROR(INDEX(DB!$3:$84,MATCH('Operations Forecast'!GY2,DB!$D$3:$D$84),43),"-")</f>
        <v>-</v>
      </c>
      <c r="GZ41" s="454" t="str">
        <f>IFERROR(INDEX(DB!$3:$84,MATCH('Operations Forecast'!GZ2,DB!$D$3:$D$84),43),"-")</f>
        <v>-</v>
      </c>
      <c r="HA41" s="454" t="str">
        <f>IFERROR(INDEX(DB!$3:$84,MATCH('Operations Forecast'!HA2,DB!$D$3:$D$84),43),"-")</f>
        <v>-</v>
      </c>
      <c r="HB41" s="454" t="str">
        <f>IFERROR(INDEX(DB!$3:$84,MATCH('Operations Forecast'!HB2,DB!$D$3:$D$84),43),"-")</f>
        <v>-</v>
      </c>
      <c r="HC41" s="535" t="str">
        <f>IFERROR(INDEX(DB!$3:$84,MATCH('Operations Forecast'!HC2,DB!$D$3:$D$84),43),"-")</f>
        <v>-</v>
      </c>
      <c r="HD41" s="454" t="str">
        <f>IFERROR(INDEX(DB!$3:$84,MATCH('Operations Forecast'!HD2,DB!$D$3:$D$84),43),"-")</f>
        <v>-</v>
      </c>
      <c r="HE41" s="454" t="str">
        <f>IFERROR(INDEX(DB!$3:$84,MATCH('Operations Forecast'!HE2,DB!$D$3:$D$84),43),"-")</f>
        <v>-</v>
      </c>
      <c r="HF41" s="454" t="str">
        <f>IFERROR(INDEX(DB!$3:$84,MATCH('Operations Forecast'!HF2,DB!$D$3:$D$84),43),"-")</f>
        <v>-</v>
      </c>
      <c r="HG41" s="454" t="str">
        <f>IFERROR(INDEX(DB!$3:$84,MATCH('Operations Forecast'!HG2,DB!$D$3:$D$84),43),"-")</f>
        <v>-</v>
      </c>
      <c r="HH41" s="454" t="str">
        <f>IFERROR(INDEX(DB!$3:$84,MATCH('Operations Forecast'!HH2,DB!$D$3:$D$84),43),"-")</f>
        <v>-</v>
      </c>
      <c r="HI41" s="454" t="str">
        <f>IFERROR(INDEX(DB!$3:$84,MATCH('Operations Forecast'!HI2,DB!$D$3:$D$84),43),"-")</f>
        <v>-</v>
      </c>
      <c r="HJ41" s="535">
        <v>20000</v>
      </c>
      <c r="HK41" s="454" t="str">
        <f>IFERROR(INDEX(DB!$3:$84,MATCH('Operations Forecast'!HK2,DB!$D$3:$D$84),43),"-")</f>
        <v>-</v>
      </c>
      <c r="HL41" s="454" t="str">
        <f>IFERROR(INDEX(DB!$3:$84,MATCH('Operations Forecast'!HL2,DB!$D$3:$D$84),43),"-")</f>
        <v>-</v>
      </c>
      <c r="HM41" s="454" t="str">
        <f>IFERROR(INDEX(DB!$3:$84,MATCH('Operations Forecast'!HM2,DB!$D$3:$D$84),43),"-")</f>
        <v>-</v>
      </c>
      <c r="HN41" s="454" t="str">
        <f>IFERROR(INDEX(DB!$3:$84,MATCH('Operations Forecast'!HN2,DB!$D$3:$D$84),43),"-")</f>
        <v>-</v>
      </c>
      <c r="HO41" s="454" t="str">
        <f>IFERROR(INDEX(DB!$3:$84,MATCH('Operations Forecast'!HO2,DB!$D$3:$D$84),43),"-")</f>
        <v>-</v>
      </c>
      <c r="HP41" s="454" t="str">
        <f>IFERROR(INDEX(DB!$3:$84,MATCH('Operations Forecast'!HP2,DB!$D$3:$D$84),43),"-")</f>
        <v>-</v>
      </c>
      <c r="HQ41" s="535" t="str">
        <f>IFERROR(INDEX(DB!$3:$84,MATCH('Operations Forecast'!HQ2,DB!$D$3:$D$84),43),"-")</f>
        <v>-</v>
      </c>
      <c r="HR41" s="454" t="str">
        <f>IFERROR(INDEX(DB!$3:$84,MATCH('Operations Forecast'!HR2,DB!$D$3:$D$84),43),"-")</f>
        <v>-</v>
      </c>
      <c r="HS41" s="454" t="str">
        <f>IFERROR(INDEX(DB!$3:$84,MATCH('Operations Forecast'!HS2,DB!$D$3:$D$84),43),"-")</f>
        <v>-</v>
      </c>
      <c r="HT41" s="454" t="str">
        <f>IFERROR(INDEX(DB!$3:$84,MATCH('Operations Forecast'!HT2,DB!$D$3:$D$84),43),"-")</f>
        <v>-</v>
      </c>
      <c r="HU41" s="454" t="str">
        <f>IFERROR(INDEX(DB!$3:$84,MATCH('Operations Forecast'!HU2,DB!$D$3:$D$84),43),"-")</f>
        <v>-</v>
      </c>
      <c r="HV41" s="454" t="str">
        <f>IFERROR(INDEX(DB!$3:$84,MATCH('Operations Forecast'!HV2,DB!$D$3:$D$84),43),"-")</f>
        <v>-</v>
      </c>
      <c r="HW41" s="454">
        <v>110000</v>
      </c>
      <c r="HX41" s="535" t="str">
        <f>IFERROR(INDEX(DB!$3:$84,MATCH('Operations Forecast'!HX2,DB!$D$3:$D$84),43),"-")</f>
        <v>-</v>
      </c>
      <c r="HY41" s="454">
        <v>147000</v>
      </c>
      <c r="HZ41" s="454" t="str">
        <f>IFERROR(INDEX(DB!$3:$84,MATCH('Operations Forecast'!HZ2,DB!$D$3:$D$84),43),"-")</f>
        <v>-</v>
      </c>
      <c r="IA41" s="454">
        <v>160000</v>
      </c>
      <c r="IB41" s="454" t="str">
        <f>IFERROR(INDEX(DB!$3:$84,MATCH('Operations Forecast'!IB2,DB!$D$3:$D$84),43),"-")</f>
        <v>-</v>
      </c>
      <c r="IC41" s="454" t="str">
        <f>IFERROR(INDEX(DB!$3:$84,MATCH('Operations Forecast'!IC2,DB!$D$3:$D$84),43),"-")</f>
        <v>-</v>
      </c>
      <c r="ID41" s="454" t="str">
        <f>IFERROR(INDEX(DB!$3:$84,MATCH('Operations Forecast'!ID2,DB!$D$3:$D$84),43),"-")</f>
        <v>-</v>
      </c>
      <c r="IE41" s="535" t="str">
        <f>IFERROR(INDEX(DB!$3:$84,MATCH('Operations Forecast'!IE2,DB!$D$3:$D$84),43),"-")</f>
        <v>-</v>
      </c>
      <c r="IF41" s="454">
        <v>154723</v>
      </c>
      <c r="IG41" s="454">
        <v>166307</v>
      </c>
      <c r="IH41" s="454">
        <v>170000</v>
      </c>
      <c r="II41" s="454">
        <v>148252</v>
      </c>
      <c r="IJ41" s="454">
        <v>117052</v>
      </c>
      <c r="IK41" s="454">
        <v>108968</v>
      </c>
      <c r="IL41" s="535" t="str">
        <f>IFERROR(INDEX(DB!$3:$84,MATCH('Operations Forecast'!IL2,DB!$D$3:$D$84),43),"-")</f>
        <v>-</v>
      </c>
      <c r="IM41" s="454" t="str">
        <f>IFERROR(INDEX(DB!$3:$84,MATCH('Operations Forecast'!IM2,DB!$D$3:$D$84),43),"-")</f>
        <v>-</v>
      </c>
      <c r="IN41" s="454" t="str">
        <f>IFERROR(INDEX(DB!$3:$84,MATCH('Operations Forecast'!IN2,DB!$D$3:$D$84),43),"-")</f>
        <v>-</v>
      </c>
      <c r="IO41" s="454" t="str">
        <f>IFERROR(INDEX(DB!$3:$84,MATCH('Operations Forecast'!IO2,DB!$D$3:$D$84),43),"-")</f>
        <v>-</v>
      </c>
      <c r="IP41" s="454" t="str">
        <f>IFERROR(INDEX(DB!$3:$84,MATCH('Operations Forecast'!IP2,DB!$D$3:$D$84),43),"-")</f>
        <v>-</v>
      </c>
      <c r="IQ41" s="454" t="str">
        <f>IFERROR(INDEX(DB!$3:$84,MATCH('Operations Forecast'!IQ2,DB!$D$3:$D$84),43),"-")</f>
        <v>-</v>
      </c>
      <c r="IR41" s="454" t="str">
        <f>IFERROR(INDEX(DB!$3:$84,MATCH('Operations Forecast'!IR2,DB!$D$3:$D$84),43),"-")</f>
        <v>-</v>
      </c>
      <c r="IS41" s="535" t="str">
        <f>IFERROR(INDEX(DB!$3:$84,MATCH('Operations Forecast'!IS2,DB!$D$3:$D$84),43),"-")</f>
        <v>-</v>
      </c>
      <c r="IT41" s="454" t="str">
        <f>IFERROR(INDEX(DB!$3:$84,MATCH('Operations Forecast'!IT2,DB!$D$3:$D$84),43),"-")</f>
        <v>-</v>
      </c>
      <c r="IU41" s="454" t="str">
        <f>IFERROR(INDEX(DB!$3:$84,MATCH('Operations Forecast'!IU2,DB!$D$3:$D$84),43),"-")</f>
        <v>-</v>
      </c>
      <c r="IV41" s="454" t="str">
        <f>IFERROR(INDEX(DB!$3:$84,MATCH('Operations Forecast'!IV2,DB!$D$3:$D$84),43),"-")</f>
        <v>-</v>
      </c>
      <c r="IW41" s="454" t="str">
        <f>IFERROR(INDEX(DB!$3:$84,MATCH('Operations Forecast'!IW2,DB!$D$3:$D$84),43),"-")</f>
        <v>-</v>
      </c>
      <c r="IX41" s="454" t="str">
        <f>IFERROR(INDEX(DB!$3:$84,MATCH('Operations Forecast'!IX2,DB!$D$3:$D$84),43),"-")</f>
        <v>-</v>
      </c>
      <c r="IY41" s="454" t="str">
        <f>IFERROR(INDEX(DB!$3:$84,MATCH('Operations Forecast'!IY2,DB!$D$3:$D$84),43),"-")</f>
        <v>-</v>
      </c>
      <c r="IZ41" s="535" t="str">
        <f>IFERROR(INDEX(DB!$3:$84,MATCH('Operations Forecast'!IZ2,DB!$D$3:$D$84),43),"-")</f>
        <v>-</v>
      </c>
      <c r="JA41" s="454" t="str">
        <f>IFERROR(INDEX(DB!$3:$84,MATCH('Operations Forecast'!JA2,DB!$D$3:$D$84),43),"-")</f>
        <v>-</v>
      </c>
      <c r="JB41" s="454" t="str">
        <f>IFERROR(INDEX(DB!$3:$84,MATCH('Operations Forecast'!JB2,DB!$D$3:$D$84),43),"-")</f>
        <v>-</v>
      </c>
      <c r="JC41" s="454" t="str">
        <f>IFERROR(INDEX(DB!$3:$84,MATCH('Operations Forecast'!JC2,DB!$D$3:$D$84),43),"-")</f>
        <v>-</v>
      </c>
      <c r="JD41" s="454" t="str">
        <f>IFERROR(INDEX(DB!$3:$84,MATCH('Operations Forecast'!JD2,DB!$D$3:$D$84),43),"-")</f>
        <v>-</v>
      </c>
      <c r="JE41" s="454" t="str">
        <f>IFERROR(INDEX(DB!$3:$84,MATCH('Operations Forecast'!JE2,DB!$D$3:$D$84),43),"-")</f>
        <v>-</v>
      </c>
      <c r="JF41" s="454" t="str">
        <f>IFERROR(INDEX(DB!$3:$84,MATCH('Operations Forecast'!JF2,DB!$D$3:$D$84),43),"-")</f>
        <v>-</v>
      </c>
      <c r="JG41" s="535" t="str">
        <f>IFERROR(INDEX(DB!$3:$84,MATCH('Operations Forecast'!JG2,DB!$D$3:$D$84),43),"-")</f>
        <v>-</v>
      </c>
      <c r="JH41" s="454" t="str">
        <f>IFERROR(INDEX(DB!$3:$84,MATCH('Operations Forecast'!JH2,DB!$D$3:$D$84),43),"-")</f>
        <v>-</v>
      </c>
      <c r="JI41" s="454" t="str">
        <f>IFERROR(INDEX(DB!$3:$84,MATCH('Operations Forecast'!JI2,DB!$D$3:$D$84),43),"-")</f>
        <v>-</v>
      </c>
      <c r="JJ41" s="454" t="str">
        <f>IFERROR(INDEX(DB!$3:$84,MATCH('Operations Forecast'!JJ2,DB!$D$3:$D$84),43),"-")</f>
        <v>-</v>
      </c>
      <c r="JK41" s="454" t="str">
        <f>IFERROR(INDEX(DB!$3:$84,MATCH('Operations Forecast'!JK2,DB!$D$3:$D$84),43),"-")</f>
        <v>-</v>
      </c>
      <c r="JL41" s="454" t="str">
        <f>IFERROR(INDEX(DB!$3:$84,MATCH('Operations Forecast'!JL2,DB!$D$3:$D$84),43),"-")</f>
        <v>-</v>
      </c>
      <c r="JM41" s="454" t="str">
        <f>IFERROR(INDEX(DB!$3:$84,MATCH('Operations Forecast'!JM2,DB!$D$3:$D$84),43),"-")</f>
        <v>-</v>
      </c>
      <c r="JN41" s="535" t="str">
        <f>IFERROR(INDEX(DB!$3:$84,MATCH('Operations Forecast'!JN2,DB!$D$3:$D$84),43),"-")</f>
        <v>-</v>
      </c>
      <c r="JO41" s="454" t="str">
        <f>IFERROR(INDEX(DB!$3:$84,MATCH('Operations Forecast'!JO2,DB!$D$3:$D$84),43),"-")</f>
        <v>-</v>
      </c>
      <c r="JP41" s="454" t="str">
        <f>IFERROR(INDEX(DB!$3:$84,MATCH('Operations Forecast'!JP2,DB!$D$3:$D$84),43),"-")</f>
        <v>-</v>
      </c>
      <c r="JQ41" s="454" t="str">
        <f>IFERROR(INDEX(DB!$3:$84,MATCH('Operations Forecast'!JQ2,DB!$D$3:$D$84),43),"-")</f>
        <v>-</v>
      </c>
      <c r="JR41" s="454" t="str">
        <f>IFERROR(INDEX(DB!$3:$84,MATCH('Operations Forecast'!JR2,DB!$D$3:$D$84),43),"-")</f>
        <v>-</v>
      </c>
      <c r="JS41" s="454" t="str">
        <f>IFERROR(INDEX(DB!$3:$84,MATCH('Operations Forecast'!JS2,DB!$D$3:$D$84),43),"-")</f>
        <v>-</v>
      </c>
      <c r="JT41" s="454" t="str">
        <f>IFERROR(INDEX(DB!$3:$84,MATCH('Operations Forecast'!JT2,DB!$D$3:$D$84),43),"-")</f>
        <v>-</v>
      </c>
      <c r="JU41" s="535" t="str">
        <f>IFERROR(INDEX(DB!$3:$84,MATCH('Operations Forecast'!JU2,DB!$D$3:$D$84),43),"-")</f>
        <v>-</v>
      </c>
      <c r="JV41" s="454" t="str">
        <f>IFERROR(INDEX(DB!$3:$84,MATCH('Operations Forecast'!JV2,DB!$D$3:$D$84),43),"-")</f>
        <v>-</v>
      </c>
      <c r="JW41" s="454" t="str">
        <f>IFERROR(INDEX(DB!$3:$84,MATCH('Operations Forecast'!JW2,DB!$D$3:$D$84),43),"-")</f>
        <v>-</v>
      </c>
      <c r="JX41" s="454" t="str">
        <f>IFERROR(INDEX(DB!$3:$84,MATCH('Operations Forecast'!JX2,DB!$D$3:$D$84),43),"-")</f>
        <v>-</v>
      </c>
      <c r="JY41" s="454" t="str">
        <f>IFERROR(INDEX(DB!$3:$84,MATCH('Operations Forecast'!JY2,DB!$D$3:$D$84),43),"-")</f>
        <v>-</v>
      </c>
      <c r="JZ41" s="454" t="str">
        <f>IFERROR(INDEX(DB!$3:$84,MATCH('Operations Forecast'!JZ2,DB!$D$3:$D$84),43),"-")</f>
        <v>-</v>
      </c>
      <c r="KA41" s="454" t="str">
        <f>IFERROR(INDEX(DB!$3:$84,MATCH('Operations Forecast'!KA2,DB!$D$3:$D$84),43),"-")</f>
        <v>-</v>
      </c>
      <c r="KB41" s="535" t="str">
        <f>IFERROR(INDEX(DB!$3:$84,MATCH('Operations Forecast'!KB2,DB!$D$3:$D$84),43),"-")</f>
        <v>-</v>
      </c>
    </row>
    <row r="42" spans="1:288" ht="15" thickBot="1" x14ac:dyDescent="0.35">
      <c r="A42" s="432" t="s">
        <v>142</v>
      </c>
      <c r="B42" s="419"/>
      <c r="C42" s="64"/>
      <c r="D42" s="64"/>
      <c r="E42" s="64"/>
      <c r="F42" s="64"/>
      <c r="G42" s="64"/>
      <c r="H42" s="420"/>
      <c r="I42" s="419"/>
      <c r="J42" s="64"/>
      <c r="K42" s="64"/>
      <c r="L42" s="64"/>
      <c r="M42" s="64"/>
      <c r="N42" s="64"/>
      <c r="O42" s="420"/>
      <c r="P42" s="419"/>
      <c r="Q42" s="64"/>
      <c r="R42" s="64"/>
      <c r="S42" s="64"/>
      <c r="T42" s="64"/>
      <c r="U42" s="64"/>
      <c r="V42" s="420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445"/>
      <c r="BU42" s="446"/>
      <c r="BV42" s="446"/>
      <c r="BW42" s="446"/>
      <c r="BX42" s="446"/>
      <c r="BY42" s="446"/>
      <c r="BZ42" s="447"/>
      <c r="CA42" s="445"/>
      <c r="CB42" s="446"/>
      <c r="CC42" s="446"/>
      <c r="CD42" s="446"/>
      <c r="CE42" s="446"/>
      <c r="CF42" s="446"/>
      <c r="CG42" s="447"/>
      <c r="CH42" s="445"/>
      <c r="CI42" s="446"/>
      <c r="CJ42" s="446"/>
      <c r="CK42" s="446"/>
      <c r="CL42" s="446"/>
      <c r="CM42" s="446"/>
      <c r="CN42" s="447"/>
      <c r="CO42" s="445"/>
      <c r="CP42" s="446"/>
      <c r="CQ42" s="446"/>
      <c r="CR42" s="446"/>
      <c r="CS42" s="446"/>
      <c r="CT42" s="446"/>
      <c r="CU42" s="447"/>
      <c r="CV42" s="445"/>
      <c r="CW42" s="446"/>
      <c r="CX42" s="446"/>
      <c r="CY42" s="446"/>
      <c r="CZ42" s="446"/>
      <c r="DA42" s="446"/>
      <c r="DB42" s="447"/>
      <c r="DI42" s="497"/>
      <c r="DP42" s="497"/>
      <c r="EY42" s="510"/>
      <c r="EZ42" s="84"/>
      <c r="FF42" s="510"/>
      <c r="FG42" s="493"/>
      <c r="FH42" s="493"/>
      <c r="FI42" s="493"/>
      <c r="FJ42" s="493"/>
      <c r="FK42" s="493"/>
      <c r="FL42" s="493"/>
      <c r="FM42" s="515"/>
      <c r="FN42" s="493"/>
      <c r="FO42" s="493"/>
      <c r="FP42" s="493"/>
      <c r="FQ42" s="493"/>
      <c r="FR42" s="493"/>
      <c r="FS42" s="493"/>
      <c r="FT42" s="515"/>
      <c r="FU42" s="493"/>
      <c r="FV42" s="44"/>
      <c r="FW42" s="44"/>
      <c r="FX42" s="44"/>
      <c r="FY42" s="44"/>
      <c r="FZ42" s="44"/>
      <c r="GA42" s="517"/>
      <c r="GB42" s="44"/>
      <c r="GC42" s="44"/>
      <c r="GD42" s="44"/>
      <c r="GE42" s="44"/>
      <c r="GF42" s="44"/>
      <c r="GG42" s="44"/>
      <c r="GH42" s="404"/>
      <c r="GI42" s="44"/>
      <c r="GJ42" s="44"/>
      <c r="GK42" s="454">
        <v>152000</v>
      </c>
      <c r="GL42" s="454">
        <v>103000</v>
      </c>
      <c r="GM42" s="454">
        <v>73000</v>
      </c>
      <c r="GN42" s="454">
        <v>80000</v>
      </c>
      <c r="GO42" s="533"/>
      <c r="GP42" s="454">
        <v>115000</v>
      </c>
      <c r="GQ42" s="454">
        <v>145000</v>
      </c>
      <c r="GR42" s="454">
        <v>150000</v>
      </c>
      <c r="GS42" s="454">
        <v>115000</v>
      </c>
      <c r="GT42" s="454">
        <v>112000</v>
      </c>
      <c r="GU42" s="454">
        <v>88000</v>
      </c>
      <c r="GV42" s="533"/>
      <c r="GW42" s="454">
        <f>113000+15000</f>
        <v>128000</v>
      </c>
      <c r="GX42" s="454">
        <v>143000</v>
      </c>
      <c r="GY42" s="454">
        <v>120000</v>
      </c>
      <c r="GZ42" s="454">
        <v>110000</v>
      </c>
      <c r="HA42" s="454">
        <v>109000</v>
      </c>
      <c r="HB42" s="454">
        <v>72000</v>
      </c>
      <c r="HC42" s="454"/>
      <c r="HD42" s="454">
        <v>160000</v>
      </c>
      <c r="HE42" s="454">
        <v>120000</v>
      </c>
      <c r="HF42" s="454">
        <v>140000</v>
      </c>
      <c r="HG42" s="454">
        <v>124000</v>
      </c>
      <c r="HH42" s="454">
        <v>90000</v>
      </c>
      <c r="HI42" s="44"/>
      <c r="HJ42" s="533"/>
      <c r="HK42" s="454">
        <v>125000</v>
      </c>
      <c r="HL42" s="454">
        <v>120000</v>
      </c>
      <c r="HM42" s="44">
        <v>106000</v>
      </c>
      <c r="HN42" s="454">
        <v>95000</v>
      </c>
      <c r="HO42" s="454">
        <v>94000</v>
      </c>
      <c r="HP42" s="454">
        <v>100000</v>
      </c>
      <c r="HQ42" s="533"/>
      <c r="HR42" s="44">
        <v>107000</v>
      </c>
      <c r="HS42" s="454">
        <v>110000</v>
      </c>
      <c r="HT42" s="44"/>
      <c r="HU42" s="454">
        <v>123000</v>
      </c>
      <c r="HV42" s="454">
        <v>112000</v>
      </c>
      <c r="HW42" s="454">
        <v>150000</v>
      </c>
      <c r="HX42" s="454"/>
      <c r="HY42" s="454">
        <v>200000</v>
      </c>
      <c r="HZ42" s="454">
        <v>160000</v>
      </c>
      <c r="IA42" s="454">
        <v>168000</v>
      </c>
      <c r="IB42" s="454">
        <v>120000</v>
      </c>
      <c r="IC42" s="454">
        <v>147000</v>
      </c>
      <c r="ID42" s="454">
        <v>120000</v>
      </c>
      <c r="IE42" s="535"/>
      <c r="IF42" s="44">
        <v>151000</v>
      </c>
      <c r="IG42" s="44">
        <v>146000</v>
      </c>
      <c r="IH42" s="44">
        <v>190000</v>
      </c>
      <c r="II42" s="44">
        <v>125000</v>
      </c>
      <c r="IJ42" s="44">
        <f>113000</f>
        <v>113000</v>
      </c>
      <c r="IK42" s="44">
        <v>120000</v>
      </c>
      <c r="IL42" s="533"/>
      <c r="IM42" s="44">
        <v>170000</v>
      </c>
      <c r="IN42" s="44">
        <v>145000</v>
      </c>
      <c r="IO42" s="44">
        <v>130000</v>
      </c>
      <c r="IP42" s="44">
        <v>106000</v>
      </c>
      <c r="IQ42" s="44">
        <v>115000</v>
      </c>
      <c r="IR42" s="648">
        <v>120000</v>
      </c>
      <c r="IS42" s="533"/>
      <c r="IT42" s="454">
        <v>165000</v>
      </c>
      <c r="IU42" s="454">
        <v>117000</v>
      </c>
      <c r="IV42" s="454">
        <v>156300</v>
      </c>
      <c r="IW42" s="454">
        <v>120000</v>
      </c>
      <c r="IX42" s="454">
        <v>100000</v>
      </c>
      <c r="IY42" s="454"/>
      <c r="IZ42" s="533"/>
      <c r="JA42" s="44"/>
      <c r="JB42" s="44"/>
      <c r="JC42" s="44"/>
      <c r="JD42" s="44"/>
      <c r="JE42" s="44"/>
      <c r="JF42" s="44"/>
      <c r="JG42" s="533"/>
      <c r="JH42" s="44"/>
      <c r="JI42" s="44"/>
      <c r="JJ42" s="44"/>
      <c r="JK42" s="44"/>
      <c r="JL42" s="44"/>
      <c r="JM42" s="44"/>
      <c r="JN42" s="533"/>
      <c r="JO42" s="44"/>
      <c r="JP42" s="44"/>
      <c r="JQ42" s="44"/>
      <c r="JR42" s="44"/>
      <c r="JS42" s="44"/>
      <c r="JT42" s="44"/>
      <c r="JU42" s="533"/>
      <c r="JV42" s="44"/>
      <c r="JW42" s="44"/>
      <c r="JX42" s="44"/>
      <c r="JY42" s="44"/>
      <c r="JZ42" s="44"/>
      <c r="KA42" s="44"/>
      <c r="KB42" s="533"/>
    </row>
    <row r="43" spans="1:288" ht="18" customHeight="1" thickBot="1" x14ac:dyDescent="0.5">
      <c r="A43" s="459" t="s">
        <v>143</v>
      </c>
      <c r="B43" s="460"/>
      <c r="C43" s="458"/>
      <c r="D43" s="458"/>
      <c r="E43" s="458"/>
      <c r="F43" s="458"/>
      <c r="G43" s="458"/>
      <c r="H43" s="458"/>
      <c r="I43" s="458"/>
      <c r="J43" s="458"/>
      <c r="K43" s="458"/>
      <c r="L43" s="458"/>
      <c r="M43" s="458"/>
      <c r="N43" s="458"/>
      <c r="O43" s="458"/>
      <c r="P43" s="458"/>
      <c r="Q43" s="458"/>
      <c r="R43" s="458"/>
      <c r="S43" s="458"/>
      <c r="T43" s="458"/>
      <c r="U43" s="458"/>
      <c r="V43" s="458"/>
      <c r="W43" s="458"/>
      <c r="X43" s="458"/>
      <c r="Y43" s="458"/>
      <c r="Z43" s="458"/>
      <c r="AA43" s="458"/>
      <c r="AB43" s="458"/>
      <c r="AC43" s="458"/>
      <c r="AD43" s="458"/>
      <c r="AE43" s="458"/>
      <c r="AF43" s="458"/>
      <c r="AG43" s="458"/>
      <c r="AH43" s="458"/>
      <c r="AI43" s="458"/>
      <c r="AJ43" s="458"/>
      <c r="AK43" s="458"/>
      <c r="AL43" s="928"/>
      <c r="AM43" s="928"/>
      <c r="AN43" s="928"/>
      <c r="AO43" s="928"/>
      <c r="AP43" s="928"/>
      <c r="AQ43" s="928"/>
      <c r="AR43" s="928"/>
      <c r="AS43" s="928"/>
      <c r="AT43" s="928"/>
      <c r="AU43" s="928"/>
      <c r="AV43" s="928"/>
      <c r="AW43" s="928"/>
      <c r="AX43" s="928"/>
      <c r="AY43" s="928"/>
      <c r="AZ43" s="928"/>
      <c r="BA43" s="928"/>
      <c r="BB43" s="928"/>
      <c r="BC43" s="928"/>
      <c r="BD43" s="928"/>
      <c r="BE43" s="928"/>
      <c r="BF43" s="928"/>
      <c r="BG43" s="928"/>
      <c r="BH43" s="928"/>
      <c r="BI43" s="928"/>
      <c r="BJ43" s="928"/>
      <c r="BK43" s="928"/>
      <c r="BL43" s="928"/>
      <c r="BM43" s="928"/>
      <c r="BN43" s="928"/>
      <c r="BO43" s="928"/>
      <c r="BP43" s="928"/>
      <c r="BQ43" s="928"/>
      <c r="BR43" s="928"/>
      <c r="BS43" s="928"/>
      <c r="BT43" s="928"/>
      <c r="BU43" s="928"/>
      <c r="BV43" s="928"/>
      <c r="BW43" s="928"/>
      <c r="BX43" s="928"/>
      <c r="BY43" s="928"/>
      <c r="BZ43" s="928"/>
      <c r="CA43" s="928"/>
      <c r="CB43" s="928"/>
      <c r="CC43" s="928"/>
      <c r="CD43" s="928"/>
      <c r="CE43" s="928"/>
      <c r="CF43" s="928"/>
      <c r="CG43" s="928"/>
      <c r="CH43" s="928"/>
      <c r="CI43" s="928"/>
      <c r="CJ43" s="928"/>
      <c r="CK43" s="928"/>
      <c r="CL43" s="928"/>
      <c r="CM43" s="928"/>
      <c r="CN43" s="928"/>
      <c r="CO43" s="928"/>
      <c r="CP43" s="928"/>
      <c r="CQ43" s="928"/>
      <c r="CR43" s="928"/>
      <c r="CS43" s="928"/>
      <c r="CT43" s="928"/>
      <c r="CU43" s="928"/>
      <c r="CV43" s="928"/>
      <c r="CW43" s="928"/>
      <c r="CX43" s="928"/>
      <c r="CY43" s="928"/>
      <c r="CZ43" s="928"/>
      <c r="DA43" s="928"/>
      <c r="DB43" s="928"/>
      <c r="DC43" s="928"/>
      <c r="DD43" s="928"/>
      <c r="DE43" s="928"/>
      <c r="DF43" s="928"/>
      <c r="DG43" s="928"/>
      <c r="DH43" s="928"/>
      <c r="DI43" s="928"/>
      <c r="DJ43" s="928"/>
      <c r="DK43" s="928"/>
      <c r="DL43" s="928"/>
      <c r="DM43" s="928"/>
      <c r="DN43" s="928"/>
      <c r="DO43" s="928"/>
      <c r="DP43" s="928"/>
      <c r="DQ43" s="928"/>
      <c r="DR43" s="928"/>
      <c r="DS43" s="928"/>
      <c r="DT43" s="928"/>
      <c r="DU43" s="928"/>
      <c r="DV43" s="928"/>
      <c r="DW43" s="928"/>
      <c r="DX43" s="928"/>
      <c r="DY43" s="928"/>
      <c r="DZ43" s="928"/>
      <c r="EA43" s="928"/>
      <c r="EB43" s="928"/>
      <c r="EC43" s="928"/>
      <c r="ED43" s="928"/>
      <c r="EE43" s="928"/>
      <c r="EF43" s="928"/>
      <c r="EG43" s="928"/>
      <c r="EH43" s="928"/>
      <c r="EI43" s="928"/>
      <c r="EJ43" s="928"/>
      <c r="EK43" s="928"/>
      <c r="EL43" s="928"/>
      <c r="EM43" s="928"/>
      <c r="EN43" s="928"/>
      <c r="EO43" s="928"/>
      <c r="EP43" s="928"/>
      <c r="EQ43" s="928"/>
      <c r="ER43" s="928"/>
      <c r="ES43" s="458"/>
      <c r="ET43" s="458"/>
      <c r="EU43" s="458"/>
      <c r="EV43" s="458"/>
      <c r="EW43" s="458"/>
      <c r="EX43" s="458"/>
      <c r="EY43" s="458"/>
      <c r="EZ43" s="458"/>
      <c r="FA43" s="458"/>
      <c r="FB43" s="458"/>
      <c r="FC43" s="458"/>
      <c r="FD43" s="458"/>
      <c r="FE43" s="458"/>
      <c r="FF43" s="458"/>
      <c r="FG43" s="458"/>
      <c r="FH43" s="458"/>
      <c r="FI43" s="458"/>
      <c r="FJ43" s="458"/>
      <c r="FK43" s="458"/>
      <c r="FL43" s="458"/>
      <c r="FM43" s="458"/>
      <c r="FN43" s="458"/>
      <c r="FO43" s="458"/>
      <c r="FP43" s="458"/>
      <c r="FQ43" s="458"/>
      <c r="FR43" s="458"/>
      <c r="FS43" s="458"/>
      <c r="FT43" s="458"/>
      <c r="FU43" s="458"/>
      <c r="FV43" s="458"/>
      <c r="FW43" s="458"/>
      <c r="FX43" s="458"/>
      <c r="FY43" s="458"/>
      <c r="FZ43" s="458"/>
      <c r="GA43" s="458"/>
      <c r="GB43" s="458"/>
      <c r="GC43" s="458"/>
      <c r="GD43" s="458"/>
      <c r="GE43" s="458"/>
      <c r="GF43" s="458"/>
      <c r="GG43" s="458"/>
      <c r="GH43" s="458"/>
      <c r="GI43" s="458"/>
      <c r="GJ43" s="458"/>
      <c r="GK43" s="458"/>
      <c r="GL43" s="458"/>
      <c r="GM43" s="458"/>
      <c r="GN43" s="458"/>
      <c r="GO43" s="458"/>
      <c r="GP43" s="458"/>
      <c r="GQ43" s="458"/>
      <c r="GR43" s="458"/>
      <c r="GS43" s="458"/>
      <c r="GT43" s="458"/>
      <c r="GU43" s="458"/>
      <c r="GV43" s="458"/>
      <c r="GW43" s="458"/>
      <c r="GX43" s="458"/>
      <c r="GY43" s="458"/>
      <c r="GZ43" s="458"/>
      <c r="HA43" s="458"/>
      <c r="HB43" s="458"/>
      <c r="HC43" s="458"/>
      <c r="HD43" s="458"/>
      <c r="HE43" s="458"/>
      <c r="HF43" s="458"/>
      <c r="HG43" s="458"/>
      <c r="HH43" s="458"/>
      <c r="HI43" s="458"/>
      <c r="HJ43" s="458"/>
      <c r="HK43" s="458"/>
      <c r="HL43" s="458"/>
      <c r="HM43" s="458"/>
      <c r="HN43" s="458"/>
      <c r="HO43" s="458"/>
      <c r="HP43" s="458"/>
      <c r="HQ43" s="458"/>
      <c r="HR43" s="458"/>
      <c r="HS43" s="458"/>
      <c r="HT43" s="458"/>
      <c r="HU43" s="458"/>
      <c r="HV43" s="458"/>
      <c r="HW43" s="458"/>
      <c r="HX43" s="458"/>
      <c r="HY43" s="458"/>
      <c r="HZ43" s="458"/>
      <c r="IA43" s="458"/>
      <c r="IB43" s="458"/>
      <c r="IC43" s="458"/>
      <c r="ID43" s="458"/>
      <c r="IE43" s="458"/>
      <c r="IF43" s="458"/>
      <c r="IG43" s="458"/>
      <c r="IH43" s="458"/>
      <c r="II43" s="458"/>
      <c r="IJ43" s="458"/>
      <c r="IK43" s="458"/>
      <c r="IL43" s="458"/>
      <c r="IM43" s="458"/>
      <c r="IN43" s="458"/>
      <c r="IO43" s="458"/>
      <c r="IP43" s="458"/>
      <c r="IQ43" s="458"/>
      <c r="IR43" s="458"/>
      <c r="IS43" s="458"/>
      <c r="IT43" s="458"/>
      <c r="IU43" s="458"/>
      <c r="IV43" s="458"/>
      <c r="IW43" s="458"/>
      <c r="IX43" s="458"/>
      <c r="IY43" s="458"/>
      <c r="IZ43" s="458"/>
      <c r="JA43" s="458"/>
      <c r="JB43" s="458"/>
      <c r="JC43" s="458"/>
      <c r="JD43" s="458"/>
      <c r="JE43" s="458"/>
      <c r="JF43" s="458"/>
      <c r="JG43" s="458"/>
      <c r="JH43" s="458"/>
      <c r="JI43" s="458"/>
      <c r="JJ43" s="458"/>
      <c r="JK43" s="458"/>
      <c r="JL43" s="458"/>
      <c r="JM43" s="458"/>
      <c r="JN43" s="458"/>
      <c r="JO43" s="458"/>
      <c r="JP43" s="458"/>
      <c r="JQ43" s="458"/>
      <c r="JR43" s="458"/>
      <c r="JS43" s="458"/>
      <c r="JT43" s="458"/>
      <c r="JU43" s="458"/>
      <c r="JV43" s="458"/>
      <c r="JW43" s="458"/>
      <c r="JX43" s="458"/>
      <c r="JY43" s="458"/>
      <c r="JZ43" s="458"/>
      <c r="KA43" s="458"/>
      <c r="KB43" s="458"/>
    </row>
    <row r="44" spans="1:288" x14ac:dyDescent="0.3">
      <c r="A44" s="17" t="s">
        <v>144</v>
      </c>
      <c r="B44" s="419"/>
      <c r="C44" s="64"/>
      <c r="D44" s="64"/>
      <c r="E44" s="64"/>
      <c r="F44" s="64"/>
      <c r="G44" s="64"/>
      <c r="H44" s="420"/>
      <c r="I44" s="419"/>
      <c r="J44" s="64"/>
      <c r="K44" s="64"/>
      <c r="L44" s="64"/>
      <c r="M44" s="64"/>
      <c r="N44" s="64"/>
      <c r="O44" s="420"/>
      <c r="P44" s="419"/>
      <c r="Q44" s="64"/>
      <c r="R44" s="64"/>
      <c r="S44" s="64"/>
      <c r="T44" s="64"/>
      <c r="U44" s="64"/>
      <c r="V44" s="420"/>
      <c r="W44" s="77"/>
      <c r="X44" s="64"/>
      <c r="Y44" s="64"/>
      <c r="Z44" s="64"/>
      <c r="AA44" s="64"/>
      <c r="AB44" s="64"/>
      <c r="AC44" s="65"/>
      <c r="AD44" s="77"/>
      <c r="AE44" s="64"/>
      <c r="AF44" s="64"/>
      <c r="AG44" s="64"/>
      <c r="AH44" s="64"/>
      <c r="AI44" s="64"/>
      <c r="AJ44" s="65"/>
      <c r="AK44" s="77"/>
      <c r="AL44" s="64"/>
      <c r="AM44" s="64"/>
      <c r="AN44" s="64"/>
      <c r="AO44" s="64"/>
      <c r="AP44" s="64"/>
      <c r="AQ44" s="65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91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91"/>
      <c r="BN44" s="64"/>
      <c r="BO44" s="64"/>
      <c r="BP44" s="64"/>
      <c r="BQ44" s="64"/>
      <c r="BR44" s="64"/>
      <c r="BS44" s="64"/>
      <c r="BT44" s="111">
        <v>29000</v>
      </c>
      <c r="BU44" s="111">
        <v>26000</v>
      </c>
      <c r="BV44" s="111">
        <v>29000</v>
      </c>
      <c r="BW44" s="111">
        <v>29000</v>
      </c>
      <c r="BX44" s="111">
        <v>29000</v>
      </c>
      <c r="BY44" s="111">
        <v>35000</v>
      </c>
      <c r="BZ44" s="112">
        <v>25000</v>
      </c>
      <c r="CA44" s="111">
        <v>29000</v>
      </c>
      <c r="CB44" s="111">
        <v>29000</v>
      </c>
      <c r="CC44" s="111">
        <v>29000</v>
      </c>
      <c r="CD44" s="111">
        <v>29000</v>
      </c>
      <c r="CE44" s="111">
        <v>29000</v>
      </c>
      <c r="CF44" s="111">
        <v>35000</v>
      </c>
      <c r="CG44" s="112">
        <v>25000</v>
      </c>
      <c r="CH44" s="111">
        <v>29000</v>
      </c>
      <c r="CI44" s="111">
        <v>29000</v>
      </c>
      <c r="CJ44" s="111">
        <v>29000</v>
      </c>
      <c r="CK44" s="111">
        <v>29000</v>
      </c>
      <c r="CL44" s="111">
        <v>29000</v>
      </c>
      <c r="CM44" s="111">
        <v>35000</v>
      </c>
      <c r="CN44" s="112"/>
      <c r="CO44" s="111">
        <v>25000</v>
      </c>
      <c r="CP44" s="111">
        <v>25000</v>
      </c>
      <c r="CQ44" s="111">
        <v>25000</v>
      </c>
      <c r="CR44" s="111">
        <v>30000</v>
      </c>
      <c r="CS44" s="111">
        <v>28000</v>
      </c>
      <c r="CT44" s="111">
        <v>35000</v>
      </c>
      <c r="CU44" s="112"/>
      <c r="CV44" s="111">
        <v>25000</v>
      </c>
      <c r="CW44" s="111">
        <v>25000</v>
      </c>
      <c r="CX44" s="111">
        <v>25000</v>
      </c>
      <c r="CY44" s="111">
        <v>30000</v>
      </c>
      <c r="CZ44" s="111">
        <v>30000</v>
      </c>
      <c r="DA44" s="111">
        <v>35000</v>
      </c>
      <c r="DB44" s="112"/>
      <c r="DC44" s="111">
        <v>25000</v>
      </c>
      <c r="DD44" s="111">
        <v>25000</v>
      </c>
      <c r="DE44" s="111">
        <v>25000</v>
      </c>
      <c r="DF44" s="111">
        <v>25000</v>
      </c>
      <c r="DG44" s="111">
        <v>30000</v>
      </c>
      <c r="DH44" s="111">
        <v>35000</v>
      </c>
      <c r="DI44" s="112"/>
      <c r="DJ44">
        <v>26000</v>
      </c>
      <c r="DL44" s="111">
        <v>25000</v>
      </c>
      <c r="DM44" s="111">
        <v>23000</v>
      </c>
      <c r="DN44" s="111">
        <v>30000</v>
      </c>
      <c r="DO44" s="111">
        <v>35000</v>
      </c>
      <c r="DP44" s="112"/>
      <c r="DQ44" s="111">
        <v>25000</v>
      </c>
      <c r="DR44" s="111">
        <v>27500</v>
      </c>
      <c r="DS44" s="111">
        <v>27500</v>
      </c>
      <c r="DT44" s="111">
        <v>27500</v>
      </c>
      <c r="DU44" s="111">
        <v>30000</v>
      </c>
      <c r="DV44" s="111">
        <v>30000</v>
      </c>
      <c r="DW44" s="112">
        <v>0</v>
      </c>
      <c r="DX44" s="111">
        <v>26000</v>
      </c>
      <c r="DY44" s="111">
        <v>26000</v>
      </c>
      <c r="DZ44" s="111">
        <v>27000</v>
      </c>
      <c r="EA44" s="111">
        <v>28000</v>
      </c>
      <c r="EB44" s="111">
        <v>30000</v>
      </c>
      <c r="EC44" s="111">
        <v>35000</v>
      </c>
      <c r="ED44" s="112"/>
      <c r="EE44" s="111">
        <v>25000</v>
      </c>
      <c r="EF44" s="111">
        <v>25000</v>
      </c>
      <c r="EG44" s="111">
        <v>27000</v>
      </c>
      <c r="EH44" s="111">
        <v>28000</v>
      </c>
      <c r="EI44" s="111">
        <v>30000</v>
      </c>
      <c r="EJ44" s="111"/>
      <c r="EK44" s="112"/>
      <c r="EL44" s="111">
        <v>23000</v>
      </c>
      <c r="EM44" s="111">
        <v>25000</v>
      </c>
      <c r="EN44" s="111">
        <v>26000</v>
      </c>
      <c r="EO44" s="111">
        <v>28000</v>
      </c>
      <c r="EP44" s="111">
        <v>31000</v>
      </c>
      <c r="EQ44" s="111">
        <v>40000</v>
      </c>
      <c r="ER44" s="112"/>
      <c r="ES44" s="236">
        <v>17000</v>
      </c>
      <c r="ET44" s="236">
        <v>25000</v>
      </c>
      <c r="EU44" s="236">
        <v>25000</v>
      </c>
      <c r="EV44" s="236">
        <v>26000</v>
      </c>
      <c r="EW44" s="236">
        <v>30000</v>
      </c>
      <c r="EX44" s="236">
        <v>40000</v>
      </c>
      <c r="EY44" s="112"/>
      <c r="EZ44" s="236">
        <v>27000</v>
      </c>
      <c r="FA44" s="236">
        <v>27000</v>
      </c>
      <c r="FB44" s="236">
        <v>27000</v>
      </c>
      <c r="FC44" s="236">
        <v>29000</v>
      </c>
      <c r="FD44" s="236">
        <v>30000</v>
      </c>
      <c r="FE44" s="236">
        <v>40000</v>
      </c>
      <c r="FF44" s="112"/>
      <c r="FG44" s="489">
        <v>27000</v>
      </c>
      <c r="FH44" s="489">
        <v>27000</v>
      </c>
      <c r="FI44" s="489">
        <v>27000</v>
      </c>
      <c r="FJ44" s="489">
        <v>29000</v>
      </c>
      <c r="FK44" s="489">
        <v>30000</v>
      </c>
      <c r="FL44" s="489">
        <v>43000</v>
      </c>
      <c r="FM44" s="490"/>
      <c r="FN44" s="489">
        <v>25000</v>
      </c>
      <c r="FO44" s="489">
        <v>25000</v>
      </c>
      <c r="FP44" s="489">
        <v>25000</v>
      </c>
      <c r="FQ44" s="489">
        <v>26000</v>
      </c>
      <c r="FR44" s="489">
        <v>30000</v>
      </c>
      <c r="FS44" s="489">
        <v>40000</v>
      </c>
      <c r="FT44" s="490"/>
      <c r="FU44" s="489">
        <v>26000</v>
      </c>
      <c r="FV44" s="489">
        <v>27000</v>
      </c>
      <c r="FW44" s="489">
        <v>28000</v>
      </c>
      <c r="FX44" s="489">
        <v>29000</v>
      </c>
      <c r="FY44" s="489">
        <v>35000</v>
      </c>
      <c r="FZ44" s="489">
        <v>45000</v>
      </c>
      <c r="GA44" s="518"/>
      <c r="GB44" s="489">
        <v>25000</v>
      </c>
      <c r="GC44" s="489">
        <v>27000</v>
      </c>
      <c r="GD44" s="489">
        <v>27000</v>
      </c>
      <c r="GE44" s="489">
        <v>29000</v>
      </c>
      <c r="GF44" s="489">
        <v>30000</v>
      </c>
      <c r="GG44" s="489">
        <v>45000</v>
      </c>
      <c r="GH44" s="490"/>
      <c r="GI44" s="489">
        <v>29000</v>
      </c>
      <c r="GJ44" s="489">
        <v>29000</v>
      </c>
      <c r="GK44" s="489">
        <v>29000</v>
      </c>
      <c r="GL44" s="489">
        <v>30000</v>
      </c>
      <c r="GM44" s="489">
        <v>35000</v>
      </c>
      <c r="GN44" s="489">
        <v>45000</v>
      </c>
      <c r="GO44" s="490"/>
      <c r="GP44" s="489">
        <v>30000</v>
      </c>
      <c r="GQ44" s="489">
        <v>30000</v>
      </c>
      <c r="GR44" s="489">
        <v>31000</v>
      </c>
      <c r="GS44" s="489">
        <v>33000</v>
      </c>
      <c r="GT44" s="489">
        <v>40000</v>
      </c>
      <c r="GU44" s="489">
        <v>45000</v>
      </c>
      <c r="GV44" s="490"/>
      <c r="GW44" s="489">
        <v>32000</v>
      </c>
      <c r="GX44" s="489">
        <v>32000</v>
      </c>
      <c r="GY44" s="489">
        <v>32000</v>
      </c>
      <c r="GZ44" s="489">
        <v>35000</v>
      </c>
      <c r="HA44" s="489">
        <v>40000</v>
      </c>
      <c r="HB44" s="489">
        <v>50000</v>
      </c>
      <c r="HC44" s="490"/>
      <c r="HD44" s="489">
        <v>32000</v>
      </c>
      <c r="HE44" s="489">
        <v>32000</v>
      </c>
      <c r="HF44" s="489">
        <v>32000</v>
      </c>
      <c r="HG44" s="489">
        <v>37000</v>
      </c>
      <c r="HH44" s="489">
        <v>40000</v>
      </c>
      <c r="HI44" s="489">
        <v>50000</v>
      </c>
      <c r="HJ44" s="490"/>
      <c r="HK44" s="489">
        <v>32000</v>
      </c>
      <c r="HL44" s="626">
        <v>32000</v>
      </c>
      <c r="HM44" s="626">
        <v>32000</v>
      </c>
      <c r="HN44" s="626">
        <v>37000</v>
      </c>
      <c r="HO44" s="489">
        <v>40000</v>
      </c>
      <c r="HP44" s="489">
        <v>50000</v>
      </c>
      <c r="HQ44" s="605"/>
      <c r="HR44" s="628">
        <v>33000</v>
      </c>
      <c r="HS44" s="629">
        <v>33000</v>
      </c>
      <c r="HT44" s="629"/>
      <c r="HU44" s="629">
        <v>39000</v>
      </c>
      <c r="HV44" s="629">
        <v>40000</v>
      </c>
      <c r="HW44" s="629">
        <v>50000</v>
      </c>
      <c r="HX44" s="630"/>
      <c r="HY44" s="628">
        <v>27000</v>
      </c>
      <c r="HZ44" s="629">
        <v>33000</v>
      </c>
      <c r="IA44" s="629">
        <v>34000</v>
      </c>
      <c r="IB44" s="629">
        <v>39000</v>
      </c>
      <c r="IC44" s="629">
        <v>40000</v>
      </c>
      <c r="ID44" s="629">
        <v>50000</v>
      </c>
      <c r="IE44" s="630"/>
      <c r="IF44" s="628">
        <v>33000</v>
      </c>
      <c r="IG44" s="629">
        <v>33000</v>
      </c>
      <c r="IH44" s="629">
        <v>38000</v>
      </c>
      <c r="II44" s="629">
        <v>44000</v>
      </c>
      <c r="IJ44" s="629">
        <v>48000</v>
      </c>
      <c r="IK44" s="629">
        <v>50000</v>
      </c>
      <c r="IL44" s="630"/>
      <c r="IM44" s="628">
        <v>40000</v>
      </c>
      <c r="IN44" s="629">
        <v>40000</v>
      </c>
      <c r="IO44" s="629">
        <v>40000</v>
      </c>
      <c r="IP44" s="629">
        <v>40000</v>
      </c>
      <c r="IQ44" s="629">
        <v>40000</v>
      </c>
      <c r="IR44" s="629">
        <v>65000</v>
      </c>
      <c r="IS44" s="630"/>
      <c r="IT44" s="628">
        <v>37000</v>
      </c>
      <c r="IU44" s="629">
        <v>38000</v>
      </c>
      <c r="IV44" s="629">
        <v>38000</v>
      </c>
      <c r="IW44" s="629">
        <v>40000</v>
      </c>
      <c r="IX44" s="629">
        <v>40000</v>
      </c>
      <c r="IY44" s="629">
        <v>50000</v>
      </c>
      <c r="IZ44" s="630"/>
      <c r="JA44" s="628">
        <v>37000</v>
      </c>
      <c r="JB44" s="629">
        <v>37000</v>
      </c>
      <c r="JC44" s="629">
        <v>37000</v>
      </c>
      <c r="JD44" s="629">
        <v>37000</v>
      </c>
      <c r="JE44" s="629">
        <v>42000</v>
      </c>
      <c r="JF44" s="629">
        <v>65000</v>
      </c>
      <c r="JG44" s="630">
        <v>25000</v>
      </c>
      <c r="JH44" s="628">
        <v>35000</v>
      </c>
      <c r="JI44" s="629">
        <v>35000</v>
      </c>
      <c r="JJ44" s="629">
        <v>40000</v>
      </c>
      <c r="JK44" s="629">
        <v>40000</v>
      </c>
      <c r="JL44" s="629"/>
      <c r="JM44" s="629">
        <v>50000</v>
      </c>
      <c r="JN44" s="630"/>
      <c r="JO44" s="628">
        <v>35000</v>
      </c>
      <c r="JP44" s="629">
        <v>35000</v>
      </c>
      <c r="JQ44" s="629">
        <v>40000</v>
      </c>
      <c r="JR44" s="629">
        <v>40000</v>
      </c>
      <c r="JS44" s="629"/>
      <c r="JT44" s="629">
        <v>50000</v>
      </c>
      <c r="JU44" s="630"/>
      <c r="JV44" s="628">
        <v>35000</v>
      </c>
      <c r="JW44" s="629">
        <v>35000</v>
      </c>
      <c r="JX44" s="629">
        <v>40000</v>
      </c>
      <c r="JY44" s="629">
        <v>40000</v>
      </c>
      <c r="JZ44" s="629"/>
      <c r="KA44" s="629">
        <v>50000</v>
      </c>
      <c r="KB44" s="630"/>
    </row>
    <row r="45" spans="1:288" x14ac:dyDescent="0.3">
      <c r="A45" s="17" t="s">
        <v>145</v>
      </c>
      <c r="B45" s="419"/>
      <c r="C45" s="64"/>
      <c r="D45" s="64"/>
      <c r="E45" s="64"/>
      <c r="F45" s="64"/>
      <c r="G45" s="64"/>
      <c r="H45" s="420"/>
      <c r="I45" s="419"/>
      <c r="J45" s="64"/>
      <c r="K45" s="64"/>
      <c r="L45" s="64"/>
      <c r="M45" s="64"/>
      <c r="N45" s="64"/>
      <c r="O45" s="420"/>
      <c r="P45" s="419"/>
      <c r="Q45" s="64"/>
      <c r="R45" s="64"/>
      <c r="S45" s="64"/>
      <c r="T45" s="64"/>
      <c r="U45" s="64"/>
      <c r="V45" s="420"/>
      <c r="W45" s="77"/>
      <c r="X45" s="64"/>
      <c r="Y45" s="64"/>
      <c r="Z45" s="64"/>
      <c r="AA45" s="64"/>
      <c r="AB45" s="64"/>
      <c r="AC45" s="65"/>
      <c r="AD45" s="77"/>
      <c r="AE45" s="64"/>
      <c r="AF45" s="64"/>
      <c r="AG45" s="64"/>
      <c r="AH45" s="64"/>
      <c r="AI45" s="64"/>
      <c r="AJ45" s="65"/>
      <c r="AK45" s="77"/>
      <c r="AL45" s="64"/>
      <c r="AM45" s="64"/>
      <c r="AN45" s="64"/>
      <c r="AO45" s="64"/>
      <c r="AP45" s="64"/>
      <c r="AQ45" s="65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91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91"/>
      <c r="BN45" s="64"/>
      <c r="BO45" s="64"/>
      <c r="BP45" s="64"/>
      <c r="BQ45" s="64"/>
      <c r="BR45" s="64"/>
      <c r="BS45" s="64"/>
      <c r="BT45" s="111">
        <v>30000</v>
      </c>
      <c r="BU45" s="111">
        <v>36000</v>
      </c>
      <c r="BV45" s="111">
        <v>36000</v>
      </c>
      <c r="BW45" s="111">
        <v>47000</v>
      </c>
      <c r="BX45" s="111">
        <v>45000</v>
      </c>
      <c r="BY45" s="85"/>
      <c r="BZ45" s="112"/>
      <c r="CA45" s="111">
        <v>30000</v>
      </c>
      <c r="CB45" s="111">
        <v>36000</v>
      </c>
      <c r="CC45" s="111">
        <v>36000</v>
      </c>
      <c r="CD45" s="111">
        <v>47000</v>
      </c>
      <c r="CE45" s="111">
        <v>45000</v>
      </c>
      <c r="CF45" s="85"/>
      <c r="CG45" s="112"/>
      <c r="CH45" s="111">
        <v>30000</v>
      </c>
      <c r="CI45" s="111">
        <v>36000</v>
      </c>
      <c r="CJ45" s="111">
        <v>36000</v>
      </c>
      <c r="CK45" s="111">
        <v>47000</v>
      </c>
      <c r="CL45" s="111">
        <v>45000</v>
      </c>
      <c r="CM45" s="85"/>
      <c r="CN45" s="112"/>
      <c r="CO45" s="111">
        <v>32000</v>
      </c>
      <c r="CP45" s="111">
        <v>40000</v>
      </c>
      <c r="CQ45" s="111">
        <v>32000</v>
      </c>
      <c r="CR45" s="111">
        <v>45000</v>
      </c>
      <c r="CS45" s="111">
        <v>45000</v>
      </c>
      <c r="CT45" s="85"/>
      <c r="CU45" s="112"/>
      <c r="CV45" s="111">
        <v>32000</v>
      </c>
      <c r="CW45" s="111">
        <v>40000</v>
      </c>
      <c r="CX45" s="111">
        <v>32000</v>
      </c>
      <c r="CY45" s="111">
        <v>45000</v>
      </c>
      <c r="CZ45" s="111">
        <v>45000</v>
      </c>
      <c r="DA45" s="85"/>
      <c r="DB45" s="112"/>
      <c r="DC45" s="111">
        <v>32000</v>
      </c>
      <c r="DD45" s="111">
        <v>32000</v>
      </c>
      <c r="DE45" s="111">
        <v>32000</v>
      </c>
      <c r="DF45" s="111">
        <v>32000</v>
      </c>
      <c r="DG45" s="111">
        <v>45000</v>
      </c>
      <c r="DH45" s="85"/>
      <c r="DI45" s="112"/>
      <c r="DL45" s="111">
        <v>36000</v>
      </c>
      <c r="DM45" s="111">
        <v>42000</v>
      </c>
      <c r="DN45" s="111">
        <v>35000</v>
      </c>
      <c r="DO45" s="236"/>
      <c r="DP45" s="112"/>
      <c r="DQ45" s="111">
        <v>25000</v>
      </c>
      <c r="DR45" s="111">
        <v>27500</v>
      </c>
      <c r="DS45" s="111">
        <v>30000</v>
      </c>
      <c r="DT45" s="111">
        <v>37500</v>
      </c>
      <c r="DU45" s="111">
        <v>37500</v>
      </c>
      <c r="DV45" s="85"/>
      <c r="DW45" s="112"/>
      <c r="DX45" s="111">
        <v>32000</v>
      </c>
      <c r="DY45" s="111">
        <v>31000</v>
      </c>
      <c r="DZ45" s="111">
        <v>36000</v>
      </c>
      <c r="EA45" s="111">
        <v>41000</v>
      </c>
      <c r="EB45" s="111">
        <v>42000</v>
      </c>
      <c r="EC45" s="85"/>
      <c r="ED45" s="112"/>
      <c r="EE45" s="111">
        <v>34000</v>
      </c>
      <c r="EF45" s="111">
        <v>33000</v>
      </c>
      <c r="EG45" s="111">
        <v>36000</v>
      </c>
      <c r="EH45" s="111">
        <v>40000</v>
      </c>
      <c r="EI45" s="111">
        <v>42000</v>
      </c>
      <c r="EJ45" s="85"/>
      <c r="EK45" s="112"/>
      <c r="EL45" s="111">
        <v>38000</v>
      </c>
      <c r="EM45" s="111">
        <v>40000</v>
      </c>
      <c r="EN45" s="111">
        <v>40000</v>
      </c>
      <c r="EO45" s="111">
        <v>48000</v>
      </c>
      <c r="EP45" s="111">
        <v>48000</v>
      </c>
      <c r="EQ45" s="85"/>
      <c r="ER45" s="112"/>
      <c r="ES45" s="236">
        <v>35000</v>
      </c>
      <c r="ET45" s="236">
        <v>40000</v>
      </c>
      <c r="EU45" s="236">
        <v>43000</v>
      </c>
      <c r="EV45" s="236">
        <v>48000</v>
      </c>
      <c r="EW45" s="236">
        <v>46000</v>
      </c>
      <c r="EX45" s="85"/>
      <c r="EY45" s="112"/>
      <c r="EZ45" s="236">
        <v>37000</v>
      </c>
      <c r="FA45" s="236">
        <v>37000</v>
      </c>
      <c r="FB45" s="236">
        <v>38000</v>
      </c>
      <c r="FC45" s="236">
        <v>45000</v>
      </c>
      <c r="FD45" s="236">
        <v>47000</v>
      </c>
      <c r="FE45" s="85"/>
      <c r="FF45" s="112"/>
      <c r="FG45" s="489">
        <v>37000</v>
      </c>
      <c r="FH45" s="489">
        <v>37000</v>
      </c>
      <c r="FI45" s="489">
        <v>38000</v>
      </c>
      <c r="FJ45" s="489">
        <v>45000</v>
      </c>
      <c r="FK45" s="489">
        <v>47000</v>
      </c>
      <c r="FM45" s="490"/>
      <c r="FN45" s="489">
        <v>40000</v>
      </c>
      <c r="FO45" s="489">
        <v>36000</v>
      </c>
      <c r="FP45" s="489">
        <v>40000</v>
      </c>
      <c r="FQ45" s="489">
        <v>45000</v>
      </c>
      <c r="FR45" s="489">
        <v>45000</v>
      </c>
      <c r="FT45" s="490"/>
      <c r="FU45" s="489">
        <v>35000</v>
      </c>
      <c r="FV45" s="489">
        <v>37000</v>
      </c>
      <c r="FW45" s="489">
        <v>37000</v>
      </c>
      <c r="FX45" s="489">
        <v>42000</v>
      </c>
      <c r="FY45" s="489">
        <v>45000</v>
      </c>
      <c r="GA45" s="490"/>
      <c r="GB45" s="489">
        <v>40000</v>
      </c>
      <c r="GC45" s="489">
        <v>40000</v>
      </c>
      <c r="GD45" s="489">
        <v>38000</v>
      </c>
      <c r="GE45" s="489">
        <v>47000</v>
      </c>
      <c r="GF45" s="489">
        <v>47000</v>
      </c>
      <c r="GH45" s="490"/>
      <c r="GI45" s="489">
        <v>40000</v>
      </c>
      <c r="GJ45" s="489">
        <v>40000</v>
      </c>
      <c r="GK45" s="489">
        <v>38000</v>
      </c>
      <c r="GL45" s="489">
        <v>47000</v>
      </c>
      <c r="GM45" s="489">
        <v>47000</v>
      </c>
      <c r="GO45" s="490"/>
      <c r="GP45" s="489">
        <v>40000</v>
      </c>
      <c r="GQ45" s="489">
        <v>38000</v>
      </c>
      <c r="GR45" s="489">
        <v>38000</v>
      </c>
      <c r="GS45" s="489">
        <v>45000</v>
      </c>
      <c r="GT45" s="489">
        <v>48000</v>
      </c>
      <c r="GV45" s="490"/>
      <c r="GW45" s="489">
        <v>40000</v>
      </c>
      <c r="GX45" s="489">
        <v>40000</v>
      </c>
      <c r="GY45" s="489">
        <v>40000</v>
      </c>
      <c r="GZ45" s="489">
        <v>45000</v>
      </c>
      <c r="HA45" s="489">
        <v>48000</v>
      </c>
      <c r="HC45" s="490"/>
      <c r="HD45" s="489">
        <v>40000</v>
      </c>
      <c r="HE45" s="489">
        <v>40000</v>
      </c>
      <c r="HF45" s="489">
        <v>40000</v>
      </c>
      <c r="HG45" s="489">
        <v>47000</v>
      </c>
      <c r="HH45" s="489">
        <v>48000</v>
      </c>
      <c r="HJ45" s="490">
        <v>10000</v>
      </c>
      <c r="HK45" s="489">
        <v>49000</v>
      </c>
      <c r="HL45" s="489">
        <v>49000</v>
      </c>
      <c r="HM45" s="489">
        <v>49000</v>
      </c>
      <c r="HN45" s="489">
        <v>50000</v>
      </c>
      <c r="HO45" s="489">
        <v>53000</v>
      </c>
      <c r="HP45" s="605">
        <v>10000</v>
      </c>
      <c r="HQ45" s="605"/>
      <c r="HR45" s="631">
        <v>49000</v>
      </c>
      <c r="HS45" s="605">
        <v>49000</v>
      </c>
      <c r="HT45" s="605"/>
      <c r="HU45" s="605">
        <v>50000</v>
      </c>
      <c r="HV45" s="605">
        <v>53000</v>
      </c>
      <c r="HW45" s="605">
        <v>15000</v>
      </c>
      <c r="HX45" s="632"/>
      <c r="HY45" s="631">
        <v>41000</v>
      </c>
      <c r="HZ45" s="605">
        <v>40000</v>
      </c>
      <c r="IA45" s="605">
        <v>40000</v>
      </c>
      <c r="IB45" s="605">
        <v>48000</v>
      </c>
      <c r="IC45" s="605">
        <v>50000</v>
      </c>
      <c r="ID45" s="605">
        <v>15000</v>
      </c>
      <c r="IE45" s="632"/>
      <c r="IF45" s="631">
        <v>44000</v>
      </c>
      <c r="IG45" s="605">
        <v>44000</v>
      </c>
      <c r="IH45" s="605">
        <v>49000</v>
      </c>
      <c r="II45" s="605">
        <v>55000</v>
      </c>
      <c r="IJ45" s="605">
        <v>60000</v>
      </c>
      <c r="IK45" s="605">
        <v>15000</v>
      </c>
      <c r="IL45" s="632">
        <v>55000</v>
      </c>
      <c r="IM45" s="631">
        <v>52000</v>
      </c>
      <c r="IN45" s="605">
        <v>52000</v>
      </c>
      <c r="IO45" s="605">
        <v>58000</v>
      </c>
      <c r="IP45" s="605">
        <v>58000</v>
      </c>
      <c r="IQ45" s="605">
        <v>58000</v>
      </c>
      <c r="IR45" s="605"/>
      <c r="IS45" s="632"/>
      <c r="IT45" s="631">
        <v>42000</v>
      </c>
      <c r="IU45" s="605">
        <v>42000</v>
      </c>
      <c r="IV45" s="605">
        <v>42000</v>
      </c>
      <c r="IW45" s="605">
        <v>44000</v>
      </c>
      <c r="IX45" s="605">
        <v>46000</v>
      </c>
      <c r="IY45" s="605"/>
      <c r="IZ45" s="632"/>
      <c r="JA45" s="631">
        <v>40000</v>
      </c>
      <c r="JB45" s="605">
        <v>40000</v>
      </c>
      <c r="JC45" s="605">
        <v>40000</v>
      </c>
      <c r="JD45" s="605">
        <v>45000</v>
      </c>
      <c r="JE45" s="605">
        <v>45000</v>
      </c>
      <c r="JF45" s="605"/>
      <c r="JG45" s="632"/>
      <c r="JH45" s="631">
        <v>50000</v>
      </c>
      <c r="JI45" s="605">
        <v>50000</v>
      </c>
      <c r="JJ45" s="605">
        <v>50000</v>
      </c>
      <c r="JK45" s="605">
        <v>20000</v>
      </c>
      <c r="JL45" s="605"/>
      <c r="JM45" s="605">
        <v>15000</v>
      </c>
      <c r="JN45" s="632">
        <v>25000</v>
      </c>
      <c r="JO45" s="631">
        <v>50000</v>
      </c>
      <c r="JP45" s="605">
        <v>50000</v>
      </c>
      <c r="JQ45" s="605">
        <v>50000</v>
      </c>
      <c r="JR45" s="605">
        <v>20000</v>
      </c>
      <c r="JS45" s="605"/>
      <c r="JT45" s="605">
        <v>15000</v>
      </c>
      <c r="JU45" s="632"/>
      <c r="JV45" s="631">
        <v>50000</v>
      </c>
      <c r="JW45" s="605">
        <v>50000</v>
      </c>
      <c r="JX45" s="605">
        <v>50000</v>
      </c>
      <c r="JY45" s="605">
        <v>20000</v>
      </c>
      <c r="JZ45" s="605"/>
      <c r="KA45" s="605">
        <v>15000</v>
      </c>
      <c r="KB45" s="632"/>
    </row>
    <row r="46" spans="1:288" ht="15" thickBot="1" x14ac:dyDescent="0.35">
      <c r="A46" s="17" t="s">
        <v>146</v>
      </c>
      <c r="B46" s="419"/>
      <c r="C46" s="64"/>
      <c r="D46" s="64"/>
      <c r="E46" s="64"/>
      <c r="F46" s="64"/>
      <c r="G46" s="64"/>
      <c r="H46" s="420"/>
      <c r="I46" s="419"/>
      <c r="J46" s="64"/>
      <c r="K46" s="64"/>
      <c r="L46" s="64"/>
      <c r="M46" s="64"/>
      <c r="N46" s="64"/>
      <c r="O46" s="420"/>
      <c r="P46" s="419"/>
      <c r="Q46" s="64"/>
      <c r="R46" s="64"/>
      <c r="S46" s="64"/>
      <c r="T46" s="64"/>
      <c r="U46" s="64"/>
      <c r="V46" s="420"/>
      <c r="W46" s="77"/>
      <c r="X46" s="64"/>
      <c r="Y46" s="64"/>
      <c r="Z46" s="64"/>
      <c r="AA46" s="64"/>
      <c r="AB46" s="64"/>
      <c r="AC46" s="65"/>
      <c r="AD46" s="77"/>
      <c r="AE46" s="64"/>
      <c r="AF46" s="64"/>
      <c r="AG46" s="64"/>
      <c r="AH46" s="64"/>
      <c r="AI46" s="64"/>
      <c r="AJ46" s="65"/>
      <c r="AK46" s="77"/>
      <c r="AL46" s="64"/>
      <c r="AM46" s="64"/>
      <c r="AN46" s="64"/>
      <c r="AO46" s="64"/>
      <c r="AP46" s="64"/>
      <c r="AQ46" s="65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91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91"/>
      <c r="BN46" s="64"/>
      <c r="BO46" s="64"/>
      <c r="BP46" s="64"/>
      <c r="BQ46" s="64"/>
      <c r="BR46" s="64"/>
      <c r="BS46" s="64"/>
      <c r="BT46" s="111">
        <v>33000</v>
      </c>
      <c r="BU46" s="111">
        <v>33000</v>
      </c>
      <c r="BV46" s="111">
        <v>35000</v>
      </c>
      <c r="BW46" s="111">
        <v>45000</v>
      </c>
      <c r="BX46" s="111">
        <v>45000</v>
      </c>
      <c r="BY46" s="111"/>
      <c r="BZ46" s="112">
        <v>45000</v>
      </c>
      <c r="CA46" s="111">
        <v>33000</v>
      </c>
      <c r="CB46" s="111">
        <v>33000</v>
      </c>
      <c r="CC46" s="111">
        <v>35000</v>
      </c>
      <c r="CD46" s="111">
        <v>45000</v>
      </c>
      <c r="CE46" s="111">
        <v>45000</v>
      </c>
      <c r="CF46" s="111"/>
      <c r="CG46" s="112">
        <v>47000</v>
      </c>
      <c r="CH46" s="111">
        <v>33000</v>
      </c>
      <c r="CI46" s="111">
        <v>33000</v>
      </c>
      <c r="CJ46" s="111">
        <v>35000</v>
      </c>
      <c r="CK46" s="111">
        <v>45000</v>
      </c>
      <c r="CL46" s="111">
        <v>45000</v>
      </c>
      <c r="CM46" s="111"/>
      <c r="CN46" s="112">
        <v>45000</v>
      </c>
      <c r="CO46" s="111">
        <v>30000</v>
      </c>
      <c r="CP46" s="111">
        <v>30000</v>
      </c>
      <c r="CQ46" s="111">
        <v>30000</v>
      </c>
      <c r="CR46" s="111">
        <v>40000</v>
      </c>
      <c r="CS46" s="111">
        <v>40000</v>
      </c>
      <c r="CT46" s="111"/>
      <c r="CU46" s="112">
        <v>35000</v>
      </c>
      <c r="CV46" s="111">
        <v>30000</v>
      </c>
      <c r="CW46" s="111">
        <v>30000</v>
      </c>
      <c r="CX46" s="111">
        <v>30000</v>
      </c>
      <c r="CY46" s="111">
        <v>40000</v>
      </c>
      <c r="CZ46" s="111">
        <v>40000</v>
      </c>
      <c r="DA46" s="111"/>
      <c r="DB46" s="112">
        <v>38000</v>
      </c>
      <c r="DC46" s="111">
        <v>30000</v>
      </c>
      <c r="DD46" s="111">
        <v>30000</v>
      </c>
      <c r="DE46" s="111">
        <v>30000</v>
      </c>
      <c r="DF46" s="111">
        <v>30000</v>
      </c>
      <c r="DG46" s="111">
        <v>40000</v>
      </c>
      <c r="DH46" s="111"/>
      <c r="DI46" s="112">
        <v>38000</v>
      </c>
      <c r="DJ46">
        <v>39000</v>
      </c>
      <c r="DK46">
        <v>32000</v>
      </c>
      <c r="DL46" s="111">
        <v>19000</v>
      </c>
      <c r="DM46" s="111">
        <v>31000</v>
      </c>
      <c r="DN46" s="111">
        <v>35000</v>
      </c>
      <c r="DO46" s="111"/>
      <c r="DP46" s="112">
        <v>38000</v>
      </c>
      <c r="DQ46" s="111">
        <v>30000</v>
      </c>
      <c r="DR46" s="111">
        <v>30000</v>
      </c>
      <c r="DS46" s="111">
        <v>40000</v>
      </c>
      <c r="DT46" s="111">
        <v>42500</v>
      </c>
      <c r="DU46" s="111">
        <v>42500</v>
      </c>
      <c r="DV46" s="111"/>
      <c r="DW46" s="112">
        <v>40000</v>
      </c>
      <c r="DX46" s="111">
        <v>30000</v>
      </c>
      <c r="DY46" s="111">
        <v>29000</v>
      </c>
      <c r="DZ46" s="111">
        <v>32000</v>
      </c>
      <c r="EA46" s="111">
        <v>48000</v>
      </c>
      <c r="EB46" s="111">
        <v>45000</v>
      </c>
      <c r="EC46" s="111"/>
      <c r="ED46" s="112">
        <v>38000</v>
      </c>
      <c r="EE46" s="111">
        <v>32000</v>
      </c>
      <c r="EF46" s="111">
        <v>30000</v>
      </c>
      <c r="EG46" s="111">
        <v>34000</v>
      </c>
      <c r="EH46" s="111">
        <v>46000</v>
      </c>
      <c r="EI46" s="111"/>
      <c r="EJ46" s="111"/>
      <c r="EK46" s="112">
        <v>45000</v>
      </c>
      <c r="EL46" s="111">
        <v>31000</v>
      </c>
      <c r="EM46" s="111">
        <v>28000</v>
      </c>
      <c r="EN46" s="111">
        <v>32000</v>
      </c>
      <c r="EO46" s="111">
        <v>40000</v>
      </c>
      <c r="EP46" s="111">
        <v>43000</v>
      </c>
      <c r="EQ46" s="111"/>
      <c r="ER46" s="112">
        <v>50000</v>
      </c>
      <c r="ES46" s="236">
        <v>31000</v>
      </c>
      <c r="ET46" s="236">
        <v>30000</v>
      </c>
      <c r="EU46" s="236">
        <v>35000</v>
      </c>
      <c r="EV46" s="236">
        <v>45000</v>
      </c>
      <c r="EW46" s="236">
        <v>45000</v>
      </c>
      <c r="EX46" s="236"/>
      <c r="EY46" s="112">
        <v>40000</v>
      </c>
      <c r="EZ46" s="236">
        <v>34000</v>
      </c>
      <c r="FA46" s="236">
        <v>34000</v>
      </c>
      <c r="FB46" s="236">
        <v>34000</v>
      </c>
      <c r="FC46" s="236">
        <v>42000</v>
      </c>
      <c r="FD46" s="236">
        <v>46000</v>
      </c>
      <c r="FE46" s="236"/>
      <c r="FF46" s="112">
        <v>40000</v>
      </c>
      <c r="FG46" s="489">
        <v>34000</v>
      </c>
      <c r="FH46" s="489">
        <v>34000</v>
      </c>
      <c r="FI46" s="489">
        <v>34000</v>
      </c>
      <c r="FJ46" s="489">
        <v>42000</v>
      </c>
      <c r="FK46" s="489">
        <v>46000</v>
      </c>
      <c r="FL46" s="489"/>
      <c r="FM46" s="490">
        <v>42000</v>
      </c>
      <c r="FN46" s="489">
        <v>34000</v>
      </c>
      <c r="FO46" s="489">
        <v>30000</v>
      </c>
      <c r="FP46" s="489">
        <v>35000</v>
      </c>
      <c r="FQ46" s="489">
        <v>45000</v>
      </c>
      <c r="FR46" s="489">
        <v>43000</v>
      </c>
      <c r="FS46" s="489"/>
      <c r="FT46" s="490">
        <v>42000</v>
      </c>
      <c r="FU46" s="489">
        <v>33000</v>
      </c>
      <c r="FV46" s="489">
        <v>33000</v>
      </c>
      <c r="FW46" s="489">
        <v>34000</v>
      </c>
      <c r="FX46" s="489">
        <v>39000</v>
      </c>
      <c r="FY46" s="489">
        <v>42000</v>
      </c>
      <c r="FZ46" s="489"/>
      <c r="GA46" s="519">
        <v>42000</v>
      </c>
      <c r="GB46" s="489">
        <v>30000</v>
      </c>
      <c r="GC46" s="489">
        <v>30000</v>
      </c>
      <c r="GD46" s="489">
        <v>30000</v>
      </c>
      <c r="GE46" s="489">
        <v>48000</v>
      </c>
      <c r="GF46" s="489">
        <v>50000</v>
      </c>
      <c r="GG46" s="489"/>
      <c r="GH46" s="490">
        <v>44000</v>
      </c>
      <c r="GI46" s="489">
        <v>30000</v>
      </c>
      <c r="GJ46" s="489">
        <v>30000</v>
      </c>
      <c r="GK46" s="489">
        <v>30000</v>
      </c>
      <c r="GL46" s="489">
        <v>50000</v>
      </c>
      <c r="GM46" s="489">
        <v>50000</v>
      </c>
      <c r="GN46" s="489"/>
      <c r="GO46" s="490">
        <v>44000</v>
      </c>
      <c r="GP46" s="489">
        <v>31000</v>
      </c>
      <c r="GQ46" s="489">
        <v>31000</v>
      </c>
      <c r="GR46" s="489">
        <v>31000</v>
      </c>
      <c r="GS46" s="489">
        <v>45000</v>
      </c>
      <c r="GT46" s="489">
        <v>47000</v>
      </c>
      <c r="GU46" s="489"/>
      <c r="GV46" s="490">
        <v>44000</v>
      </c>
      <c r="GW46" s="489">
        <v>32000</v>
      </c>
      <c r="GX46" s="489">
        <v>32000</v>
      </c>
      <c r="GY46" s="489">
        <v>32000</v>
      </c>
      <c r="GZ46" s="489">
        <v>45000</v>
      </c>
      <c r="HA46" s="489">
        <v>47000</v>
      </c>
      <c r="HB46" s="489"/>
      <c r="HC46" s="490">
        <v>44000</v>
      </c>
      <c r="HD46" s="489">
        <v>34000</v>
      </c>
      <c r="HE46" s="489">
        <v>34000</v>
      </c>
      <c r="HF46" s="489">
        <v>34000</v>
      </c>
      <c r="HG46" s="489">
        <v>45000</v>
      </c>
      <c r="HH46" s="489">
        <v>47000</v>
      </c>
      <c r="HI46" s="489"/>
      <c r="HJ46" s="490">
        <v>44000</v>
      </c>
      <c r="HK46" s="489">
        <v>36000</v>
      </c>
      <c r="HL46" s="626">
        <v>35000</v>
      </c>
      <c r="HM46" s="626">
        <v>36000</v>
      </c>
      <c r="HN46" s="489">
        <v>47000</v>
      </c>
      <c r="HO46" s="489">
        <v>49000</v>
      </c>
      <c r="HP46" s="489"/>
      <c r="HQ46" s="605">
        <v>45000</v>
      </c>
      <c r="HR46" s="631">
        <v>37000</v>
      </c>
      <c r="HS46" s="605"/>
      <c r="HT46" s="605">
        <v>40000</v>
      </c>
      <c r="HU46" s="605">
        <v>49000</v>
      </c>
      <c r="HV46" s="605">
        <v>49000</v>
      </c>
      <c r="HW46" s="605"/>
      <c r="HX46" s="632">
        <v>45000</v>
      </c>
      <c r="HY46" s="631">
        <v>37000</v>
      </c>
      <c r="HZ46" s="605">
        <v>37000</v>
      </c>
      <c r="IA46" s="605">
        <v>40000</v>
      </c>
      <c r="IB46" s="605">
        <v>49000</v>
      </c>
      <c r="IC46" s="605">
        <v>49000</v>
      </c>
      <c r="ID46" s="605"/>
      <c r="IE46" s="632">
        <v>44000</v>
      </c>
      <c r="IF46" s="631">
        <v>37000</v>
      </c>
      <c r="IG46" s="605">
        <v>37000</v>
      </c>
      <c r="IH46" s="605">
        <v>40000</v>
      </c>
      <c r="II46" s="605">
        <v>49000</v>
      </c>
      <c r="IJ46" s="605">
        <v>49000</v>
      </c>
      <c r="IK46" s="605"/>
      <c r="IL46" s="632">
        <v>52000</v>
      </c>
      <c r="IM46" s="631">
        <v>42000</v>
      </c>
      <c r="IN46" s="605">
        <v>43000</v>
      </c>
      <c r="IO46" s="605">
        <v>39000</v>
      </c>
      <c r="IP46" s="605">
        <v>53000</v>
      </c>
      <c r="IQ46" s="605">
        <v>54000</v>
      </c>
      <c r="IR46" s="605"/>
      <c r="IS46" s="632">
        <v>49000</v>
      </c>
      <c r="IT46" s="631">
        <v>42000</v>
      </c>
      <c r="IU46" s="605">
        <v>42000</v>
      </c>
      <c r="IV46" s="605">
        <v>42000</v>
      </c>
      <c r="IW46" s="605">
        <v>47000</v>
      </c>
      <c r="IX46" s="605">
        <v>54000</v>
      </c>
      <c r="IY46" s="605"/>
      <c r="IZ46" s="632">
        <v>45000</v>
      </c>
      <c r="JA46" s="631">
        <v>37000</v>
      </c>
      <c r="JB46" s="605">
        <v>37000</v>
      </c>
      <c r="JC46" s="605">
        <v>37000</v>
      </c>
      <c r="JD46" s="605">
        <v>50000</v>
      </c>
      <c r="JE46" s="605">
        <v>54000</v>
      </c>
      <c r="JF46" s="605"/>
      <c r="JG46" s="632">
        <v>45000</v>
      </c>
      <c r="JH46" s="631">
        <v>40000</v>
      </c>
      <c r="JI46" s="605">
        <v>40000</v>
      </c>
      <c r="JJ46" s="605">
        <v>45000</v>
      </c>
      <c r="JK46" s="605"/>
      <c r="JL46" s="605">
        <v>44000</v>
      </c>
      <c r="JM46" s="605"/>
      <c r="JN46" s="632">
        <v>44000</v>
      </c>
      <c r="JO46" s="631">
        <v>40000</v>
      </c>
      <c r="JP46" s="605">
        <v>40000</v>
      </c>
      <c r="JQ46" s="605">
        <v>45000</v>
      </c>
      <c r="JR46" s="605"/>
      <c r="JS46" s="605">
        <v>44000</v>
      </c>
      <c r="JT46" s="605"/>
      <c r="JU46" s="632">
        <v>44000</v>
      </c>
      <c r="JV46" s="631">
        <v>40000</v>
      </c>
      <c r="JW46" s="605">
        <v>40000</v>
      </c>
      <c r="JX46" s="605">
        <v>45000</v>
      </c>
      <c r="JY46" s="605"/>
      <c r="JZ46" s="605">
        <v>44000</v>
      </c>
      <c r="KA46" s="605"/>
      <c r="KB46" s="632">
        <v>44000</v>
      </c>
    </row>
    <row r="47" spans="1:288" s="119" customFormat="1" ht="16.2" thickBot="1" x14ac:dyDescent="0.35">
      <c r="A47" s="498" t="s">
        <v>147</v>
      </c>
      <c r="B47" s="421"/>
      <c r="C47" s="114"/>
      <c r="D47" s="114"/>
      <c r="E47" s="114"/>
      <c r="F47" s="114"/>
      <c r="G47" s="114"/>
      <c r="H47" s="422"/>
      <c r="I47" s="421"/>
      <c r="J47" s="114"/>
      <c r="K47" s="114"/>
      <c r="L47" s="114"/>
      <c r="M47" s="114"/>
      <c r="N47" s="114"/>
      <c r="O47" s="422"/>
      <c r="P47" s="421"/>
      <c r="Q47" s="114"/>
      <c r="R47" s="114"/>
      <c r="S47" s="114"/>
      <c r="T47" s="114"/>
      <c r="U47" s="114"/>
      <c r="V47" s="422"/>
      <c r="W47" s="116"/>
      <c r="X47" s="114"/>
      <c r="Y47" s="114"/>
      <c r="Z47" s="114"/>
      <c r="AA47" s="114"/>
      <c r="AB47" s="114"/>
      <c r="AC47" s="115"/>
      <c r="AD47" s="116"/>
      <c r="AE47" s="114"/>
      <c r="AF47" s="114"/>
      <c r="AG47" s="114"/>
      <c r="AH47" s="114"/>
      <c r="AI47" s="114"/>
      <c r="AJ47" s="115"/>
      <c r="AK47" s="116"/>
      <c r="AL47" s="114"/>
      <c r="AM47" s="114"/>
      <c r="AN47" s="114"/>
      <c r="AO47" s="114"/>
      <c r="AP47" s="114"/>
      <c r="AQ47" s="115"/>
      <c r="AR47" s="114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/>
      <c r="BG47" s="114"/>
      <c r="BH47" s="114"/>
      <c r="BI47" s="114"/>
      <c r="BJ47" s="114"/>
      <c r="BK47" s="114"/>
      <c r="BL47" s="114"/>
      <c r="BM47" s="114"/>
      <c r="BN47" s="114"/>
      <c r="BO47" s="114"/>
      <c r="BP47" s="114"/>
      <c r="BQ47" s="114"/>
      <c r="BR47" s="114"/>
      <c r="BS47" s="114"/>
      <c r="BT47" s="114"/>
      <c r="BU47" s="114"/>
      <c r="BV47" s="114"/>
      <c r="BW47" s="114"/>
      <c r="BX47" s="114"/>
      <c r="BY47" s="114"/>
      <c r="BZ47" s="117"/>
      <c r="CA47" s="118">
        <v>17500</v>
      </c>
      <c r="CB47" s="118">
        <f>(CA47+CB13-CA44)+(CB24-CA45)+(CB6-CA46)</f>
        <v>23664</v>
      </c>
      <c r="CC47" s="118">
        <v>19000</v>
      </c>
      <c r="CD47" s="118">
        <v>20000</v>
      </c>
      <c r="CE47" s="118">
        <v>24000</v>
      </c>
      <c r="CF47" s="118">
        <f>(CE47+CF13-CE44)+(CF24-CE45)+(CF6-CE46)</f>
        <v>15304.5</v>
      </c>
      <c r="CG47" s="118">
        <f>CF47+CG13-CF44+CH13</f>
        <v>14674.5</v>
      </c>
      <c r="CH47" s="118">
        <f>CG47+CH6+CH24-CG44-CG46</f>
        <v>-8125.5</v>
      </c>
      <c r="CI47" s="118">
        <f>(CH47+CI13-CH44)+(CI24-CH45)+(CI6-CH46)</f>
        <v>-15015.5</v>
      </c>
      <c r="CJ47" s="118">
        <f>(CI47+CJ13-CI44)+(CJ24-CI45)+(CJ6-CI46)</f>
        <v>-22165.5</v>
      </c>
      <c r="CK47" s="118">
        <v>15000</v>
      </c>
      <c r="CL47" s="118">
        <f>(CK47+CL13-CK44)+(CL24-CK45)+(CL6-CK46)</f>
        <v>7850</v>
      </c>
      <c r="CM47" s="118">
        <f>(CL47+CM13-CL44)+(CM24-CL45)+(CM6-CL46)</f>
        <v>-1080</v>
      </c>
      <c r="CN47" s="118">
        <f>CM47+CN13-CM44+CO13</f>
        <v>-12680</v>
      </c>
      <c r="CO47" s="118">
        <v>23000</v>
      </c>
      <c r="CP47" s="118">
        <v>25000</v>
      </c>
      <c r="CQ47" s="118">
        <v>29000</v>
      </c>
      <c r="CR47" s="118">
        <v>21000</v>
      </c>
      <c r="CS47" s="118">
        <v>10000</v>
      </c>
      <c r="CT47" s="118">
        <f>(CS47+CT13-CS44)+(CT24-CS45)+(CT6-CS46)</f>
        <v>12560</v>
      </c>
      <c r="CU47" s="118">
        <f>CV13+CV6</f>
        <v>40188</v>
      </c>
      <c r="CV47" s="118">
        <v>21400</v>
      </c>
      <c r="CW47" s="118">
        <f>(CV47+CW13-CV44)+(CW24-CV45)+(CW6-CV46)</f>
        <v>4460</v>
      </c>
      <c r="CX47" s="118">
        <v>9000</v>
      </c>
      <c r="CY47" s="118">
        <v>11000</v>
      </c>
      <c r="CZ47" s="118">
        <v>19000</v>
      </c>
      <c r="DA47" s="118">
        <f>(CZ47+DA13-CZ44)+(DA24-CZ45)+(DA6-CZ46)</f>
        <v>2092</v>
      </c>
      <c r="DB47" s="118">
        <f>DA47+DB13-DA44+DC13</f>
        <v>-7959</v>
      </c>
      <c r="DC47" s="118">
        <v>14500</v>
      </c>
      <c r="DD47" s="118">
        <v>11000</v>
      </c>
      <c r="DE47" s="118">
        <v>11000</v>
      </c>
      <c r="DF47" s="118">
        <v>21000</v>
      </c>
      <c r="DG47" s="118">
        <v>11000</v>
      </c>
      <c r="DH47" s="118">
        <f>(DG47+DH13-DG44)+(DH24-DG45)+(DH6-DG46)</f>
        <v>-17836</v>
      </c>
      <c r="DI47" s="118">
        <f>DH47+DI13-DH44+DJ13</f>
        <v>-22156</v>
      </c>
      <c r="DJ47" s="235">
        <v>15000</v>
      </c>
      <c r="DK47" s="235">
        <f>DJ47-DJ44-DJ46+DL6+DL13</f>
        <v>3856</v>
      </c>
      <c r="DL47" s="235">
        <v>7000</v>
      </c>
      <c r="DM47" s="235">
        <v>6000</v>
      </c>
      <c r="DN47" s="235">
        <v>23000</v>
      </c>
      <c r="DO47" s="235">
        <f>DN47-DN44-DN45-DN46+DO24+DO13+DO6</f>
        <v>17120</v>
      </c>
      <c r="DP47" s="235">
        <f>DO47-DO44+DP13+DQ13-DO45</f>
        <v>6950</v>
      </c>
      <c r="DQ47" s="235">
        <v>31000</v>
      </c>
      <c r="DR47" s="235">
        <v>26000</v>
      </c>
      <c r="DS47" s="235">
        <v>36000</v>
      </c>
      <c r="DT47" s="235">
        <v>17000</v>
      </c>
      <c r="DU47" s="235">
        <v>22500</v>
      </c>
      <c r="DV47" s="235">
        <f>DU47-DU44-DU45-DU46+DV24+DV13+DV6</f>
        <v>17620</v>
      </c>
      <c r="DW47" s="235">
        <f>DV47-DV44+DW13+DX13</f>
        <v>16150</v>
      </c>
      <c r="DX47" s="235">
        <v>19000</v>
      </c>
      <c r="DY47" s="235">
        <v>21000</v>
      </c>
      <c r="DZ47" s="235">
        <v>26500</v>
      </c>
      <c r="EA47" s="235">
        <v>27000</v>
      </c>
      <c r="EB47" s="235">
        <v>22000</v>
      </c>
      <c r="EC47" s="235">
        <f>EB47-EB44-EB45-EB46+EC24+EC13+EC6</f>
        <v>15850</v>
      </c>
      <c r="ED47" s="235">
        <f>EC47-EC44+ED13+EE13</f>
        <v>6330</v>
      </c>
      <c r="EE47" s="235">
        <v>20000</v>
      </c>
      <c r="EF47" s="235">
        <v>19000</v>
      </c>
      <c r="EG47" s="235">
        <v>24000</v>
      </c>
      <c r="EH47" s="235">
        <v>25000</v>
      </c>
      <c r="EI47" s="235">
        <v>21000</v>
      </c>
      <c r="EJ47" s="235">
        <f>EI47-EI44-EI45-EI46+EJ24+EJ13+EJ6</f>
        <v>-11400</v>
      </c>
      <c r="EK47" s="235">
        <f>EJ47-EJ44+EK13+EL13</f>
        <v>12945.121831598848</v>
      </c>
      <c r="EL47" s="235">
        <v>23000</v>
      </c>
      <c r="EM47" s="235">
        <v>17000</v>
      </c>
      <c r="EN47" s="235">
        <v>17000</v>
      </c>
      <c r="EO47" s="235">
        <v>10000</v>
      </c>
      <c r="EP47" s="235">
        <v>23000</v>
      </c>
      <c r="EQ47" s="235">
        <f>EP47-EP44-EP45-EP46+EQ24+EQ13+EQ6</f>
        <v>13150</v>
      </c>
      <c r="ER47" s="235">
        <f>EQ47-EQ44+ER13+ES13</f>
        <v>-2800</v>
      </c>
      <c r="ES47" s="235">
        <v>14500</v>
      </c>
      <c r="ET47" s="235">
        <v>21000</v>
      </c>
      <c r="EU47" s="235">
        <v>23000</v>
      </c>
      <c r="EV47" s="235">
        <v>23000</v>
      </c>
      <c r="EW47" s="235">
        <v>35000</v>
      </c>
      <c r="EX47" s="235">
        <f>EW47-EW44-EW45-EW46+EX24+EX13+EX6</f>
        <v>19720</v>
      </c>
      <c r="EY47" s="235">
        <f>EX47+EY13-EX44</f>
        <v>-15330</v>
      </c>
      <c r="EZ47" s="235">
        <v>26000</v>
      </c>
      <c r="FA47" s="235">
        <v>30000</v>
      </c>
      <c r="FB47" s="235">
        <v>31000</v>
      </c>
      <c r="FC47" s="235">
        <v>27000</v>
      </c>
      <c r="FD47" s="118">
        <v>25500</v>
      </c>
      <c r="FE47" s="118">
        <f>(FD47+FE13-FD44)+(FE24-FD45)+(FE6-FD46)</f>
        <v>18700</v>
      </c>
      <c r="FF47" s="118">
        <f>FE47+FF13-FE44+FG13</f>
        <v>6337.9974947636147</v>
      </c>
      <c r="FG47" s="521">
        <v>20000</v>
      </c>
      <c r="FH47" s="118">
        <v>20000</v>
      </c>
      <c r="FI47" s="118">
        <v>20000</v>
      </c>
      <c r="FJ47" s="118">
        <v>20000</v>
      </c>
      <c r="FK47" s="118">
        <v>20000</v>
      </c>
      <c r="FL47" s="118">
        <f>(FK47+FL13-FK44)+(FL24-FK45)+(FL6-FK46)</f>
        <v>18957.182507751677</v>
      </c>
      <c r="FM47" s="520" t="e">
        <f>FL47+FM13-FL44+FN13</f>
        <v>#REF!</v>
      </c>
      <c r="FN47" s="118" t="e">
        <f>FM47+FN6+FN24-FM46</f>
        <v>#REF!</v>
      </c>
      <c r="FO47" s="118">
        <v>10000</v>
      </c>
      <c r="FP47" s="118">
        <v>21000</v>
      </c>
      <c r="FQ47" s="118">
        <v>18000</v>
      </c>
      <c r="FR47" s="118">
        <v>23000</v>
      </c>
      <c r="FS47" s="118" t="e">
        <f>(FR47+FS13-FR44)+(FS24-FR45)+(FS6-FR46)</f>
        <v>#REF!</v>
      </c>
      <c r="FT47" s="118" t="e">
        <f>FS47+FT13-FS44+FU13</f>
        <v>#REF!</v>
      </c>
      <c r="FU47" s="521">
        <v>19000</v>
      </c>
      <c r="FV47" s="118">
        <v>14000</v>
      </c>
      <c r="FW47" s="118">
        <v>22000</v>
      </c>
      <c r="FX47" s="118">
        <v>20000</v>
      </c>
      <c r="FY47" s="118">
        <v>23000</v>
      </c>
      <c r="FZ47" s="118" t="e">
        <f>(FY47+FZ13-FY44)+(FZ24-FY45)+(FZ6-FY46)</f>
        <v>#REF!</v>
      </c>
      <c r="GA47" s="118" t="e">
        <f>FZ47+GA13-FZ44+GB13</f>
        <v>#REF!</v>
      </c>
      <c r="GB47" s="521">
        <v>24000</v>
      </c>
      <c r="GC47" s="118">
        <v>12000</v>
      </c>
      <c r="GD47" s="118">
        <v>20000</v>
      </c>
      <c r="GE47" s="118">
        <v>26000</v>
      </c>
      <c r="GF47" s="118">
        <v>27500</v>
      </c>
      <c r="GG47" s="118" t="e">
        <f>(GF47+GG13-GF44)+(GG24-GF45)+(GG6-GF46)</f>
        <v>#REF!</v>
      </c>
      <c r="GH47" s="520" t="e">
        <f>GG47+GH13-GG44+GI13</f>
        <v>#REF!</v>
      </c>
      <c r="GI47" s="118">
        <v>25000</v>
      </c>
      <c r="GJ47" s="118">
        <v>19000</v>
      </c>
      <c r="GK47" s="118">
        <v>20500</v>
      </c>
      <c r="GL47" s="118">
        <v>20500</v>
      </c>
      <c r="GM47" s="118">
        <v>26500</v>
      </c>
      <c r="GN47" s="118" t="e">
        <f>(GM47+GN13-GM44)+(GN24-GM45)+(GN6-GM46)</f>
        <v>#REF!</v>
      </c>
      <c r="GO47" s="118" t="e">
        <f>GN47+GO13-GN44+GP13</f>
        <v>#REF!</v>
      </c>
      <c r="GP47" s="118">
        <v>27500</v>
      </c>
      <c r="GQ47" s="118">
        <v>24500</v>
      </c>
      <c r="GR47" s="118">
        <v>26500</v>
      </c>
      <c r="GS47" s="118">
        <v>28000</v>
      </c>
      <c r="GT47" s="118">
        <v>34000</v>
      </c>
      <c r="GU47" s="118" t="e">
        <f>(GT47+GU13-GT44)+(GU24-GT45)+(GU6-GT46)</f>
        <v>#N/A</v>
      </c>
      <c r="GV47" s="118" t="e">
        <f>GU47+GV13-GU44+GW13</f>
        <v>#N/A</v>
      </c>
      <c r="GW47" s="118">
        <v>28000</v>
      </c>
      <c r="GX47" s="118">
        <v>23000</v>
      </c>
      <c r="GY47" s="118">
        <v>20000</v>
      </c>
      <c r="GZ47" s="118">
        <v>18500</v>
      </c>
      <c r="HA47" s="118">
        <v>31500</v>
      </c>
      <c r="HB47" s="118">
        <v>36000</v>
      </c>
      <c r="HC47" s="118" t="e">
        <f>HB47+HC13-HB44+HD13</f>
        <v>#N/A</v>
      </c>
      <c r="HD47" s="118" t="e">
        <f>(HC47-HC44)+(HD24-HC45)+(HD6-HC46)</f>
        <v>#N/A</v>
      </c>
      <c r="HE47" s="118">
        <v>15500</v>
      </c>
      <c r="HF47" s="118">
        <v>29000</v>
      </c>
      <c r="HG47" s="118">
        <v>39000</v>
      </c>
      <c r="HH47" s="118">
        <v>34000</v>
      </c>
      <c r="HI47" s="118">
        <v>30000</v>
      </c>
      <c r="HJ47" s="118" t="e">
        <f>HI47+HJ13-HI44+HK13</f>
        <v>#N/A</v>
      </c>
      <c r="HK47" s="118">
        <v>27000</v>
      </c>
      <c r="HL47" s="118">
        <v>34000</v>
      </c>
      <c r="HM47" s="118">
        <f>(HL47+HM13-HL44)+(HM24-HL45)+(HM6-HL46)</f>
        <v>34448.5</v>
      </c>
      <c r="HN47" s="118">
        <v>34000</v>
      </c>
      <c r="HO47" s="118">
        <v>28000</v>
      </c>
      <c r="HP47" s="118">
        <v>18000</v>
      </c>
      <c r="HQ47" s="118" t="e">
        <f>HP47+HQ13-HP44+HR13-HP45</f>
        <v>#N/A</v>
      </c>
      <c r="HR47" s="633">
        <v>25000</v>
      </c>
      <c r="HS47" s="118">
        <v>14000</v>
      </c>
      <c r="HT47" s="118" t="e">
        <f>(HS47+HT13-HS44)+(HT24-HS45)+(HT6-HS46)</f>
        <v>#N/A</v>
      </c>
      <c r="HU47" s="118">
        <v>15000</v>
      </c>
      <c r="HV47" s="118">
        <v>17000</v>
      </c>
      <c r="HW47" s="118" t="e">
        <f>(HV47+HW13-HV44)+(HW24-HV45)+(HW6-HV46)</f>
        <v>#N/A</v>
      </c>
      <c r="HX47" s="634" t="e">
        <f>HW47+HX13-HW44+HY13-HW45</f>
        <v>#N/A</v>
      </c>
      <c r="HY47" s="633">
        <v>18000</v>
      </c>
      <c r="HZ47" s="118">
        <v>15000</v>
      </c>
      <c r="IA47" s="118">
        <v>22000</v>
      </c>
      <c r="IB47" s="118">
        <v>20000</v>
      </c>
      <c r="IC47" s="118">
        <v>20000</v>
      </c>
      <c r="ID47" s="118" t="e">
        <f>(IC47+ID13-IC44)+(ID24-IC45)+(ID6-IC46)</f>
        <v>#N/A</v>
      </c>
      <c r="IE47" s="634" t="e">
        <f>ID47+IE13-ID44+IF13-ID45</f>
        <v>#N/A</v>
      </c>
      <c r="IF47" s="633">
        <v>24000</v>
      </c>
      <c r="IG47" s="118">
        <v>14000</v>
      </c>
      <c r="IH47" s="118">
        <v>17000</v>
      </c>
      <c r="II47" s="118">
        <v>24000</v>
      </c>
      <c r="IJ47" s="118">
        <v>33000</v>
      </c>
      <c r="IK47" s="118">
        <f>(IJ47+IK13-IJ44)+(IK24-IJ45)+(IK6-IJ46)</f>
        <v>18784</v>
      </c>
      <c r="IL47" s="634">
        <f>IK47+IL13-IK44+IM13-IK45</f>
        <v>-4770.8099999999977</v>
      </c>
      <c r="IM47" s="633">
        <v>23000</v>
      </c>
      <c r="IN47" s="118">
        <v>23000</v>
      </c>
      <c r="IO47" s="118">
        <v>36000</v>
      </c>
      <c r="IP47" s="118">
        <v>31000</v>
      </c>
      <c r="IQ47" s="118">
        <v>34000</v>
      </c>
      <c r="IR47" s="118" t="e">
        <f>(IQ47+IR13-IQ44)+(IR24-IQ45)+(IR6-IQ46)</f>
        <v>#N/A</v>
      </c>
      <c r="IS47" s="634" t="e">
        <f>IR47+IS13-IR44+IT13-IR45</f>
        <v>#N/A</v>
      </c>
      <c r="IT47" s="633">
        <v>25000</v>
      </c>
      <c r="IU47" s="118">
        <v>28000</v>
      </c>
      <c r="IV47" s="118">
        <v>25000</v>
      </c>
      <c r="IW47" s="118">
        <v>24000</v>
      </c>
      <c r="IX47" s="118">
        <v>28000</v>
      </c>
      <c r="IY47" s="118" t="e">
        <f>(IX47+IY13-IX44)+(IY24-IX45)+(IY6-IX46)</f>
        <v>#N/A</v>
      </c>
      <c r="IZ47" s="634" t="e">
        <f>IY47+IZ13-IY44+JA13-IY45</f>
        <v>#N/A</v>
      </c>
      <c r="JA47" s="633">
        <v>24000</v>
      </c>
      <c r="JB47" s="118">
        <f>(JA47+JB13-JA44)+(JB24-JA45)+(JB6-JA46)</f>
        <v>21380.25</v>
      </c>
      <c r="JC47" s="118" t="e">
        <f>(JB47+JC13-JB44)+(JC24-JB45)+(JC6-JB46)</f>
        <v>#N/A</v>
      </c>
      <c r="JD47" s="118" t="e">
        <f>(JC47+JD13-JC44)+(JD24-JC45)+(JD6-JC46)</f>
        <v>#N/A</v>
      </c>
      <c r="JE47" s="118" t="e">
        <f>(JD47+JE13-JD44)+(JE24-JD45)+(JE6-JD46)</f>
        <v>#N/A</v>
      </c>
      <c r="JF47" s="118">
        <v>18000</v>
      </c>
      <c r="JG47" s="634">
        <f>JF47+JG13-JF44+JH13-JF45</f>
        <v>13039.071586123951</v>
      </c>
      <c r="JH47" s="633" t="e">
        <f>(JG47-JG44)+(JH24-JG45)+(JH6-JG46)</f>
        <v>#N/A</v>
      </c>
      <c r="JI47" s="118" t="e">
        <f>(JH47+JI13-JH44)+(JI24-JH45)+(JI6-JH46)</f>
        <v>#N/A</v>
      </c>
      <c r="JJ47" s="651" t="e">
        <f>(JI47+JJ13-JI44)+(JJ24-JI45)+(JJ6-JI46)</f>
        <v>#N/A</v>
      </c>
      <c r="JK47" s="118" t="e">
        <f>(JJ47+JK13-JJ44)+(JK24-JJ45)+(JK6-JJ46)</f>
        <v>#N/A</v>
      </c>
      <c r="JL47" s="118" t="e">
        <f>(JK47+JL13-JK44)+(JL24-JK45)+(JL6-JK46)</f>
        <v>#N/A</v>
      </c>
      <c r="JM47" s="118" t="e">
        <f>(JL47+JM13-JL44)+(JM24-JL45)+(JM6-JL46)</f>
        <v>#N/A</v>
      </c>
      <c r="JN47" s="634" t="e">
        <f>JM47+JN13-JM44+JO13-JM45</f>
        <v>#N/A</v>
      </c>
      <c r="JO47" s="633" t="e">
        <f>(JN47-JN44)+(JO24-JN45)+(JO6-JN46)</f>
        <v>#N/A</v>
      </c>
      <c r="JP47" s="118" t="e">
        <f>(JO47+JP13-JO44)+(JP24-JO45)+(JP6-JO46)</f>
        <v>#N/A</v>
      </c>
      <c r="JQ47" s="118" t="e">
        <f>(JP47+JQ13-JP44)+(JQ24-JP45)+(JQ6-JP46)</f>
        <v>#N/A</v>
      </c>
      <c r="JR47" s="118" t="e">
        <f>(JQ47+JR13-JQ44)+(JR24-JQ45)+(JR6-JQ46)</f>
        <v>#N/A</v>
      </c>
      <c r="JS47" s="118" t="e">
        <f>(JR47+JS13-JR44)+(JS24-JR45)+(JS6-JR46)</f>
        <v>#N/A</v>
      </c>
      <c r="JT47" s="118" t="e">
        <f>(JS47+JT13-JS44)+(JT24-JS45)+(JT6-JS46)</f>
        <v>#N/A</v>
      </c>
      <c r="JU47" s="634" t="e">
        <f>JT47+JU13-JT44+JV13-JT45</f>
        <v>#N/A</v>
      </c>
      <c r="JV47" s="633" t="e">
        <f>(JU47-JU44)+(JV24-JU45)+(JV6-JU46)</f>
        <v>#N/A</v>
      </c>
      <c r="JW47" s="118" t="e">
        <f>(JV47+JW13-JV44)+(JW24-JV45)+(JW6-JV46)</f>
        <v>#N/A</v>
      </c>
      <c r="JX47" s="118" t="e">
        <f>(JW47+JX13-JW44)+(JX24-JW45)+(JX6-JW46)</f>
        <v>#N/A</v>
      </c>
      <c r="JY47" s="118" t="e">
        <f>(JX47+JY13-JX44)+(JY24-JX45)+(JY6-JX46)</f>
        <v>#N/A</v>
      </c>
      <c r="JZ47" s="118" t="e">
        <f>(JY47+JZ13-JY44)+(JZ24-JY45)+(JZ6-JY46)</f>
        <v>#N/A</v>
      </c>
      <c r="KA47" s="118" t="e">
        <f>(JZ47+KA13-JZ44)+(KA24-JZ45)+(KA6-JZ46)</f>
        <v>#N/A</v>
      </c>
      <c r="KB47" s="634" t="e">
        <f>KA47+KB13-KA44+KC13-KA45</f>
        <v>#N/A</v>
      </c>
    </row>
    <row r="48" spans="1:288" hidden="1" x14ac:dyDescent="0.3">
      <c r="A48" s="17" t="s">
        <v>148</v>
      </c>
      <c r="B48" s="83"/>
      <c r="H48" s="126"/>
      <c r="I48" s="83"/>
      <c r="O48" s="126"/>
      <c r="P48" s="83"/>
      <c r="V48" s="126"/>
      <c r="DC48" s="44">
        <f t="shared" ref="DC48:DI48" si="265">DC11/14</f>
        <v>28</v>
      </c>
      <c r="DD48" s="44">
        <f t="shared" si="265"/>
        <v>52.142857142857146</v>
      </c>
      <c r="DE48" s="44">
        <f t="shared" si="265"/>
        <v>48.571428571428569</v>
      </c>
      <c r="DF48" s="44">
        <f t="shared" si="265"/>
        <v>47.5</v>
      </c>
      <c r="DG48" s="44">
        <f t="shared" si="265"/>
        <v>50.714285714285715</v>
      </c>
      <c r="DH48" s="44">
        <f t="shared" si="265"/>
        <v>44.571428571428569</v>
      </c>
      <c r="DI48" s="44">
        <f t="shared" si="265"/>
        <v>6.4285714285714288</v>
      </c>
      <c r="DU48" s="111"/>
      <c r="HR48" s="83"/>
      <c r="HX48" s="126"/>
      <c r="HY48" s="83"/>
      <c r="IE48" s="126"/>
      <c r="IF48" s="83"/>
      <c r="IL48" s="126"/>
      <c r="IM48" s="83"/>
      <c r="IS48" s="126"/>
    </row>
    <row r="49" spans="1:260" hidden="1" x14ac:dyDescent="0.3">
      <c r="A49" s="17" t="s">
        <v>149</v>
      </c>
      <c r="B49" s="83"/>
      <c r="H49" s="126"/>
      <c r="I49" s="83"/>
      <c r="O49" s="126"/>
      <c r="P49" s="83"/>
      <c r="V49" s="126"/>
      <c r="DC49" s="44">
        <f t="shared" ref="DC49:DI49" si="266">DC22/14</f>
        <v>29.785714285714285</v>
      </c>
      <c r="DD49" s="44">
        <f t="shared" si="266"/>
        <v>32.857142857142854</v>
      </c>
      <c r="DE49" s="44">
        <f t="shared" si="266"/>
        <v>32.857142857142854</v>
      </c>
      <c r="DF49" s="44">
        <f t="shared" si="266"/>
        <v>37.5</v>
      </c>
      <c r="DG49" s="44">
        <f t="shared" si="266"/>
        <v>40</v>
      </c>
      <c r="DH49" s="44">
        <f t="shared" si="266"/>
        <v>28.571428571428573</v>
      </c>
      <c r="DI49" s="44">
        <f t="shared" si="266"/>
        <v>0</v>
      </c>
      <c r="DU49" s="111"/>
      <c r="HR49" s="83"/>
      <c r="HX49" s="126"/>
      <c r="HY49" s="83"/>
      <c r="IE49" s="126"/>
      <c r="IF49" s="83"/>
      <c r="IL49" s="126"/>
      <c r="IM49" s="83"/>
      <c r="IS49" s="126"/>
    </row>
    <row r="50" spans="1:260" hidden="1" x14ac:dyDescent="0.3">
      <c r="B50" s="83"/>
      <c r="H50" s="126"/>
      <c r="I50" s="83"/>
      <c r="O50" s="126"/>
      <c r="P50" s="83"/>
      <c r="V50" s="126"/>
      <c r="DU50" s="111"/>
      <c r="HR50" s="83"/>
      <c r="HX50" s="126"/>
      <c r="HY50" s="83"/>
      <c r="IE50" s="126"/>
      <c r="IF50" s="83"/>
      <c r="IL50" s="126"/>
      <c r="IM50" s="83"/>
      <c r="IS50" s="126"/>
    </row>
    <row r="51" spans="1:260" hidden="1" x14ac:dyDescent="0.3">
      <c r="A51" s="17" t="s">
        <v>150</v>
      </c>
      <c r="B51" s="83"/>
      <c r="H51" s="126"/>
      <c r="I51" s="83"/>
      <c r="O51" s="126"/>
      <c r="P51" s="83"/>
      <c r="V51" s="126"/>
      <c r="DC51">
        <v>63</v>
      </c>
      <c r="DD51">
        <v>63</v>
      </c>
      <c r="DE51">
        <v>63</v>
      </c>
      <c r="DF51">
        <v>63</v>
      </c>
      <c r="DG51">
        <v>66</v>
      </c>
      <c r="DH51">
        <v>66</v>
      </c>
      <c r="DI51">
        <v>22</v>
      </c>
      <c r="HR51" s="83"/>
      <c r="HX51" s="126"/>
      <c r="HY51" s="83"/>
      <c r="IE51" s="126"/>
      <c r="IF51" s="83"/>
      <c r="IL51" s="126"/>
      <c r="IM51" s="83"/>
      <c r="IS51" s="126"/>
    </row>
    <row r="52" spans="1:260" hidden="1" x14ac:dyDescent="0.3">
      <c r="A52" s="17" t="s">
        <v>151</v>
      </c>
      <c r="B52" s="83"/>
      <c r="H52" s="126"/>
      <c r="I52" s="83"/>
      <c r="O52" s="126"/>
      <c r="P52" s="83"/>
      <c r="V52" s="126"/>
      <c r="DC52">
        <v>63</v>
      </c>
      <c r="DD52">
        <v>63</v>
      </c>
      <c r="DE52">
        <v>63</v>
      </c>
      <c r="DF52">
        <v>63</v>
      </c>
      <c r="DG52">
        <v>66</v>
      </c>
      <c r="DH52">
        <v>66</v>
      </c>
      <c r="HR52" s="83"/>
      <c r="HX52" s="126"/>
      <c r="HY52" s="83"/>
      <c r="IE52" s="126"/>
      <c r="IF52" s="83"/>
      <c r="IL52" s="126"/>
      <c r="IM52" s="83"/>
      <c r="IS52" s="126"/>
    </row>
    <row r="53" spans="1:260" hidden="1" x14ac:dyDescent="0.3">
      <c r="B53" s="83"/>
      <c r="H53" s="126"/>
      <c r="I53" s="83"/>
      <c r="O53" s="126"/>
      <c r="P53" s="83"/>
      <c r="V53" s="126"/>
      <c r="HR53" s="83"/>
      <c r="HX53" s="126"/>
      <c r="HY53" s="83"/>
      <c r="IE53" s="126"/>
      <c r="IF53" s="83"/>
      <c r="IL53" s="126"/>
      <c r="IM53" s="83"/>
      <c r="IS53" s="126"/>
    </row>
    <row r="54" spans="1:260" hidden="1" x14ac:dyDescent="0.3">
      <c r="A54" s="17" t="s">
        <v>152</v>
      </c>
      <c r="B54" s="83"/>
      <c r="H54" s="126"/>
      <c r="I54" s="83"/>
      <c r="O54" s="126"/>
      <c r="P54" s="83"/>
      <c r="V54" s="126"/>
      <c r="HR54" s="83"/>
      <c r="HX54" s="126"/>
      <c r="HY54" s="83"/>
      <c r="IE54" s="126"/>
      <c r="IF54" s="83"/>
      <c r="IL54" s="126"/>
      <c r="IM54" s="83"/>
      <c r="IS54" s="126"/>
    </row>
    <row r="55" spans="1:260" ht="15" hidden="1" thickBot="1" x14ac:dyDescent="0.35">
      <c r="A55" s="17" t="s">
        <v>153</v>
      </c>
      <c r="B55" s="423"/>
      <c r="C55" s="227"/>
      <c r="D55" s="227"/>
      <c r="E55" s="227"/>
      <c r="F55" s="227"/>
      <c r="G55" s="227"/>
      <c r="H55" s="129"/>
      <c r="I55" s="423"/>
      <c r="J55" s="227"/>
      <c r="K55" s="227"/>
      <c r="L55" s="227"/>
      <c r="M55" s="227"/>
      <c r="N55" s="227"/>
      <c r="O55" s="129"/>
      <c r="P55" s="423"/>
      <c r="Q55" s="227"/>
      <c r="R55" s="227"/>
      <c r="S55" s="227"/>
      <c r="T55" s="227"/>
      <c r="U55" s="227"/>
      <c r="V55" s="129"/>
      <c r="HR55" s="83"/>
      <c r="HX55" s="126"/>
      <c r="HY55" s="83"/>
      <c r="IE55" s="126"/>
      <c r="IF55" s="83"/>
      <c r="IL55" s="126"/>
      <c r="IM55" s="83"/>
      <c r="IS55" s="126"/>
    </row>
    <row r="56" spans="1:260" hidden="1" x14ac:dyDescent="0.3">
      <c r="A56" t="s">
        <v>154</v>
      </c>
      <c r="HK56" s="489">
        <v>6000</v>
      </c>
      <c r="HL56" s="489">
        <v>6000</v>
      </c>
      <c r="HM56" s="489">
        <v>6000</v>
      </c>
      <c r="HN56" s="489">
        <v>0</v>
      </c>
      <c r="HO56" s="489">
        <v>0</v>
      </c>
      <c r="HP56" s="489"/>
      <c r="HR56" s="631">
        <v>6000</v>
      </c>
      <c r="HS56" s="605">
        <v>6000</v>
      </c>
      <c r="HT56" s="605">
        <v>6000</v>
      </c>
      <c r="HU56" s="605">
        <v>6000</v>
      </c>
      <c r="HV56" s="605">
        <v>5000</v>
      </c>
      <c r="HX56" s="126"/>
      <c r="HY56" s="83"/>
      <c r="IE56" s="126"/>
      <c r="IF56" s="83"/>
      <c r="IL56" s="126"/>
      <c r="IM56" s="83"/>
      <c r="IS56" s="126"/>
    </row>
    <row r="57" spans="1:260" ht="15" hidden="1" thickBot="1" x14ac:dyDescent="0.35">
      <c r="A57" s="17" t="s">
        <v>155</v>
      </c>
      <c r="FG57" t="s">
        <v>156</v>
      </c>
      <c r="HK57" s="489">
        <v>5000</v>
      </c>
      <c r="HL57" s="489">
        <v>5000</v>
      </c>
      <c r="HM57" s="489">
        <v>5000</v>
      </c>
      <c r="HN57" s="489">
        <v>20000</v>
      </c>
      <c r="HO57" s="489">
        <v>20000</v>
      </c>
      <c r="HR57" s="631">
        <v>5000</v>
      </c>
      <c r="HS57" s="605">
        <v>5000</v>
      </c>
      <c r="HT57" s="605">
        <v>5000</v>
      </c>
      <c r="HU57" s="605">
        <v>5000</v>
      </c>
      <c r="HV57" s="605">
        <v>7500</v>
      </c>
      <c r="HX57" s="126"/>
      <c r="HY57" s="83"/>
      <c r="IE57" s="126"/>
      <c r="IF57" s="83"/>
      <c r="IL57" s="126"/>
      <c r="IM57" s="83"/>
      <c r="IS57" s="126"/>
    </row>
    <row r="58" spans="1:260" ht="29.4" hidden="1" thickBot="1" x14ac:dyDescent="0.35">
      <c r="A58" s="627" t="s">
        <v>157</v>
      </c>
      <c r="FG58" t="s">
        <v>158</v>
      </c>
      <c r="HL58" s="82"/>
      <c r="HM58" s="93"/>
      <c r="HN58" s="93"/>
      <c r="HO58" s="93"/>
      <c r="HP58" s="93"/>
      <c r="HQ58" s="93"/>
      <c r="HR58" s="433"/>
      <c r="HS58" s="84"/>
      <c r="HT58" s="84"/>
      <c r="HU58" s="84"/>
      <c r="HV58" s="84"/>
      <c r="HW58" s="84"/>
      <c r="HX58" s="139"/>
      <c r="HY58" s="433"/>
      <c r="HZ58" s="84"/>
      <c r="IA58" s="84"/>
      <c r="IB58" s="84"/>
      <c r="IC58" s="84"/>
      <c r="ID58" s="84"/>
      <c r="IE58" s="139"/>
      <c r="IF58" s="433"/>
      <c r="IG58" s="84"/>
      <c r="IH58" s="84"/>
      <c r="II58" s="84"/>
      <c r="IJ58" s="84"/>
      <c r="IK58" s="84"/>
      <c r="IL58" s="139"/>
      <c r="IM58" s="433"/>
      <c r="IN58" s="84"/>
      <c r="IO58" s="84"/>
      <c r="IP58" s="84"/>
      <c r="IQ58" s="84"/>
      <c r="IR58" s="84"/>
      <c r="IS58" s="139"/>
    </row>
    <row r="59" spans="1:260" hidden="1" x14ac:dyDescent="0.3">
      <c r="A59" s="638" t="s">
        <v>159</v>
      </c>
      <c r="HH59" s="44" t="e">
        <f t="shared" ref="HH59:HK59" si="267">HH41/2500</f>
        <v>#VALUE!</v>
      </c>
      <c r="HI59" s="44" t="e">
        <f t="shared" si="267"/>
        <v>#VALUE!</v>
      </c>
      <c r="HJ59" s="44">
        <f t="shared" si="267"/>
        <v>8</v>
      </c>
      <c r="HK59" s="637" t="e">
        <f t="shared" si="267"/>
        <v>#VALUE!</v>
      </c>
      <c r="HL59" s="330" t="e">
        <f>HL41/2500</f>
        <v>#VALUE!</v>
      </c>
      <c r="HM59" s="330" t="e">
        <f t="shared" ref="HM59:IE59" si="268">HM41/2500</f>
        <v>#VALUE!</v>
      </c>
      <c r="HN59" s="330" t="e">
        <f t="shared" si="268"/>
        <v>#VALUE!</v>
      </c>
      <c r="HO59" s="330" t="e">
        <f t="shared" si="268"/>
        <v>#VALUE!</v>
      </c>
      <c r="HP59" s="330" t="e">
        <f t="shared" si="268"/>
        <v>#VALUE!</v>
      </c>
      <c r="HQ59" s="487" t="e">
        <f t="shared" si="268"/>
        <v>#VALUE!</v>
      </c>
      <c r="HR59" s="165" t="e">
        <f t="shared" si="268"/>
        <v>#VALUE!</v>
      </c>
      <c r="HS59" s="44" t="e">
        <f t="shared" si="268"/>
        <v>#VALUE!</v>
      </c>
      <c r="HT59" s="44" t="e">
        <f t="shared" si="268"/>
        <v>#VALUE!</v>
      </c>
      <c r="HU59" s="44" t="e">
        <f t="shared" si="268"/>
        <v>#VALUE!</v>
      </c>
      <c r="HV59" s="44" t="e">
        <f t="shared" si="268"/>
        <v>#VALUE!</v>
      </c>
      <c r="HW59" s="44">
        <f t="shared" si="268"/>
        <v>44</v>
      </c>
      <c r="HX59" s="311" t="e">
        <f t="shared" si="268"/>
        <v>#VALUE!</v>
      </c>
      <c r="HY59" s="165">
        <f t="shared" si="268"/>
        <v>58.8</v>
      </c>
      <c r="HZ59" s="44" t="e">
        <f t="shared" si="268"/>
        <v>#VALUE!</v>
      </c>
      <c r="IA59" s="44">
        <f t="shared" si="268"/>
        <v>64</v>
      </c>
      <c r="IB59" s="44" t="e">
        <f t="shared" si="268"/>
        <v>#VALUE!</v>
      </c>
      <c r="IC59" s="44" t="e">
        <f t="shared" si="268"/>
        <v>#VALUE!</v>
      </c>
      <c r="ID59" s="44" t="e">
        <f t="shared" si="268"/>
        <v>#VALUE!</v>
      </c>
      <c r="IE59" s="311" t="e">
        <f t="shared" si="268"/>
        <v>#VALUE!</v>
      </c>
      <c r="IF59" s="165">
        <f t="shared" ref="IF59:IS59" si="269">IF41/2500</f>
        <v>61.889200000000002</v>
      </c>
      <c r="IG59" s="44">
        <f t="shared" si="269"/>
        <v>66.522800000000004</v>
      </c>
      <c r="IH59" s="44">
        <f t="shared" si="269"/>
        <v>68</v>
      </c>
      <c r="II59" s="44">
        <f t="shared" si="269"/>
        <v>59.300800000000002</v>
      </c>
      <c r="IJ59" s="44">
        <f t="shared" si="269"/>
        <v>46.820799999999998</v>
      </c>
      <c r="IK59" s="44">
        <f t="shared" si="269"/>
        <v>43.587200000000003</v>
      </c>
      <c r="IL59" s="311" t="e">
        <f t="shared" si="269"/>
        <v>#VALUE!</v>
      </c>
      <c r="IM59" s="165" t="e">
        <f t="shared" si="269"/>
        <v>#VALUE!</v>
      </c>
      <c r="IN59" s="44" t="e">
        <f t="shared" si="269"/>
        <v>#VALUE!</v>
      </c>
      <c r="IO59" s="44" t="e">
        <f t="shared" si="269"/>
        <v>#VALUE!</v>
      </c>
      <c r="IP59" s="44" t="e">
        <f t="shared" si="269"/>
        <v>#VALUE!</v>
      </c>
      <c r="IQ59" s="44" t="e">
        <f t="shared" si="269"/>
        <v>#VALUE!</v>
      </c>
      <c r="IR59" s="44" t="e">
        <f t="shared" si="269"/>
        <v>#VALUE!</v>
      </c>
      <c r="IS59" s="311" t="e">
        <f t="shared" si="269"/>
        <v>#VALUE!</v>
      </c>
    </row>
    <row r="60" spans="1:260" hidden="1" x14ac:dyDescent="0.3">
      <c r="A60" s="639" t="s">
        <v>160</v>
      </c>
      <c r="HH60" s="44" t="e">
        <f t="shared" ref="HH60:HK60" si="270">HH34/1000</f>
        <v>#N/A</v>
      </c>
      <c r="HI60" s="44" t="e">
        <f t="shared" si="270"/>
        <v>#N/A</v>
      </c>
      <c r="HJ60" s="44" t="e">
        <f t="shared" si="270"/>
        <v>#N/A</v>
      </c>
      <c r="HK60" s="165" t="e">
        <f t="shared" si="270"/>
        <v>#N/A</v>
      </c>
      <c r="HL60" s="44">
        <f>HL34/1000</f>
        <v>121.1045</v>
      </c>
      <c r="HM60" s="44">
        <f t="shared" ref="HM60:IE60" si="271">HM34/1000</f>
        <v>116.44849999999998</v>
      </c>
      <c r="HN60" s="44" t="e">
        <f t="shared" si="271"/>
        <v>#N/A</v>
      </c>
      <c r="HO60" s="44">
        <f t="shared" si="271"/>
        <v>130.2516</v>
      </c>
      <c r="HP60" s="44">
        <f t="shared" si="271"/>
        <v>130.50961999999998</v>
      </c>
      <c r="HQ60" s="311" t="e">
        <f t="shared" si="271"/>
        <v>#N/A</v>
      </c>
      <c r="HR60" s="165" t="e">
        <f t="shared" si="271"/>
        <v>#N/A</v>
      </c>
      <c r="HS60" s="44">
        <f t="shared" si="271"/>
        <v>117.14689999999999</v>
      </c>
      <c r="HT60" s="44" t="e">
        <f t="shared" si="271"/>
        <v>#N/A</v>
      </c>
      <c r="HU60" s="44">
        <f t="shared" si="271"/>
        <v>127.65588</v>
      </c>
      <c r="HV60" s="44" t="e">
        <f t="shared" si="271"/>
        <v>#N/A</v>
      </c>
      <c r="HW60" s="44" t="e">
        <f t="shared" si="271"/>
        <v>#N/A</v>
      </c>
      <c r="HX60" s="311" t="e">
        <f t="shared" si="271"/>
        <v>#N/A</v>
      </c>
      <c r="HY60" s="165" t="e">
        <f t="shared" si="271"/>
        <v>#N/A</v>
      </c>
      <c r="HZ60" s="44" t="e">
        <f t="shared" si="271"/>
        <v>#N/A</v>
      </c>
      <c r="IA60" s="44" t="e">
        <f t="shared" si="271"/>
        <v>#N/A</v>
      </c>
      <c r="IB60" s="44" t="e">
        <f t="shared" si="271"/>
        <v>#N/A</v>
      </c>
      <c r="IC60" s="44" t="e">
        <f t="shared" si="271"/>
        <v>#N/A</v>
      </c>
      <c r="ID60" s="44" t="e">
        <f t="shared" si="271"/>
        <v>#N/A</v>
      </c>
      <c r="IE60" s="311" t="e">
        <f t="shared" si="271"/>
        <v>#N/A</v>
      </c>
      <c r="IF60" s="165">
        <f t="shared" ref="IF60:IS60" si="272">IF34/1000</f>
        <v>95.933000000000007</v>
      </c>
      <c r="IG60" s="44">
        <f t="shared" si="272"/>
        <v>107.0395</v>
      </c>
      <c r="IH60" s="44" t="e">
        <f t="shared" si="272"/>
        <v>#N/A</v>
      </c>
      <c r="II60" s="44" t="e">
        <f t="shared" si="272"/>
        <v>#N/A</v>
      </c>
      <c r="IJ60" s="44" t="e">
        <f t="shared" si="272"/>
        <v>#N/A</v>
      </c>
      <c r="IK60" s="44">
        <f t="shared" si="272"/>
        <v>142.78399999999999</v>
      </c>
      <c r="IL60" s="311" t="e">
        <f t="shared" si="272"/>
        <v>#N/A</v>
      </c>
      <c r="IM60" s="165">
        <f t="shared" si="272"/>
        <v>134.95027999999999</v>
      </c>
      <c r="IN60" s="44">
        <f t="shared" si="272"/>
        <v>129.94120000000001</v>
      </c>
      <c r="IO60" s="44" t="e">
        <f t="shared" si="272"/>
        <v>#N/A</v>
      </c>
      <c r="IP60" s="44">
        <f t="shared" si="272"/>
        <v>127.40949999999999</v>
      </c>
      <c r="IQ60" s="44" t="e">
        <f t="shared" si="272"/>
        <v>#N/A</v>
      </c>
      <c r="IR60" s="44" t="e">
        <f t="shared" si="272"/>
        <v>#N/A</v>
      </c>
      <c r="IS60" s="311" t="e">
        <f t="shared" si="272"/>
        <v>#N/A</v>
      </c>
    </row>
    <row r="61" spans="1:260" hidden="1" x14ac:dyDescent="0.3">
      <c r="A61" s="640" t="s">
        <v>161</v>
      </c>
      <c r="FG61" t="s">
        <v>162</v>
      </c>
      <c r="HH61" s="44" t="e">
        <f t="shared" ref="HH61:HK61" si="273">HH60+HH59</f>
        <v>#N/A</v>
      </c>
      <c r="HI61" s="44" t="e">
        <f t="shared" si="273"/>
        <v>#N/A</v>
      </c>
      <c r="HJ61" s="44" t="e">
        <f t="shared" si="273"/>
        <v>#N/A</v>
      </c>
      <c r="HK61" s="165" t="e">
        <f t="shared" si="273"/>
        <v>#N/A</v>
      </c>
      <c r="HL61" s="44" t="e">
        <f>HL60+HL59</f>
        <v>#VALUE!</v>
      </c>
      <c r="HM61" s="44" t="e">
        <f t="shared" ref="HM61:IE61" si="274">HM60+HM59</f>
        <v>#VALUE!</v>
      </c>
      <c r="HN61" s="44" t="e">
        <f t="shared" si="274"/>
        <v>#N/A</v>
      </c>
      <c r="HO61" s="44" t="e">
        <f t="shared" si="274"/>
        <v>#VALUE!</v>
      </c>
      <c r="HP61" s="44" t="e">
        <f t="shared" si="274"/>
        <v>#VALUE!</v>
      </c>
      <c r="HQ61" s="311" t="e">
        <f>HQ60+HQ59</f>
        <v>#N/A</v>
      </c>
      <c r="HR61" s="165" t="e">
        <f t="shared" si="274"/>
        <v>#N/A</v>
      </c>
      <c r="HS61" s="44" t="e">
        <f t="shared" si="274"/>
        <v>#VALUE!</v>
      </c>
      <c r="HT61" s="44" t="e">
        <f t="shared" si="274"/>
        <v>#N/A</v>
      </c>
      <c r="HU61" s="44" t="e">
        <f t="shared" si="274"/>
        <v>#VALUE!</v>
      </c>
      <c r="HV61" s="44" t="e">
        <f t="shared" si="274"/>
        <v>#N/A</v>
      </c>
      <c r="HW61" s="44" t="e">
        <f t="shared" si="274"/>
        <v>#N/A</v>
      </c>
      <c r="HX61" s="311" t="e">
        <f t="shared" si="274"/>
        <v>#N/A</v>
      </c>
      <c r="HY61" s="165" t="e">
        <f t="shared" si="274"/>
        <v>#N/A</v>
      </c>
      <c r="HZ61" s="44" t="e">
        <f t="shared" si="274"/>
        <v>#N/A</v>
      </c>
      <c r="IA61" s="44" t="e">
        <f t="shared" si="274"/>
        <v>#N/A</v>
      </c>
      <c r="IB61" s="44" t="e">
        <f t="shared" si="274"/>
        <v>#N/A</v>
      </c>
      <c r="IC61" s="44" t="e">
        <f t="shared" si="274"/>
        <v>#N/A</v>
      </c>
      <c r="ID61" s="44" t="e">
        <f t="shared" si="274"/>
        <v>#N/A</v>
      </c>
      <c r="IE61" s="311" t="e">
        <f t="shared" si="274"/>
        <v>#N/A</v>
      </c>
      <c r="IF61" s="165">
        <f t="shared" ref="IF61:IS61" si="275">IF60+IF59</f>
        <v>157.82220000000001</v>
      </c>
      <c r="IG61" s="44">
        <f t="shared" si="275"/>
        <v>173.56229999999999</v>
      </c>
      <c r="IH61" s="44" t="e">
        <f t="shared" si="275"/>
        <v>#N/A</v>
      </c>
      <c r="II61" s="44" t="e">
        <f t="shared" si="275"/>
        <v>#N/A</v>
      </c>
      <c r="IJ61" s="44" t="e">
        <f t="shared" si="275"/>
        <v>#N/A</v>
      </c>
      <c r="IK61" s="44">
        <f t="shared" si="275"/>
        <v>186.37119999999999</v>
      </c>
      <c r="IL61" s="311" t="e">
        <f t="shared" si="275"/>
        <v>#N/A</v>
      </c>
      <c r="IM61" s="165" t="e">
        <f t="shared" si="275"/>
        <v>#VALUE!</v>
      </c>
      <c r="IN61" s="44" t="e">
        <f t="shared" si="275"/>
        <v>#VALUE!</v>
      </c>
      <c r="IO61" s="44" t="e">
        <f t="shared" si="275"/>
        <v>#N/A</v>
      </c>
      <c r="IP61" s="44" t="e">
        <f t="shared" si="275"/>
        <v>#VALUE!</v>
      </c>
      <c r="IQ61" s="44" t="e">
        <f t="shared" si="275"/>
        <v>#N/A</v>
      </c>
      <c r="IR61" s="44" t="e">
        <f t="shared" si="275"/>
        <v>#N/A</v>
      </c>
      <c r="IS61" s="311" t="e">
        <f t="shared" si="275"/>
        <v>#N/A</v>
      </c>
    </row>
    <row r="62" spans="1:260" ht="15" hidden="1" thickBot="1" x14ac:dyDescent="0.35">
      <c r="A62" s="499" t="s">
        <v>163</v>
      </c>
      <c r="HH62" s="44" t="e">
        <f t="shared" ref="HH62:HK62" si="276">HH61/3</f>
        <v>#N/A</v>
      </c>
      <c r="HI62" s="44" t="e">
        <f t="shared" si="276"/>
        <v>#N/A</v>
      </c>
      <c r="HJ62" s="44" t="e">
        <f t="shared" si="276"/>
        <v>#N/A</v>
      </c>
      <c r="HK62" s="635" t="e">
        <f t="shared" si="276"/>
        <v>#N/A</v>
      </c>
      <c r="HL62" s="636" t="e">
        <f>HL61/3</f>
        <v>#VALUE!</v>
      </c>
      <c r="HM62" s="636" t="e">
        <f t="shared" ref="HM62:HO62" si="277">HM61/3</f>
        <v>#VALUE!</v>
      </c>
      <c r="HN62" s="636" t="e">
        <f t="shared" si="277"/>
        <v>#N/A</v>
      </c>
      <c r="HO62" s="636" t="e">
        <f t="shared" si="277"/>
        <v>#VALUE!</v>
      </c>
      <c r="HP62" s="636" t="e">
        <f>HP61/2</f>
        <v>#VALUE!</v>
      </c>
      <c r="HQ62" s="533" t="e">
        <f>HQ61</f>
        <v>#N/A</v>
      </c>
      <c r="HR62" s="635" t="e">
        <f>HR61/3</f>
        <v>#N/A</v>
      </c>
      <c r="HS62" s="636" t="e">
        <f>HS61/3</f>
        <v>#VALUE!</v>
      </c>
      <c r="HT62" s="636" t="e">
        <f t="shared" ref="HT62" si="278">HT61/3</f>
        <v>#N/A</v>
      </c>
      <c r="HU62" s="636" t="e">
        <f t="shared" ref="HU62" si="279">HU61/3</f>
        <v>#VALUE!</v>
      </c>
      <c r="HV62" s="636" t="e">
        <f t="shared" ref="HV62" si="280">HV61/3</f>
        <v>#N/A</v>
      </c>
      <c r="HW62" s="636" t="e">
        <f>HW61/2</f>
        <v>#N/A</v>
      </c>
      <c r="HX62" s="533" t="e">
        <f>HX61</f>
        <v>#N/A</v>
      </c>
      <c r="HY62" s="635" t="e">
        <f>HY61/3</f>
        <v>#N/A</v>
      </c>
      <c r="HZ62" s="636" t="e">
        <f>HZ61/3</f>
        <v>#N/A</v>
      </c>
      <c r="IA62" s="636" t="e">
        <f t="shared" ref="IA62" si="281">IA61/3</f>
        <v>#N/A</v>
      </c>
      <c r="IB62" s="636" t="e">
        <f t="shared" ref="IB62" si="282">IB61/3</f>
        <v>#N/A</v>
      </c>
      <c r="IC62" s="636" t="e">
        <f t="shared" ref="IC62" si="283">IC61/3</f>
        <v>#N/A</v>
      </c>
      <c r="ID62" s="636" t="e">
        <f>ID61/2</f>
        <v>#N/A</v>
      </c>
      <c r="IE62" s="533" t="e">
        <f>IE61</f>
        <v>#N/A</v>
      </c>
      <c r="IF62" s="635">
        <f>IF61/3</f>
        <v>52.607400000000005</v>
      </c>
      <c r="IG62" s="636">
        <f>IG61/3</f>
        <v>57.854099999999995</v>
      </c>
      <c r="IH62" s="636" t="e">
        <f t="shared" ref="IH62:IJ62" si="284">IH61/3</f>
        <v>#N/A</v>
      </c>
      <c r="II62" s="636" t="e">
        <f t="shared" si="284"/>
        <v>#N/A</v>
      </c>
      <c r="IJ62" s="636" t="e">
        <f t="shared" si="284"/>
        <v>#N/A</v>
      </c>
      <c r="IK62" s="636">
        <f>IK61/2</f>
        <v>93.185599999999994</v>
      </c>
      <c r="IL62" s="533" t="e">
        <f>IL61</f>
        <v>#N/A</v>
      </c>
      <c r="IM62" s="635" t="e">
        <f>IM61/3</f>
        <v>#VALUE!</v>
      </c>
      <c r="IN62" s="636" t="e">
        <f>IN61/3</f>
        <v>#VALUE!</v>
      </c>
      <c r="IO62" s="636" t="e">
        <f t="shared" ref="IO62:IQ62" si="285">IO61/3</f>
        <v>#N/A</v>
      </c>
      <c r="IP62" s="636" t="e">
        <f t="shared" si="285"/>
        <v>#VALUE!</v>
      </c>
      <c r="IQ62" s="636" t="e">
        <f t="shared" si="285"/>
        <v>#N/A</v>
      </c>
      <c r="IR62" s="636" t="e">
        <f>IR61/2</f>
        <v>#N/A</v>
      </c>
      <c r="IS62" s="533" t="e">
        <f>IS61</f>
        <v>#N/A</v>
      </c>
    </row>
    <row r="63" spans="1:260" ht="15" thickBot="1" x14ac:dyDescent="0.35">
      <c r="A63" s="1"/>
      <c r="HL63" s="44"/>
      <c r="HM63" s="44"/>
      <c r="HN63" s="44"/>
      <c r="HO63" s="44"/>
      <c r="HP63" s="44"/>
      <c r="HQ63" s="44"/>
      <c r="HR63" s="44"/>
      <c r="HS63" s="44"/>
      <c r="HT63" s="44"/>
      <c r="HU63" s="44"/>
      <c r="HV63" s="44"/>
      <c r="HW63" s="44"/>
      <c r="HX63" s="44"/>
      <c r="HY63" s="44"/>
      <c r="HZ63" s="44"/>
      <c r="IA63" s="44"/>
      <c r="IB63" s="44"/>
      <c r="IC63" s="44"/>
      <c r="ID63" s="44"/>
      <c r="IE63" s="44"/>
    </row>
    <row r="64" spans="1:260" x14ac:dyDescent="0.3">
      <c r="A64" s="1"/>
      <c r="HL64" s="44"/>
      <c r="HM64" s="44"/>
      <c r="HN64" s="44"/>
      <c r="HO64" s="44"/>
      <c r="HP64" s="44"/>
      <c r="HQ64" s="44"/>
      <c r="HR64" s="44"/>
      <c r="HS64" s="44"/>
      <c r="HT64" s="44"/>
      <c r="HU64" s="44"/>
      <c r="HV64" s="44"/>
      <c r="HW64" s="44"/>
      <c r="HX64" s="44"/>
      <c r="HY64" s="44"/>
      <c r="HZ64" s="44"/>
      <c r="IA64" s="643" t="s">
        <v>164</v>
      </c>
      <c r="IB64" s="44"/>
      <c r="IC64" s="44"/>
      <c r="ID64" s="44"/>
      <c r="IE64" s="643" t="s">
        <v>165</v>
      </c>
      <c r="IF64" s="44"/>
      <c r="IG64" s="44"/>
      <c r="IN64" t="s">
        <v>166</v>
      </c>
      <c r="IR64" t="s">
        <v>167</v>
      </c>
      <c r="IW64" s="82"/>
      <c r="IX64" s="93" t="s">
        <v>168</v>
      </c>
      <c r="IY64" s="93" t="s">
        <v>169</v>
      </c>
      <c r="IZ64" s="122" t="s">
        <v>170</v>
      </c>
    </row>
    <row r="65" spans="1:260" x14ac:dyDescent="0.3">
      <c r="A65" s="1"/>
      <c r="HL65" s="44"/>
      <c r="HM65" s="44"/>
      <c r="HN65" s="44"/>
      <c r="HO65" s="44"/>
      <c r="HP65" s="44"/>
      <c r="HQ65" s="44"/>
      <c r="HR65" s="44"/>
      <c r="HS65" s="44"/>
      <c r="HT65" s="44"/>
      <c r="HU65" s="44"/>
      <c r="HV65" s="44"/>
      <c r="HW65" s="44"/>
      <c r="HX65" s="44"/>
      <c r="HY65" s="44"/>
      <c r="HZ65" s="44"/>
      <c r="IA65" t="s">
        <v>171</v>
      </c>
      <c r="IC65" t="s">
        <v>172</v>
      </c>
      <c r="ID65" s="44"/>
      <c r="IE65" t="s">
        <v>171</v>
      </c>
      <c r="IG65" t="s">
        <v>172</v>
      </c>
      <c r="IL65" s="313">
        <v>44163</v>
      </c>
      <c r="IM65" t="s">
        <v>173</v>
      </c>
      <c r="IN65">
        <v>65000</v>
      </c>
      <c r="IO65" t="s">
        <v>174</v>
      </c>
      <c r="IQ65">
        <v>30000</v>
      </c>
      <c r="IW65" s="83" t="s">
        <v>175</v>
      </c>
      <c r="IX65">
        <v>6800</v>
      </c>
      <c r="IY65">
        <v>6800</v>
      </c>
      <c r="IZ65" s="126">
        <f>IX65-IY65</f>
        <v>0</v>
      </c>
    </row>
    <row r="66" spans="1:260" x14ac:dyDescent="0.3">
      <c r="A66" s="1"/>
      <c r="HL66" s="44"/>
      <c r="HM66" s="44"/>
      <c r="HN66" s="44"/>
      <c r="HO66" s="44"/>
      <c r="HP66" s="44"/>
      <c r="HQ66" s="44"/>
      <c r="HR66" s="44"/>
      <c r="HS66" s="44"/>
      <c r="HT66" s="44"/>
      <c r="HU66" s="44"/>
      <c r="HV66" s="44"/>
      <c r="HW66" s="44"/>
      <c r="HX66" s="44"/>
      <c r="HY66" s="44"/>
      <c r="HZ66" s="44"/>
      <c r="IA66" t="s">
        <v>176</v>
      </c>
      <c r="IC66" t="s">
        <v>177</v>
      </c>
      <c r="ID66" s="44"/>
      <c r="IE66" t="s">
        <v>176</v>
      </c>
      <c r="IG66" t="s">
        <v>177</v>
      </c>
      <c r="IO66" t="s">
        <v>178</v>
      </c>
      <c r="IQ66">
        <v>15000</v>
      </c>
      <c r="IW66" s="83" t="s">
        <v>179</v>
      </c>
      <c r="IX66">
        <v>55000</v>
      </c>
      <c r="IY66">
        <v>50000</v>
      </c>
      <c r="IZ66" s="126">
        <f t="shared" ref="IZ66:IZ68" si="286">IX66-IY66</f>
        <v>5000</v>
      </c>
    </row>
    <row r="67" spans="1:260" x14ac:dyDescent="0.3">
      <c r="IA67" t="s">
        <v>180</v>
      </c>
      <c r="IC67" t="s">
        <v>181</v>
      </c>
      <c r="IE67" t="s">
        <v>180</v>
      </c>
      <c r="IG67" t="s">
        <v>182</v>
      </c>
      <c r="IO67" t="s">
        <v>183</v>
      </c>
      <c r="IQ67">
        <v>20000</v>
      </c>
      <c r="IW67" s="83" t="s">
        <v>184</v>
      </c>
      <c r="IX67">
        <v>99000</v>
      </c>
      <c r="IY67">
        <v>80000</v>
      </c>
      <c r="IZ67" s="126">
        <f t="shared" si="286"/>
        <v>19000</v>
      </c>
    </row>
    <row r="68" spans="1:260" x14ac:dyDescent="0.3">
      <c r="IA68" t="s">
        <v>185</v>
      </c>
      <c r="IC68" t="s">
        <v>186</v>
      </c>
      <c r="IE68" t="s">
        <v>185</v>
      </c>
      <c r="IG68" t="s">
        <v>187</v>
      </c>
      <c r="IL68" s="313">
        <v>44164</v>
      </c>
      <c r="IM68" t="s">
        <v>188</v>
      </c>
      <c r="IN68">
        <v>50000</v>
      </c>
      <c r="IO68" t="s">
        <v>183</v>
      </c>
      <c r="IQ68">
        <v>30000</v>
      </c>
      <c r="IR68" t="s">
        <v>189</v>
      </c>
      <c r="IW68" s="83" t="s">
        <v>190</v>
      </c>
      <c r="IX68">
        <v>6500</v>
      </c>
      <c r="IY68">
        <v>6500</v>
      </c>
      <c r="IZ68" s="126">
        <f t="shared" si="286"/>
        <v>0</v>
      </c>
    </row>
    <row r="69" spans="1:260" x14ac:dyDescent="0.3">
      <c r="IO69" t="s">
        <v>191</v>
      </c>
      <c r="IQ69">
        <v>20000</v>
      </c>
      <c r="IW69" s="83"/>
      <c r="IX69" s="1">
        <f>SUM(IX65:IX68)</f>
        <v>167300</v>
      </c>
      <c r="IY69" s="1">
        <f>SUM(IY65:IY68)</f>
        <v>143300</v>
      </c>
      <c r="IZ69" s="126"/>
    </row>
    <row r="70" spans="1:260" x14ac:dyDescent="0.3">
      <c r="IG70">
        <f>300*55</f>
        <v>16500</v>
      </c>
      <c r="IL70" s="313">
        <v>44165</v>
      </c>
      <c r="IM70" t="s">
        <v>192</v>
      </c>
      <c r="IN70">
        <v>44000</v>
      </c>
      <c r="IO70" t="s">
        <v>191</v>
      </c>
      <c r="IQ70">
        <v>30000</v>
      </c>
      <c r="IW70" s="83" t="s">
        <v>193</v>
      </c>
      <c r="IX70">
        <v>25000</v>
      </c>
      <c r="IY70">
        <v>25000</v>
      </c>
      <c r="IZ70" s="126"/>
    </row>
    <row r="71" spans="1:260" ht="15" thickBot="1" x14ac:dyDescent="0.35">
      <c r="IO71" t="s">
        <v>194</v>
      </c>
      <c r="IQ71">
        <v>14000</v>
      </c>
      <c r="IW71" s="423" t="s">
        <v>195</v>
      </c>
      <c r="IX71" s="227">
        <v>4000</v>
      </c>
      <c r="IY71" s="227"/>
      <c r="IZ71" s="129"/>
    </row>
    <row r="72" spans="1:260" x14ac:dyDescent="0.3">
      <c r="IM72" t="s">
        <v>165</v>
      </c>
      <c r="IN72">
        <v>32000</v>
      </c>
      <c r="IO72" t="s">
        <v>196</v>
      </c>
      <c r="IQ72">
        <v>28000</v>
      </c>
    </row>
  </sheetData>
  <mergeCells count="14">
    <mergeCell ref="DR43:ER43"/>
    <mergeCell ref="DD43:DQ43"/>
    <mergeCell ref="CP43:DC43"/>
    <mergeCell ref="AL43:AY43"/>
    <mergeCell ref="AZ43:BM43"/>
    <mergeCell ref="BN43:CA43"/>
    <mergeCell ref="CB43:CO43"/>
    <mergeCell ref="DD41:DQ41"/>
    <mergeCell ref="DR41:ER41"/>
    <mergeCell ref="AL41:AY41"/>
    <mergeCell ref="AZ41:BM41"/>
    <mergeCell ref="BN41:CA41"/>
    <mergeCell ref="CB41:CO41"/>
    <mergeCell ref="CP41:DC41"/>
  </mergeCells>
  <phoneticPr fontId="32" type="noConversion"/>
  <conditionalFormatting sqref="C43:H43 CC43:CG43 W43">
    <cfRule type="cellIs" dxfId="1585" priority="65" operator="lessThan">
      <formula>0</formula>
    </cfRule>
  </conditionalFormatting>
  <conditionalFormatting sqref="CH43">
    <cfRule type="cellIs" dxfId="1584" priority="60" operator="lessThan">
      <formula>0</formula>
    </cfRule>
  </conditionalFormatting>
  <conditionalFormatting sqref="BO43:BS43">
    <cfRule type="cellIs" dxfId="1583" priority="59" operator="lessThan">
      <formula>0</formula>
    </cfRule>
  </conditionalFormatting>
  <conditionalFormatting sqref="CO43">
    <cfRule type="cellIs" dxfId="1582" priority="62" operator="lessThan">
      <formula>0</formula>
    </cfRule>
  </conditionalFormatting>
  <conditionalFormatting sqref="CJ43:CN43">
    <cfRule type="cellIs" dxfId="1581" priority="61" operator="lessThan">
      <formula>0</formula>
    </cfRule>
  </conditionalFormatting>
  <conditionalFormatting sqref="CA43">
    <cfRule type="cellIs" dxfId="1580" priority="58" operator="lessThan">
      <formula>0</formula>
    </cfRule>
  </conditionalFormatting>
  <conditionalFormatting sqref="BV43:BZ43">
    <cfRule type="cellIs" dxfId="1579" priority="57" operator="lessThan">
      <formula>0</formula>
    </cfRule>
  </conditionalFormatting>
  <conditionalFormatting sqref="BT43">
    <cfRule type="cellIs" dxfId="1578" priority="56" operator="lessThan">
      <formula>0</formula>
    </cfRule>
  </conditionalFormatting>
  <conditionalFormatting sqref="BA43:BE43">
    <cfRule type="cellIs" dxfId="1577" priority="55" operator="lessThan">
      <formula>0</formula>
    </cfRule>
  </conditionalFormatting>
  <conditionalFormatting sqref="BM43">
    <cfRule type="cellIs" dxfId="1576" priority="54" operator="lessThan">
      <formula>0</formula>
    </cfRule>
  </conditionalFormatting>
  <conditionalFormatting sqref="BH43:BL43">
    <cfRule type="cellIs" dxfId="1575" priority="53" operator="lessThan">
      <formula>0</formula>
    </cfRule>
  </conditionalFormatting>
  <conditionalFormatting sqref="BF43">
    <cfRule type="cellIs" dxfId="1574" priority="52" operator="lessThan">
      <formula>0</formula>
    </cfRule>
  </conditionalFormatting>
  <conditionalFormatting sqref="AM43:AQ43">
    <cfRule type="cellIs" dxfId="1573" priority="51" operator="lessThan">
      <formula>0</formula>
    </cfRule>
  </conditionalFormatting>
  <conditionalFormatting sqref="AY43">
    <cfRule type="cellIs" dxfId="1572" priority="50" operator="lessThan">
      <formula>0</formula>
    </cfRule>
  </conditionalFormatting>
  <conditionalFormatting sqref="AT43:AX43">
    <cfRule type="cellIs" dxfId="1571" priority="49" operator="lessThan">
      <formula>0</formula>
    </cfRule>
  </conditionalFormatting>
  <conditionalFormatting sqref="AR43">
    <cfRule type="cellIs" dxfId="1570" priority="48" operator="lessThan">
      <formula>0</formula>
    </cfRule>
  </conditionalFormatting>
  <conditionalFormatting sqref="Y43:AC43">
    <cfRule type="cellIs" dxfId="1569" priority="47" operator="lessThan">
      <formula>0</formula>
    </cfRule>
  </conditionalFormatting>
  <conditionalFormatting sqref="AK43">
    <cfRule type="cellIs" dxfId="1568" priority="46" operator="lessThan">
      <formula>0</formula>
    </cfRule>
  </conditionalFormatting>
  <conditionalFormatting sqref="AF43:AJ43">
    <cfRule type="cellIs" dxfId="1567" priority="45" operator="lessThan">
      <formula>0</formula>
    </cfRule>
  </conditionalFormatting>
  <conditionalFormatting sqref="AD43">
    <cfRule type="cellIs" dxfId="1566" priority="44" operator="lessThan">
      <formula>0</formula>
    </cfRule>
  </conditionalFormatting>
  <conditionalFormatting sqref="CQ43:CU43 DE43:DI43">
    <cfRule type="cellIs" dxfId="1565" priority="39" operator="lessThan">
      <formula>0</formula>
    </cfRule>
  </conditionalFormatting>
  <conditionalFormatting sqref="CV43 DJ43">
    <cfRule type="cellIs" dxfId="1564" priority="36" operator="lessThan">
      <formula>0</formula>
    </cfRule>
  </conditionalFormatting>
  <conditionalFormatting sqref="DC43">
    <cfRule type="cellIs" dxfId="1563" priority="38" operator="lessThan">
      <formula>0</formula>
    </cfRule>
  </conditionalFormatting>
  <conditionalFormatting sqref="CX43:DB43 DL43:DP43">
    <cfRule type="cellIs" dxfId="1562" priority="37" operator="lessThan">
      <formula>0</formula>
    </cfRule>
  </conditionalFormatting>
  <conditionalFormatting sqref="DQ43">
    <cfRule type="cellIs" dxfId="1561" priority="34" operator="lessThan">
      <formula>0</formula>
    </cfRule>
  </conditionalFormatting>
  <conditionalFormatting sqref="J43:O43">
    <cfRule type="cellIs" dxfId="1560" priority="29" operator="lessThan">
      <formula>0</formula>
    </cfRule>
  </conditionalFormatting>
  <conditionalFormatting sqref="Q43:V43">
    <cfRule type="cellIs" dxfId="1559" priority="28" operator="lessThan">
      <formula>0</formula>
    </cfRule>
  </conditionalFormatting>
  <conditionalFormatting sqref="C41:H41 CC41:CG41 W41">
    <cfRule type="cellIs" dxfId="1558" priority="27" operator="lessThan">
      <formula>0</formula>
    </cfRule>
  </conditionalFormatting>
  <conditionalFormatting sqref="CH41">
    <cfRule type="cellIs" dxfId="1557" priority="24" operator="lessThan">
      <formula>0</formula>
    </cfRule>
  </conditionalFormatting>
  <conditionalFormatting sqref="BO41:BS41">
    <cfRule type="cellIs" dxfId="1556" priority="23" operator="lessThan">
      <formula>0</formula>
    </cfRule>
  </conditionalFormatting>
  <conditionalFormatting sqref="CO41">
    <cfRule type="cellIs" dxfId="1555" priority="26" operator="lessThan">
      <formula>0</formula>
    </cfRule>
  </conditionalFormatting>
  <conditionalFormatting sqref="CJ41:CN41">
    <cfRule type="cellIs" dxfId="1554" priority="25" operator="lessThan">
      <formula>0</formula>
    </cfRule>
  </conditionalFormatting>
  <conditionalFormatting sqref="CA41">
    <cfRule type="cellIs" dxfId="1553" priority="22" operator="lessThan">
      <formula>0</formula>
    </cfRule>
  </conditionalFormatting>
  <conditionalFormatting sqref="BV41:BZ41">
    <cfRule type="cellIs" dxfId="1552" priority="21" operator="lessThan">
      <formula>0</formula>
    </cfRule>
  </conditionalFormatting>
  <conditionalFormatting sqref="BT41">
    <cfRule type="cellIs" dxfId="1551" priority="20" operator="lessThan">
      <formula>0</formula>
    </cfRule>
  </conditionalFormatting>
  <conditionalFormatting sqref="BA41:BE41">
    <cfRule type="cellIs" dxfId="1550" priority="19" operator="lessThan">
      <formula>0</formula>
    </cfRule>
  </conditionalFormatting>
  <conditionalFormatting sqref="BM41">
    <cfRule type="cellIs" dxfId="1549" priority="18" operator="lessThan">
      <formula>0</formula>
    </cfRule>
  </conditionalFormatting>
  <conditionalFormatting sqref="BH41:BL41">
    <cfRule type="cellIs" dxfId="1548" priority="17" operator="lessThan">
      <formula>0</formula>
    </cfRule>
  </conditionalFormatting>
  <conditionalFormatting sqref="BF41">
    <cfRule type="cellIs" dxfId="1547" priority="16" operator="lessThan">
      <formula>0</formula>
    </cfRule>
  </conditionalFormatting>
  <conditionalFormatting sqref="AM41:AQ41">
    <cfRule type="cellIs" dxfId="1546" priority="15" operator="lessThan">
      <formula>0</formula>
    </cfRule>
  </conditionalFormatting>
  <conditionalFormatting sqref="AY41">
    <cfRule type="cellIs" dxfId="1545" priority="14" operator="lessThan">
      <formula>0</formula>
    </cfRule>
  </conditionalFormatting>
  <conditionalFormatting sqref="AT41:AX41">
    <cfRule type="cellIs" dxfId="1544" priority="13" operator="lessThan">
      <formula>0</formula>
    </cfRule>
  </conditionalFormatting>
  <conditionalFormatting sqref="AR41">
    <cfRule type="cellIs" dxfId="1543" priority="12" operator="lessThan">
      <formula>0</formula>
    </cfRule>
  </conditionalFormatting>
  <conditionalFormatting sqref="Y41:AC41">
    <cfRule type="cellIs" dxfId="1542" priority="11" operator="lessThan">
      <formula>0</formula>
    </cfRule>
  </conditionalFormatting>
  <conditionalFormatting sqref="AK41">
    <cfRule type="cellIs" dxfId="1541" priority="10" operator="lessThan">
      <formula>0</formula>
    </cfRule>
  </conditionalFormatting>
  <conditionalFormatting sqref="AF41:AJ41">
    <cfRule type="cellIs" dxfId="1540" priority="9" operator="lessThan">
      <formula>0</formula>
    </cfRule>
  </conditionalFormatting>
  <conditionalFormatting sqref="AD41">
    <cfRule type="cellIs" dxfId="1539" priority="8" operator="lessThan">
      <formula>0</formula>
    </cfRule>
  </conditionalFormatting>
  <conditionalFormatting sqref="CQ41:CU41 DE41:DI41">
    <cfRule type="cellIs" dxfId="1538" priority="7" operator="lessThan">
      <formula>0</formula>
    </cfRule>
  </conditionalFormatting>
  <conditionalFormatting sqref="CV41 DJ41">
    <cfRule type="cellIs" dxfId="1537" priority="4" operator="lessThan">
      <formula>0</formula>
    </cfRule>
  </conditionalFormatting>
  <conditionalFormatting sqref="DC41">
    <cfRule type="cellIs" dxfId="1536" priority="6" operator="lessThan">
      <formula>0</formula>
    </cfRule>
  </conditionalFormatting>
  <conditionalFormatting sqref="CX41:DB41 DL41:DP41">
    <cfRule type="cellIs" dxfId="1535" priority="5" operator="lessThan">
      <formula>0</formula>
    </cfRule>
  </conditionalFormatting>
  <conditionalFormatting sqref="DQ41">
    <cfRule type="cellIs" dxfId="1534" priority="3" operator="lessThan">
      <formula>0</formula>
    </cfRule>
  </conditionalFormatting>
  <conditionalFormatting sqref="J41:O41">
    <cfRule type="cellIs" dxfId="1533" priority="2" operator="lessThan">
      <formula>0</formula>
    </cfRule>
  </conditionalFormatting>
  <conditionalFormatting sqref="Q41:V41">
    <cfRule type="cellIs" dxfId="1532" priority="1" operator="lessThan">
      <formula>0</formula>
    </cfRule>
  </conditionalFormatting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1EBC5-6881-49EF-8DBA-74C7EB6833F6}">
  <sheetPr codeName="Sheet5"/>
  <dimension ref="B1:CG60"/>
  <sheetViews>
    <sheetView zoomScale="80" zoomScaleNormal="80" workbookViewId="0">
      <pane xSplit="21" ySplit="3" topLeftCell="AV4" activePane="bottomRight" state="frozen"/>
      <selection pane="topRight" activeCell="V1" sqref="V1"/>
      <selection pane="bottomLeft" activeCell="A4" sqref="A4"/>
      <selection pane="bottomRight" activeCell="BK21" sqref="BK21:BP21"/>
    </sheetView>
  </sheetViews>
  <sheetFormatPr defaultColWidth="9.44140625" defaultRowHeight="14.4" outlineLevelRow="1" x14ac:dyDescent="0.3"/>
  <cols>
    <col min="1" max="1" width="1.44140625" style="85" customWidth="1"/>
    <col min="2" max="3" width="9.44140625" style="85"/>
    <col min="4" max="4" width="11.5546875" style="85" customWidth="1"/>
    <col min="5" max="5" width="11.44140625" style="85" customWidth="1"/>
    <col min="6" max="7" width="10" style="85" hidden="1" customWidth="1"/>
    <col min="8" max="8" width="11.44140625" style="85" hidden="1" customWidth="1"/>
    <col min="9" max="9" width="10" style="85" hidden="1" customWidth="1"/>
    <col min="10" max="10" width="9.5546875" style="85" hidden="1" customWidth="1"/>
    <col min="11" max="11" width="10" style="85" hidden="1" customWidth="1"/>
    <col min="12" max="12" width="10.5546875" style="85" hidden="1" customWidth="1"/>
    <col min="13" max="13" width="9.5546875" style="85" hidden="1" customWidth="1"/>
    <col min="14" max="15" width="10" style="85" hidden="1" customWidth="1"/>
    <col min="16" max="16" width="11.44140625" style="85" hidden="1" customWidth="1"/>
    <col min="17" max="17" width="10" style="85" hidden="1" customWidth="1"/>
    <col min="18" max="18" width="9.5546875" style="85" hidden="1" customWidth="1"/>
    <col min="19" max="19" width="10" style="85" hidden="1" customWidth="1"/>
    <col min="20" max="20" width="10.5546875" style="85" hidden="1" customWidth="1"/>
    <col min="21" max="21" width="9.5546875" style="85" hidden="1" customWidth="1"/>
    <col min="22" max="22" width="10" style="85" customWidth="1"/>
    <col min="23" max="23" width="10" style="85" bestFit="1" customWidth="1"/>
    <col min="24" max="24" width="11.44140625" style="85" bestFit="1" customWidth="1"/>
    <col min="25" max="25" width="10" style="85" bestFit="1" customWidth="1"/>
    <col min="26" max="26" width="10.44140625" style="85" bestFit="1" customWidth="1"/>
    <col min="27" max="27" width="10" style="85" bestFit="1" customWidth="1"/>
    <col min="28" max="28" width="10.5546875" style="85" bestFit="1" customWidth="1"/>
    <col min="29" max="29" width="9.5546875" style="85" bestFit="1" customWidth="1"/>
    <col min="30" max="30" width="10" style="85" customWidth="1"/>
    <col min="31" max="31" width="10" style="85" bestFit="1" customWidth="1"/>
    <col min="32" max="32" width="11.44140625" style="85" bestFit="1" customWidth="1"/>
    <col min="33" max="33" width="10" style="85" bestFit="1" customWidth="1"/>
    <col min="34" max="34" width="10.44140625" style="85" bestFit="1" customWidth="1"/>
    <col min="35" max="35" width="10" style="85" bestFit="1" customWidth="1"/>
    <col min="36" max="36" width="10.5546875" style="85" bestFit="1" customWidth="1"/>
    <col min="37" max="37" width="9.5546875" style="85" bestFit="1" customWidth="1"/>
    <col min="38" max="38" width="10" style="85" customWidth="1"/>
    <col min="39" max="39" width="10" style="85" bestFit="1" customWidth="1"/>
    <col min="40" max="40" width="11.44140625" style="85" bestFit="1" customWidth="1"/>
    <col min="41" max="41" width="10" style="85" bestFit="1" customWidth="1"/>
    <col min="42" max="42" width="9.5546875" style="85" bestFit="1" customWidth="1"/>
    <col min="43" max="43" width="10" style="85" bestFit="1" customWidth="1"/>
    <col min="44" max="44" width="10.5546875" style="85" bestFit="1" customWidth="1"/>
    <col min="45" max="45" width="9.5546875" style="85" bestFit="1" customWidth="1"/>
    <col min="46" max="46" width="10" style="85" customWidth="1"/>
    <col min="47" max="47" width="10" style="85" bestFit="1" customWidth="1"/>
    <col min="48" max="48" width="11.44140625" style="85" bestFit="1" customWidth="1"/>
    <col min="49" max="49" width="10" style="85" bestFit="1" customWidth="1"/>
    <col min="50" max="50" width="10.44140625" style="85" bestFit="1" customWidth="1"/>
    <col min="51" max="51" width="10" style="85" bestFit="1" customWidth="1"/>
    <col min="52" max="52" width="10.5546875" style="85" bestFit="1" customWidth="1"/>
    <col min="53" max="54" width="9.5546875" style="85" bestFit="1" customWidth="1"/>
    <col min="55" max="55" width="9.44140625" style="85"/>
    <col min="56" max="61" width="10.44140625" style="85" bestFit="1" customWidth="1"/>
    <col min="62" max="62" width="9.5546875" style="85" bestFit="1" customWidth="1"/>
    <col min="63" max="64" width="9.44140625" style="85"/>
    <col min="65" max="65" width="10.44140625" style="85" bestFit="1" customWidth="1"/>
    <col min="66" max="66" width="9.5546875" style="85" bestFit="1" customWidth="1"/>
    <col min="67" max="68" width="10.44140625" style="85" bestFit="1" customWidth="1"/>
    <col min="69" max="69" width="9.44140625" style="85"/>
    <col min="70" max="70" width="9.5546875" style="85" bestFit="1" customWidth="1"/>
    <col min="71" max="72" width="8.5546875" style="85" bestFit="1" customWidth="1"/>
    <col min="73" max="75" width="9.5546875" style="85" bestFit="1" customWidth="1"/>
    <col min="76" max="77" width="8.5546875" style="85" bestFit="1" customWidth="1"/>
    <col min="78" max="78" width="9.5546875" style="85" bestFit="1" customWidth="1"/>
    <col min="79" max="80" width="9.44140625" style="85"/>
    <col min="81" max="83" width="9.5546875" style="85" bestFit="1" customWidth="1"/>
    <col min="84" max="84" width="8.5546875" style="85" bestFit="1" customWidth="1"/>
    <col min="85" max="16384" width="9.44140625" style="85"/>
  </cols>
  <sheetData>
    <row r="1" spans="2:85" ht="3.6" customHeight="1" thickBot="1" x14ac:dyDescent="0.35"/>
    <row r="2" spans="2:85" ht="15" thickBot="1" x14ac:dyDescent="0.35">
      <c r="D2" s="85">
        <v>0.98</v>
      </c>
      <c r="E2" s="140"/>
      <c r="F2" s="171" t="s">
        <v>197</v>
      </c>
      <c r="G2" s="231" t="s">
        <v>113</v>
      </c>
      <c r="H2" s="267" t="s">
        <v>114</v>
      </c>
      <c r="I2" s="232" t="s">
        <v>115</v>
      </c>
      <c r="J2" s="232" t="s">
        <v>116</v>
      </c>
      <c r="K2" s="232" t="s">
        <v>117</v>
      </c>
      <c r="L2" s="232" t="s">
        <v>118</v>
      </c>
      <c r="M2" s="233" t="s">
        <v>119</v>
      </c>
      <c r="N2" s="171" t="s">
        <v>198</v>
      </c>
      <c r="O2" s="231" t="s">
        <v>113</v>
      </c>
      <c r="P2" s="269" t="s">
        <v>114</v>
      </c>
      <c r="Q2" s="232" t="s">
        <v>115</v>
      </c>
      <c r="R2" s="232" t="s">
        <v>116</v>
      </c>
      <c r="S2" s="232" t="s">
        <v>117</v>
      </c>
      <c r="T2" s="232" t="s">
        <v>118</v>
      </c>
      <c r="U2" s="233" t="s">
        <v>119</v>
      </c>
      <c r="V2" s="171" t="s">
        <v>199</v>
      </c>
      <c r="W2" s="231" t="s">
        <v>113</v>
      </c>
      <c r="X2" s="269" t="s">
        <v>114</v>
      </c>
      <c r="Y2" s="232" t="s">
        <v>115</v>
      </c>
      <c r="Z2" s="232" t="s">
        <v>116</v>
      </c>
      <c r="AA2" s="232" t="s">
        <v>117</v>
      </c>
      <c r="AB2" s="232" t="s">
        <v>118</v>
      </c>
      <c r="AC2" s="232" t="s">
        <v>119</v>
      </c>
      <c r="AD2" s="171" t="s">
        <v>200</v>
      </c>
      <c r="AE2" s="231" t="s">
        <v>113</v>
      </c>
      <c r="AF2" s="269" t="s">
        <v>114</v>
      </c>
      <c r="AG2" s="232" t="s">
        <v>115</v>
      </c>
      <c r="AH2" s="232" t="s">
        <v>116</v>
      </c>
      <c r="AI2" s="232" t="s">
        <v>117</v>
      </c>
      <c r="AJ2" s="232" t="s">
        <v>118</v>
      </c>
      <c r="AK2" s="233" t="s">
        <v>119</v>
      </c>
      <c r="AL2" s="171" t="s">
        <v>201</v>
      </c>
      <c r="AM2" s="231" t="s">
        <v>113</v>
      </c>
      <c r="AN2" s="269" t="s">
        <v>114</v>
      </c>
      <c r="AO2" s="232" t="s">
        <v>115</v>
      </c>
      <c r="AP2" s="232" t="s">
        <v>116</v>
      </c>
      <c r="AQ2" s="232" t="s">
        <v>117</v>
      </c>
      <c r="AR2" s="232" t="s">
        <v>118</v>
      </c>
      <c r="AS2" s="233" t="s">
        <v>119</v>
      </c>
      <c r="AT2" s="171" t="s">
        <v>202</v>
      </c>
      <c r="AU2" s="231" t="s">
        <v>113</v>
      </c>
      <c r="AV2" s="269" t="s">
        <v>114</v>
      </c>
      <c r="AW2" s="232" t="s">
        <v>115</v>
      </c>
      <c r="AX2" s="232" t="s">
        <v>116</v>
      </c>
      <c r="AY2" s="232" t="s">
        <v>117</v>
      </c>
      <c r="AZ2" s="232" t="s">
        <v>118</v>
      </c>
      <c r="BA2" s="233" t="s">
        <v>119</v>
      </c>
      <c r="BB2" s="171" t="s">
        <v>203</v>
      </c>
      <c r="BC2" s="231" t="s">
        <v>113</v>
      </c>
      <c r="BD2" s="269" t="s">
        <v>114</v>
      </c>
      <c r="BE2" s="232" t="s">
        <v>115</v>
      </c>
      <c r="BF2" s="232" t="s">
        <v>116</v>
      </c>
      <c r="BG2" s="232" t="s">
        <v>117</v>
      </c>
      <c r="BH2" s="232" t="s">
        <v>118</v>
      </c>
      <c r="BI2" s="233" t="s">
        <v>119</v>
      </c>
      <c r="BJ2" s="171" t="s">
        <v>204</v>
      </c>
      <c r="BK2" s="231" t="s">
        <v>113</v>
      </c>
      <c r="BL2" s="269" t="s">
        <v>114</v>
      </c>
      <c r="BM2" s="232" t="s">
        <v>115</v>
      </c>
      <c r="BN2" s="232" t="s">
        <v>116</v>
      </c>
      <c r="BO2" s="232" t="s">
        <v>117</v>
      </c>
      <c r="BP2" s="232" t="s">
        <v>118</v>
      </c>
      <c r="BQ2" s="233" t="s">
        <v>119</v>
      </c>
      <c r="BR2" s="171" t="s">
        <v>205</v>
      </c>
      <c r="BS2" s="231" t="s">
        <v>113</v>
      </c>
      <c r="BT2" s="269" t="s">
        <v>114</v>
      </c>
      <c r="BU2" s="232" t="s">
        <v>115</v>
      </c>
      <c r="BV2" s="232" t="s">
        <v>116</v>
      </c>
      <c r="BW2" s="232" t="s">
        <v>117</v>
      </c>
      <c r="BX2" s="232" t="s">
        <v>118</v>
      </c>
      <c r="BY2" s="233" t="s">
        <v>119</v>
      </c>
      <c r="BZ2" s="171" t="s">
        <v>206</v>
      </c>
      <c r="CA2" s="231" t="s">
        <v>113</v>
      </c>
      <c r="CB2" s="269" t="s">
        <v>114</v>
      </c>
      <c r="CC2" s="232" t="s">
        <v>115</v>
      </c>
      <c r="CD2" s="232" t="s">
        <v>116</v>
      </c>
      <c r="CE2" s="232" t="s">
        <v>117</v>
      </c>
      <c r="CF2" s="232" t="s">
        <v>118</v>
      </c>
      <c r="CG2" s="233" t="s">
        <v>119</v>
      </c>
    </row>
    <row r="3" spans="2:85" ht="15" thickBot="1" x14ac:dyDescent="0.35">
      <c r="E3" s="140"/>
      <c r="F3" s="305"/>
      <c r="G3" s="306"/>
      <c r="H3" s="307"/>
      <c r="I3" s="306"/>
      <c r="J3" s="306"/>
      <c r="K3" s="306"/>
      <c r="L3" s="306"/>
      <c r="M3" s="306"/>
      <c r="N3" s="305"/>
      <c r="O3" s="306">
        <v>44039</v>
      </c>
      <c r="P3" s="306">
        <v>44040</v>
      </c>
      <c r="Q3" s="306">
        <v>44041</v>
      </c>
      <c r="R3" s="306">
        <v>44042</v>
      </c>
      <c r="S3" s="306">
        <v>44043</v>
      </c>
      <c r="T3" s="306">
        <v>44044</v>
      </c>
      <c r="U3" s="306">
        <v>44045</v>
      </c>
      <c r="V3" s="305"/>
      <c r="W3" s="306">
        <f>O3+7</f>
        <v>44046</v>
      </c>
      <c r="X3" s="306">
        <f t="shared" ref="X3:AC3" si="0">P3+7</f>
        <v>44047</v>
      </c>
      <c r="Y3" s="306">
        <f t="shared" si="0"/>
        <v>44048</v>
      </c>
      <c r="Z3" s="306">
        <f t="shared" si="0"/>
        <v>44049</v>
      </c>
      <c r="AA3" s="306">
        <f t="shared" si="0"/>
        <v>44050</v>
      </c>
      <c r="AB3" s="306">
        <f t="shared" si="0"/>
        <v>44051</v>
      </c>
      <c r="AC3" s="306">
        <f t="shared" si="0"/>
        <v>44052</v>
      </c>
      <c r="AD3" s="305"/>
      <c r="AE3" s="306">
        <f>W3+7</f>
        <v>44053</v>
      </c>
      <c r="AF3" s="306">
        <f t="shared" ref="AF3" si="1">X3+7</f>
        <v>44054</v>
      </c>
      <c r="AG3" s="306">
        <f t="shared" ref="AG3" si="2">Y3+7</f>
        <v>44055</v>
      </c>
      <c r="AH3" s="306">
        <f t="shared" ref="AH3" si="3">Z3+7</f>
        <v>44056</v>
      </c>
      <c r="AI3" s="306">
        <f t="shared" ref="AI3" si="4">AA3+7</f>
        <v>44057</v>
      </c>
      <c r="AJ3" s="306">
        <f t="shared" ref="AJ3" si="5">AB3+7</f>
        <v>44058</v>
      </c>
      <c r="AK3" s="324">
        <f t="shared" ref="AK3" si="6">AC3+7</f>
        <v>44059</v>
      </c>
      <c r="AL3" s="305"/>
      <c r="AM3" s="306">
        <f>AE3+7</f>
        <v>44060</v>
      </c>
      <c r="AN3" s="306">
        <f t="shared" ref="AN3" si="7">AF3+7</f>
        <v>44061</v>
      </c>
      <c r="AO3" s="306">
        <f t="shared" ref="AO3" si="8">AG3+7</f>
        <v>44062</v>
      </c>
      <c r="AP3" s="306">
        <f t="shared" ref="AP3" si="9">AH3+7</f>
        <v>44063</v>
      </c>
      <c r="AQ3" s="306">
        <f t="shared" ref="AQ3" si="10">AI3+7</f>
        <v>44064</v>
      </c>
      <c r="AR3" s="306">
        <f t="shared" ref="AR3" si="11">AJ3+7</f>
        <v>44065</v>
      </c>
      <c r="AS3" s="306">
        <f t="shared" ref="AS3" si="12">AK3+7</f>
        <v>44066</v>
      </c>
      <c r="AT3" s="305"/>
      <c r="AU3" s="306">
        <f>AM3+7</f>
        <v>44067</v>
      </c>
      <c r="AV3" s="306">
        <f t="shared" ref="AV3" si="13">AN3+7</f>
        <v>44068</v>
      </c>
      <c r="AW3" s="306">
        <f t="shared" ref="AW3" si="14">AO3+7</f>
        <v>44069</v>
      </c>
      <c r="AX3" s="306">
        <f t="shared" ref="AX3" si="15">AP3+7</f>
        <v>44070</v>
      </c>
      <c r="AY3" s="306">
        <f t="shared" ref="AY3" si="16">AQ3+7</f>
        <v>44071</v>
      </c>
      <c r="AZ3" s="306">
        <f t="shared" ref="AZ3" si="17">AR3+7</f>
        <v>44072</v>
      </c>
      <c r="BA3" s="324">
        <f t="shared" ref="BA3" si="18">AS3+7</f>
        <v>44073</v>
      </c>
      <c r="BB3" s="305"/>
      <c r="BC3" s="306">
        <f>AU3+7</f>
        <v>44074</v>
      </c>
      <c r="BD3" s="306">
        <f t="shared" ref="BD3" si="19">AV3+7</f>
        <v>44075</v>
      </c>
      <c r="BE3" s="306">
        <f t="shared" ref="BE3" si="20">AW3+7</f>
        <v>44076</v>
      </c>
      <c r="BF3" s="306">
        <f t="shared" ref="BF3" si="21">AX3+7</f>
        <v>44077</v>
      </c>
      <c r="BG3" s="306">
        <f t="shared" ref="BG3" si="22">AY3+7</f>
        <v>44078</v>
      </c>
      <c r="BH3" s="306">
        <f t="shared" ref="BH3" si="23">AZ3+7</f>
        <v>44079</v>
      </c>
      <c r="BI3" s="324">
        <f t="shared" ref="BI3" si="24">BA3+7</f>
        <v>44080</v>
      </c>
      <c r="BJ3" s="305"/>
      <c r="BK3" s="306">
        <f>BC3+7</f>
        <v>44081</v>
      </c>
      <c r="BL3" s="306">
        <f t="shared" ref="BL3" si="25">BD3+7</f>
        <v>44082</v>
      </c>
      <c r="BM3" s="306">
        <f t="shared" ref="BM3" si="26">BE3+7</f>
        <v>44083</v>
      </c>
      <c r="BN3" s="306">
        <f t="shared" ref="BN3" si="27">BF3+7</f>
        <v>44084</v>
      </c>
      <c r="BO3" s="306">
        <f t="shared" ref="BO3" si="28">BG3+7</f>
        <v>44085</v>
      </c>
      <c r="BP3" s="306">
        <f t="shared" ref="BP3" si="29">BH3+7</f>
        <v>44086</v>
      </c>
      <c r="BQ3" s="324">
        <f t="shared" ref="BQ3" si="30">BI3+7</f>
        <v>44087</v>
      </c>
      <c r="BR3" s="305"/>
      <c r="BS3" s="306">
        <f>BK3+7</f>
        <v>44088</v>
      </c>
      <c r="BT3" s="306">
        <f t="shared" ref="BT3" si="31">BL3+7</f>
        <v>44089</v>
      </c>
      <c r="BU3" s="306">
        <f t="shared" ref="BU3" si="32">BM3+7</f>
        <v>44090</v>
      </c>
      <c r="BV3" s="306">
        <f t="shared" ref="BV3" si="33">BN3+7</f>
        <v>44091</v>
      </c>
      <c r="BW3" s="306">
        <f t="shared" ref="BW3" si="34">BO3+7</f>
        <v>44092</v>
      </c>
      <c r="BX3" s="306">
        <f t="shared" ref="BX3" si="35">BP3+7</f>
        <v>44093</v>
      </c>
      <c r="BY3" s="324">
        <f t="shared" ref="BY3" si="36">BQ3+7</f>
        <v>44094</v>
      </c>
      <c r="BZ3" s="305"/>
      <c r="CA3" s="306">
        <f>BS3+7</f>
        <v>44095</v>
      </c>
      <c r="CB3" s="306">
        <f t="shared" ref="CB3" si="37">BT3+7</f>
        <v>44096</v>
      </c>
      <c r="CC3" s="306">
        <f t="shared" ref="CC3" si="38">BU3+7</f>
        <v>44097</v>
      </c>
      <c r="CD3" s="306">
        <f t="shared" ref="CD3" si="39">BV3+7</f>
        <v>44098</v>
      </c>
      <c r="CE3" s="306">
        <f t="shared" ref="CE3" si="40">BW3+7</f>
        <v>44099</v>
      </c>
      <c r="CF3" s="306">
        <f t="shared" ref="CF3" si="41">BX3+7</f>
        <v>44100</v>
      </c>
      <c r="CG3" s="324">
        <f t="shared" ref="CG3" si="42">BY3+7</f>
        <v>44101</v>
      </c>
    </row>
    <row r="4" spans="2:85" ht="15" customHeight="1" x14ac:dyDescent="0.3">
      <c r="B4" s="940" t="s">
        <v>207</v>
      </c>
      <c r="C4" s="935" t="s">
        <v>208</v>
      </c>
      <c r="D4" s="951" t="s">
        <v>209</v>
      </c>
      <c r="E4" s="281" t="s">
        <v>210</v>
      </c>
      <c r="F4" s="282">
        <f>SUM(G4:M4)</f>
        <v>0</v>
      </c>
      <c r="G4" s="283" t="str">
        <f>IFERROR('ST Forecast'!#REF!,"")</f>
        <v/>
      </c>
      <c r="H4" s="283" t="str">
        <f>IFERROR('ST Forecast'!#REF!,"")</f>
        <v/>
      </c>
      <c r="I4" s="283" t="str">
        <f>IFERROR('ST Forecast'!#REF!,"")</f>
        <v/>
      </c>
      <c r="J4" s="283" t="str">
        <f>IFERROR('ST Forecast'!#REF!,"")</f>
        <v/>
      </c>
      <c r="K4" s="283" t="str">
        <f>IFERROR('ST Forecast'!#REF!,"")</f>
        <v/>
      </c>
      <c r="L4" s="283" t="str">
        <f>IFERROR('ST Forecast'!#REF!,"")</f>
        <v/>
      </c>
      <c r="M4" s="283" t="str">
        <f>IFERROR('ST Forecast'!#REF!,"")</f>
        <v/>
      </c>
      <c r="N4" s="282">
        <f>SUM(O4:U4)</f>
        <v>0</v>
      </c>
      <c r="O4" s="283" t="str">
        <f>IFERROR('ST Forecast'!#REF!,"")</f>
        <v/>
      </c>
      <c r="P4" s="283" t="str">
        <f>IFERROR('ST Forecast'!#REF!,"")</f>
        <v/>
      </c>
      <c r="Q4" s="283" t="str">
        <f>IFERROR('ST Forecast'!#REF!,"")</f>
        <v/>
      </c>
      <c r="R4" s="283" t="str">
        <f>IFERROR('ST Forecast'!#REF!,"")</f>
        <v/>
      </c>
      <c r="S4" s="283" t="str">
        <f>IFERROR('ST Forecast'!#REF!,"")</f>
        <v/>
      </c>
      <c r="T4" s="283" t="str">
        <f>IFERROR('ST Forecast'!#REF!,"")</f>
        <v/>
      </c>
      <c r="U4" s="283" t="str">
        <f>IFERROR('ST Forecast'!#REF!,"")</f>
        <v/>
      </c>
      <c r="V4" s="282">
        <f>SUM(W4:AC4)</f>
        <v>0</v>
      </c>
      <c r="W4" s="283" t="str">
        <f>IFERROR('ST Forecast'!#REF!,"")</f>
        <v/>
      </c>
      <c r="X4" s="283" t="str">
        <f>IFERROR('ST Forecast'!#REF!,"")</f>
        <v/>
      </c>
      <c r="Y4" s="283" t="str">
        <f>IFERROR('ST Forecast'!#REF!,"")</f>
        <v/>
      </c>
      <c r="Z4" s="283" t="str">
        <f>IFERROR('ST Forecast'!#REF!,"")</f>
        <v/>
      </c>
      <c r="AA4" s="283" t="str">
        <f>IFERROR('ST Forecast'!#REF!,"")</f>
        <v/>
      </c>
      <c r="AB4" s="283" t="str">
        <f>IFERROR('ST Forecast'!#REF!,"")</f>
        <v/>
      </c>
      <c r="AC4" s="283" t="str">
        <f>IFERROR('ST Forecast'!#REF!,"")</f>
        <v/>
      </c>
      <c r="AD4" s="282">
        <f>SUM(AE4:AK4)</f>
        <v>0</v>
      </c>
      <c r="AE4" s="283" t="str">
        <f>IFERROR('ST Forecast'!#REF!,"")</f>
        <v/>
      </c>
      <c r="AF4" s="283" t="str">
        <f>IFERROR('ST Forecast'!#REF!,"")</f>
        <v/>
      </c>
      <c r="AG4" s="283" t="str">
        <f>IFERROR('ST Forecast'!#REF!,"")</f>
        <v/>
      </c>
      <c r="AH4" s="283" t="str">
        <f>IFERROR('ST Forecast'!#REF!,"")</f>
        <v/>
      </c>
      <c r="AI4" s="283" t="str">
        <f>IFERROR('ST Forecast'!#REF!,"")</f>
        <v/>
      </c>
      <c r="AJ4" s="283">
        <v>0</v>
      </c>
      <c r="AK4" s="284" t="str">
        <f>IFERROR('ST Forecast'!#REF!,"")</f>
        <v/>
      </c>
      <c r="AL4" s="282">
        <f>SUM(AM4:AS4)</f>
        <v>450</v>
      </c>
      <c r="AM4" s="283" t="str">
        <f>IFERROR('ST Forecast'!#REF!,"")</f>
        <v/>
      </c>
      <c r="AN4" s="283">
        <v>450</v>
      </c>
      <c r="AO4" s="283" t="str">
        <f>IFERROR('ST Forecast'!#REF!,"")</f>
        <v/>
      </c>
      <c r="AP4" s="283" t="str">
        <f>IFERROR('ST Forecast'!#REF!,"")</f>
        <v/>
      </c>
      <c r="AQ4" s="283" t="str">
        <f>IFERROR('ST Forecast'!#REF!,"")</f>
        <v/>
      </c>
      <c r="AR4" s="283" t="str">
        <f>IFERROR('ST Forecast'!#REF!,"")</f>
        <v/>
      </c>
      <c r="AS4" s="284" t="str">
        <f>IFERROR('ST Forecast'!#REF!,"")</f>
        <v/>
      </c>
      <c r="AT4" s="282">
        <f>SUM(AU4:BA4)</f>
        <v>2053</v>
      </c>
      <c r="AU4" s="283" t="str">
        <f>IFERROR('ST Forecast'!#REF!,"")</f>
        <v/>
      </c>
      <c r="AV4" s="283" t="str">
        <f>IFERROR('ST Forecast'!#REF!,"")</f>
        <v/>
      </c>
      <c r="AW4" s="283">
        <v>600</v>
      </c>
      <c r="AX4" s="283" t="str">
        <f>IFERROR('ST Forecast'!#REF!,"")</f>
        <v/>
      </c>
      <c r="AY4" s="283">
        <v>850</v>
      </c>
      <c r="AZ4" s="283">
        <v>603</v>
      </c>
      <c r="BA4" s="284" t="str">
        <f>IFERROR('ST Forecast'!#REF!,"")</f>
        <v/>
      </c>
      <c r="BB4" s="282">
        <f>SUM(BC4:BI4)</f>
        <v>0</v>
      </c>
      <c r="BC4" s="283" t="str">
        <f>IFERROR('ST Forecast'!#REF!,"")</f>
        <v/>
      </c>
      <c r="BD4" s="283" t="str">
        <f>IFERROR('ST Forecast'!#REF!,"")</f>
        <v/>
      </c>
      <c r="BE4" s="283" t="str">
        <f>IFERROR('ST Forecast'!#REF!,"")</f>
        <v/>
      </c>
      <c r="BF4" s="283" t="str">
        <f>IFERROR('ST Forecast'!#REF!,"")</f>
        <v/>
      </c>
      <c r="BG4" s="283" t="str">
        <f>IFERROR('ST Forecast'!#REF!,"")</f>
        <v/>
      </c>
      <c r="BH4" s="283" t="str">
        <f>IFERROR('ST Forecast'!#REF!,"")</f>
        <v/>
      </c>
      <c r="BI4" s="284" t="str">
        <f>IFERROR('ST Forecast'!#REF!,"")</f>
        <v/>
      </c>
      <c r="BJ4" s="282">
        <f>SUM(BK4:BQ4)</f>
        <v>0</v>
      </c>
      <c r="BK4" s="283" t="str">
        <f>IFERROR('ST Forecast'!#REF!,"")</f>
        <v/>
      </c>
      <c r="BL4" s="283" t="str">
        <f>IFERROR('ST Forecast'!#REF!,"")</f>
        <v/>
      </c>
      <c r="BM4" s="283" t="str">
        <f>IFERROR('ST Forecast'!#REF!,"")</f>
        <v/>
      </c>
      <c r="BN4" s="283" t="str">
        <f>IFERROR('ST Forecast'!#REF!,"")</f>
        <v/>
      </c>
      <c r="BO4" s="283" t="str">
        <f>IFERROR('ST Forecast'!#REF!,"")</f>
        <v/>
      </c>
      <c r="BP4" s="283" t="str">
        <f>IFERROR('ST Forecast'!#REF!,"")</f>
        <v/>
      </c>
      <c r="BQ4" s="284" t="str">
        <f>IFERROR('ST Forecast'!#REF!,"")</f>
        <v/>
      </c>
      <c r="BR4" s="282">
        <f>SUM(BS4:BY4)</f>
        <v>0</v>
      </c>
      <c r="BS4" s="283" t="str">
        <f>IFERROR('ST Forecast'!#REF!,"")</f>
        <v/>
      </c>
      <c r="BT4" s="283" t="str">
        <f>IFERROR('ST Forecast'!#REF!,"")</f>
        <v/>
      </c>
      <c r="BU4" s="283" t="str">
        <f>IFERROR('ST Forecast'!#REF!,"")</f>
        <v/>
      </c>
      <c r="BV4" s="283" t="str">
        <f>IFERROR('ST Forecast'!#REF!,"")</f>
        <v/>
      </c>
      <c r="BW4" s="283" t="str">
        <f>IFERROR('ST Forecast'!#REF!,"")</f>
        <v/>
      </c>
      <c r="BX4" s="283" t="str">
        <f>IFERROR('ST Forecast'!#REF!,"")</f>
        <v/>
      </c>
      <c r="BY4" s="284" t="str">
        <f>IFERROR('ST Forecast'!#REF!,"")</f>
        <v/>
      </c>
      <c r="BZ4" s="282">
        <f>SUM(CA4:CG4)</f>
        <v>0</v>
      </c>
      <c r="CA4" s="283" t="str">
        <f>IFERROR('ST Forecast'!#REF!,"")</f>
        <v/>
      </c>
      <c r="CB4" s="283" t="str">
        <f>IFERROR('ST Forecast'!#REF!,"")</f>
        <v/>
      </c>
      <c r="CC4" s="283" t="str">
        <f>IFERROR('ST Forecast'!#REF!,"")</f>
        <v/>
      </c>
      <c r="CD4" s="283" t="str">
        <f>IFERROR('ST Forecast'!#REF!,"")</f>
        <v/>
      </c>
      <c r="CE4" s="283" t="str">
        <f>IFERROR('ST Forecast'!#REF!,"")</f>
        <v/>
      </c>
      <c r="CF4" s="283" t="str">
        <f>IFERROR('ST Forecast'!#REF!,"")</f>
        <v/>
      </c>
      <c r="CG4" s="284" t="str">
        <f>IFERROR('ST Forecast'!#REF!,"")</f>
        <v/>
      </c>
    </row>
    <row r="5" spans="2:85" x14ac:dyDescent="0.3">
      <c r="B5" s="941"/>
      <c r="C5" s="936"/>
      <c r="D5" s="952"/>
      <c r="E5" s="285" t="s">
        <v>211</v>
      </c>
      <c r="F5" s="282">
        <f>IFERROR(AVERAGEIF(G5:M5,"&lt;&gt;0"),0)</f>
        <v>0</v>
      </c>
      <c r="G5" s="283" t="str">
        <f>IFERROR('ST Forecast'!#REF!,"")</f>
        <v/>
      </c>
      <c r="H5" s="283" t="str">
        <f>IFERROR('ST Forecast'!#REF!,"")</f>
        <v/>
      </c>
      <c r="I5" s="283" t="str">
        <f>IFERROR('ST Forecast'!#REF!,"")</f>
        <v/>
      </c>
      <c r="J5" s="283" t="str">
        <f>IFERROR('ST Forecast'!#REF!,"")</f>
        <v/>
      </c>
      <c r="K5" s="283" t="str">
        <f>IFERROR('ST Forecast'!#REF!,"")</f>
        <v/>
      </c>
      <c r="L5" s="283" t="str">
        <f>IFERROR('ST Forecast'!#REF!,"")</f>
        <v/>
      </c>
      <c r="M5" s="283" t="str">
        <f>IFERROR('ST Forecast'!#REF!,"")</f>
        <v/>
      </c>
      <c r="N5" s="282">
        <f>IFERROR(AVERAGEIF(O5:U5,"&lt;&gt;0"),0)</f>
        <v>0</v>
      </c>
      <c r="O5" s="283" t="str">
        <f>IFERROR('ST Forecast'!#REF!,"")</f>
        <v/>
      </c>
      <c r="P5" s="283" t="str">
        <f>IFERROR('ST Forecast'!#REF!,"")</f>
        <v/>
      </c>
      <c r="Q5" s="283" t="str">
        <f>IFERROR('ST Forecast'!#REF!,"")</f>
        <v/>
      </c>
      <c r="R5" s="283" t="str">
        <f>IFERROR('ST Forecast'!#REF!,"")</f>
        <v/>
      </c>
      <c r="S5" s="283" t="str">
        <f>IFERROR('ST Forecast'!#REF!,"")</f>
        <v/>
      </c>
      <c r="T5" s="283" t="str">
        <f>IFERROR('ST Forecast'!#REF!,"")</f>
        <v/>
      </c>
      <c r="U5" s="283" t="str">
        <f>IFERROR('ST Forecast'!#REF!,"")</f>
        <v/>
      </c>
      <c r="V5" s="282">
        <f>IFERROR(AVERAGEIF(W5:AC5,"&lt;&gt;0"),0)</f>
        <v>0</v>
      </c>
      <c r="W5" s="283" t="str">
        <f>IFERROR('ST Forecast'!#REF!,"")</f>
        <v/>
      </c>
      <c r="X5" s="283" t="str">
        <f>IFERROR('ST Forecast'!#REF!,"")</f>
        <v/>
      </c>
      <c r="Y5" s="283" t="str">
        <f>IFERROR('ST Forecast'!#REF!,"")</f>
        <v/>
      </c>
      <c r="Z5" s="283" t="str">
        <f>IFERROR('ST Forecast'!#REF!,"")</f>
        <v/>
      </c>
      <c r="AA5" s="283" t="str">
        <f>IFERROR('ST Forecast'!#REF!,"")</f>
        <v/>
      </c>
      <c r="AB5" s="283" t="str">
        <f>IFERROR('ST Forecast'!#REF!,"")</f>
        <v/>
      </c>
      <c r="AC5" s="283" t="str">
        <f>IFERROR('ST Forecast'!#REF!,"")</f>
        <v/>
      </c>
      <c r="AD5" s="282">
        <f>IFERROR(AVERAGEIF(AE5:AK5,"&lt;&gt;0"),0)</f>
        <v>0</v>
      </c>
      <c r="AE5" s="283" t="str">
        <f>IFERROR('ST Forecast'!#REF!,"")</f>
        <v/>
      </c>
      <c r="AF5" s="283" t="str">
        <f>IFERROR('ST Forecast'!#REF!,"")</f>
        <v/>
      </c>
      <c r="AG5" s="283" t="str">
        <f>IFERROR('ST Forecast'!#REF!,"")</f>
        <v/>
      </c>
      <c r="AH5" s="283" t="str">
        <f>IFERROR('ST Forecast'!#REF!,"")</f>
        <v/>
      </c>
      <c r="AI5" s="283" t="str">
        <f>IFERROR('ST Forecast'!#REF!,"")</f>
        <v/>
      </c>
      <c r="AJ5" s="283" t="str">
        <f>IFERROR('ST Forecast'!#REF!,"")</f>
        <v/>
      </c>
      <c r="AK5" s="284" t="str">
        <f>IFERROR('ST Forecast'!#REF!,"")</f>
        <v/>
      </c>
      <c r="AL5" s="282">
        <f>IFERROR(AVERAGEIF(AM5:AS5,"&lt;&gt;0"),0)</f>
        <v>0</v>
      </c>
      <c r="AM5" s="283" t="str">
        <f>IFERROR('ST Forecast'!#REF!,"")</f>
        <v/>
      </c>
      <c r="AN5" s="283" t="str">
        <f>IFERROR('ST Forecast'!#REF!,"")</f>
        <v/>
      </c>
      <c r="AO5" s="283" t="str">
        <f>IFERROR('ST Forecast'!#REF!,"")</f>
        <v/>
      </c>
      <c r="AP5" s="283" t="str">
        <f>IFERROR('ST Forecast'!#REF!,"")</f>
        <v/>
      </c>
      <c r="AQ5" s="283" t="str">
        <f>IFERROR('ST Forecast'!#REF!,"")</f>
        <v/>
      </c>
      <c r="AR5" s="283" t="str">
        <f>IFERROR('ST Forecast'!#REF!,"")</f>
        <v/>
      </c>
      <c r="AS5" s="284" t="str">
        <f>IFERROR('ST Forecast'!#REF!,"")</f>
        <v/>
      </c>
      <c r="AT5" s="282">
        <f>IFERROR(AVERAGEIF(AU5:BA5,"&lt;&gt;0"),0)</f>
        <v>0</v>
      </c>
      <c r="AU5" s="283" t="str">
        <f>IFERROR('ST Forecast'!#REF!,"")</f>
        <v/>
      </c>
      <c r="AV5" s="283" t="str">
        <f>IFERROR('ST Forecast'!#REF!,"")</f>
        <v/>
      </c>
      <c r="AW5" s="283" t="str">
        <f>IFERROR('ST Forecast'!#REF!,"")</f>
        <v/>
      </c>
      <c r="AX5" s="283" t="str">
        <f>IFERROR('ST Forecast'!#REF!,"")</f>
        <v/>
      </c>
      <c r="AY5" s="283" t="str">
        <f>IFERROR('ST Forecast'!#REF!,"")</f>
        <v/>
      </c>
      <c r="AZ5" s="283" t="str">
        <f>IFERROR('ST Forecast'!#REF!,"")</f>
        <v/>
      </c>
      <c r="BA5" s="284" t="str">
        <f>IFERROR('ST Forecast'!#REF!,"")</f>
        <v/>
      </c>
      <c r="BB5" s="282">
        <f>IFERROR(AVERAGEIF(BC5:BI5,"&lt;&gt;0"),0)</f>
        <v>0</v>
      </c>
      <c r="BC5" s="283" t="str">
        <f>IFERROR('ST Forecast'!#REF!,"")</f>
        <v/>
      </c>
      <c r="BD5" s="283" t="str">
        <f>IFERROR('ST Forecast'!#REF!,"")</f>
        <v/>
      </c>
      <c r="BE5" s="283" t="str">
        <f>IFERROR('ST Forecast'!#REF!,"")</f>
        <v/>
      </c>
      <c r="BF5" s="283" t="str">
        <f>IFERROR('ST Forecast'!#REF!,"")</f>
        <v/>
      </c>
      <c r="BG5" s="283" t="str">
        <f>IFERROR('ST Forecast'!#REF!,"")</f>
        <v/>
      </c>
      <c r="BH5" s="283" t="str">
        <f>IFERROR('ST Forecast'!#REF!,"")</f>
        <v/>
      </c>
      <c r="BI5" s="284" t="str">
        <f>IFERROR('ST Forecast'!#REF!,"")</f>
        <v/>
      </c>
      <c r="BJ5" s="282">
        <f>IFERROR(AVERAGEIF(BK5:BQ5,"&lt;&gt;0"),0)</f>
        <v>0</v>
      </c>
      <c r="BK5" s="283" t="str">
        <f>IFERROR('ST Forecast'!#REF!,"")</f>
        <v/>
      </c>
      <c r="BL5" s="283" t="str">
        <f>IFERROR('ST Forecast'!#REF!,"")</f>
        <v/>
      </c>
      <c r="BM5" s="283" t="str">
        <f>IFERROR('ST Forecast'!#REF!,"")</f>
        <v/>
      </c>
      <c r="BN5" s="283" t="str">
        <f>IFERROR('ST Forecast'!#REF!,"")</f>
        <v/>
      </c>
      <c r="BO5" s="283" t="str">
        <f>IFERROR('ST Forecast'!#REF!,"")</f>
        <v/>
      </c>
      <c r="BP5" s="283" t="str">
        <f>IFERROR('ST Forecast'!#REF!,"")</f>
        <v/>
      </c>
      <c r="BQ5" s="284" t="str">
        <f>IFERROR('ST Forecast'!#REF!,"")</f>
        <v/>
      </c>
      <c r="BR5" s="282">
        <f>IFERROR(AVERAGEIF(BS5:BY5,"&lt;&gt;0"),0)</f>
        <v>0</v>
      </c>
      <c r="BS5" s="283" t="str">
        <f>IFERROR('ST Forecast'!#REF!,"")</f>
        <v/>
      </c>
      <c r="BT5" s="283" t="str">
        <f>IFERROR('ST Forecast'!#REF!,"")</f>
        <v/>
      </c>
      <c r="BU5" s="283" t="str">
        <f>IFERROR('ST Forecast'!#REF!,"")</f>
        <v/>
      </c>
      <c r="BV5" s="283" t="str">
        <f>IFERROR('ST Forecast'!#REF!,"")</f>
        <v/>
      </c>
      <c r="BW5" s="283" t="str">
        <f>IFERROR('ST Forecast'!#REF!,"")</f>
        <v/>
      </c>
      <c r="BX5" s="283" t="str">
        <f>IFERROR('ST Forecast'!#REF!,"")</f>
        <v/>
      </c>
      <c r="BY5" s="284" t="str">
        <f>IFERROR('ST Forecast'!#REF!,"")</f>
        <v/>
      </c>
      <c r="BZ5" s="282">
        <f>IFERROR(AVERAGEIF(CA5:CG5,"&lt;&gt;0"),0)</f>
        <v>0</v>
      </c>
      <c r="CA5" s="283" t="str">
        <f>IFERROR('ST Forecast'!#REF!,"")</f>
        <v/>
      </c>
      <c r="CB5" s="283" t="str">
        <f>IFERROR('ST Forecast'!#REF!,"")</f>
        <v/>
      </c>
      <c r="CC5" s="283" t="str">
        <f>IFERROR('ST Forecast'!#REF!,"")</f>
        <v/>
      </c>
      <c r="CD5" s="283" t="str">
        <f>IFERROR('ST Forecast'!#REF!,"")</f>
        <v/>
      </c>
      <c r="CE5" s="283" t="str">
        <f>IFERROR('ST Forecast'!#REF!,"")</f>
        <v/>
      </c>
      <c r="CF5" s="283" t="str">
        <f>IFERROR('ST Forecast'!#REF!,"")</f>
        <v/>
      </c>
      <c r="CG5" s="284" t="str">
        <f>IFERROR('ST Forecast'!#REF!,"")</f>
        <v/>
      </c>
    </row>
    <row r="6" spans="2:85" x14ac:dyDescent="0.3">
      <c r="B6" s="941"/>
      <c r="C6" s="936"/>
      <c r="D6" s="952"/>
      <c r="E6" s="285" t="s">
        <v>212</v>
      </c>
      <c r="F6" s="282" t="e">
        <f t="shared" ref="F6:F21" si="43">SUM(G6:M6)</f>
        <v>#VALUE!</v>
      </c>
      <c r="G6" s="283" t="e">
        <f>G4*G5</f>
        <v>#VALUE!</v>
      </c>
      <c r="H6" s="283" t="e">
        <f t="shared" ref="H6:M6" si="44">H4*H5</f>
        <v>#VALUE!</v>
      </c>
      <c r="I6" s="283" t="e">
        <f t="shared" si="44"/>
        <v>#VALUE!</v>
      </c>
      <c r="J6" s="283" t="e">
        <f t="shared" si="44"/>
        <v>#VALUE!</v>
      </c>
      <c r="K6" s="283" t="e">
        <f t="shared" si="44"/>
        <v>#VALUE!</v>
      </c>
      <c r="L6" s="283" t="e">
        <f t="shared" si="44"/>
        <v>#VALUE!</v>
      </c>
      <c r="M6" s="283" t="e">
        <f t="shared" si="44"/>
        <v>#VALUE!</v>
      </c>
      <c r="N6" s="282" t="e">
        <f t="shared" ref="N6:N7" si="45">SUM(O6:U6)</f>
        <v>#VALUE!</v>
      </c>
      <c r="O6" s="283" t="e">
        <f>O4*O5</f>
        <v>#VALUE!</v>
      </c>
      <c r="P6" s="283" t="e">
        <f t="shared" ref="P6" si="46">P4*P5</f>
        <v>#VALUE!</v>
      </c>
      <c r="Q6" s="283" t="e">
        <f t="shared" ref="Q6" si="47">Q4*Q5</f>
        <v>#VALUE!</v>
      </c>
      <c r="R6" s="283" t="e">
        <f t="shared" ref="R6" si="48">R4*R5</f>
        <v>#VALUE!</v>
      </c>
      <c r="S6" s="283" t="e">
        <f t="shared" ref="S6" si="49">S4*S5</f>
        <v>#VALUE!</v>
      </c>
      <c r="T6" s="283" t="e">
        <f t="shared" ref="T6" si="50">T4*T5</f>
        <v>#VALUE!</v>
      </c>
      <c r="U6" s="283" t="e">
        <f t="shared" ref="U6" si="51">U4*U5</f>
        <v>#VALUE!</v>
      </c>
      <c r="V6" s="282" t="e">
        <f t="shared" ref="V6:V7" si="52">SUM(W6:AC6)</f>
        <v>#VALUE!</v>
      </c>
      <c r="W6" s="283" t="e">
        <f>W4*W5</f>
        <v>#VALUE!</v>
      </c>
      <c r="X6" s="283" t="e">
        <f t="shared" ref="X6" si="53">X4*X5</f>
        <v>#VALUE!</v>
      </c>
      <c r="Y6" s="283" t="e">
        <f t="shared" ref="Y6" si="54">Y4*Y5</f>
        <v>#VALUE!</v>
      </c>
      <c r="Z6" s="283" t="e">
        <f t="shared" ref="Z6" si="55">Z4*Z5</f>
        <v>#VALUE!</v>
      </c>
      <c r="AA6" s="283" t="e">
        <f t="shared" ref="AA6" si="56">AA4*AA5</f>
        <v>#VALUE!</v>
      </c>
      <c r="AB6" s="283" t="e">
        <f t="shared" ref="AB6" si="57">AB4*AB5</f>
        <v>#VALUE!</v>
      </c>
      <c r="AC6" s="283" t="e">
        <f t="shared" ref="AC6" si="58">AC4*AC5</f>
        <v>#VALUE!</v>
      </c>
      <c r="AD6" s="282" t="e">
        <f t="shared" ref="AD6:AD7" si="59">SUM(AE6:AK6)</f>
        <v>#VALUE!</v>
      </c>
      <c r="AE6" s="283" t="e">
        <f>AE4*AE5</f>
        <v>#VALUE!</v>
      </c>
      <c r="AF6" s="283" t="e">
        <f t="shared" ref="AF6" si="60">AF4*AF5</f>
        <v>#VALUE!</v>
      </c>
      <c r="AG6" s="283" t="e">
        <f t="shared" ref="AG6" si="61">AG4*AG5</f>
        <v>#VALUE!</v>
      </c>
      <c r="AH6" s="283" t="e">
        <f t="shared" ref="AH6" si="62">AH4*AH5</f>
        <v>#VALUE!</v>
      </c>
      <c r="AI6" s="283" t="e">
        <f t="shared" ref="AI6" si="63">AI4*AI5</f>
        <v>#VALUE!</v>
      </c>
      <c r="AJ6" s="283" t="e">
        <f t="shared" ref="AJ6" si="64">AJ4*AJ5</f>
        <v>#VALUE!</v>
      </c>
      <c r="AK6" s="284" t="e">
        <f t="shared" ref="AK6" si="65">AK4*AK5</f>
        <v>#VALUE!</v>
      </c>
      <c r="AL6" s="282" t="e">
        <f t="shared" ref="AL6:AL7" si="66">SUM(AM6:AS6)</f>
        <v>#VALUE!</v>
      </c>
      <c r="AM6" s="283" t="e">
        <f>AM4*AM5</f>
        <v>#VALUE!</v>
      </c>
      <c r="AN6" s="283" t="e">
        <f t="shared" ref="AN6:AS6" si="67">AN4*AN5</f>
        <v>#VALUE!</v>
      </c>
      <c r="AO6" s="283" t="e">
        <f t="shared" si="67"/>
        <v>#VALUE!</v>
      </c>
      <c r="AP6" s="283" t="e">
        <f>AP4*AP5</f>
        <v>#VALUE!</v>
      </c>
      <c r="AQ6" s="283" t="e">
        <f t="shared" si="67"/>
        <v>#VALUE!</v>
      </c>
      <c r="AR6" s="283" t="e">
        <f t="shared" si="67"/>
        <v>#VALUE!</v>
      </c>
      <c r="AS6" s="284" t="e">
        <f t="shared" si="67"/>
        <v>#VALUE!</v>
      </c>
      <c r="AT6" s="282" t="e">
        <f t="shared" ref="AT6:AT7" si="68">SUM(AU6:BA6)</f>
        <v>#VALUE!</v>
      </c>
      <c r="AU6" s="283" t="e">
        <f>AU4*AU5</f>
        <v>#VALUE!</v>
      </c>
      <c r="AV6" s="283" t="e">
        <f t="shared" ref="AV6:BA6" si="69">AV4*AV5</f>
        <v>#VALUE!</v>
      </c>
      <c r="AW6" s="283" t="e">
        <f t="shared" si="69"/>
        <v>#VALUE!</v>
      </c>
      <c r="AX6" s="283" t="e">
        <f t="shared" si="69"/>
        <v>#VALUE!</v>
      </c>
      <c r="AY6" s="283" t="e">
        <f t="shared" si="69"/>
        <v>#VALUE!</v>
      </c>
      <c r="AZ6" s="283" t="e">
        <f t="shared" si="69"/>
        <v>#VALUE!</v>
      </c>
      <c r="BA6" s="284" t="e">
        <f t="shared" si="69"/>
        <v>#VALUE!</v>
      </c>
      <c r="BB6" s="282" t="e">
        <f t="shared" ref="BB6:BB7" si="70">SUM(BC6:BI6)</f>
        <v>#VALUE!</v>
      </c>
      <c r="BC6" s="283" t="e">
        <f>BC4*BC5</f>
        <v>#VALUE!</v>
      </c>
      <c r="BD6" s="283" t="e">
        <f t="shared" ref="BD6:BI6" si="71">BD4*BD5</f>
        <v>#VALUE!</v>
      </c>
      <c r="BE6" s="283" t="e">
        <f t="shared" si="71"/>
        <v>#VALUE!</v>
      </c>
      <c r="BF6" s="283" t="e">
        <f t="shared" si="71"/>
        <v>#VALUE!</v>
      </c>
      <c r="BG6" s="283" t="e">
        <f t="shared" si="71"/>
        <v>#VALUE!</v>
      </c>
      <c r="BH6" s="283" t="e">
        <f t="shared" si="71"/>
        <v>#VALUE!</v>
      </c>
      <c r="BI6" s="284" t="e">
        <f t="shared" si="71"/>
        <v>#VALUE!</v>
      </c>
      <c r="BJ6" s="282" t="e">
        <f t="shared" ref="BJ6:BJ7" si="72">SUM(BK6:BQ6)</f>
        <v>#VALUE!</v>
      </c>
      <c r="BK6" s="283" t="e">
        <f>BK4*BK5</f>
        <v>#VALUE!</v>
      </c>
      <c r="BL6" s="283" t="e">
        <f t="shared" ref="BL6:BQ6" si="73">BL4*BL5</f>
        <v>#VALUE!</v>
      </c>
      <c r="BM6" s="283" t="e">
        <f t="shared" si="73"/>
        <v>#VALUE!</v>
      </c>
      <c r="BN6" s="283" t="e">
        <f t="shared" si="73"/>
        <v>#VALUE!</v>
      </c>
      <c r="BO6" s="283" t="e">
        <f t="shared" si="73"/>
        <v>#VALUE!</v>
      </c>
      <c r="BP6" s="283" t="e">
        <f t="shared" si="73"/>
        <v>#VALUE!</v>
      </c>
      <c r="BQ6" s="284" t="e">
        <f t="shared" si="73"/>
        <v>#VALUE!</v>
      </c>
      <c r="BR6" s="282" t="e">
        <f t="shared" ref="BR6:BR7" si="74">SUM(BS6:BY6)</f>
        <v>#VALUE!</v>
      </c>
      <c r="BS6" s="283" t="e">
        <f>BS4*BS5</f>
        <v>#VALUE!</v>
      </c>
      <c r="BT6" s="283" t="e">
        <f t="shared" ref="BT6:BY6" si="75">BT4*BT5</f>
        <v>#VALUE!</v>
      </c>
      <c r="BU6" s="283" t="e">
        <f t="shared" si="75"/>
        <v>#VALUE!</v>
      </c>
      <c r="BV6" s="283" t="e">
        <f t="shared" si="75"/>
        <v>#VALUE!</v>
      </c>
      <c r="BW6" s="283" t="e">
        <f t="shared" si="75"/>
        <v>#VALUE!</v>
      </c>
      <c r="BX6" s="283" t="e">
        <f t="shared" si="75"/>
        <v>#VALUE!</v>
      </c>
      <c r="BY6" s="284" t="e">
        <f t="shared" si="75"/>
        <v>#VALUE!</v>
      </c>
      <c r="BZ6" s="282" t="e">
        <f t="shared" ref="BZ6:BZ7" si="76">SUM(CA6:CG6)</f>
        <v>#VALUE!</v>
      </c>
      <c r="CA6" s="283" t="e">
        <f>CA4*CA5</f>
        <v>#VALUE!</v>
      </c>
      <c r="CB6" s="283" t="e">
        <f t="shared" ref="CB6:CG6" si="77">CB4*CB5</f>
        <v>#VALUE!</v>
      </c>
      <c r="CC6" s="283" t="e">
        <f t="shared" si="77"/>
        <v>#VALUE!</v>
      </c>
      <c r="CD6" s="283" t="e">
        <f t="shared" si="77"/>
        <v>#VALUE!</v>
      </c>
      <c r="CE6" s="283" t="e">
        <f t="shared" si="77"/>
        <v>#VALUE!</v>
      </c>
      <c r="CF6" s="283" t="e">
        <f t="shared" si="77"/>
        <v>#VALUE!</v>
      </c>
      <c r="CG6" s="284" t="e">
        <f t="shared" si="77"/>
        <v>#VALUE!</v>
      </c>
    </row>
    <row r="7" spans="2:85" x14ac:dyDescent="0.3">
      <c r="B7" s="941"/>
      <c r="C7" s="936"/>
      <c r="D7" s="953" t="s">
        <v>213</v>
      </c>
      <c r="E7" s="188" t="s">
        <v>210</v>
      </c>
      <c r="F7" s="189">
        <f t="shared" si="43"/>
        <v>0</v>
      </c>
      <c r="G7" s="166"/>
      <c r="H7" s="166"/>
      <c r="I7" s="166"/>
      <c r="J7" s="166"/>
      <c r="K7" s="166"/>
      <c r="L7" s="166"/>
      <c r="M7" s="192"/>
      <c r="N7" s="189">
        <f t="shared" si="45"/>
        <v>2629</v>
      </c>
      <c r="O7" s="166">
        <v>500</v>
      </c>
      <c r="P7" s="166">
        <v>200</v>
      </c>
      <c r="Q7" s="166">
        <v>399</v>
      </c>
      <c r="R7" s="166">
        <v>400</v>
      </c>
      <c r="S7" s="166">
        <v>500</v>
      </c>
      <c r="T7" s="166">
        <v>630</v>
      </c>
      <c r="U7" s="192" t="str">
        <f>U4</f>
        <v/>
      </c>
      <c r="V7" s="189">
        <f t="shared" si="52"/>
        <v>3001</v>
      </c>
      <c r="W7" s="166">
        <v>450</v>
      </c>
      <c r="X7" s="166">
        <v>392</v>
      </c>
      <c r="Y7" s="166">
        <v>399</v>
      </c>
      <c r="Z7" s="166">
        <v>450</v>
      </c>
      <c r="AA7" s="166">
        <v>630</v>
      </c>
      <c r="AB7" s="166">
        <v>680</v>
      </c>
      <c r="AC7" s="166" t="str">
        <f t="shared" ref="AC7" si="78">AC4</f>
        <v/>
      </c>
      <c r="AD7" s="189">
        <f t="shared" si="59"/>
        <v>2486</v>
      </c>
      <c r="AE7" s="166">
        <v>450</v>
      </c>
      <c r="AF7" s="166">
        <v>400</v>
      </c>
      <c r="AG7" s="166">
        <v>500</v>
      </c>
      <c r="AH7" s="166">
        <f>550-64</f>
        <v>486</v>
      </c>
      <c r="AI7" s="166">
        <v>650</v>
      </c>
      <c r="AJ7" s="166">
        <v>0</v>
      </c>
      <c r="AK7" s="192">
        <v>0</v>
      </c>
      <c r="AL7" s="189">
        <f t="shared" si="66"/>
        <v>3423</v>
      </c>
      <c r="AM7" s="166">
        <v>450</v>
      </c>
      <c r="AN7" s="166">
        <v>450</v>
      </c>
      <c r="AO7" s="166">
        <v>450</v>
      </c>
      <c r="AP7" s="166">
        <v>473</v>
      </c>
      <c r="AQ7" s="166">
        <v>800</v>
      </c>
      <c r="AR7" s="166">
        <v>800</v>
      </c>
      <c r="AS7" s="166">
        <v>0</v>
      </c>
      <c r="AT7" s="189">
        <f t="shared" si="68"/>
        <v>3378</v>
      </c>
      <c r="AU7" s="166">
        <v>400</v>
      </c>
      <c r="AV7" s="166">
        <v>538</v>
      </c>
      <c r="AW7" s="166">
        <v>497</v>
      </c>
      <c r="AX7" s="166">
        <v>496</v>
      </c>
      <c r="AY7" s="166">
        <v>844</v>
      </c>
      <c r="AZ7" s="166">
        <v>603</v>
      </c>
      <c r="BA7" s="192">
        <v>0</v>
      </c>
      <c r="BB7" s="189">
        <f t="shared" si="70"/>
        <v>3469</v>
      </c>
      <c r="BC7" s="166">
        <v>450</v>
      </c>
      <c r="BD7" s="166">
        <v>600</v>
      </c>
      <c r="BE7" s="166">
        <v>540</v>
      </c>
      <c r="BF7" s="166">
        <v>479</v>
      </c>
      <c r="BG7" s="166">
        <v>700</v>
      </c>
      <c r="BH7" s="166">
        <v>700</v>
      </c>
      <c r="BI7" s="192">
        <v>0</v>
      </c>
      <c r="BJ7" s="189">
        <f t="shared" si="72"/>
        <v>2877</v>
      </c>
      <c r="BK7" s="166">
        <v>450</v>
      </c>
      <c r="BL7" s="166">
        <v>559</v>
      </c>
      <c r="BM7" s="166">
        <v>650</v>
      </c>
      <c r="BN7" s="166">
        <v>419</v>
      </c>
      <c r="BO7" s="166">
        <v>799</v>
      </c>
      <c r="BP7" s="166" t="str">
        <f t="shared" ref="BP7:BQ7" si="79">BP4</f>
        <v/>
      </c>
      <c r="BQ7" s="192" t="str">
        <f t="shared" si="79"/>
        <v/>
      </c>
      <c r="BR7" s="189">
        <f t="shared" si="74"/>
        <v>0</v>
      </c>
      <c r="BS7" s="166" t="str">
        <f>BS4</f>
        <v/>
      </c>
      <c r="BT7" s="166" t="str">
        <f t="shared" ref="BT7:BY7" si="80">BT4</f>
        <v/>
      </c>
      <c r="BU7" s="166" t="str">
        <f t="shared" si="80"/>
        <v/>
      </c>
      <c r="BV7" s="166" t="str">
        <f t="shared" si="80"/>
        <v/>
      </c>
      <c r="BW7" s="166" t="str">
        <f t="shared" si="80"/>
        <v/>
      </c>
      <c r="BX7" s="166" t="str">
        <f t="shared" si="80"/>
        <v/>
      </c>
      <c r="BY7" s="192" t="str">
        <f t="shared" si="80"/>
        <v/>
      </c>
      <c r="BZ7" s="189">
        <f t="shared" si="76"/>
        <v>0</v>
      </c>
      <c r="CA7" s="166" t="str">
        <f>CA4</f>
        <v/>
      </c>
      <c r="CB7" s="166" t="str">
        <f t="shared" ref="CB7:CG7" si="81">CB4</f>
        <v/>
      </c>
      <c r="CC7" s="166" t="str">
        <f t="shared" si="81"/>
        <v/>
      </c>
      <c r="CD7" s="166" t="str">
        <f t="shared" si="81"/>
        <v/>
      </c>
      <c r="CE7" s="166" t="str">
        <f t="shared" si="81"/>
        <v/>
      </c>
      <c r="CF7" s="166" t="str">
        <f t="shared" si="81"/>
        <v/>
      </c>
      <c r="CG7" s="192" t="str">
        <f t="shared" si="81"/>
        <v/>
      </c>
    </row>
    <row r="8" spans="2:85" x14ac:dyDescent="0.3">
      <c r="B8" s="941"/>
      <c r="C8" s="936"/>
      <c r="D8" s="953"/>
      <c r="E8" s="188" t="s">
        <v>211</v>
      </c>
      <c r="F8" s="189">
        <f>IFERROR(AVERAGEIF(G8:M8,"&lt;&gt;0"),0)</f>
        <v>0</v>
      </c>
      <c r="G8" s="166"/>
      <c r="H8" s="166"/>
      <c r="I8" s="166"/>
      <c r="J8" s="166"/>
      <c r="K8" s="166"/>
      <c r="L8" s="166"/>
      <c r="M8" s="192"/>
      <c r="N8" s="189">
        <f>IFERROR(AVERAGEIF(O8:U8,"&lt;&gt;0"),0)</f>
        <v>50.5</v>
      </c>
      <c r="O8" s="166">
        <v>50</v>
      </c>
      <c r="P8" s="166">
        <v>49</v>
      </c>
      <c r="Q8" s="166">
        <v>50.5</v>
      </c>
      <c r="R8" s="166">
        <v>49</v>
      </c>
      <c r="S8" s="166">
        <v>54</v>
      </c>
      <c r="T8" s="166" t="str">
        <f t="shared" ref="T8" si="82">T5</f>
        <v/>
      </c>
      <c r="U8" s="192" t="str">
        <f>U5</f>
        <v/>
      </c>
      <c r="V8" s="189">
        <f>IFERROR(AVERAGEIF(W8:AC8,"&lt;&gt;0"),0)</f>
        <v>45.036864658143962</v>
      </c>
      <c r="W8" s="166">
        <f t="shared" ref="W8:AB8" si="83">W9/W7</f>
        <v>44.222222222222221</v>
      </c>
      <c r="X8" s="166">
        <f t="shared" si="83"/>
        <v>42.566326530612244</v>
      </c>
      <c r="Y8" s="166">
        <f t="shared" si="83"/>
        <v>45.185463659147871</v>
      </c>
      <c r="Z8" s="166">
        <f t="shared" si="83"/>
        <v>44.444444444444443</v>
      </c>
      <c r="AA8" s="166">
        <f t="shared" si="83"/>
        <v>46.457142857142856</v>
      </c>
      <c r="AB8" s="166">
        <f t="shared" si="83"/>
        <v>47.345588235294116</v>
      </c>
      <c r="AC8" s="166">
        <v>0</v>
      </c>
      <c r="AD8" s="347">
        <f>IFERROR(AVERAGEIF(AE8:AK8,"&lt;&gt;0"),0)</f>
        <v>47.2</v>
      </c>
      <c r="AE8" s="166">
        <v>48</v>
      </c>
      <c r="AF8" s="166">
        <v>46</v>
      </c>
      <c r="AG8" s="166">
        <v>46</v>
      </c>
      <c r="AH8" s="166">
        <v>47</v>
      </c>
      <c r="AI8" s="166">
        <v>49</v>
      </c>
      <c r="AJ8" s="166">
        <v>0</v>
      </c>
      <c r="AK8" s="192">
        <v>0</v>
      </c>
      <c r="AL8" s="189">
        <f>IFERROR(AVERAGEIF(AM8:AS8,"&lt;&gt;0"),0)</f>
        <v>47.666666666666664</v>
      </c>
      <c r="AM8" s="166">
        <v>46</v>
      </c>
      <c r="AN8" s="166">
        <v>44</v>
      </c>
      <c r="AO8" s="166">
        <v>48</v>
      </c>
      <c r="AP8" s="166">
        <v>45</v>
      </c>
      <c r="AQ8" s="166">
        <v>51</v>
      </c>
      <c r="AR8" s="166">
        <v>52</v>
      </c>
      <c r="AS8" s="166">
        <f>IFERROR(AS9/AS7,0)</f>
        <v>0</v>
      </c>
      <c r="AT8" s="189">
        <f>IFERROR(AVERAGEIF(AU8:BA8,"&lt;&gt;0"),0)</f>
        <v>51.526257600884463</v>
      </c>
      <c r="AU8" s="166">
        <v>54</v>
      </c>
      <c r="AV8" s="166">
        <v>49</v>
      </c>
      <c r="AW8" s="166">
        <v>52</v>
      </c>
      <c r="AX8" s="166">
        <v>52</v>
      </c>
      <c r="AY8" s="166">
        <v>53</v>
      </c>
      <c r="AZ8" s="166">
        <f t="shared" ref="AZ8:BA8" si="84">IFERROR(AZ9/AZ7,0)</f>
        <v>49.157545605306801</v>
      </c>
      <c r="BA8" s="192">
        <f t="shared" si="84"/>
        <v>0</v>
      </c>
      <c r="BB8" s="189">
        <f>IFERROR(AVERAGEIF(BC8:BI8,"&lt;&gt;0"),0)</f>
        <v>51</v>
      </c>
      <c r="BC8" s="166">
        <v>53</v>
      </c>
      <c r="BD8" s="166">
        <v>47</v>
      </c>
      <c r="BE8" s="166">
        <v>49</v>
      </c>
      <c r="BF8" s="166">
        <v>49</v>
      </c>
      <c r="BG8" s="166">
        <v>54</v>
      </c>
      <c r="BH8" s="166">
        <v>54</v>
      </c>
      <c r="BI8" s="192"/>
      <c r="BJ8" s="189">
        <f>IFERROR(AVERAGEIF(BK8:BQ8,"&lt;&gt;0"),0)</f>
        <v>48.25</v>
      </c>
      <c r="BK8" s="166">
        <v>51</v>
      </c>
      <c r="BL8" s="166">
        <v>45</v>
      </c>
      <c r="BM8" s="166">
        <v>47</v>
      </c>
      <c r="BN8" s="166">
        <v>50</v>
      </c>
      <c r="BO8" s="166" t="str">
        <f t="shared" ref="BO8:BQ8" si="85">BO5</f>
        <v/>
      </c>
      <c r="BP8" s="166" t="str">
        <f t="shared" si="85"/>
        <v/>
      </c>
      <c r="BQ8" s="192" t="str">
        <f t="shared" si="85"/>
        <v/>
      </c>
      <c r="BR8" s="189">
        <f>IFERROR(AVERAGEIF(BS8:BY8,"&lt;&gt;0"),0)</f>
        <v>0</v>
      </c>
      <c r="BS8" s="166" t="str">
        <f t="shared" ref="BS8:BY8" si="86">BS5</f>
        <v/>
      </c>
      <c r="BT8" s="166" t="str">
        <f t="shared" si="86"/>
        <v/>
      </c>
      <c r="BU8" s="166" t="str">
        <f t="shared" si="86"/>
        <v/>
      </c>
      <c r="BV8" s="166" t="str">
        <f t="shared" si="86"/>
        <v/>
      </c>
      <c r="BW8" s="166" t="str">
        <f t="shared" si="86"/>
        <v/>
      </c>
      <c r="BX8" s="166" t="str">
        <f t="shared" si="86"/>
        <v/>
      </c>
      <c r="BY8" s="192" t="str">
        <f t="shared" si="86"/>
        <v/>
      </c>
      <c r="BZ8" s="189">
        <f>IFERROR(AVERAGEIF(CA8:CG8,"&lt;&gt;0"),0)</f>
        <v>0</v>
      </c>
      <c r="CA8" s="166" t="str">
        <f t="shared" ref="CA8:CG8" si="87">CA5</f>
        <v/>
      </c>
      <c r="CB8" s="166" t="str">
        <f t="shared" si="87"/>
        <v/>
      </c>
      <c r="CC8" s="166" t="str">
        <f t="shared" si="87"/>
        <v/>
      </c>
      <c r="CD8" s="166" t="str">
        <f t="shared" si="87"/>
        <v/>
      </c>
      <c r="CE8" s="166" t="str">
        <f t="shared" si="87"/>
        <v/>
      </c>
      <c r="CF8" s="166" t="str">
        <f t="shared" si="87"/>
        <v/>
      </c>
      <c r="CG8" s="192" t="str">
        <f t="shared" si="87"/>
        <v/>
      </c>
    </row>
    <row r="9" spans="2:85" x14ac:dyDescent="0.3">
      <c r="B9" s="941"/>
      <c r="C9" s="936"/>
      <c r="D9" s="954"/>
      <c r="E9" s="190" t="s">
        <v>212</v>
      </c>
      <c r="F9" s="191">
        <f t="shared" si="43"/>
        <v>0</v>
      </c>
      <c r="G9" s="169">
        <f>G7*G8</f>
        <v>0</v>
      </c>
      <c r="H9" s="169">
        <f t="shared" ref="H9:L9" si="88">H7*H8</f>
        <v>0</v>
      </c>
      <c r="I9" s="169">
        <f t="shared" si="88"/>
        <v>0</v>
      </c>
      <c r="J9" s="169">
        <f t="shared" si="88"/>
        <v>0</v>
      </c>
      <c r="K9" s="169">
        <f t="shared" si="88"/>
        <v>0</v>
      </c>
      <c r="L9" s="169">
        <f t="shared" si="88"/>
        <v>0</v>
      </c>
      <c r="M9" s="169">
        <f>M7*M8</f>
        <v>0</v>
      </c>
      <c r="N9" s="191" t="e">
        <f t="shared" ref="N9:N10" si="89">SUM(O9:U9)</f>
        <v>#VALUE!</v>
      </c>
      <c r="O9" s="169">
        <f>O7*O8</f>
        <v>25000</v>
      </c>
      <c r="P9" s="169">
        <f t="shared" ref="P9" si="90">P7*P8</f>
        <v>9800</v>
      </c>
      <c r="Q9" s="169">
        <v>17600.24149141974</v>
      </c>
      <c r="R9" s="169">
        <v>21681.710987064191</v>
      </c>
      <c r="S9" s="169">
        <v>34457.956311366695</v>
      </c>
      <c r="T9" s="169">
        <v>34002.995185356282</v>
      </c>
      <c r="U9" s="169" t="e">
        <f>U7*U8</f>
        <v>#VALUE!</v>
      </c>
      <c r="V9" s="191" t="e">
        <f t="shared" ref="V9:V10" si="91">SUM(W9:AC9)</f>
        <v>#VALUE!</v>
      </c>
      <c r="W9" s="169">
        <v>19900</v>
      </c>
      <c r="X9" s="169">
        <v>16686</v>
      </c>
      <c r="Y9" s="169">
        <v>18029</v>
      </c>
      <c r="Z9" s="169">
        <v>20000</v>
      </c>
      <c r="AA9" s="169">
        <v>29268</v>
      </c>
      <c r="AB9" s="169">
        <v>32195</v>
      </c>
      <c r="AC9" s="169" t="e">
        <f>AC7*AC8</f>
        <v>#VALUE!</v>
      </c>
      <c r="AD9" s="191">
        <f t="shared" ref="AD9:AD10" si="92">SUM(AE9:AK9)</f>
        <v>107308</v>
      </c>
      <c r="AE9" s="169">
        <v>18891</v>
      </c>
      <c r="AF9" s="169">
        <v>17048</v>
      </c>
      <c r="AG9" s="169">
        <v>21478</v>
      </c>
      <c r="AH9" s="169">
        <v>19891</v>
      </c>
      <c r="AI9" s="169">
        <v>30000</v>
      </c>
      <c r="AJ9" s="169">
        <v>0</v>
      </c>
      <c r="AK9" s="193">
        <f>AK7*AK8</f>
        <v>0</v>
      </c>
      <c r="AL9" s="191">
        <f t="shared" ref="AL9:AL10" si="93">SUM(AM9:AS9)</f>
        <v>156307</v>
      </c>
      <c r="AM9" s="169">
        <v>19045</v>
      </c>
      <c r="AN9" s="169">
        <v>17177</v>
      </c>
      <c r="AO9" s="169">
        <v>20607</v>
      </c>
      <c r="AP9" s="169">
        <v>20937</v>
      </c>
      <c r="AQ9" s="169">
        <v>38902</v>
      </c>
      <c r="AR9" s="169">
        <v>39639</v>
      </c>
      <c r="AS9" s="169">
        <v>0</v>
      </c>
      <c r="AT9" s="191">
        <f t="shared" ref="AT9:AT10" si="94">SUM(AU9:BA9)</f>
        <v>165721</v>
      </c>
      <c r="AU9" s="169">
        <v>19781</v>
      </c>
      <c r="AV9" s="169">
        <v>25771</v>
      </c>
      <c r="AW9" s="169">
        <v>23994</v>
      </c>
      <c r="AX9" s="169">
        <v>23937</v>
      </c>
      <c r="AY9" s="169">
        <v>42596</v>
      </c>
      <c r="AZ9" s="169">
        <v>29642</v>
      </c>
      <c r="BA9" s="193"/>
      <c r="BB9" s="191">
        <f t="shared" ref="BB9:BB10" si="95">SUM(BC9:BI9)</f>
        <v>162047</v>
      </c>
      <c r="BC9" s="169">
        <v>21437</v>
      </c>
      <c r="BD9" s="169">
        <v>26036</v>
      </c>
      <c r="BE9" s="169">
        <v>23547</v>
      </c>
      <c r="BF9" s="169">
        <v>20669</v>
      </c>
      <c r="BG9" s="169">
        <v>35160</v>
      </c>
      <c r="BH9" s="169">
        <v>35198</v>
      </c>
      <c r="BI9" s="193"/>
      <c r="BJ9" s="191" t="e">
        <f>SUM(BK9:BQ9)</f>
        <v>#VALUE!</v>
      </c>
      <c r="BK9" s="366">
        <v>21187</v>
      </c>
      <c r="BL9" s="169">
        <v>24368</v>
      </c>
      <c r="BM9" s="169">
        <v>22427</v>
      </c>
      <c r="BN9" s="169">
        <v>20368</v>
      </c>
      <c r="BO9" s="169">
        <v>40546</v>
      </c>
      <c r="BP9" s="169" t="e">
        <f t="shared" ref="BP9:BQ9" si="96">BP7*BP8*$D$2</f>
        <v>#VALUE!</v>
      </c>
      <c r="BQ9" s="193" t="e">
        <f t="shared" si="96"/>
        <v>#VALUE!</v>
      </c>
      <c r="BR9" s="191" t="e">
        <f>SUM(BS9:BY9)</f>
        <v>#VALUE!</v>
      </c>
      <c r="BS9" s="366" t="e">
        <f>BS7*BS8*$D$2</f>
        <v>#VALUE!</v>
      </c>
      <c r="BT9" s="169" t="e">
        <f t="shared" ref="BT9:BY9" si="97">BT7*BT8*$D$2</f>
        <v>#VALUE!</v>
      </c>
      <c r="BU9" s="169" t="e">
        <f t="shared" si="97"/>
        <v>#VALUE!</v>
      </c>
      <c r="BV9" s="169" t="e">
        <f t="shared" si="97"/>
        <v>#VALUE!</v>
      </c>
      <c r="BW9" s="169" t="e">
        <f t="shared" si="97"/>
        <v>#VALUE!</v>
      </c>
      <c r="BX9" s="169" t="e">
        <f t="shared" si="97"/>
        <v>#VALUE!</v>
      </c>
      <c r="BY9" s="193" t="e">
        <f t="shared" si="97"/>
        <v>#VALUE!</v>
      </c>
      <c r="BZ9" s="191" t="e">
        <f>SUM(CA9:CG9)</f>
        <v>#VALUE!</v>
      </c>
      <c r="CA9" s="366" t="e">
        <f>CA7*CA8*$D$2</f>
        <v>#VALUE!</v>
      </c>
      <c r="CB9" s="169" t="e">
        <f t="shared" ref="CB9" si="98">CB7*CB8*$D$2</f>
        <v>#VALUE!</v>
      </c>
      <c r="CC9" s="169" t="e">
        <f t="shared" ref="CC9" si="99">CC7*CC8*$D$2</f>
        <v>#VALUE!</v>
      </c>
      <c r="CD9" s="169" t="e">
        <f t="shared" ref="CD9" si="100">CD7*CD8*$D$2</f>
        <v>#VALUE!</v>
      </c>
      <c r="CE9" s="169" t="e">
        <f t="shared" ref="CE9" si="101">CE7*CE8*$D$2</f>
        <v>#VALUE!</v>
      </c>
      <c r="CF9" s="169" t="e">
        <f t="shared" ref="CF9" si="102">CF7*CF8*$D$2</f>
        <v>#VALUE!</v>
      </c>
      <c r="CG9" s="193" t="e">
        <f t="shared" ref="CG9" si="103">CG7*CG8*$D$2</f>
        <v>#VALUE!</v>
      </c>
    </row>
    <row r="10" spans="2:85" x14ac:dyDescent="0.3">
      <c r="B10" s="941"/>
      <c r="C10" s="936" t="s">
        <v>214</v>
      </c>
      <c r="D10" s="955" t="s">
        <v>209</v>
      </c>
      <c r="E10" s="286" t="s">
        <v>210</v>
      </c>
      <c r="F10" s="282">
        <f t="shared" si="43"/>
        <v>0</v>
      </c>
      <c r="G10" s="283" t="str">
        <f>IFERROR('ST Forecast'!#REF!,"")</f>
        <v/>
      </c>
      <c r="H10" s="283" t="str">
        <f>IFERROR('ST Forecast'!#REF!,"")</f>
        <v/>
      </c>
      <c r="I10" s="283" t="str">
        <f>IFERROR('ST Forecast'!#REF!,"")</f>
        <v/>
      </c>
      <c r="J10" s="283" t="str">
        <f>IFERROR('ST Forecast'!#REF!,"")</f>
        <v/>
      </c>
      <c r="K10" s="283" t="str">
        <f>IFERROR('ST Forecast'!#REF!,"")</f>
        <v/>
      </c>
      <c r="L10" s="283" t="str">
        <f>IFERROR('ST Forecast'!#REF!,"")</f>
        <v/>
      </c>
      <c r="M10" s="283" t="str">
        <f>IFERROR('ST Forecast'!#REF!,"")</f>
        <v/>
      </c>
      <c r="N10" s="282">
        <f t="shared" si="89"/>
        <v>0</v>
      </c>
      <c r="O10" s="283" t="str">
        <f>IFERROR('ST Forecast'!#REF!,"")</f>
        <v/>
      </c>
      <c r="P10" s="283" t="str">
        <f>IFERROR('ST Forecast'!#REF!,"")</f>
        <v/>
      </c>
      <c r="Q10" s="283" t="str">
        <f>IFERROR('ST Forecast'!#REF!,"")</f>
        <v/>
      </c>
      <c r="R10" s="283" t="str">
        <f>IFERROR('ST Forecast'!#REF!,"")</f>
        <v/>
      </c>
      <c r="S10" s="283" t="str">
        <f>IFERROR('ST Forecast'!#REF!,"")</f>
        <v/>
      </c>
      <c r="T10" s="283" t="str">
        <f>IFERROR('ST Forecast'!#REF!,"")</f>
        <v/>
      </c>
      <c r="U10" s="283" t="str">
        <f>IFERROR('ST Forecast'!#REF!,"")</f>
        <v/>
      </c>
      <c r="V10" s="282">
        <f t="shared" si="91"/>
        <v>0</v>
      </c>
      <c r="W10" s="283" t="str">
        <f>IFERROR('ST Forecast'!#REF!,"")</f>
        <v/>
      </c>
      <c r="X10" s="283" t="str">
        <f>IFERROR('ST Forecast'!#REF!,"")</f>
        <v/>
      </c>
      <c r="Y10" s="283" t="str">
        <f>IFERROR('ST Forecast'!#REF!,"")</f>
        <v/>
      </c>
      <c r="Z10" s="283" t="str">
        <f>IFERROR('ST Forecast'!#REF!,"")</f>
        <v/>
      </c>
      <c r="AA10" s="283" t="str">
        <f>IFERROR('ST Forecast'!#REF!,"")</f>
        <v/>
      </c>
      <c r="AB10" s="283" t="str">
        <f>IFERROR('ST Forecast'!#REF!,"")</f>
        <v/>
      </c>
      <c r="AC10" s="283" t="str">
        <f>IFERROR('ST Forecast'!#REF!,"")</f>
        <v/>
      </c>
      <c r="AD10" s="282">
        <f t="shared" si="92"/>
        <v>0</v>
      </c>
      <c r="AE10" s="283" t="str">
        <f>IFERROR('ST Forecast'!#REF!,"")</f>
        <v/>
      </c>
      <c r="AF10" s="283" t="str">
        <f>IFERROR('ST Forecast'!#REF!,"")</f>
        <v/>
      </c>
      <c r="AG10" s="283" t="str">
        <f>IFERROR('ST Forecast'!#REF!,"")</f>
        <v/>
      </c>
      <c r="AH10" s="283" t="str">
        <f>IFERROR('ST Forecast'!#REF!,"")</f>
        <v/>
      </c>
      <c r="AI10" s="283" t="str">
        <f>IFERROR('ST Forecast'!#REF!,"")</f>
        <v/>
      </c>
      <c r="AJ10" s="283" t="str">
        <f>IFERROR('ST Forecast'!#REF!,"")</f>
        <v/>
      </c>
      <c r="AK10" s="284">
        <v>0</v>
      </c>
      <c r="AL10" s="282">
        <f t="shared" si="93"/>
        <v>820</v>
      </c>
      <c r="AM10" s="283" t="str">
        <f>IFERROR('ST Forecast'!#REF!,"")</f>
        <v/>
      </c>
      <c r="AN10" s="283" t="str">
        <f>IFERROR('ST Forecast'!#REF!,"")</f>
        <v/>
      </c>
      <c r="AO10" s="283" t="str">
        <f>IFERROR('ST Forecast'!#REF!,"")</f>
        <v/>
      </c>
      <c r="AP10" s="283" t="str">
        <f>IFERROR('ST Forecast'!#REF!,"")</f>
        <v/>
      </c>
      <c r="AQ10" s="283" t="str">
        <f>IFERROR('ST Forecast'!#REF!,"")</f>
        <v/>
      </c>
      <c r="AR10" s="283">
        <v>820</v>
      </c>
      <c r="AS10" s="283" t="str">
        <f>IFERROR('ST Forecast'!#REF!,"")</f>
        <v/>
      </c>
      <c r="AT10" s="282">
        <f t="shared" si="94"/>
        <v>850</v>
      </c>
      <c r="AU10" s="283" t="str">
        <f>IFERROR('ST Forecast'!#REF!,"")</f>
        <v/>
      </c>
      <c r="AV10" s="283" t="str">
        <f>IFERROR('ST Forecast'!#REF!,"")</f>
        <v/>
      </c>
      <c r="AW10" s="283" t="str">
        <f>IFERROR('ST Forecast'!#REF!,"")</f>
        <v/>
      </c>
      <c r="AX10" s="283" t="str">
        <f>IFERROR('ST Forecast'!#REF!,"")</f>
        <v/>
      </c>
      <c r="AY10" s="283" t="str">
        <f>IFERROR('ST Forecast'!#REF!,"")</f>
        <v/>
      </c>
      <c r="AZ10" s="283">
        <v>850</v>
      </c>
      <c r="BA10" s="284" t="str">
        <f>IFERROR('ST Forecast'!#REF!,"")</f>
        <v/>
      </c>
      <c r="BB10" s="282">
        <f t="shared" si="95"/>
        <v>0</v>
      </c>
      <c r="BC10" s="283" t="str">
        <f>IFERROR('ST Forecast'!#REF!,"")</f>
        <v/>
      </c>
      <c r="BD10" s="283" t="str">
        <f>IFERROR('ST Forecast'!#REF!,"")</f>
        <v/>
      </c>
      <c r="BE10" s="283" t="str">
        <f>IFERROR('ST Forecast'!#REF!,"")</f>
        <v/>
      </c>
      <c r="BF10" s="283" t="str">
        <f>IFERROR('ST Forecast'!#REF!,"")</f>
        <v/>
      </c>
      <c r="BG10" s="283" t="str">
        <f>IFERROR('ST Forecast'!#REF!,"")</f>
        <v/>
      </c>
      <c r="BH10" s="283" t="str">
        <f>IFERROR('ST Forecast'!#REF!,"")</f>
        <v/>
      </c>
      <c r="BI10" s="284" t="str">
        <f>IFERROR('ST Forecast'!#REF!,"")</f>
        <v/>
      </c>
      <c r="BJ10" s="282">
        <f t="shared" ref="BJ10" si="104">SUM(BK10:BQ10)</f>
        <v>0</v>
      </c>
      <c r="BK10" s="283" t="str">
        <f>IFERROR('ST Forecast'!#REF!,"")</f>
        <v/>
      </c>
      <c r="BL10" s="283" t="str">
        <f>IFERROR('ST Forecast'!#REF!,"")</f>
        <v/>
      </c>
      <c r="BM10" s="283" t="str">
        <f>IFERROR('ST Forecast'!#REF!,"")</f>
        <v/>
      </c>
      <c r="BN10" s="283" t="str">
        <f>IFERROR('ST Forecast'!#REF!,"")</f>
        <v/>
      </c>
      <c r="BO10" s="283" t="str">
        <f>IFERROR('ST Forecast'!#REF!,"")</f>
        <v/>
      </c>
      <c r="BP10" s="283" t="str">
        <f>IFERROR('ST Forecast'!#REF!,"")</f>
        <v/>
      </c>
      <c r="BQ10" s="284" t="str">
        <f>IFERROR('ST Forecast'!#REF!,"")</f>
        <v/>
      </c>
      <c r="BR10" s="282">
        <f t="shared" ref="BR10" si="105">SUM(BS10:BY10)</f>
        <v>0</v>
      </c>
      <c r="BS10" s="283" t="str">
        <f>IFERROR('ST Forecast'!#REF!,"")</f>
        <v/>
      </c>
      <c r="BT10" s="283" t="str">
        <f>IFERROR('ST Forecast'!#REF!,"")</f>
        <v/>
      </c>
      <c r="BU10" s="283" t="str">
        <f>IFERROR('ST Forecast'!#REF!,"")</f>
        <v/>
      </c>
      <c r="BV10" s="283" t="str">
        <f>IFERROR('ST Forecast'!#REF!,"")</f>
        <v/>
      </c>
      <c r="BW10" s="283" t="str">
        <f>IFERROR('ST Forecast'!#REF!,"")</f>
        <v/>
      </c>
      <c r="BX10" s="283" t="str">
        <f>IFERROR('ST Forecast'!#REF!,"")</f>
        <v/>
      </c>
      <c r="BY10" s="284" t="str">
        <f>IFERROR('ST Forecast'!#REF!,"")</f>
        <v/>
      </c>
      <c r="BZ10" s="282">
        <f t="shared" ref="BZ10" si="106">SUM(CA10:CG10)</f>
        <v>0</v>
      </c>
      <c r="CA10" s="283" t="str">
        <f>IFERROR('ST Forecast'!#REF!,"")</f>
        <v/>
      </c>
      <c r="CB10" s="283" t="str">
        <f>IFERROR('ST Forecast'!#REF!,"")</f>
        <v/>
      </c>
      <c r="CC10" s="283" t="str">
        <f>IFERROR('ST Forecast'!#REF!,"")</f>
        <v/>
      </c>
      <c r="CD10" s="283" t="str">
        <f>IFERROR('ST Forecast'!#REF!,"")</f>
        <v/>
      </c>
      <c r="CE10" s="283" t="str">
        <f>IFERROR('ST Forecast'!#REF!,"")</f>
        <v/>
      </c>
      <c r="CF10" s="283" t="str">
        <f>IFERROR('ST Forecast'!#REF!,"")</f>
        <v/>
      </c>
      <c r="CG10" s="284" t="str">
        <f>IFERROR('ST Forecast'!#REF!,"")</f>
        <v/>
      </c>
    </row>
    <row r="11" spans="2:85" x14ac:dyDescent="0.3">
      <c r="B11" s="941"/>
      <c r="C11" s="936"/>
      <c r="D11" s="952"/>
      <c r="E11" s="285" t="s">
        <v>211</v>
      </c>
      <c r="F11" s="282">
        <f>IFERROR(AVERAGEIF(G11:M11,"&lt;&gt;0"),0)</f>
        <v>0</v>
      </c>
      <c r="G11" s="283" t="str">
        <f>IFERROR('ST Forecast'!#REF!,"")</f>
        <v/>
      </c>
      <c r="H11" s="283" t="str">
        <f>IFERROR('ST Forecast'!#REF!,"")</f>
        <v/>
      </c>
      <c r="I11" s="283" t="str">
        <f>IFERROR('ST Forecast'!#REF!,"")</f>
        <v/>
      </c>
      <c r="J11" s="283" t="str">
        <f>IFERROR('ST Forecast'!#REF!,"")</f>
        <v/>
      </c>
      <c r="K11" s="283" t="str">
        <f>IFERROR('ST Forecast'!#REF!,"")</f>
        <v/>
      </c>
      <c r="L11" s="283" t="str">
        <f>IFERROR('ST Forecast'!#REF!,"")</f>
        <v/>
      </c>
      <c r="M11" s="283" t="str">
        <f>IFERROR('ST Forecast'!#REF!,"")</f>
        <v/>
      </c>
      <c r="N11" s="282">
        <f>IFERROR(AVERAGEIF(O11:U11,"&lt;&gt;0"),0)</f>
        <v>0</v>
      </c>
      <c r="O11" s="283" t="str">
        <f>IFERROR('ST Forecast'!#REF!,"")</f>
        <v/>
      </c>
      <c r="P11" s="283" t="str">
        <f>IFERROR('ST Forecast'!#REF!,"")</f>
        <v/>
      </c>
      <c r="Q11" s="283" t="str">
        <f>IFERROR('ST Forecast'!#REF!,"")</f>
        <v/>
      </c>
      <c r="R11" s="283" t="str">
        <f>IFERROR('ST Forecast'!#REF!,"")</f>
        <v/>
      </c>
      <c r="S11" s="283" t="str">
        <f>IFERROR('ST Forecast'!#REF!,"")</f>
        <v/>
      </c>
      <c r="T11" s="283" t="str">
        <f>IFERROR('ST Forecast'!#REF!,"")</f>
        <v/>
      </c>
      <c r="U11" s="283" t="str">
        <f>IFERROR('ST Forecast'!#REF!,"")</f>
        <v/>
      </c>
      <c r="V11" s="282">
        <f>IFERROR(AVERAGEIF(W11:AC11,"&lt;&gt;0"),0)</f>
        <v>0</v>
      </c>
      <c r="W11" s="283" t="str">
        <f>IFERROR('ST Forecast'!#REF!,"")</f>
        <v/>
      </c>
      <c r="X11" s="283" t="str">
        <f>IFERROR('ST Forecast'!#REF!,"")</f>
        <v/>
      </c>
      <c r="Y11" s="283" t="str">
        <f>IFERROR('ST Forecast'!#REF!,"")</f>
        <v/>
      </c>
      <c r="Z11" s="283" t="str">
        <f>IFERROR('ST Forecast'!#REF!,"")</f>
        <v/>
      </c>
      <c r="AA11" s="283" t="str">
        <f>IFERROR('ST Forecast'!#REF!,"")</f>
        <v/>
      </c>
      <c r="AB11" s="283" t="str">
        <f>IFERROR('ST Forecast'!#REF!,"")</f>
        <v/>
      </c>
      <c r="AC11" s="283" t="str">
        <f>IFERROR('ST Forecast'!#REF!,"")</f>
        <v/>
      </c>
      <c r="AD11" s="282">
        <f>IFERROR(AVERAGEIF(AE11:AK11,"&lt;&gt;0"),0)</f>
        <v>0</v>
      </c>
      <c r="AE11" s="283" t="str">
        <f>IFERROR('ST Forecast'!#REF!,"")</f>
        <v/>
      </c>
      <c r="AF11" s="283" t="str">
        <f>IFERROR('ST Forecast'!#REF!,"")</f>
        <v/>
      </c>
      <c r="AG11" s="283" t="str">
        <f>IFERROR('ST Forecast'!#REF!,"")</f>
        <v/>
      </c>
      <c r="AH11" s="283" t="str">
        <f>IFERROR('ST Forecast'!#REF!,"")</f>
        <v/>
      </c>
      <c r="AI11" s="283" t="str">
        <f>IFERROR('ST Forecast'!#REF!,"")</f>
        <v/>
      </c>
      <c r="AJ11" s="283" t="str">
        <f>IFERROR('ST Forecast'!#REF!,"")</f>
        <v/>
      </c>
      <c r="AK11" s="284" t="str">
        <f>IFERROR('ST Forecast'!#REF!,"")</f>
        <v/>
      </c>
      <c r="AL11" s="282">
        <f>IFERROR(AVERAGEIF(AM11:AS11,"&lt;&gt;0"),0)</f>
        <v>0</v>
      </c>
      <c r="AM11" s="283" t="str">
        <f>IFERROR('ST Forecast'!#REF!,"")</f>
        <v/>
      </c>
      <c r="AN11" s="283" t="str">
        <f>IFERROR('ST Forecast'!#REF!,"")</f>
        <v/>
      </c>
      <c r="AO11" s="283" t="str">
        <f>IFERROR('ST Forecast'!#REF!,"")</f>
        <v/>
      </c>
      <c r="AP11" s="283" t="str">
        <f>IFERROR('ST Forecast'!#REF!,"")</f>
        <v/>
      </c>
      <c r="AQ11" s="283" t="str">
        <f>IFERROR('ST Forecast'!#REF!,"")</f>
        <v/>
      </c>
      <c r="AR11" s="283" t="str">
        <f>IFERROR('ST Forecast'!#REF!,"")</f>
        <v/>
      </c>
      <c r="AS11" s="284" t="str">
        <f>IFERROR('ST Forecast'!#REF!,"")</f>
        <v/>
      </c>
      <c r="AT11" s="282">
        <f>IFERROR(AVERAGEIF(AU11:BA11,"&lt;&gt;0"),0)</f>
        <v>0</v>
      </c>
      <c r="AU11" s="283" t="str">
        <f>IFERROR('ST Forecast'!#REF!,"")</f>
        <v/>
      </c>
      <c r="AV11" s="283" t="str">
        <f>IFERROR('ST Forecast'!#REF!,"")</f>
        <v/>
      </c>
      <c r="AW11" s="283" t="str">
        <f>IFERROR('ST Forecast'!#REF!,"")</f>
        <v/>
      </c>
      <c r="AX11" s="283" t="str">
        <f>IFERROR('ST Forecast'!#REF!,"")</f>
        <v/>
      </c>
      <c r="AY11" s="283" t="str">
        <f>IFERROR('ST Forecast'!#REF!,"")</f>
        <v/>
      </c>
      <c r="AZ11" s="283" t="str">
        <f>IFERROR('ST Forecast'!#REF!,"")</f>
        <v/>
      </c>
      <c r="BA11" s="284" t="str">
        <f>IFERROR('ST Forecast'!#REF!,"")</f>
        <v/>
      </c>
      <c r="BB11" s="282">
        <f>IFERROR(AVERAGEIF(BC11:BI11,"&lt;&gt;0"),0)</f>
        <v>0</v>
      </c>
      <c r="BC11" s="283" t="str">
        <f>IFERROR('ST Forecast'!#REF!,"")</f>
        <v/>
      </c>
      <c r="BD11" s="283" t="str">
        <f>IFERROR('ST Forecast'!#REF!,"")</f>
        <v/>
      </c>
      <c r="BE11" s="283" t="str">
        <f>IFERROR('ST Forecast'!#REF!,"")</f>
        <v/>
      </c>
      <c r="BF11" s="283" t="str">
        <f>IFERROR('ST Forecast'!#REF!,"")</f>
        <v/>
      </c>
      <c r="BG11" s="283" t="str">
        <f>IFERROR('ST Forecast'!#REF!,"")</f>
        <v/>
      </c>
      <c r="BH11" s="283" t="str">
        <f>IFERROR('ST Forecast'!#REF!,"")</f>
        <v/>
      </c>
      <c r="BI11" s="284" t="str">
        <f>IFERROR('ST Forecast'!#REF!,"")</f>
        <v/>
      </c>
      <c r="BJ11" s="282">
        <f>IFERROR(AVERAGEIF(BK11:BQ11,"&lt;&gt;0"),0)</f>
        <v>0</v>
      </c>
      <c r="BK11" s="283" t="str">
        <f>IFERROR('ST Forecast'!#REF!,"")</f>
        <v/>
      </c>
      <c r="BL11" s="283" t="str">
        <f>IFERROR('ST Forecast'!#REF!,"")</f>
        <v/>
      </c>
      <c r="BM11" s="283" t="str">
        <f>IFERROR('ST Forecast'!#REF!,"")</f>
        <v/>
      </c>
      <c r="BN11" s="283" t="str">
        <f>IFERROR('ST Forecast'!#REF!,"")</f>
        <v/>
      </c>
      <c r="BO11" s="283" t="str">
        <f>IFERROR('ST Forecast'!#REF!,"")</f>
        <v/>
      </c>
      <c r="BP11" s="283" t="str">
        <f>IFERROR('ST Forecast'!#REF!,"")</f>
        <v/>
      </c>
      <c r="BQ11" s="284" t="str">
        <f>IFERROR('ST Forecast'!#REF!,"")</f>
        <v/>
      </c>
      <c r="BR11" s="282">
        <f>IFERROR(AVERAGEIF(BS11:BY11,"&lt;&gt;0"),0)</f>
        <v>0</v>
      </c>
      <c r="BS11" s="283" t="str">
        <f>IFERROR('ST Forecast'!#REF!,"")</f>
        <v/>
      </c>
      <c r="BT11" s="283" t="str">
        <f>IFERROR('ST Forecast'!#REF!,"")</f>
        <v/>
      </c>
      <c r="BU11" s="283" t="str">
        <f>IFERROR('ST Forecast'!#REF!,"")</f>
        <v/>
      </c>
      <c r="BV11" s="283" t="str">
        <f>IFERROR('ST Forecast'!#REF!,"")</f>
        <v/>
      </c>
      <c r="BW11" s="283" t="str">
        <f>IFERROR('ST Forecast'!#REF!,"")</f>
        <v/>
      </c>
      <c r="BX11" s="283" t="str">
        <f>IFERROR('ST Forecast'!#REF!,"")</f>
        <v/>
      </c>
      <c r="BY11" s="284" t="str">
        <f>IFERROR('ST Forecast'!#REF!,"")</f>
        <v/>
      </c>
      <c r="BZ11" s="282">
        <f>IFERROR(AVERAGEIF(CA11:CG11,"&lt;&gt;0"),0)</f>
        <v>0</v>
      </c>
      <c r="CA11" s="283" t="str">
        <f>IFERROR('ST Forecast'!#REF!,"")</f>
        <v/>
      </c>
      <c r="CB11" s="283" t="str">
        <f>IFERROR('ST Forecast'!#REF!,"")</f>
        <v/>
      </c>
      <c r="CC11" s="283" t="str">
        <f>IFERROR('ST Forecast'!#REF!,"")</f>
        <v/>
      </c>
      <c r="CD11" s="283" t="str">
        <f>IFERROR('ST Forecast'!#REF!,"")</f>
        <v/>
      </c>
      <c r="CE11" s="283" t="str">
        <f>IFERROR('ST Forecast'!#REF!,"")</f>
        <v/>
      </c>
      <c r="CF11" s="283" t="str">
        <f>IFERROR('ST Forecast'!#REF!,"")</f>
        <v/>
      </c>
      <c r="CG11" s="284" t="str">
        <f>IFERROR('ST Forecast'!#REF!,"")</f>
        <v/>
      </c>
    </row>
    <row r="12" spans="2:85" x14ac:dyDescent="0.3">
      <c r="B12" s="941"/>
      <c r="C12" s="936"/>
      <c r="D12" s="952"/>
      <c r="E12" s="285" t="s">
        <v>212</v>
      </c>
      <c r="F12" s="282" t="e">
        <f t="shared" ref="F12" si="107">SUM(G12:M12)</f>
        <v>#VALUE!</v>
      </c>
      <c r="G12" s="283" t="e">
        <f>G10*G11</f>
        <v>#VALUE!</v>
      </c>
      <c r="H12" s="283" t="e">
        <f t="shared" ref="H12" si="108">H10*H11</f>
        <v>#VALUE!</v>
      </c>
      <c r="I12" s="283" t="e">
        <f t="shared" ref="I12" si="109">I10*I11</f>
        <v>#VALUE!</v>
      </c>
      <c r="J12" s="283" t="e">
        <f t="shared" ref="J12" si="110">J10*J11</f>
        <v>#VALUE!</v>
      </c>
      <c r="K12" s="283" t="e">
        <f t="shared" ref="K12" si="111">K10*K11</f>
        <v>#VALUE!</v>
      </c>
      <c r="L12" s="283" t="e">
        <f t="shared" ref="L12:M12" si="112">L10*L11</f>
        <v>#VALUE!</v>
      </c>
      <c r="M12" s="283" t="e">
        <f t="shared" si="112"/>
        <v>#VALUE!</v>
      </c>
      <c r="N12" s="282" t="e">
        <f t="shared" ref="N12" si="113">SUM(O12:U12)</f>
        <v>#VALUE!</v>
      </c>
      <c r="O12" s="283" t="e">
        <f>O10*O11</f>
        <v>#VALUE!</v>
      </c>
      <c r="P12" s="283" t="e">
        <f t="shared" ref="P12:U12" si="114">P10*P11</f>
        <v>#VALUE!</v>
      </c>
      <c r="Q12" s="283" t="e">
        <f t="shared" si="114"/>
        <v>#VALUE!</v>
      </c>
      <c r="R12" s="283" t="e">
        <f t="shared" si="114"/>
        <v>#VALUE!</v>
      </c>
      <c r="S12" s="283" t="e">
        <f t="shared" si="114"/>
        <v>#VALUE!</v>
      </c>
      <c r="T12" s="283" t="e">
        <f t="shared" si="114"/>
        <v>#VALUE!</v>
      </c>
      <c r="U12" s="283" t="e">
        <f t="shared" si="114"/>
        <v>#VALUE!</v>
      </c>
      <c r="V12" s="282" t="e">
        <f t="shared" ref="V12" si="115">SUM(W12:AC12)</f>
        <v>#VALUE!</v>
      </c>
      <c r="W12" s="283" t="e">
        <f>W10*W11</f>
        <v>#VALUE!</v>
      </c>
      <c r="X12" s="283" t="e">
        <f t="shared" ref="X12:AC12" si="116">X10*X11</f>
        <v>#VALUE!</v>
      </c>
      <c r="Y12" s="283" t="e">
        <f t="shared" si="116"/>
        <v>#VALUE!</v>
      </c>
      <c r="Z12" s="283" t="e">
        <f t="shared" si="116"/>
        <v>#VALUE!</v>
      </c>
      <c r="AA12" s="283" t="e">
        <f t="shared" si="116"/>
        <v>#VALUE!</v>
      </c>
      <c r="AB12" s="283" t="e">
        <f t="shared" si="116"/>
        <v>#VALUE!</v>
      </c>
      <c r="AC12" s="283" t="e">
        <f t="shared" si="116"/>
        <v>#VALUE!</v>
      </c>
      <c r="AD12" s="282" t="e">
        <f t="shared" ref="AD12" si="117">SUM(AE12:AK12)</f>
        <v>#VALUE!</v>
      </c>
      <c r="AE12" s="283" t="e">
        <f>AE10*AE11</f>
        <v>#VALUE!</v>
      </c>
      <c r="AF12" s="283" t="e">
        <f t="shared" ref="AF12:AK12" si="118">AF10*AF11</f>
        <v>#VALUE!</v>
      </c>
      <c r="AG12" s="283" t="e">
        <f t="shared" si="118"/>
        <v>#VALUE!</v>
      </c>
      <c r="AH12" s="283" t="e">
        <f t="shared" si="118"/>
        <v>#VALUE!</v>
      </c>
      <c r="AI12" s="283" t="e">
        <f t="shared" si="118"/>
        <v>#VALUE!</v>
      </c>
      <c r="AJ12" s="283" t="e">
        <f t="shared" si="118"/>
        <v>#VALUE!</v>
      </c>
      <c r="AK12" s="284" t="e">
        <f t="shared" si="118"/>
        <v>#VALUE!</v>
      </c>
      <c r="AL12" s="282" t="e">
        <f t="shared" ref="AL12:AL13" si="119">SUM(AM12:AS12)</f>
        <v>#VALUE!</v>
      </c>
      <c r="AM12" s="283" t="e">
        <f>AM10*AM11</f>
        <v>#VALUE!</v>
      </c>
      <c r="AN12" s="283" t="e">
        <f t="shared" ref="AN12:AS12" si="120">AN10*AN11</f>
        <v>#VALUE!</v>
      </c>
      <c r="AO12" s="283" t="e">
        <f t="shared" si="120"/>
        <v>#VALUE!</v>
      </c>
      <c r="AP12" s="283" t="e">
        <f t="shared" si="120"/>
        <v>#VALUE!</v>
      </c>
      <c r="AQ12" s="283" t="e">
        <f t="shared" si="120"/>
        <v>#VALUE!</v>
      </c>
      <c r="AR12" s="283" t="e">
        <f t="shared" si="120"/>
        <v>#VALUE!</v>
      </c>
      <c r="AS12" s="284" t="e">
        <f t="shared" si="120"/>
        <v>#VALUE!</v>
      </c>
      <c r="AT12" s="282" t="e">
        <f t="shared" ref="AT12:AT13" si="121">SUM(AU12:BA12)</f>
        <v>#VALUE!</v>
      </c>
      <c r="AU12" s="283" t="e">
        <f>AU10*AU11</f>
        <v>#VALUE!</v>
      </c>
      <c r="AV12" s="283" t="e">
        <f t="shared" ref="AV12:BA12" si="122">AV10*AV11</f>
        <v>#VALUE!</v>
      </c>
      <c r="AW12" s="283" t="e">
        <f t="shared" si="122"/>
        <v>#VALUE!</v>
      </c>
      <c r="AX12" s="283" t="e">
        <f t="shared" si="122"/>
        <v>#VALUE!</v>
      </c>
      <c r="AY12" s="283" t="e">
        <f t="shared" si="122"/>
        <v>#VALUE!</v>
      </c>
      <c r="AZ12" s="283" t="e">
        <f t="shared" si="122"/>
        <v>#VALUE!</v>
      </c>
      <c r="BA12" s="284" t="e">
        <f t="shared" si="122"/>
        <v>#VALUE!</v>
      </c>
      <c r="BB12" s="282" t="e">
        <f t="shared" ref="BB12:BB13" si="123">SUM(BC12:BI12)</f>
        <v>#VALUE!</v>
      </c>
      <c r="BC12" s="283" t="e">
        <f>BC10*BC11</f>
        <v>#VALUE!</v>
      </c>
      <c r="BD12" s="283" t="e">
        <f t="shared" ref="BD12:BI12" si="124">BD10*BD11</f>
        <v>#VALUE!</v>
      </c>
      <c r="BE12" s="283" t="e">
        <f t="shared" si="124"/>
        <v>#VALUE!</v>
      </c>
      <c r="BF12" s="283" t="e">
        <f t="shared" si="124"/>
        <v>#VALUE!</v>
      </c>
      <c r="BG12" s="283" t="e">
        <f t="shared" si="124"/>
        <v>#VALUE!</v>
      </c>
      <c r="BH12" s="283" t="e">
        <f t="shared" si="124"/>
        <v>#VALUE!</v>
      </c>
      <c r="BI12" s="284" t="e">
        <f t="shared" si="124"/>
        <v>#VALUE!</v>
      </c>
      <c r="BJ12" s="282" t="e">
        <f t="shared" ref="BJ12:BJ13" si="125">SUM(BK12:BQ12)</f>
        <v>#VALUE!</v>
      </c>
      <c r="BK12" s="283" t="e">
        <f>BK10*BK11</f>
        <v>#VALUE!</v>
      </c>
      <c r="BL12" s="283" t="e">
        <f t="shared" ref="BL12:BQ12" si="126">BL10*BL11</f>
        <v>#VALUE!</v>
      </c>
      <c r="BM12" s="283" t="e">
        <f t="shared" si="126"/>
        <v>#VALUE!</v>
      </c>
      <c r="BN12" s="283" t="e">
        <f t="shared" si="126"/>
        <v>#VALUE!</v>
      </c>
      <c r="BO12" s="283" t="e">
        <f t="shared" si="126"/>
        <v>#VALUE!</v>
      </c>
      <c r="BP12" s="283" t="e">
        <f t="shared" si="126"/>
        <v>#VALUE!</v>
      </c>
      <c r="BQ12" s="284" t="e">
        <f t="shared" si="126"/>
        <v>#VALUE!</v>
      </c>
      <c r="BR12" s="282" t="e">
        <f t="shared" ref="BR12:BR13" si="127">SUM(BS12:BY12)</f>
        <v>#VALUE!</v>
      </c>
      <c r="BS12" s="283" t="e">
        <f>BS10*BS11</f>
        <v>#VALUE!</v>
      </c>
      <c r="BT12" s="283" t="e">
        <f t="shared" ref="BT12:BY12" si="128">BT10*BT11</f>
        <v>#VALUE!</v>
      </c>
      <c r="BU12" s="283" t="e">
        <f t="shared" si="128"/>
        <v>#VALUE!</v>
      </c>
      <c r="BV12" s="283" t="e">
        <f t="shared" si="128"/>
        <v>#VALUE!</v>
      </c>
      <c r="BW12" s="283" t="e">
        <f t="shared" si="128"/>
        <v>#VALUE!</v>
      </c>
      <c r="BX12" s="283" t="e">
        <f t="shared" si="128"/>
        <v>#VALUE!</v>
      </c>
      <c r="BY12" s="284" t="e">
        <f t="shared" si="128"/>
        <v>#VALUE!</v>
      </c>
      <c r="BZ12" s="282" t="e">
        <f t="shared" ref="BZ12:BZ13" si="129">SUM(CA12:CG12)</f>
        <v>#VALUE!</v>
      </c>
      <c r="CA12" s="283" t="e">
        <f>CA10*CA11</f>
        <v>#VALUE!</v>
      </c>
      <c r="CB12" s="283" t="e">
        <f t="shared" ref="CB12:CG12" si="130">CB10*CB11</f>
        <v>#VALUE!</v>
      </c>
      <c r="CC12" s="283" t="e">
        <f t="shared" si="130"/>
        <v>#VALUE!</v>
      </c>
      <c r="CD12" s="283" t="e">
        <f t="shared" si="130"/>
        <v>#VALUE!</v>
      </c>
      <c r="CE12" s="283" t="e">
        <f t="shared" si="130"/>
        <v>#VALUE!</v>
      </c>
      <c r="CF12" s="283" t="e">
        <f t="shared" si="130"/>
        <v>#VALUE!</v>
      </c>
      <c r="CG12" s="284" t="e">
        <f t="shared" si="130"/>
        <v>#VALUE!</v>
      </c>
    </row>
    <row r="13" spans="2:85" x14ac:dyDescent="0.3">
      <c r="B13" s="941"/>
      <c r="C13" s="936"/>
      <c r="D13" s="953" t="s">
        <v>213</v>
      </c>
      <c r="E13" s="188" t="s">
        <v>210</v>
      </c>
      <c r="F13" s="189">
        <f t="shared" si="43"/>
        <v>0</v>
      </c>
      <c r="G13" s="166"/>
      <c r="H13" s="166"/>
      <c r="I13" s="166"/>
      <c r="J13" s="166"/>
      <c r="K13" s="166"/>
      <c r="L13" s="166"/>
      <c r="M13" s="192"/>
      <c r="N13" s="189">
        <f t="shared" ref="N13" si="131">SUM(O13:U13)</f>
        <v>4350</v>
      </c>
      <c r="O13" s="166">
        <v>370</v>
      </c>
      <c r="P13" s="166">
        <v>800</v>
      </c>
      <c r="Q13" s="166">
        <v>782</v>
      </c>
      <c r="R13" s="166">
        <v>780</v>
      </c>
      <c r="S13" s="166">
        <v>800</v>
      </c>
      <c r="T13" s="166">
        <v>818</v>
      </c>
      <c r="U13" s="192" t="str">
        <f>U10</f>
        <v/>
      </c>
      <c r="V13" s="189">
        <f t="shared" ref="V13" si="132">SUM(W13:AC13)</f>
        <v>1640</v>
      </c>
      <c r="W13" s="166" t="str">
        <f t="shared" ref="W13:AC13" si="133">W10</f>
        <v/>
      </c>
      <c r="X13" s="166" t="str">
        <f t="shared" si="133"/>
        <v/>
      </c>
      <c r="Y13" s="166" t="str">
        <f t="shared" si="133"/>
        <v/>
      </c>
      <c r="Z13" s="166" t="str">
        <f t="shared" si="133"/>
        <v/>
      </c>
      <c r="AA13" s="166">
        <v>820</v>
      </c>
      <c r="AB13" s="166">
        <v>820</v>
      </c>
      <c r="AC13" s="166" t="str">
        <f t="shared" si="133"/>
        <v/>
      </c>
      <c r="AD13" s="189">
        <f t="shared" ref="AD13" si="134">SUM(AE13:AK13)</f>
        <v>4236</v>
      </c>
      <c r="AE13" s="166">
        <v>400</v>
      </c>
      <c r="AF13" s="166">
        <v>800</v>
      </c>
      <c r="AG13" s="166">
        <v>800</v>
      </c>
      <c r="AH13" s="166">
        <v>786</v>
      </c>
      <c r="AI13" s="166">
        <v>750</v>
      </c>
      <c r="AJ13" s="166">
        <v>700</v>
      </c>
      <c r="AK13" s="192">
        <v>0</v>
      </c>
      <c r="AL13" s="189">
        <f t="shared" si="119"/>
        <v>4119</v>
      </c>
      <c r="AM13" s="166">
        <v>444</v>
      </c>
      <c r="AN13" s="166">
        <v>720</v>
      </c>
      <c r="AO13" s="166">
        <v>789</v>
      </c>
      <c r="AP13" s="166">
        <v>709</v>
      </c>
      <c r="AQ13" s="166">
        <v>690</v>
      </c>
      <c r="AR13" s="166">
        <f>820-143</f>
        <v>677</v>
      </c>
      <c r="AS13" s="192">
        <v>90</v>
      </c>
      <c r="AT13" s="189">
        <f t="shared" si="121"/>
        <v>4416</v>
      </c>
      <c r="AU13" s="166">
        <v>354</v>
      </c>
      <c r="AV13" s="166">
        <v>783</v>
      </c>
      <c r="AW13" s="166">
        <v>795</v>
      </c>
      <c r="AX13" s="166">
        <v>731</v>
      </c>
      <c r="AY13" s="166">
        <v>848</v>
      </c>
      <c r="AZ13" s="166">
        <v>815</v>
      </c>
      <c r="BA13" s="192">
        <v>90</v>
      </c>
      <c r="BB13" s="189">
        <f t="shared" si="123"/>
        <v>4496</v>
      </c>
      <c r="BC13" s="166">
        <v>449</v>
      </c>
      <c r="BD13" s="166">
        <v>800</v>
      </c>
      <c r="BE13" s="166">
        <v>798</v>
      </c>
      <c r="BF13" s="166">
        <v>769</v>
      </c>
      <c r="BG13" s="166">
        <v>750</v>
      </c>
      <c r="BH13" s="166">
        <v>840</v>
      </c>
      <c r="BI13" s="192">
        <v>90</v>
      </c>
      <c r="BJ13" s="189" t="e">
        <f t="shared" si="125"/>
        <v>#VALUE!</v>
      </c>
      <c r="BK13" s="166">
        <v>370</v>
      </c>
      <c r="BL13" s="166">
        <v>760</v>
      </c>
      <c r="BM13" s="166">
        <v>820</v>
      </c>
      <c r="BN13" s="166">
        <v>686</v>
      </c>
      <c r="BO13" s="166">
        <f>820-27-96</f>
        <v>697</v>
      </c>
      <c r="BP13" s="166" t="e">
        <f>BP10-116</f>
        <v>#VALUE!</v>
      </c>
      <c r="BQ13" s="192" t="str">
        <f t="shared" ref="BQ13" si="135">BQ10</f>
        <v/>
      </c>
      <c r="BR13" s="189">
        <f t="shared" si="127"/>
        <v>0</v>
      </c>
      <c r="BS13" s="166" t="str">
        <f>BS10</f>
        <v/>
      </c>
      <c r="BT13" s="166" t="str">
        <f>BT10</f>
        <v/>
      </c>
      <c r="BU13" s="166" t="str">
        <f t="shared" ref="BU13:BY13" si="136">BU10</f>
        <v/>
      </c>
      <c r="BV13" s="166" t="str">
        <f t="shared" si="136"/>
        <v/>
      </c>
      <c r="BW13" s="166" t="str">
        <f t="shared" si="136"/>
        <v/>
      </c>
      <c r="BX13" s="166" t="str">
        <f t="shared" si="136"/>
        <v/>
      </c>
      <c r="BY13" s="192" t="str">
        <f t="shared" si="136"/>
        <v/>
      </c>
      <c r="BZ13" s="189">
        <f t="shared" si="129"/>
        <v>0</v>
      </c>
      <c r="CA13" s="166" t="str">
        <f>CA10</f>
        <v/>
      </c>
      <c r="CB13" s="166" t="str">
        <f t="shared" ref="CB13:CG13" si="137">CB10</f>
        <v/>
      </c>
      <c r="CC13" s="166" t="str">
        <f t="shared" si="137"/>
        <v/>
      </c>
      <c r="CD13" s="166" t="str">
        <f t="shared" si="137"/>
        <v/>
      </c>
      <c r="CE13" s="166" t="str">
        <f t="shared" si="137"/>
        <v/>
      </c>
      <c r="CF13" s="166" t="str">
        <f t="shared" si="137"/>
        <v/>
      </c>
      <c r="CG13" s="192" t="str">
        <f t="shared" si="137"/>
        <v/>
      </c>
    </row>
    <row r="14" spans="2:85" x14ac:dyDescent="0.3">
      <c r="B14" s="941"/>
      <c r="C14" s="936"/>
      <c r="D14" s="953"/>
      <c r="E14" s="188" t="s">
        <v>211</v>
      </c>
      <c r="F14" s="189">
        <f>IFERROR(AVERAGEIF(G14:M14,"&lt;&gt;0"),0)</f>
        <v>0</v>
      </c>
      <c r="G14" s="166"/>
      <c r="H14" s="166"/>
      <c r="I14" s="166"/>
      <c r="J14" s="166"/>
      <c r="K14" s="166"/>
      <c r="L14" s="166"/>
      <c r="M14" s="192"/>
      <c r="N14" s="189">
        <f>IFERROR(AVERAGEIF(O14:U14,"&lt;&gt;0"),0)</f>
        <v>52.6</v>
      </c>
      <c r="O14" s="166">
        <v>54</v>
      </c>
      <c r="P14" s="166">
        <v>50</v>
      </c>
      <c r="Q14" s="166">
        <v>51</v>
      </c>
      <c r="R14" s="166">
        <v>51</v>
      </c>
      <c r="S14" s="166">
        <v>57</v>
      </c>
      <c r="T14" s="166" t="str">
        <f t="shared" ref="T14" si="138">T11</f>
        <v/>
      </c>
      <c r="U14" s="192" t="str">
        <f>U11</f>
        <v/>
      </c>
      <c r="V14" s="189">
        <f>IFERROR(AVERAGEIF(W14:AC14,"&lt;&gt;0"),0)</f>
        <v>0</v>
      </c>
      <c r="W14" s="166" t="e">
        <f t="shared" ref="W14:AB14" si="139">W15/W13</f>
        <v>#VALUE!</v>
      </c>
      <c r="X14" s="166" t="e">
        <f t="shared" si="139"/>
        <v>#VALUE!</v>
      </c>
      <c r="Y14" s="166" t="e">
        <f t="shared" si="139"/>
        <v>#VALUE!</v>
      </c>
      <c r="Z14" s="166" t="e">
        <f t="shared" si="139"/>
        <v>#VALUE!</v>
      </c>
      <c r="AA14" s="166">
        <f t="shared" si="139"/>
        <v>51.306097560975608</v>
      </c>
      <c r="AB14" s="166">
        <f t="shared" si="139"/>
        <v>52.330487804878047</v>
      </c>
      <c r="AC14" s="166">
        <v>0</v>
      </c>
      <c r="AD14" s="189">
        <f>IFERROR(AVERAGEIF(AE14:AK14,"&lt;&gt;0"),0)</f>
        <v>48.816428571428567</v>
      </c>
      <c r="AE14" s="166">
        <f t="shared" ref="AE14:AJ14" si="140">AE15/AE13</f>
        <v>49.47</v>
      </c>
      <c r="AF14" s="166">
        <v>47</v>
      </c>
      <c r="AG14" s="166">
        <v>47</v>
      </c>
      <c r="AH14" s="166">
        <v>47</v>
      </c>
      <c r="AI14" s="166">
        <v>51</v>
      </c>
      <c r="AJ14" s="166">
        <f t="shared" si="140"/>
        <v>51.428571428571431</v>
      </c>
      <c r="AK14" s="192">
        <v>0</v>
      </c>
      <c r="AL14" s="189">
        <f>IFERROR(AVERAGEIF(AM14:AS14,"&lt;&gt;0"),0)</f>
        <v>50.231746031746027</v>
      </c>
      <c r="AM14" s="166">
        <v>44</v>
      </c>
      <c r="AN14" s="166">
        <v>42</v>
      </c>
      <c r="AO14" s="166">
        <v>50</v>
      </c>
      <c r="AP14" s="166">
        <v>50</v>
      </c>
      <c r="AQ14" s="166">
        <v>53</v>
      </c>
      <c r="AR14" s="166">
        <v>53</v>
      </c>
      <c r="AS14" s="166">
        <f t="shared" ref="AS14" si="141">AS15/AS13</f>
        <v>59.62222222222222</v>
      </c>
      <c r="AT14" s="189">
        <f>IFERROR(AVERAGEIF(AU14:BA14,"&lt;&gt;0"),0)</f>
        <v>54.561320479111892</v>
      </c>
      <c r="AU14" s="166">
        <v>52</v>
      </c>
      <c r="AV14" s="166">
        <v>51</v>
      </c>
      <c r="AW14" s="166">
        <v>54</v>
      </c>
      <c r="AX14" s="166">
        <v>52</v>
      </c>
      <c r="AY14" s="166">
        <v>57</v>
      </c>
      <c r="AZ14" s="166">
        <f t="shared" ref="AZ14" si="142">IFERROR(AZ15/AZ13,0)</f>
        <v>62.062576687116561</v>
      </c>
      <c r="BA14" s="192">
        <f t="shared" ref="BA14" si="143">IFERROR(BA15/BA13,0)</f>
        <v>53.866666666666667</v>
      </c>
      <c r="BB14" s="189">
        <f>IFERROR(AVERAGEIF(BC14:BI14,"&lt;&gt;0"),0)</f>
        <v>53.428571428571431</v>
      </c>
      <c r="BC14" s="166">
        <v>55</v>
      </c>
      <c r="BD14" s="166">
        <v>51</v>
      </c>
      <c r="BE14" s="166">
        <v>53</v>
      </c>
      <c r="BF14" s="166">
        <v>53</v>
      </c>
      <c r="BG14" s="166">
        <v>54</v>
      </c>
      <c r="BH14" s="166">
        <v>54</v>
      </c>
      <c r="BI14" s="192">
        <v>54</v>
      </c>
      <c r="BJ14" s="189">
        <f>IFERROR(AVERAGEIF(BK14:BQ14,"&lt;&gt;0"),0)</f>
        <v>50</v>
      </c>
      <c r="BK14" s="166">
        <v>48</v>
      </c>
      <c r="BL14" s="166">
        <v>51</v>
      </c>
      <c r="BM14" s="166">
        <v>51</v>
      </c>
      <c r="BN14" s="166">
        <v>50</v>
      </c>
      <c r="BO14" s="166" t="str">
        <f t="shared" ref="BO14:BQ14" si="144">BO11</f>
        <v/>
      </c>
      <c r="BP14" s="166" t="str">
        <f t="shared" si="144"/>
        <v/>
      </c>
      <c r="BQ14" s="192" t="str">
        <f t="shared" si="144"/>
        <v/>
      </c>
      <c r="BR14" s="189">
        <f>IFERROR(AVERAGEIF(BS14:BY14,"&lt;&gt;0"),0)</f>
        <v>49.5</v>
      </c>
      <c r="BS14" s="166">
        <v>48</v>
      </c>
      <c r="BT14" s="166">
        <v>51</v>
      </c>
      <c r="BU14" s="166" t="str">
        <f t="shared" ref="BU14:BY14" si="145">BU11</f>
        <v/>
      </c>
      <c r="BV14" s="166" t="str">
        <f t="shared" si="145"/>
        <v/>
      </c>
      <c r="BW14" s="166" t="str">
        <f t="shared" si="145"/>
        <v/>
      </c>
      <c r="BX14" s="166" t="str">
        <f t="shared" si="145"/>
        <v/>
      </c>
      <c r="BY14" s="192" t="str">
        <f t="shared" si="145"/>
        <v/>
      </c>
      <c r="BZ14" s="189">
        <f>IFERROR(AVERAGEIF(CA14:CG14,"&lt;&gt;0"),0)</f>
        <v>0</v>
      </c>
      <c r="CA14" s="166" t="str">
        <f t="shared" ref="CA14:CG14" si="146">CA11</f>
        <v/>
      </c>
      <c r="CB14" s="166" t="str">
        <f t="shared" si="146"/>
        <v/>
      </c>
      <c r="CC14" s="166" t="str">
        <f t="shared" si="146"/>
        <v/>
      </c>
      <c r="CD14" s="166" t="str">
        <f t="shared" si="146"/>
        <v/>
      </c>
      <c r="CE14" s="166" t="str">
        <f t="shared" si="146"/>
        <v/>
      </c>
      <c r="CF14" s="166" t="str">
        <f t="shared" si="146"/>
        <v/>
      </c>
      <c r="CG14" s="192" t="str">
        <f t="shared" si="146"/>
        <v/>
      </c>
    </row>
    <row r="15" spans="2:85" x14ac:dyDescent="0.3">
      <c r="B15" s="941"/>
      <c r="C15" s="936"/>
      <c r="D15" s="954"/>
      <c r="E15" s="190" t="s">
        <v>212</v>
      </c>
      <c r="F15" s="191">
        <f t="shared" si="43"/>
        <v>0</v>
      </c>
      <c r="G15" s="169">
        <f>G13*G14</f>
        <v>0</v>
      </c>
      <c r="H15" s="169">
        <f t="shared" ref="H15" si="147">H13*H14</f>
        <v>0</v>
      </c>
      <c r="I15" s="169">
        <f t="shared" ref="I15" si="148">I13*I14</f>
        <v>0</v>
      </c>
      <c r="J15" s="169">
        <f t="shared" ref="J15" si="149">J13*J14</f>
        <v>0</v>
      </c>
      <c r="K15" s="169">
        <f t="shared" ref="K15" si="150">K13*K14</f>
        <v>0</v>
      </c>
      <c r="L15" s="169">
        <f t="shared" ref="L15" si="151">L13*L14</f>
        <v>0</v>
      </c>
      <c r="M15" s="169">
        <f>M13*M14</f>
        <v>0</v>
      </c>
      <c r="N15" s="191" t="e">
        <f t="shared" ref="N15:N16" si="152">SUM(O15:U15)</f>
        <v>#VALUE!</v>
      </c>
      <c r="O15" s="169">
        <f>O13*O14</f>
        <v>19980</v>
      </c>
      <c r="P15" s="169">
        <f t="shared" ref="P15:T15" si="153">P13*P14</f>
        <v>40000</v>
      </c>
      <c r="Q15" s="169">
        <f t="shared" si="153"/>
        <v>39882</v>
      </c>
      <c r="R15" s="169">
        <f t="shared" si="153"/>
        <v>39780</v>
      </c>
      <c r="S15" s="169">
        <f t="shared" si="153"/>
        <v>45600</v>
      </c>
      <c r="T15" s="169" t="e">
        <f t="shared" si="153"/>
        <v>#VALUE!</v>
      </c>
      <c r="U15" s="169" t="e">
        <f>U13*U14</f>
        <v>#VALUE!</v>
      </c>
      <c r="V15" s="191">
        <f>SUM(W15:AC15)</f>
        <v>228360</v>
      </c>
      <c r="W15" s="169">
        <v>18639</v>
      </c>
      <c r="X15" s="169">
        <v>40478</v>
      </c>
      <c r="Y15" s="169">
        <v>40700</v>
      </c>
      <c r="Z15" s="169">
        <v>39061</v>
      </c>
      <c r="AA15" s="169">
        <v>42071</v>
      </c>
      <c r="AB15" s="169">
        <v>42911</v>
      </c>
      <c r="AC15" s="169">
        <v>4500</v>
      </c>
      <c r="AD15" s="191">
        <f t="shared" ref="AD15:AD16" si="154">SUM(AE15:AK15)</f>
        <v>208103</v>
      </c>
      <c r="AE15" s="169">
        <v>19788</v>
      </c>
      <c r="AF15" s="169">
        <v>39056</v>
      </c>
      <c r="AG15" s="169">
        <v>38959</v>
      </c>
      <c r="AH15" s="169">
        <v>37368</v>
      </c>
      <c r="AI15" s="169">
        <v>36932</v>
      </c>
      <c r="AJ15" s="169">
        <v>36000</v>
      </c>
      <c r="AK15" s="193">
        <v>0</v>
      </c>
      <c r="AL15" s="191">
        <f t="shared" ref="AL15:AL16" si="155">SUM(AM15:AS15)</f>
        <v>208968</v>
      </c>
      <c r="AM15" s="169">
        <v>21111</v>
      </c>
      <c r="AN15" s="169">
        <v>32232</v>
      </c>
      <c r="AO15" s="169">
        <v>38804</v>
      </c>
      <c r="AP15" s="169">
        <v>36297</v>
      </c>
      <c r="AQ15" s="169">
        <v>37394</v>
      </c>
      <c r="AR15" s="169">
        <v>37764</v>
      </c>
      <c r="AS15" s="193">
        <v>5366</v>
      </c>
      <c r="AT15" s="191">
        <f t="shared" ref="AT15:AT16" si="156">SUM(AU15:BA15)</f>
        <v>244392</v>
      </c>
      <c r="AU15" s="169">
        <v>18638</v>
      </c>
      <c r="AV15" s="169">
        <v>40132</v>
      </c>
      <c r="AW15" s="169">
        <v>43951</v>
      </c>
      <c r="AX15" s="169">
        <v>35931</v>
      </c>
      <c r="AY15" s="169">
        <v>50311</v>
      </c>
      <c r="AZ15" s="169">
        <v>50581</v>
      </c>
      <c r="BA15" s="193">
        <v>4848</v>
      </c>
      <c r="BB15" s="191">
        <f>SUM(BD15:BI15)</f>
        <v>213376</v>
      </c>
      <c r="BC15" s="358">
        <v>20587</v>
      </c>
      <c r="BD15" s="169">
        <f>41230</f>
        <v>41230</v>
      </c>
      <c r="BE15" s="169">
        <v>42582</v>
      </c>
      <c r="BF15" s="169">
        <v>37944</v>
      </c>
      <c r="BG15" s="169">
        <v>40586</v>
      </c>
      <c r="BH15" s="169">
        <v>45807</v>
      </c>
      <c r="BI15" s="193">
        <v>5227</v>
      </c>
      <c r="BJ15" s="191" t="e">
        <f>SUM(BK15:BQ15)</f>
        <v>#VALUE!</v>
      </c>
      <c r="BK15" s="358">
        <v>17111</v>
      </c>
      <c r="BL15" s="169">
        <v>38878</v>
      </c>
      <c r="BM15" s="169">
        <v>38693</v>
      </c>
      <c r="BN15" s="169">
        <v>35264</v>
      </c>
      <c r="BO15" s="169">
        <v>38692</v>
      </c>
      <c r="BP15" s="169" t="e">
        <f t="shared" ref="BP15:BQ15" si="157">BP13*BP14*$D$2</f>
        <v>#VALUE!</v>
      </c>
      <c r="BQ15" s="193" t="e">
        <f t="shared" si="157"/>
        <v>#VALUE!</v>
      </c>
      <c r="BR15" s="191" t="e">
        <f>SUM(BS15:BY15)</f>
        <v>#VALUE!</v>
      </c>
      <c r="BS15" s="358" t="e">
        <f t="shared" ref="BS15:BY15" si="158">BS13*BS14*$D$2</f>
        <v>#VALUE!</v>
      </c>
      <c r="BT15" s="169" t="e">
        <f t="shared" si="158"/>
        <v>#VALUE!</v>
      </c>
      <c r="BU15" s="169" t="e">
        <f t="shared" si="158"/>
        <v>#VALUE!</v>
      </c>
      <c r="BV15" s="169" t="e">
        <f t="shared" si="158"/>
        <v>#VALUE!</v>
      </c>
      <c r="BW15" s="169" t="e">
        <f t="shared" si="158"/>
        <v>#VALUE!</v>
      </c>
      <c r="BX15" s="169" t="e">
        <f t="shared" si="158"/>
        <v>#VALUE!</v>
      </c>
      <c r="BY15" s="193" t="e">
        <f t="shared" si="158"/>
        <v>#VALUE!</v>
      </c>
      <c r="BZ15" s="191" t="e">
        <f>SUM(CA15:CG15)</f>
        <v>#VALUE!</v>
      </c>
      <c r="CA15" s="358" t="e">
        <f>CA13*CA14*$D$2</f>
        <v>#VALUE!</v>
      </c>
      <c r="CB15" s="169" t="e">
        <f t="shared" ref="CB15" si="159">CB13*CB14*$D$2</f>
        <v>#VALUE!</v>
      </c>
      <c r="CC15" s="169" t="e">
        <f t="shared" ref="CC15" si="160">CC13*CC14*$D$2</f>
        <v>#VALUE!</v>
      </c>
      <c r="CD15" s="169" t="e">
        <f t="shared" ref="CD15" si="161">CD13*CD14*$D$2</f>
        <v>#VALUE!</v>
      </c>
      <c r="CE15" s="169" t="e">
        <f t="shared" ref="CE15" si="162">CE13*CE14*$D$2</f>
        <v>#VALUE!</v>
      </c>
      <c r="CF15" s="169" t="e">
        <f t="shared" ref="CF15" si="163">CF13*CF14*$D$2</f>
        <v>#VALUE!</v>
      </c>
      <c r="CG15" s="193" t="e">
        <f t="shared" ref="CG15" si="164">CG13*CG14*$D$2</f>
        <v>#VALUE!</v>
      </c>
    </row>
    <row r="16" spans="2:85" x14ac:dyDescent="0.3">
      <c r="B16" s="941"/>
      <c r="C16" s="936" t="s">
        <v>215</v>
      </c>
      <c r="D16" s="955" t="s">
        <v>209</v>
      </c>
      <c r="E16" s="286" t="s">
        <v>210</v>
      </c>
      <c r="F16" s="282">
        <f t="shared" si="43"/>
        <v>0</v>
      </c>
      <c r="G16" s="283" t="str">
        <f>IFERROR('ST Forecast'!#REF!,"")</f>
        <v/>
      </c>
      <c r="H16" s="283" t="str">
        <f>IFERROR('ST Forecast'!#REF!,"")</f>
        <v/>
      </c>
      <c r="I16" s="283" t="str">
        <f>IFERROR('ST Forecast'!#REF!,"")</f>
        <v/>
      </c>
      <c r="J16" s="283" t="str">
        <f>IFERROR('ST Forecast'!#REF!,"")</f>
        <v/>
      </c>
      <c r="K16" s="283" t="str">
        <f>IFERROR('ST Forecast'!#REF!,"")</f>
        <v/>
      </c>
      <c r="L16" s="283" t="str">
        <f>IFERROR('ST Forecast'!#REF!,"")</f>
        <v/>
      </c>
      <c r="M16" s="283" t="str">
        <f>IFERROR('ST Forecast'!#REF!,"")</f>
        <v/>
      </c>
      <c r="N16" s="282">
        <f t="shared" si="152"/>
        <v>0</v>
      </c>
      <c r="O16" s="283" t="str">
        <f>IFERROR('ST Forecast'!#REF!,"")</f>
        <v/>
      </c>
      <c r="P16" s="283" t="str">
        <f>IFERROR('ST Forecast'!#REF!,"")</f>
        <v/>
      </c>
      <c r="Q16" s="283" t="str">
        <f>IFERROR('ST Forecast'!#REF!,"")</f>
        <v/>
      </c>
      <c r="R16" s="283" t="str">
        <f>IFERROR('ST Forecast'!#REF!,"")</f>
        <v/>
      </c>
      <c r="S16" s="283" t="str">
        <f>IFERROR('ST Forecast'!#REF!,"")</f>
        <v/>
      </c>
      <c r="T16" s="283" t="str">
        <f>IFERROR('ST Forecast'!#REF!,"")</f>
        <v/>
      </c>
      <c r="U16" s="283" t="str">
        <f>IFERROR('ST Forecast'!#REF!,"")</f>
        <v/>
      </c>
      <c r="V16" s="282">
        <f t="shared" ref="V16" si="165">SUM(W16:AC16)</f>
        <v>0</v>
      </c>
      <c r="W16" s="283" t="str">
        <f>IFERROR('ST Forecast'!#REF!,"")</f>
        <v/>
      </c>
      <c r="X16" s="283" t="str">
        <f>IFERROR('ST Forecast'!#REF!,"")</f>
        <v/>
      </c>
      <c r="Y16" s="283" t="str">
        <f>IFERROR('ST Forecast'!#REF!,"")</f>
        <v/>
      </c>
      <c r="Z16" s="283" t="str">
        <f>IFERROR('ST Forecast'!#REF!,"")</f>
        <v/>
      </c>
      <c r="AA16" s="283" t="str">
        <f>IFERROR('ST Forecast'!#REF!,"")</f>
        <v/>
      </c>
      <c r="AB16" s="283" t="str">
        <f>IFERROR('ST Forecast'!#REF!,"")</f>
        <v/>
      </c>
      <c r="AC16" s="283" t="str">
        <f>IFERROR('ST Forecast'!#REF!,"")</f>
        <v/>
      </c>
      <c r="AD16" s="282">
        <f t="shared" si="154"/>
        <v>0</v>
      </c>
      <c r="AE16" s="283" t="str">
        <f>IFERROR('ST Forecast'!#REF!,"")</f>
        <v/>
      </c>
      <c r="AF16" s="283" t="str">
        <f>IFERROR('ST Forecast'!#REF!,"")</f>
        <v/>
      </c>
      <c r="AG16" s="283" t="str">
        <f>IFERROR('ST Forecast'!#REF!,"")</f>
        <v/>
      </c>
      <c r="AH16" s="283" t="str">
        <f>IFERROR('ST Forecast'!#REF!,"")</f>
        <v/>
      </c>
      <c r="AI16" s="283" t="str">
        <f>IFERROR('ST Forecast'!#REF!,"")</f>
        <v/>
      </c>
      <c r="AJ16" s="283">
        <v>0</v>
      </c>
      <c r="AK16" s="284" t="str">
        <f>IFERROR('ST Forecast'!#REF!,"")</f>
        <v/>
      </c>
      <c r="AL16" s="282">
        <f t="shared" si="155"/>
        <v>1100</v>
      </c>
      <c r="AM16" s="283" t="str">
        <f>IFERROR('ST Forecast'!#REF!,"")</f>
        <v/>
      </c>
      <c r="AN16" s="283" t="str">
        <f>IFERROR('ST Forecast'!#REF!,"")</f>
        <v/>
      </c>
      <c r="AO16" s="283" t="str">
        <f>IFERROR('ST Forecast'!#REF!,"")</f>
        <v/>
      </c>
      <c r="AP16" s="283" t="str">
        <f>IFERROR('ST Forecast'!#REF!,"")</f>
        <v/>
      </c>
      <c r="AQ16" s="283">
        <v>600</v>
      </c>
      <c r="AR16" s="283">
        <v>500</v>
      </c>
      <c r="AS16" s="284" t="str">
        <f>IFERROR('ST Forecast'!#REF!,"")</f>
        <v/>
      </c>
      <c r="AT16" s="282">
        <f t="shared" si="156"/>
        <v>500</v>
      </c>
      <c r="AU16" s="283" t="str">
        <f>IFERROR('ST Forecast'!#REF!,"")</f>
        <v/>
      </c>
      <c r="AV16" s="283" t="str">
        <f>IFERROR('ST Forecast'!#REF!,"")</f>
        <v/>
      </c>
      <c r="AW16" s="283" t="str">
        <f>IFERROR('ST Forecast'!#REF!,"")</f>
        <v/>
      </c>
      <c r="AX16" s="283" t="str">
        <f>IFERROR('ST Forecast'!#REF!,"")</f>
        <v/>
      </c>
      <c r="AY16" s="283" t="str">
        <f>IFERROR('ST Forecast'!#REF!,"")</f>
        <v/>
      </c>
      <c r="AZ16" s="283">
        <v>500</v>
      </c>
      <c r="BA16" s="284" t="str">
        <f>IFERROR('ST Forecast'!#REF!,"")</f>
        <v/>
      </c>
      <c r="BB16" s="282">
        <f t="shared" ref="BB16" si="166">SUM(BC16:BI16)</f>
        <v>0</v>
      </c>
      <c r="BC16" s="283" t="str">
        <f>IFERROR('ST Forecast'!#REF!,"")</f>
        <v/>
      </c>
      <c r="BD16" s="283" t="str">
        <f>IFERROR('ST Forecast'!#REF!,"")</f>
        <v/>
      </c>
      <c r="BE16" s="283" t="str">
        <f>IFERROR('ST Forecast'!#REF!,"")</f>
        <v/>
      </c>
      <c r="BF16" s="283" t="str">
        <f>IFERROR('ST Forecast'!#REF!,"")</f>
        <v/>
      </c>
      <c r="BG16" s="283" t="str">
        <f>IFERROR('ST Forecast'!#REF!,"")</f>
        <v/>
      </c>
      <c r="BH16" s="283" t="str">
        <f>IFERROR('ST Forecast'!#REF!,"")</f>
        <v/>
      </c>
      <c r="BI16" s="284" t="str">
        <f>IFERROR('ST Forecast'!#REF!,"")</f>
        <v/>
      </c>
      <c r="BJ16" s="282">
        <f t="shared" ref="BJ16" si="167">SUM(BK16:BQ16)</f>
        <v>0</v>
      </c>
      <c r="BK16" s="283" t="str">
        <f>IFERROR('ST Forecast'!#REF!,"")</f>
        <v/>
      </c>
      <c r="BL16" s="283" t="str">
        <f>IFERROR('ST Forecast'!#REF!,"")</f>
        <v/>
      </c>
      <c r="BM16" s="283" t="str">
        <f>IFERROR('ST Forecast'!#REF!,"")</f>
        <v/>
      </c>
      <c r="BN16" s="283" t="str">
        <f>IFERROR('ST Forecast'!#REF!,"")</f>
        <v/>
      </c>
      <c r="BO16" s="283" t="str">
        <f>IFERROR('ST Forecast'!#REF!,"")</f>
        <v/>
      </c>
      <c r="BP16" s="283" t="str">
        <f>IFERROR('ST Forecast'!#REF!,"")</f>
        <v/>
      </c>
      <c r="BQ16" s="284" t="str">
        <f>IFERROR('ST Forecast'!#REF!,"")</f>
        <v/>
      </c>
      <c r="BR16" s="282">
        <f t="shared" ref="BR16" si="168">SUM(BS16:BY16)</f>
        <v>0</v>
      </c>
      <c r="BS16" s="283" t="str">
        <f>IFERROR('ST Forecast'!#REF!,"")</f>
        <v/>
      </c>
      <c r="BT16" s="283" t="str">
        <f>IFERROR('ST Forecast'!#REF!,"")</f>
        <v/>
      </c>
      <c r="BU16" s="283" t="str">
        <f>IFERROR('ST Forecast'!#REF!,"")</f>
        <v/>
      </c>
      <c r="BV16" s="283" t="str">
        <f>IFERROR('ST Forecast'!#REF!,"")</f>
        <v/>
      </c>
      <c r="BW16" s="283" t="str">
        <f>IFERROR('ST Forecast'!#REF!,"")</f>
        <v/>
      </c>
      <c r="BX16" s="283" t="str">
        <f>IFERROR('ST Forecast'!#REF!,"")</f>
        <v/>
      </c>
      <c r="BY16" s="284" t="str">
        <f>IFERROR('ST Forecast'!#REF!,"")</f>
        <v/>
      </c>
      <c r="BZ16" s="282">
        <f t="shared" ref="BZ16" si="169">SUM(CA16:CG16)</f>
        <v>0</v>
      </c>
      <c r="CA16" s="283" t="str">
        <f>IFERROR('ST Forecast'!#REF!,"")</f>
        <v/>
      </c>
      <c r="CB16" s="283" t="str">
        <f>IFERROR('ST Forecast'!#REF!,"")</f>
        <v/>
      </c>
      <c r="CC16" s="283" t="str">
        <f>IFERROR('ST Forecast'!#REF!,"")</f>
        <v/>
      </c>
      <c r="CD16" s="283" t="str">
        <f>IFERROR('ST Forecast'!#REF!,"")</f>
        <v/>
      </c>
      <c r="CE16" s="283" t="str">
        <f>IFERROR('ST Forecast'!#REF!,"")</f>
        <v/>
      </c>
      <c r="CF16" s="283" t="str">
        <f>IFERROR('ST Forecast'!#REF!,"")</f>
        <v/>
      </c>
      <c r="CG16" s="284" t="str">
        <f>IFERROR('ST Forecast'!#REF!,"")</f>
        <v/>
      </c>
    </row>
    <row r="17" spans="2:85" x14ac:dyDescent="0.3">
      <c r="B17" s="941"/>
      <c r="C17" s="936"/>
      <c r="D17" s="952"/>
      <c r="E17" s="285" t="s">
        <v>211</v>
      </c>
      <c r="F17" s="282">
        <f>IFERROR(AVERAGEIF(G17:M17,"&lt;&gt;0"),0)</f>
        <v>0</v>
      </c>
      <c r="G17" s="283" t="str">
        <f>IFERROR('ST Forecast'!#REF!,"")</f>
        <v/>
      </c>
      <c r="H17" s="283" t="str">
        <f>IFERROR('ST Forecast'!#REF!,"")</f>
        <v/>
      </c>
      <c r="I17" s="283" t="str">
        <f>IFERROR('ST Forecast'!#REF!,"")</f>
        <v/>
      </c>
      <c r="J17" s="283" t="str">
        <f>IFERROR('ST Forecast'!#REF!,"")</f>
        <v/>
      </c>
      <c r="K17" s="283" t="str">
        <f>IFERROR('ST Forecast'!#REF!,"")</f>
        <v/>
      </c>
      <c r="L17" s="283" t="str">
        <f>IFERROR('ST Forecast'!#REF!,"")</f>
        <v/>
      </c>
      <c r="M17" s="283" t="str">
        <f>IFERROR('ST Forecast'!#REF!,"")</f>
        <v/>
      </c>
      <c r="N17" s="282">
        <f>IFERROR(AVERAGEIF(O17:U17,"&lt;&gt;0"),0)</f>
        <v>0</v>
      </c>
      <c r="O17" s="283" t="str">
        <f>IFERROR('ST Forecast'!#REF!,"")</f>
        <v/>
      </c>
      <c r="P17" s="283" t="str">
        <f>IFERROR('ST Forecast'!#REF!,"")</f>
        <v/>
      </c>
      <c r="Q17" s="283" t="str">
        <f>IFERROR('ST Forecast'!#REF!,"")</f>
        <v/>
      </c>
      <c r="R17" s="283" t="str">
        <f>IFERROR('ST Forecast'!#REF!,"")</f>
        <v/>
      </c>
      <c r="S17" s="283" t="str">
        <f>IFERROR('ST Forecast'!#REF!,"")</f>
        <v/>
      </c>
      <c r="T17" s="283" t="str">
        <f>IFERROR('ST Forecast'!#REF!,"")</f>
        <v/>
      </c>
      <c r="U17" s="283" t="str">
        <f>IFERROR('ST Forecast'!#REF!,"")</f>
        <v/>
      </c>
      <c r="V17" s="282">
        <f>IFERROR(AVERAGEIF(W17:AC17,"&lt;&gt;0"),0)</f>
        <v>0</v>
      </c>
      <c r="W17" s="283" t="str">
        <f>IFERROR('ST Forecast'!#REF!,"")</f>
        <v/>
      </c>
      <c r="X17" s="283" t="str">
        <f>IFERROR('ST Forecast'!#REF!,"")</f>
        <v/>
      </c>
      <c r="Y17" s="283" t="str">
        <f>IFERROR('ST Forecast'!#REF!,"")</f>
        <v/>
      </c>
      <c r="Z17" s="283" t="str">
        <f>IFERROR('ST Forecast'!#REF!,"")</f>
        <v/>
      </c>
      <c r="AA17" s="283" t="str">
        <f>IFERROR('ST Forecast'!#REF!,"")</f>
        <v/>
      </c>
      <c r="AB17" s="283" t="str">
        <f>IFERROR('ST Forecast'!#REF!,"")</f>
        <v/>
      </c>
      <c r="AC17" s="283" t="str">
        <f>IFERROR('ST Forecast'!#REF!,"")</f>
        <v/>
      </c>
      <c r="AD17" s="282">
        <f>IFERROR(AVERAGEIF(AE17:AK17,"&lt;&gt;0"),0)</f>
        <v>0</v>
      </c>
      <c r="AE17" s="283" t="str">
        <f>IFERROR('ST Forecast'!#REF!,"")</f>
        <v/>
      </c>
      <c r="AF17" s="283" t="str">
        <f>IFERROR('ST Forecast'!#REF!,"")</f>
        <v/>
      </c>
      <c r="AG17" s="283" t="str">
        <f>IFERROR('ST Forecast'!#REF!,"")</f>
        <v/>
      </c>
      <c r="AH17" s="283" t="str">
        <f>IFERROR('ST Forecast'!#REF!,"")</f>
        <v/>
      </c>
      <c r="AI17" s="283" t="str">
        <f>IFERROR('ST Forecast'!#REF!,"")</f>
        <v/>
      </c>
      <c r="AJ17" s="283">
        <f>AJ15*AJ16</f>
        <v>0</v>
      </c>
      <c r="AK17" s="284" t="str">
        <f>IFERROR('ST Forecast'!#REF!,"")</f>
        <v/>
      </c>
      <c r="AL17" s="282">
        <f>IFERROR(AVERAGEIF(AM17:AS17,"&lt;&gt;0"),0)</f>
        <v>0</v>
      </c>
      <c r="AM17" s="283" t="str">
        <f>IFERROR('ST Forecast'!#REF!,"")</f>
        <v/>
      </c>
      <c r="AN17" s="283" t="str">
        <f>IFERROR('ST Forecast'!#REF!,"")</f>
        <v/>
      </c>
      <c r="AO17" s="283" t="str">
        <f>IFERROR('ST Forecast'!#REF!,"")</f>
        <v/>
      </c>
      <c r="AP17" s="283" t="str">
        <f>IFERROR('ST Forecast'!#REF!,"")</f>
        <v/>
      </c>
      <c r="AQ17" s="283" t="str">
        <f>IFERROR('ST Forecast'!#REF!,"")</f>
        <v/>
      </c>
      <c r="AR17" s="283" t="str">
        <f>IFERROR('ST Forecast'!#REF!,"")</f>
        <v/>
      </c>
      <c r="AS17" s="284" t="str">
        <f>IFERROR('ST Forecast'!#REF!,"")</f>
        <v/>
      </c>
      <c r="AT17" s="282">
        <f>IFERROR(AVERAGEIF(AU17:BA17,"&lt;&gt;0"),0)</f>
        <v>0</v>
      </c>
      <c r="AU17" s="283" t="str">
        <f>IFERROR('ST Forecast'!#REF!,"")</f>
        <v/>
      </c>
      <c r="AV17" s="283" t="str">
        <f>IFERROR('ST Forecast'!#REF!,"")</f>
        <v/>
      </c>
      <c r="AW17" s="283" t="str">
        <f>IFERROR('ST Forecast'!#REF!,"")</f>
        <v/>
      </c>
      <c r="AX17" s="283" t="str">
        <f>IFERROR('ST Forecast'!#REF!,"")</f>
        <v/>
      </c>
      <c r="AY17" s="283" t="str">
        <f>IFERROR('ST Forecast'!#REF!,"")</f>
        <v/>
      </c>
      <c r="AZ17" s="283" t="str">
        <f>IFERROR('ST Forecast'!#REF!,"")</f>
        <v/>
      </c>
      <c r="BA17" s="284" t="str">
        <f>IFERROR('ST Forecast'!#REF!,"")</f>
        <v/>
      </c>
      <c r="BB17" s="282">
        <f>IFERROR(AVERAGEIF(BC17:BI17,"&lt;&gt;0"),0)</f>
        <v>0</v>
      </c>
      <c r="BC17" s="283" t="str">
        <f>IFERROR('ST Forecast'!#REF!,"")</f>
        <v/>
      </c>
      <c r="BD17" s="283" t="str">
        <f>IFERROR('ST Forecast'!#REF!,"")</f>
        <v/>
      </c>
      <c r="BE17" s="283" t="str">
        <f>IFERROR('ST Forecast'!#REF!,"")</f>
        <v/>
      </c>
      <c r="BF17" s="283" t="str">
        <f>IFERROR('ST Forecast'!#REF!,"")</f>
        <v/>
      </c>
      <c r="BG17" s="283" t="str">
        <f>IFERROR('ST Forecast'!#REF!,"")</f>
        <v/>
      </c>
      <c r="BH17" s="283" t="str">
        <f>IFERROR('ST Forecast'!#REF!,"")</f>
        <v/>
      </c>
      <c r="BI17" s="284" t="str">
        <f>IFERROR('ST Forecast'!#REF!,"")</f>
        <v/>
      </c>
      <c r="BJ17" s="282">
        <f>IFERROR(AVERAGEIF(BK17:BQ17,"&lt;&gt;0"),0)</f>
        <v>0</v>
      </c>
      <c r="BK17" s="283" t="str">
        <f>IFERROR('ST Forecast'!#REF!,"")</f>
        <v/>
      </c>
      <c r="BL17" s="283" t="str">
        <f>IFERROR('ST Forecast'!#REF!,"")</f>
        <v/>
      </c>
      <c r="BM17" s="283" t="str">
        <f>IFERROR('ST Forecast'!#REF!,"")</f>
        <v/>
      </c>
      <c r="BN17" s="283" t="str">
        <f>IFERROR('ST Forecast'!#REF!,"")</f>
        <v/>
      </c>
      <c r="BO17" s="283" t="str">
        <f>IFERROR('ST Forecast'!#REF!,"")</f>
        <v/>
      </c>
      <c r="BP17" s="283" t="str">
        <f>IFERROR('ST Forecast'!#REF!,"")</f>
        <v/>
      </c>
      <c r="BQ17" s="284" t="str">
        <f>IFERROR('ST Forecast'!#REF!,"")</f>
        <v/>
      </c>
      <c r="BR17" s="282">
        <f>IFERROR(AVERAGEIF(BS17:BY17,"&lt;&gt;0"),0)</f>
        <v>0</v>
      </c>
      <c r="BS17" s="283" t="str">
        <f>IFERROR('ST Forecast'!#REF!,"")</f>
        <v/>
      </c>
      <c r="BT17" s="283" t="str">
        <f>IFERROR('ST Forecast'!#REF!,"")</f>
        <v/>
      </c>
      <c r="BU17" s="283" t="str">
        <f>IFERROR('ST Forecast'!#REF!,"")</f>
        <v/>
      </c>
      <c r="BV17" s="283" t="str">
        <f>IFERROR('ST Forecast'!#REF!,"")</f>
        <v/>
      </c>
      <c r="BW17" s="283" t="str">
        <f>IFERROR('ST Forecast'!#REF!,"")</f>
        <v/>
      </c>
      <c r="BX17" s="283" t="str">
        <f>IFERROR('ST Forecast'!#REF!,"")</f>
        <v/>
      </c>
      <c r="BY17" s="284" t="str">
        <f>IFERROR('ST Forecast'!#REF!,"")</f>
        <v/>
      </c>
      <c r="BZ17" s="282">
        <f>IFERROR(AVERAGEIF(CA17:CG17,"&lt;&gt;0"),0)</f>
        <v>0</v>
      </c>
      <c r="CA17" s="283" t="str">
        <f>IFERROR('ST Forecast'!#REF!,"")</f>
        <v/>
      </c>
      <c r="CB17" s="283" t="str">
        <f>IFERROR('ST Forecast'!#REF!,"")</f>
        <v/>
      </c>
      <c r="CC17" s="283" t="str">
        <f>IFERROR('ST Forecast'!#REF!,"")</f>
        <v/>
      </c>
      <c r="CD17" s="283" t="str">
        <f>IFERROR('ST Forecast'!#REF!,"")</f>
        <v/>
      </c>
      <c r="CE17" s="283" t="str">
        <f>IFERROR('ST Forecast'!#REF!,"")</f>
        <v/>
      </c>
      <c r="CF17" s="283" t="str">
        <f>IFERROR('ST Forecast'!#REF!,"")</f>
        <v/>
      </c>
      <c r="CG17" s="284" t="str">
        <f>IFERROR('ST Forecast'!#REF!,"")</f>
        <v/>
      </c>
    </row>
    <row r="18" spans="2:85" x14ac:dyDescent="0.3">
      <c r="B18" s="941"/>
      <c r="C18" s="936"/>
      <c r="D18" s="952"/>
      <c r="E18" s="285" t="s">
        <v>212</v>
      </c>
      <c r="F18" s="282" t="e">
        <f t="shared" ref="F18" si="170">SUM(G18:M18)</f>
        <v>#VALUE!</v>
      </c>
      <c r="G18" s="283" t="e">
        <f>G16*G17</f>
        <v>#VALUE!</v>
      </c>
      <c r="H18" s="283" t="e">
        <f t="shared" ref="H18" si="171">H16*H17</f>
        <v>#VALUE!</v>
      </c>
      <c r="I18" s="283" t="e">
        <f t="shared" ref="I18" si="172">I16*I17</f>
        <v>#VALUE!</v>
      </c>
      <c r="J18" s="283" t="e">
        <f t="shared" ref="J18" si="173">J16*J17</f>
        <v>#VALUE!</v>
      </c>
      <c r="K18" s="283" t="e">
        <f t="shared" ref="K18" si="174">K16*K17</f>
        <v>#VALUE!</v>
      </c>
      <c r="L18" s="283" t="e">
        <f t="shared" ref="L18:M18" si="175">L16*L17</f>
        <v>#VALUE!</v>
      </c>
      <c r="M18" s="283" t="e">
        <f t="shared" si="175"/>
        <v>#VALUE!</v>
      </c>
      <c r="N18" s="282" t="e">
        <f t="shared" ref="N18" si="176">SUM(O18:U18)</f>
        <v>#VALUE!</v>
      </c>
      <c r="O18" s="283" t="e">
        <f>O16*O17</f>
        <v>#VALUE!</v>
      </c>
      <c r="P18" s="283" t="e">
        <f t="shared" ref="P18:U18" si="177">P16*P17</f>
        <v>#VALUE!</v>
      </c>
      <c r="Q18" s="283" t="e">
        <f t="shared" si="177"/>
        <v>#VALUE!</v>
      </c>
      <c r="R18" s="283" t="e">
        <f t="shared" si="177"/>
        <v>#VALUE!</v>
      </c>
      <c r="S18" s="283" t="e">
        <f t="shared" si="177"/>
        <v>#VALUE!</v>
      </c>
      <c r="T18" s="283" t="e">
        <f t="shared" si="177"/>
        <v>#VALUE!</v>
      </c>
      <c r="U18" s="283" t="e">
        <f t="shared" si="177"/>
        <v>#VALUE!</v>
      </c>
      <c r="V18" s="282" t="e">
        <f t="shared" ref="V18" si="178">SUM(W18:AC18)</f>
        <v>#VALUE!</v>
      </c>
      <c r="W18" s="283" t="e">
        <f>W16*W17</f>
        <v>#VALUE!</v>
      </c>
      <c r="X18" s="283" t="e">
        <f t="shared" ref="X18:AC18" si="179">X16*X17</f>
        <v>#VALUE!</v>
      </c>
      <c r="Y18" s="283" t="e">
        <f t="shared" si="179"/>
        <v>#VALUE!</v>
      </c>
      <c r="Z18" s="283" t="e">
        <f t="shared" si="179"/>
        <v>#VALUE!</v>
      </c>
      <c r="AA18" s="283" t="e">
        <f t="shared" si="179"/>
        <v>#VALUE!</v>
      </c>
      <c r="AB18" s="283" t="e">
        <f t="shared" si="179"/>
        <v>#VALUE!</v>
      </c>
      <c r="AC18" s="283" t="e">
        <f t="shared" si="179"/>
        <v>#VALUE!</v>
      </c>
      <c r="AD18" s="282" t="e">
        <f t="shared" ref="AD18" si="180">SUM(AE18:AK18)</f>
        <v>#VALUE!</v>
      </c>
      <c r="AE18" s="283" t="e">
        <f>AE16*AE17</f>
        <v>#VALUE!</v>
      </c>
      <c r="AF18" s="283" t="e">
        <f t="shared" ref="AF18:AK18" si="181">AF16*AF17</f>
        <v>#VALUE!</v>
      </c>
      <c r="AG18" s="283" t="e">
        <f t="shared" si="181"/>
        <v>#VALUE!</v>
      </c>
      <c r="AH18" s="283" t="e">
        <f t="shared" si="181"/>
        <v>#VALUE!</v>
      </c>
      <c r="AI18" s="283" t="e">
        <f t="shared" si="181"/>
        <v>#VALUE!</v>
      </c>
      <c r="AJ18" s="283">
        <f t="shared" si="181"/>
        <v>0</v>
      </c>
      <c r="AK18" s="284" t="e">
        <f t="shared" si="181"/>
        <v>#VALUE!</v>
      </c>
      <c r="AL18" s="282" t="e">
        <f t="shared" ref="AL18:AL19" si="182">SUM(AM18:AS18)</f>
        <v>#VALUE!</v>
      </c>
      <c r="AM18" s="283" t="e">
        <f>AM16*AM17</f>
        <v>#VALUE!</v>
      </c>
      <c r="AN18" s="283" t="e">
        <f t="shared" ref="AN18:AS18" si="183">AN16*AN17</f>
        <v>#VALUE!</v>
      </c>
      <c r="AO18" s="283" t="e">
        <f t="shared" si="183"/>
        <v>#VALUE!</v>
      </c>
      <c r="AP18" s="283" t="e">
        <f t="shared" si="183"/>
        <v>#VALUE!</v>
      </c>
      <c r="AQ18" s="283" t="e">
        <f t="shared" si="183"/>
        <v>#VALUE!</v>
      </c>
      <c r="AR18" s="283" t="e">
        <f t="shared" si="183"/>
        <v>#VALUE!</v>
      </c>
      <c r="AS18" s="284" t="e">
        <f t="shared" si="183"/>
        <v>#VALUE!</v>
      </c>
      <c r="AT18" s="282" t="e">
        <f>SUM(AU18:BA18)</f>
        <v>#VALUE!</v>
      </c>
      <c r="AU18" s="283" t="e">
        <f>AU16*AU17</f>
        <v>#VALUE!</v>
      </c>
      <c r="AV18" s="283" t="e">
        <f t="shared" ref="AV18:BA18" si="184">AV16*AV17</f>
        <v>#VALUE!</v>
      </c>
      <c r="AW18" s="283" t="e">
        <f t="shared" si="184"/>
        <v>#VALUE!</v>
      </c>
      <c r="AX18" s="283" t="e">
        <f t="shared" si="184"/>
        <v>#VALUE!</v>
      </c>
      <c r="AY18" s="283" t="e">
        <f t="shared" si="184"/>
        <v>#VALUE!</v>
      </c>
      <c r="AZ18" s="283" t="e">
        <f t="shared" si="184"/>
        <v>#VALUE!</v>
      </c>
      <c r="BA18" s="284" t="e">
        <f t="shared" si="184"/>
        <v>#VALUE!</v>
      </c>
      <c r="BB18" s="282" t="e">
        <f>SUM(BC18:BI18)</f>
        <v>#VALUE!</v>
      </c>
      <c r="BC18" s="283" t="e">
        <f>BC16*BC17</f>
        <v>#VALUE!</v>
      </c>
      <c r="BD18" s="283" t="e">
        <f t="shared" ref="BD18:BI18" si="185">BD16*BD17</f>
        <v>#VALUE!</v>
      </c>
      <c r="BE18" s="283" t="e">
        <f t="shared" si="185"/>
        <v>#VALUE!</v>
      </c>
      <c r="BF18" s="283" t="e">
        <f t="shared" si="185"/>
        <v>#VALUE!</v>
      </c>
      <c r="BG18" s="283" t="e">
        <f t="shared" si="185"/>
        <v>#VALUE!</v>
      </c>
      <c r="BH18" s="283" t="e">
        <f t="shared" si="185"/>
        <v>#VALUE!</v>
      </c>
      <c r="BI18" s="284" t="e">
        <f t="shared" si="185"/>
        <v>#VALUE!</v>
      </c>
      <c r="BJ18" s="282" t="e">
        <f>SUM(BK18:BQ18)</f>
        <v>#VALUE!</v>
      </c>
      <c r="BK18" s="283" t="e">
        <f>BK16*BK17</f>
        <v>#VALUE!</v>
      </c>
      <c r="BL18" s="283" t="e">
        <f t="shared" ref="BL18:BQ18" si="186">BL16*BL17</f>
        <v>#VALUE!</v>
      </c>
      <c r="BM18" s="283" t="e">
        <f t="shared" si="186"/>
        <v>#VALUE!</v>
      </c>
      <c r="BN18" s="283" t="e">
        <f t="shared" si="186"/>
        <v>#VALUE!</v>
      </c>
      <c r="BO18" s="283" t="e">
        <f t="shared" si="186"/>
        <v>#VALUE!</v>
      </c>
      <c r="BP18" s="283" t="e">
        <f t="shared" si="186"/>
        <v>#VALUE!</v>
      </c>
      <c r="BQ18" s="284" t="e">
        <f t="shared" si="186"/>
        <v>#VALUE!</v>
      </c>
      <c r="BR18" s="282" t="e">
        <f>SUM(BS18:BY18)</f>
        <v>#VALUE!</v>
      </c>
      <c r="BS18" s="283" t="e">
        <f>BS16*BS17</f>
        <v>#VALUE!</v>
      </c>
      <c r="BT18" s="283" t="e">
        <f t="shared" ref="BT18:BY18" si="187">BT16*BT17</f>
        <v>#VALUE!</v>
      </c>
      <c r="BU18" s="283" t="e">
        <f t="shared" si="187"/>
        <v>#VALUE!</v>
      </c>
      <c r="BV18" s="283" t="e">
        <f t="shared" si="187"/>
        <v>#VALUE!</v>
      </c>
      <c r="BW18" s="283" t="e">
        <f t="shared" si="187"/>
        <v>#VALUE!</v>
      </c>
      <c r="BX18" s="283" t="e">
        <f t="shared" si="187"/>
        <v>#VALUE!</v>
      </c>
      <c r="BY18" s="284" t="e">
        <f t="shared" si="187"/>
        <v>#VALUE!</v>
      </c>
      <c r="BZ18" s="282" t="e">
        <f>SUM(CA18:CG18)</f>
        <v>#VALUE!</v>
      </c>
      <c r="CA18" s="283" t="e">
        <f>CA16*CA17</f>
        <v>#VALUE!</v>
      </c>
      <c r="CB18" s="283" t="e">
        <f t="shared" ref="CB18:CG18" si="188">CB16*CB17</f>
        <v>#VALUE!</v>
      </c>
      <c r="CC18" s="283" t="e">
        <f t="shared" si="188"/>
        <v>#VALUE!</v>
      </c>
      <c r="CD18" s="283" t="e">
        <f t="shared" si="188"/>
        <v>#VALUE!</v>
      </c>
      <c r="CE18" s="283" t="e">
        <f t="shared" si="188"/>
        <v>#VALUE!</v>
      </c>
      <c r="CF18" s="283" t="e">
        <f t="shared" si="188"/>
        <v>#VALUE!</v>
      </c>
      <c r="CG18" s="284" t="e">
        <f t="shared" si="188"/>
        <v>#VALUE!</v>
      </c>
    </row>
    <row r="19" spans="2:85" x14ac:dyDescent="0.3">
      <c r="B19" s="941"/>
      <c r="C19" s="936"/>
      <c r="D19" s="953" t="s">
        <v>213</v>
      </c>
      <c r="E19" s="188" t="s">
        <v>210</v>
      </c>
      <c r="F19" s="189">
        <f t="shared" si="43"/>
        <v>0</v>
      </c>
      <c r="G19" s="166"/>
      <c r="H19" s="166"/>
      <c r="I19" s="166"/>
      <c r="J19" s="166"/>
      <c r="K19" s="166"/>
      <c r="L19" s="166"/>
      <c r="M19" s="192"/>
      <c r="N19" s="189">
        <f t="shared" ref="N19" si="189">SUM(O19:U19)</f>
        <v>3111</v>
      </c>
      <c r="O19" s="166">
        <v>505</v>
      </c>
      <c r="P19" s="166">
        <v>550</v>
      </c>
      <c r="Q19" s="166">
        <v>526</v>
      </c>
      <c r="R19" s="166">
        <v>480</v>
      </c>
      <c r="S19" s="166">
        <v>550</v>
      </c>
      <c r="T19" s="166">
        <v>500</v>
      </c>
      <c r="U19" s="192" t="str">
        <f>U16</f>
        <v/>
      </c>
      <c r="V19" s="189">
        <f t="shared" ref="V19" si="190">SUM(W19:AC19)</f>
        <v>1749</v>
      </c>
      <c r="W19" s="166" t="str">
        <f t="shared" ref="W19:AC19" si="191">W16</f>
        <v/>
      </c>
      <c r="X19" s="166">
        <v>550</v>
      </c>
      <c r="Y19" s="166">
        <v>549</v>
      </c>
      <c r="Z19" s="166" t="str">
        <f t="shared" si="191"/>
        <v/>
      </c>
      <c r="AA19" s="166" t="str">
        <f t="shared" si="191"/>
        <v/>
      </c>
      <c r="AB19" s="166">
        <v>650</v>
      </c>
      <c r="AC19" s="166" t="str">
        <f t="shared" si="191"/>
        <v/>
      </c>
      <c r="AD19" s="189">
        <f t="shared" ref="AD19" si="192">SUM(AE19:AK19)</f>
        <v>2928</v>
      </c>
      <c r="AE19" s="166">
        <v>450</v>
      </c>
      <c r="AF19" s="166">
        <v>550</v>
      </c>
      <c r="AG19" s="166">
        <v>640</v>
      </c>
      <c r="AH19" s="166">
        <f>700-62</f>
        <v>638</v>
      </c>
      <c r="AI19" s="166">
        <v>650</v>
      </c>
      <c r="AJ19" s="166">
        <v>0</v>
      </c>
      <c r="AK19" s="192">
        <v>0</v>
      </c>
      <c r="AL19" s="189">
        <f t="shared" si="182"/>
        <v>3065</v>
      </c>
      <c r="AM19" s="166">
        <v>497</v>
      </c>
      <c r="AN19" s="166">
        <v>520</v>
      </c>
      <c r="AO19" s="166">
        <v>470</v>
      </c>
      <c r="AP19" s="166">
        <v>520</v>
      </c>
      <c r="AQ19" s="166">
        <v>584</v>
      </c>
      <c r="AR19" s="166">
        <v>474</v>
      </c>
      <c r="AS19" s="166">
        <v>0</v>
      </c>
      <c r="AT19" s="189">
        <f t="shared" ref="AT19" si="193">SUM(AU19:BA19)</f>
        <v>3267</v>
      </c>
      <c r="AU19" s="166">
        <v>440</v>
      </c>
      <c r="AV19" s="166">
        <v>588</v>
      </c>
      <c r="AW19" s="166">
        <v>572</v>
      </c>
      <c r="AX19" s="166">
        <v>577</v>
      </c>
      <c r="AY19" s="166">
        <v>594</v>
      </c>
      <c r="AZ19" s="166">
        <v>496</v>
      </c>
      <c r="BA19" s="192">
        <v>0</v>
      </c>
      <c r="BB19" s="189">
        <f t="shared" ref="BB19" si="194">SUM(BC19:BI19)</f>
        <v>3581</v>
      </c>
      <c r="BC19" s="166">
        <v>550</v>
      </c>
      <c r="BD19" s="166">
        <v>683</v>
      </c>
      <c r="BE19" s="166">
        <v>600</v>
      </c>
      <c r="BF19" s="166">
        <v>547</v>
      </c>
      <c r="BG19" s="166">
        <v>624</v>
      </c>
      <c r="BH19" s="166">
        <v>577</v>
      </c>
      <c r="BI19" s="192">
        <v>0</v>
      </c>
      <c r="BJ19" s="189">
        <f t="shared" ref="BJ19" si="195">SUM(BK19:BQ19)</f>
        <v>3848</v>
      </c>
      <c r="BK19" s="166">
        <v>497</v>
      </c>
      <c r="BL19" s="166">
        <v>629</v>
      </c>
      <c r="BM19" s="166">
        <v>650</v>
      </c>
      <c r="BN19" s="166">
        <v>676</v>
      </c>
      <c r="BO19" s="166">
        <v>696</v>
      </c>
      <c r="BP19" s="166">
        <v>700</v>
      </c>
      <c r="BQ19" s="192" t="str">
        <f t="shared" ref="BQ19" si="196">BQ16</f>
        <v/>
      </c>
      <c r="BR19" s="189">
        <f t="shared" ref="BR19" si="197">SUM(BS19:BY19)</f>
        <v>0</v>
      </c>
      <c r="BS19" s="166" t="str">
        <f>BS16</f>
        <v/>
      </c>
      <c r="BT19" s="166" t="str">
        <f t="shared" ref="BT19:BY19" si="198">BT16</f>
        <v/>
      </c>
      <c r="BU19" s="166" t="str">
        <f t="shared" si="198"/>
        <v/>
      </c>
      <c r="BV19" s="166" t="str">
        <f t="shared" si="198"/>
        <v/>
      </c>
      <c r="BW19" s="166" t="str">
        <f t="shared" si="198"/>
        <v/>
      </c>
      <c r="BX19" s="166" t="str">
        <f t="shared" si="198"/>
        <v/>
      </c>
      <c r="BY19" s="192" t="str">
        <f t="shared" si="198"/>
        <v/>
      </c>
      <c r="BZ19" s="189">
        <f t="shared" ref="BZ19" si="199">SUM(CA19:CG19)</f>
        <v>0</v>
      </c>
      <c r="CA19" s="166" t="str">
        <f>CA16</f>
        <v/>
      </c>
      <c r="CB19" s="166" t="str">
        <f t="shared" ref="CB19:CG19" si="200">CB16</f>
        <v/>
      </c>
      <c r="CC19" s="166" t="str">
        <f t="shared" si="200"/>
        <v/>
      </c>
      <c r="CD19" s="166" t="str">
        <f t="shared" si="200"/>
        <v/>
      </c>
      <c r="CE19" s="166" t="str">
        <f t="shared" si="200"/>
        <v/>
      </c>
      <c r="CF19" s="166" t="str">
        <f t="shared" si="200"/>
        <v/>
      </c>
      <c r="CG19" s="192" t="str">
        <f t="shared" si="200"/>
        <v/>
      </c>
    </row>
    <row r="20" spans="2:85" x14ac:dyDescent="0.3">
      <c r="B20" s="941"/>
      <c r="C20" s="936"/>
      <c r="D20" s="953"/>
      <c r="E20" s="188" t="s">
        <v>211</v>
      </c>
      <c r="F20" s="189">
        <f>IFERROR(AVERAGEIF(G20:M20,"&lt;&gt;0"),0)</f>
        <v>0</v>
      </c>
      <c r="G20" s="166"/>
      <c r="H20" s="166"/>
      <c r="I20" s="166"/>
      <c r="J20" s="166"/>
      <c r="K20" s="166"/>
      <c r="L20" s="166"/>
      <c r="M20" s="192"/>
      <c r="N20" s="189">
        <f>IFERROR(AVERAGEIF(O20:U20,"&lt;&gt;0"),0)</f>
        <v>52.6</v>
      </c>
      <c r="O20" s="166">
        <v>54</v>
      </c>
      <c r="P20" s="166">
        <v>50</v>
      </c>
      <c r="Q20" s="166">
        <v>51</v>
      </c>
      <c r="R20" s="166">
        <v>51</v>
      </c>
      <c r="S20" s="166">
        <v>57</v>
      </c>
      <c r="T20" s="166" t="str">
        <f t="shared" ref="T20" si="201">T17</f>
        <v/>
      </c>
      <c r="U20" s="192" t="str">
        <f>U17</f>
        <v/>
      </c>
      <c r="V20" s="189">
        <f>IFERROR(AVERAGEIF(W20:AC20,"&lt;&gt;0"),0)</f>
        <v>0</v>
      </c>
      <c r="W20" s="166" t="e">
        <f t="shared" ref="W20:AB20" si="202">W21/W19</f>
        <v>#VALUE!</v>
      </c>
      <c r="X20" s="166">
        <f t="shared" si="202"/>
        <v>46.298181818181817</v>
      </c>
      <c r="Y20" s="166">
        <f t="shared" si="202"/>
        <v>49.684881602914388</v>
      </c>
      <c r="Z20" s="166" t="e">
        <f t="shared" si="202"/>
        <v>#VALUE!</v>
      </c>
      <c r="AA20" s="166" t="e">
        <f t="shared" si="202"/>
        <v>#VALUE!</v>
      </c>
      <c r="AB20" s="166">
        <f t="shared" si="202"/>
        <v>47.692307692307693</v>
      </c>
      <c r="AC20" s="166">
        <v>0</v>
      </c>
      <c r="AD20" s="189">
        <f>IFERROR(AVERAGEIF(AE20:AK20,"&lt;&gt;0"),0)</f>
        <v>47.603030303030302</v>
      </c>
      <c r="AE20" s="166">
        <f t="shared" ref="AE20:AF20" si="203">AE21/AE19</f>
        <v>46.453333333333333</v>
      </c>
      <c r="AF20" s="166">
        <f t="shared" si="203"/>
        <v>46.561818181818182</v>
      </c>
      <c r="AG20" s="166">
        <v>47</v>
      </c>
      <c r="AH20" s="166">
        <v>47</v>
      </c>
      <c r="AI20" s="166">
        <v>51</v>
      </c>
      <c r="AJ20" s="166">
        <v>0</v>
      </c>
      <c r="AK20" s="192">
        <v>0</v>
      </c>
      <c r="AL20" s="189">
        <f>IFERROR(AVERAGEIF(AM20:AS20,"&lt;&gt;0"),0)</f>
        <v>48.666666666666664</v>
      </c>
      <c r="AM20" s="166">
        <v>44</v>
      </c>
      <c r="AN20" s="166">
        <v>42</v>
      </c>
      <c r="AO20" s="166">
        <v>50</v>
      </c>
      <c r="AP20" s="166">
        <v>50</v>
      </c>
      <c r="AQ20" s="166">
        <v>53</v>
      </c>
      <c r="AR20" s="166">
        <v>53</v>
      </c>
      <c r="AS20" s="166">
        <f>IFERROR(AS21/AS19,0)</f>
        <v>0</v>
      </c>
      <c r="AT20" s="189">
        <f>IFERROR(AVERAGEIF(AU20:BA20,"&lt;&gt;0"),0)</f>
        <v>53.298051075268823</v>
      </c>
      <c r="AU20" s="166">
        <v>52</v>
      </c>
      <c r="AV20" s="166">
        <v>51</v>
      </c>
      <c r="AW20" s="166">
        <v>54</v>
      </c>
      <c r="AX20" s="166">
        <v>52</v>
      </c>
      <c r="AY20" s="166">
        <v>57</v>
      </c>
      <c r="AZ20" s="166">
        <f t="shared" ref="AZ20" si="204">IFERROR(AZ21/AZ19,0)</f>
        <v>53.788306451612904</v>
      </c>
      <c r="BA20" s="192">
        <f t="shared" ref="BA20" si="205">IFERROR(BA21/BA19,0)</f>
        <v>0</v>
      </c>
      <c r="BB20" s="189">
        <f>IFERROR(AVERAGEIF(BC20:BI20,"&lt;&gt;0"),0)</f>
        <v>53.333333333333336</v>
      </c>
      <c r="BC20" s="166">
        <v>55</v>
      </c>
      <c r="BD20" s="166">
        <v>51</v>
      </c>
      <c r="BE20" s="166">
        <v>53</v>
      </c>
      <c r="BF20" s="166">
        <v>53</v>
      </c>
      <c r="BG20" s="166">
        <v>54</v>
      </c>
      <c r="BH20" s="166">
        <v>54</v>
      </c>
      <c r="BI20" s="192"/>
      <c r="BJ20" s="189">
        <f>IFERROR(AVERAGEIF(BK20:BQ20,"&lt;&gt;0"),0)</f>
        <v>50</v>
      </c>
      <c r="BK20" s="166">
        <v>48</v>
      </c>
      <c r="BL20" s="166">
        <v>51</v>
      </c>
      <c r="BM20" s="166">
        <v>51</v>
      </c>
      <c r="BN20" s="166">
        <v>50</v>
      </c>
      <c r="BO20" s="166" t="str">
        <f t="shared" ref="BO20:BP20" si="206">BO17</f>
        <v/>
      </c>
      <c r="BP20" s="166" t="str">
        <f t="shared" si="206"/>
        <v/>
      </c>
      <c r="BQ20" s="192" t="str">
        <f>BQ17</f>
        <v/>
      </c>
      <c r="BR20" s="189">
        <f>IFERROR(AVERAGEIF(BS20:BY20,"&lt;&gt;0"),0)</f>
        <v>49.5</v>
      </c>
      <c r="BS20" s="166">
        <v>48</v>
      </c>
      <c r="BT20" s="166">
        <v>51</v>
      </c>
      <c r="BU20" s="166" t="str">
        <f t="shared" ref="BU20:BX20" si="207">BU17</f>
        <v/>
      </c>
      <c r="BV20" s="166" t="str">
        <f t="shared" si="207"/>
        <v/>
      </c>
      <c r="BW20" s="166" t="str">
        <f t="shared" si="207"/>
        <v/>
      </c>
      <c r="BX20" s="166" t="str">
        <f t="shared" si="207"/>
        <v/>
      </c>
      <c r="BY20" s="192" t="str">
        <f>BY17</f>
        <v/>
      </c>
      <c r="BZ20" s="189">
        <f>IFERROR(AVERAGEIF(CA20:CG20,"&lt;&gt;0"),0)</f>
        <v>0</v>
      </c>
      <c r="CA20" s="166" t="str">
        <f t="shared" ref="CA20:CG20" si="208">CA17</f>
        <v/>
      </c>
      <c r="CB20" s="166" t="str">
        <f t="shared" si="208"/>
        <v/>
      </c>
      <c r="CC20" s="166" t="str">
        <f t="shared" si="208"/>
        <v/>
      </c>
      <c r="CD20" s="166" t="str">
        <f t="shared" si="208"/>
        <v/>
      </c>
      <c r="CE20" s="166" t="str">
        <f t="shared" si="208"/>
        <v/>
      </c>
      <c r="CF20" s="166" t="str">
        <f t="shared" si="208"/>
        <v/>
      </c>
      <c r="CG20" s="192" t="str">
        <f t="shared" si="208"/>
        <v/>
      </c>
    </row>
    <row r="21" spans="2:85" x14ac:dyDescent="0.3">
      <c r="B21" s="941"/>
      <c r="C21" s="936"/>
      <c r="D21" s="953"/>
      <c r="E21" s="190" t="s">
        <v>212</v>
      </c>
      <c r="F21" s="191">
        <f t="shared" si="43"/>
        <v>0</v>
      </c>
      <c r="G21" s="169">
        <f>G19*G20</f>
        <v>0</v>
      </c>
      <c r="H21" s="169">
        <f t="shared" ref="H21" si="209">H19*H20</f>
        <v>0</v>
      </c>
      <c r="I21" s="169">
        <f t="shared" ref="I21" si="210">I19*I20</f>
        <v>0</v>
      </c>
      <c r="J21" s="169">
        <f t="shared" ref="J21" si="211">J19*J20</f>
        <v>0</v>
      </c>
      <c r="K21" s="169">
        <f t="shared" ref="K21" si="212">K19*K20</f>
        <v>0</v>
      </c>
      <c r="L21" s="169">
        <f t="shared" ref="L21" si="213">L19*L20</f>
        <v>0</v>
      </c>
      <c r="M21" s="169">
        <f>M19*M20</f>
        <v>0</v>
      </c>
      <c r="N21" s="191" t="e">
        <f t="shared" ref="N21" si="214">SUM(O21:U21)</f>
        <v>#VALUE!</v>
      </c>
      <c r="O21" s="169">
        <f>O19*O20</f>
        <v>27270</v>
      </c>
      <c r="P21" s="169">
        <f t="shared" ref="P21:T21" si="215">P19*P20</f>
        <v>27500</v>
      </c>
      <c r="Q21" s="169">
        <f t="shared" si="215"/>
        <v>26826</v>
      </c>
      <c r="R21" s="169">
        <f t="shared" si="215"/>
        <v>24480</v>
      </c>
      <c r="S21" s="169">
        <f t="shared" si="215"/>
        <v>31350</v>
      </c>
      <c r="T21" s="169" t="e">
        <f t="shared" si="215"/>
        <v>#VALUE!</v>
      </c>
      <c r="U21" s="169" t="e">
        <f>U19*U20</f>
        <v>#VALUE!</v>
      </c>
      <c r="V21" s="191">
        <f t="shared" ref="V21" si="216">SUM(W21:AC21)</f>
        <v>159149</v>
      </c>
      <c r="W21" s="169">
        <v>20904</v>
      </c>
      <c r="X21" s="169">
        <v>25464</v>
      </c>
      <c r="Y21" s="169">
        <v>27277</v>
      </c>
      <c r="Z21" s="169">
        <v>26131</v>
      </c>
      <c r="AA21" s="169">
        <v>28373</v>
      </c>
      <c r="AB21" s="169">
        <v>31000</v>
      </c>
      <c r="AC21" s="169">
        <v>0</v>
      </c>
      <c r="AD21" s="191">
        <f t="shared" ref="AD21" si="217">SUM(AE21:AK21)</f>
        <v>131499</v>
      </c>
      <c r="AE21" s="169">
        <v>20904</v>
      </c>
      <c r="AF21" s="169">
        <v>25609</v>
      </c>
      <c r="AG21" s="169">
        <v>28056</v>
      </c>
      <c r="AH21" s="169">
        <v>28930</v>
      </c>
      <c r="AI21" s="169">
        <v>28000</v>
      </c>
      <c r="AJ21" s="169">
        <v>0</v>
      </c>
      <c r="AK21" s="193">
        <v>0</v>
      </c>
      <c r="AL21" s="191">
        <f t="shared" ref="AL21" si="218">SUM(AM21:AS21)</f>
        <v>141101</v>
      </c>
      <c r="AM21" s="169">
        <v>21342</v>
      </c>
      <c r="AN21" s="169">
        <v>20393</v>
      </c>
      <c r="AO21" s="169">
        <v>21596</v>
      </c>
      <c r="AP21" s="169">
        <v>24013</v>
      </c>
      <c r="AQ21" s="169">
        <v>29674</v>
      </c>
      <c r="AR21" s="169">
        <v>24083</v>
      </c>
      <c r="AS21" s="169">
        <v>0</v>
      </c>
      <c r="AT21" s="191">
        <f t="shared" ref="AT21" si="219">SUM(AU21:BA21)</f>
        <v>167468</v>
      </c>
      <c r="AU21" s="169">
        <v>22634</v>
      </c>
      <c r="AV21" s="169">
        <v>28621</v>
      </c>
      <c r="AW21" s="169">
        <v>28701</v>
      </c>
      <c r="AX21" s="169">
        <v>29084</v>
      </c>
      <c r="AY21" s="169">
        <v>31749</v>
      </c>
      <c r="AZ21" s="169">
        <v>26679</v>
      </c>
      <c r="BA21" s="193"/>
      <c r="BB21" s="191">
        <f t="shared" ref="BB21" si="220">SUM(BC21:BI21)</f>
        <v>181325</v>
      </c>
      <c r="BC21" s="169">
        <v>27712</v>
      </c>
      <c r="BD21" s="169">
        <v>31497</v>
      </c>
      <c r="BE21" s="169">
        <v>31099</v>
      </c>
      <c r="BF21" s="169">
        <v>27383</v>
      </c>
      <c r="BG21" s="169">
        <v>32376</v>
      </c>
      <c r="BH21" s="169">
        <v>31258</v>
      </c>
      <c r="BI21" s="193"/>
      <c r="BJ21" s="191" t="e">
        <f>SUM(BK21:BQ21)</f>
        <v>#VALUE!</v>
      </c>
      <c r="BK21" s="169">
        <f>23463</f>
        <v>23463</v>
      </c>
      <c r="BL21" s="169">
        <v>19037</v>
      </c>
      <c r="BM21" s="169">
        <v>32168</v>
      </c>
      <c r="BN21" s="169">
        <v>28583</v>
      </c>
      <c r="BO21" s="169" t="e">
        <f t="shared" ref="BO21:BQ21" si="221">BO19*BO20*$D$2</f>
        <v>#VALUE!</v>
      </c>
      <c r="BP21" s="169" t="e">
        <f t="shared" si="221"/>
        <v>#VALUE!</v>
      </c>
      <c r="BQ21" s="193" t="e">
        <f t="shared" si="221"/>
        <v>#VALUE!</v>
      </c>
      <c r="BR21" s="191" t="e">
        <f>SUM(BS21:BY21)</f>
        <v>#VALUE!</v>
      </c>
      <c r="BS21" s="169" t="e">
        <f t="shared" ref="BS21:BY21" si="222">BS19*BS20*$D$2</f>
        <v>#VALUE!</v>
      </c>
      <c r="BT21" s="169" t="e">
        <f t="shared" si="222"/>
        <v>#VALUE!</v>
      </c>
      <c r="BU21" s="169" t="e">
        <f t="shared" si="222"/>
        <v>#VALUE!</v>
      </c>
      <c r="BV21" s="169" t="e">
        <f t="shared" si="222"/>
        <v>#VALUE!</v>
      </c>
      <c r="BW21" s="169" t="e">
        <f t="shared" si="222"/>
        <v>#VALUE!</v>
      </c>
      <c r="BX21" s="169" t="e">
        <f t="shared" si="222"/>
        <v>#VALUE!</v>
      </c>
      <c r="BY21" s="193" t="e">
        <f t="shared" si="222"/>
        <v>#VALUE!</v>
      </c>
      <c r="BZ21" s="191" t="e">
        <f>SUM(CA21:CG21)</f>
        <v>#VALUE!</v>
      </c>
      <c r="CA21" s="169" t="e">
        <f>CA19*CA20*$D$2</f>
        <v>#VALUE!</v>
      </c>
      <c r="CB21" s="169" t="e">
        <f t="shared" ref="CB21" si="223">CB19*CB20*$D$2</f>
        <v>#VALUE!</v>
      </c>
      <c r="CC21" s="169" t="e">
        <f t="shared" ref="CC21" si="224">CC19*CC20*$D$2</f>
        <v>#VALUE!</v>
      </c>
      <c r="CD21" s="169" t="e">
        <f t="shared" ref="CD21" si="225">CD19*CD20*$D$2</f>
        <v>#VALUE!</v>
      </c>
      <c r="CE21" s="169" t="e">
        <f t="shared" ref="CE21" si="226">CE19*CE20*$D$2</f>
        <v>#VALUE!</v>
      </c>
      <c r="CF21" s="169" t="e">
        <f t="shared" ref="CF21" si="227">CF19*CF20*$D$2</f>
        <v>#VALUE!</v>
      </c>
      <c r="CG21" s="193" t="e">
        <f t="shared" ref="CG21" si="228">CG19*CG20*$D$2</f>
        <v>#VALUE!</v>
      </c>
    </row>
    <row r="22" spans="2:85" outlineLevel="1" x14ac:dyDescent="0.3">
      <c r="B22" s="941"/>
      <c r="C22" s="937" t="s">
        <v>216</v>
      </c>
      <c r="D22" s="969" t="s">
        <v>209</v>
      </c>
      <c r="E22" s="287" t="s">
        <v>210</v>
      </c>
      <c r="F22" s="288">
        <f>SUM(F4,F10,F16)</f>
        <v>0</v>
      </c>
      <c r="G22" s="289">
        <f t="shared" ref="G22:M22" si="229">SUM(G4,G10,G16)</f>
        <v>0</v>
      </c>
      <c r="H22" s="289">
        <f t="shared" si="229"/>
        <v>0</v>
      </c>
      <c r="I22" s="289">
        <f t="shared" si="229"/>
        <v>0</v>
      </c>
      <c r="J22" s="289">
        <f t="shared" si="229"/>
        <v>0</v>
      </c>
      <c r="K22" s="289">
        <f t="shared" si="229"/>
        <v>0</v>
      </c>
      <c r="L22" s="289">
        <f t="shared" si="229"/>
        <v>0</v>
      </c>
      <c r="M22" s="290">
        <f t="shared" si="229"/>
        <v>0</v>
      </c>
      <c r="N22" s="288">
        <f>SUM(N4,N10,N16)</f>
        <v>0</v>
      </c>
      <c r="O22" s="289">
        <f t="shared" ref="O22:U22" si="230">SUM(O4,O10,O16)</f>
        <v>0</v>
      </c>
      <c r="P22" s="289">
        <f t="shared" si="230"/>
        <v>0</v>
      </c>
      <c r="Q22" s="289">
        <f t="shared" si="230"/>
        <v>0</v>
      </c>
      <c r="R22" s="289">
        <f t="shared" si="230"/>
        <v>0</v>
      </c>
      <c r="S22" s="289">
        <f t="shared" si="230"/>
        <v>0</v>
      </c>
      <c r="T22" s="289">
        <f t="shared" si="230"/>
        <v>0</v>
      </c>
      <c r="U22" s="290">
        <f t="shared" si="230"/>
        <v>0</v>
      </c>
      <c r="V22" s="288">
        <f>SUM(V4,V10,V16)</f>
        <v>0</v>
      </c>
      <c r="W22" s="289">
        <f t="shared" ref="W22:AC22" si="231">SUM(W4,W10,W16)</f>
        <v>0</v>
      </c>
      <c r="X22" s="289">
        <f t="shared" si="231"/>
        <v>0</v>
      </c>
      <c r="Y22" s="289">
        <f t="shared" si="231"/>
        <v>0</v>
      </c>
      <c r="Z22" s="289">
        <f t="shared" si="231"/>
        <v>0</v>
      </c>
      <c r="AA22" s="289">
        <f t="shared" si="231"/>
        <v>0</v>
      </c>
      <c r="AB22" s="289">
        <f t="shared" si="231"/>
        <v>0</v>
      </c>
      <c r="AC22" s="346">
        <f t="shared" si="231"/>
        <v>0</v>
      </c>
      <c r="AD22" s="288">
        <f>SUM(AD4,AD10,AD16)</f>
        <v>0</v>
      </c>
      <c r="AE22" s="289">
        <f t="shared" ref="AE22:AK22" si="232">SUM(AE4,AE10,AE16)</f>
        <v>0</v>
      </c>
      <c r="AF22" s="289">
        <f t="shared" si="232"/>
        <v>0</v>
      </c>
      <c r="AG22" s="289">
        <f t="shared" si="232"/>
        <v>0</v>
      </c>
      <c r="AH22" s="289">
        <f t="shared" si="232"/>
        <v>0</v>
      </c>
      <c r="AI22" s="289">
        <f t="shared" si="232"/>
        <v>0</v>
      </c>
      <c r="AJ22" s="289">
        <f t="shared" si="232"/>
        <v>0</v>
      </c>
      <c r="AK22" s="290">
        <f t="shared" si="232"/>
        <v>0</v>
      </c>
      <c r="AL22" s="288">
        <f>SUM(AL4,AL10,AL16)</f>
        <v>2370</v>
      </c>
      <c r="AM22" s="289">
        <f t="shared" ref="AM22:AS22" si="233">SUM(AM4,AM10,AM16)</f>
        <v>0</v>
      </c>
      <c r="AN22" s="289">
        <f t="shared" si="233"/>
        <v>450</v>
      </c>
      <c r="AO22" s="289">
        <f t="shared" si="233"/>
        <v>0</v>
      </c>
      <c r="AP22" s="289">
        <f t="shared" si="233"/>
        <v>0</v>
      </c>
      <c r="AQ22" s="289">
        <f t="shared" si="233"/>
        <v>600</v>
      </c>
      <c r="AR22" s="289">
        <f t="shared" si="233"/>
        <v>1320</v>
      </c>
      <c r="AS22" s="290">
        <f t="shared" si="233"/>
        <v>0</v>
      </c>
      <c r="AT22" s="288">
        <f>SUM(AT4,AT10,AT16)</f>
        <v>3403</v>
      </c>
      <c r="AU22" s="289">
        <f t="shared" ref="AU22:BA22" si="234">SUM(AU4,AU10,AU16)</f>
        <v>0</v>
      </c>
      <c r="AV22" s="289">
        <f t="shared" si="234"/>
        <v>0</v>
      </c>
      <c r="AW22" s="289">
        <f t="shared" si="234"/>
        <v>600</v>
      </c>
      <c r="AX22" s="289">
        <f t="shared" si="234"/>
        <v>0</v>
      </c>
      <c r="AY22" s="289">
        <f t="shared" si="234"/>
        <v>850</v>
      </c>
      <c r="AZ22" s="289">
        <f t="shared" si="234"/>
        <v>1953</v>
      </c>
      <c r="BA22" s="290">
        <f t="shared" si="234"/>
        <v>0</v>
      </c>
      <c r="BB22" s="288">
        <f>SUM(BB4,BB10,BB16)</f>
        <v>0</v>
      </c>
      <c r="BC22" s="289">
        <f t="shared" ref="BC22:BI22" si="235">SUM(BC4,BC10,BC16)</f>
        <v>0</v>
      </c>
      <c r="BD22" s="289">
        <f t="shared" si="235"/>
        <v>0</v>
      </c>
      <c r="BE22" s="289">
        <f t="shared" si="235"/>
        <v>0</v>
      </c>
      <c r="BF22" s="289">
        <f t="shared" si="235"/>
        <v>0</v>
      </c>
      <c r="BG22" s="289">
        <f t="shared" si="235"/>
        <v>0</v>
      </c>
      <c r="BH22" s="289">
        <f t="shared" si="235"/>
        <v>0</v>
      </c>
      <c r="BI22" s="290">
        <f t="shared" si="235"/>
        <v>0</v>
      </c>
      <c r="BJ22" s="288">
        <f>SUM(BJ4,BJ10,BJ16)</f>
        <v>0</v>
      </c>
      <c r="BK22" s="289">
        <f t="shared" ref="BK22:BQ22" si="236">SUM(BK4,BK10,BK16)</f>
        <v>0</v>
      </c>
      <c r="BL22" s="289">
        <f t="shared" si="236"/>
        <v>0</v>
      </c>
      <c r="BM22" s="289">
        <f t="shared" si="236"/>
        <v>0</v>
      </c>
      <c r="BN22" s="289">
        <f t="shared" si="236"/>
        <v>0</v>
      </c>
      <c r="BO22" s="289">
        <f t="shared" si="236"/>
        <v>0</v>
      </c>
      <c r="BP22" s="289">
        <f t="shared" si="236"/>
        <v>0</v>
      </c>
      <c r="BQ22" s="290">
        <f t="shared" si="236"/>
        <v>0</v>
      </c>
      <c r="BR22" s="288">
        <f>SUM(BR4,BR10,BR16)</f>
        <v>0</v>
      </c>
      <c r="BS22" s="289">
        <f t="shared" ref="BS22:BY22" si="237">SUM(BS4,BS10,BS16)</f>
        <v>0</v>
      </c>
      <c r="BT22" s="289">
        <f t="shared" si="237"/>
        <v>0</v>
      </c>
      <c r="BU22" s="289">
        <f t="shared" si="237"/>
        <v>0</v>
      </c>
      <c r="BV22" s="289">
        <f t="shared" si="237"/>
        <v>0</v>
      </c>
      <c r="BW22" s="289">
        <f t="shared" si="237"/>
        <v>0</v>
      </c>
      <c r="BX22" s="289">
        <f t="shared" si="237"/>
        <v>0</v>
      </c>
      <c r="BY22" s="290">
        <f t="shared" si="237"/>
        <v>0</v>
      </c>
      <c r="BZ22" s="288">
        <f>SUM(BZ4,BZ10,BZ16)</f>
        <v>0</v>
      </c>
      <c r="CA22" s="289">
        <f t="shared" ref="CA22:CG22" si="238">SUM(CA4,CA10,CA16)</f>
        <v>0</v>
      </c>
      <c r="CB22" s="289">
        <f t="shared" si="238"/>
        <v>0</v>
      </c>
      <c r="CC22" s="289">
        <f t="shared" si="238"/>
        <v>0</v>
      </c>
      <c r="CD22" s="289">
        <f t="shared" si="238"/>
        <v>0</v>
      </c>
      <c r="CE22" s="289">
        <f t="shared" si="238"/>
        <v>0</v>
      </c>
      <c r="CF22" s="289">
        <f t="shared" si="238"/>
        <v>0</v>
      </c>
      <c r="CG22" s="290">
        <f t="shared" si="238"/>
        <v>0</v>
      </c>
    </row>
    <row r="23" spans="2:85" outlineLevel="1" x14ac:dyDescent="0.3">
      <c r="B23" s="941"/>
      <c r="C23" s="938"/>
      <c r="D23" s="970"/>
      <c r="E23" s="291" t="s">
        <v>212</v>
      </c>
      <c r="F23" s="288" t="e">
        <f t="shared" ref="F23:AK23" si="239">SUM(F6,F12,F18)</f>
        <v>#VALUE!</v>
      </c>
      <c r="G23" s="289" t="e">
        <f t="shared" si="239"/>
        <v>#VALUE!</v>
      </c>
      <c r="H23" s="289" t="e">
        <f t="shared" si="239"/>
        <v>#VALUE!</v>
      </c>
      <c r="I23" s="289" t="e">
        <f t="shared" si="239"/>
        <v>#VALUE!</v>
      </c>
      <c r="J23" s="289" t="e">
        <f t="shared" si="239"/>
        <v>#VALUE!</v>
      </c>
      <c r="K23" s="289" t="e">
        <f t="shared" si="239"/>
        <v>#VALUE!</v>
      </c>
      <c r="L23" s="289" t="e">
        <f t="shared" si="239"/>
        <v>#VALUE!</v>
      </c>
      <c r="M23" s="292" t="e">
        <f t="shared" si="239"/>
        <v>#VALUE!</v>
      </c>
      <c r="N23" s="288" t="e">
        <f t="shared" si="239"/>
        <v>#VALUE!</v>
      </c>
      <c r="O23" s="289" t="e">
        <f t="shared" si="239"/>
        <v>#VALUE!</v>
      </c>
      <c r="P23" s="289" t="e">
        <f t="shared" si="239"/>
        <v>#VALUE!</v>
      </c>
      <c r="Q23" s="289" t="e">
        <f t="shared" si="239"/>
        <v>#VALUE!</v>
      </c>
      <c r="R23" s="289" t="e">
        <f t="shared" si="239"/>
        <v>#VALUE!</v>
      </c>
      <c r="S23" s="289" t="e">
        <f t="shared" si="239"/>
        <v>#VALUE!</v>
      </c>
      <c r="T23" s="289" t="e">
        <f t="shared" si="239"/>
        <v>#VALUE!</v>
      </c>
      <c r="U23" s="292" t="e">
        <f t="shared" si="239"/>
        <v>#VALUE!</v>
      </c>
      <c r="V23" s="288" t="e">
        <f t="shared" si="239"/>
        <v>#VALUE!</v>
      </c>
      <c r="W23" s="289" t="e">
        <f t="shared" si="239"/>
        <v>#VALUE!</v>
      </c>
      <c r="X23" s="289" t="e">
        <f t="shared" si="239"/>
        <v>#VALUE!</v>
      </c>
      <c r="Y23" s="289" t="e">
        <f t="shared" si="239"/>
        <v>#VALUE!</v>
      </c>
      <c r="Z23" s="289" t="e">
        <f t="shared" si="239"/>
        <v>#VALUE!</v>
      </c>
      <c r="AA23" s="289" t="e">
        <f t="shared" si="239"/>
        <v>#VALUE!</v>
      </c>
      <c r="AB23" s="289" t="e">
        <f t="shared" si="239"/>
        <v>#VALUE!</v>
      </c>
      <c r="AC23" s="289" t="e">
        <f t="shared" si="239"/>
        <v>#VALUE!</v>
      </c>
      <c r="AD23" s="288" t="e">
        <f t="shared" si="239"/>
        <v>#VALUE!</v>
      </c>
      <c r="AE23" s="289" t="e">
        <f t="shared" si="239"/>
        <v>#VALUE!</v>
      </c>
      <c r="AF23" s="289" t="e">
        <f t="shared" si="239"/>
        <v>#VALUE!</v>
      </c>
      <c r="AG23" s="289" t="e">
        <f t="shared" si="239"/>
        <v>#VALUE!</v>
      </c>
      <c r="AH23" s="289" t="e">
        <f t="shared" si="239"/>
        <v>#VALUE!</v>
      </c>
      <c r="AI23" s="289" t="e">
        <f t="shared" si="239"/>
        <v>#VALUE!</v>
      </c>
      <c r="AJ23" s="289" t="e">
        <f t="shared" si="239"/>
        <v>#VALUE!</v>
      </c>
      <c r="AK23" s="292" t="e">
        <f t="shared" si="239"/>
        <v>#VALUE!</v>
      </c>
      <c r="AL23" s="288" t="e">
        <f t="shared" ref="AL23:AS23" si="240">SUM(AL6,AL12,AL18)</f>
        <v>#VALUE!</v>
      </c>
      <c r="AM23" s="289" t="e">
        <f t="shared" si="240"/>
        <v>#VALUE!</v>
      </c>
      <c r="AN23" s="289" t="e">
        <f t="shared" si="240"/>
        <v>#VALUE!</v>
      </c>
      <c r="AO23" s="289" t="e">
        <f t="shared" si="240"/>
        <v>#VALUE!</v>
      </c>
      <c r="AP23" s="289" t="e">
        <f t="shared" si="240"/>
        <v>#VALUE!</v>
      </c>
      <c r="AQ23" s="289" t="e">
        <f t="shared" si="240"/>
        <v>#VALUE!</v>
      </c>
      <c r="AR23" s="289" t="e">
        <f t="shared" si="240"/>
        <v>#VALUE!</v>
      </c>
      <c r="AS23" s="292" t="e">
        <f t="shared" si="240"/>
        <v>#VALUE!</v>
      </c>
      <c r="AT23" s="288" t="e">
        <f>SUM(AT6,AT12,AT18)</f>
        <v>#VALUE!</v>
      </c>
      <c r="AU23" s="289" t="e">
        <f t="shared" ref="AU23:BA23" si="241">SUM(AU6,AU12,AU18)</f>
        <v>#VALUE!</v>
      </c>
      <c r="AV23" s="289" t="e">
        <f t="shared" si="241"/>
        <v>#VALUE!</v>
      </c>
      <c r="AW23" s="289" t="e">
        <f t="shared" si="241"/>
        <v>#VALUE!</v>
      </c>
      <c r="AX23" s="289" t="e">
        <f t="shared" si="241"/>
        <v>#VALUE!</v>
      </c>
      <c r="AY23" s="289" t="e">
        <f t="shared" si="241"/>
        <v>#VALUE!</v>
      </c>
      <c r="AZ23" s="289" t="e">
        <f t="shared" si="241"/>
        <v>#VALUE!</v>
      </c>
      <c r="BA23" s="292" t="e">
        <f t="shared" si="241"/>
        <v>#VALUE!</v>
      </c>
      <c r="BB23" s="288" t="e">
        <f>SUM(BB6,BB12,BB18)</f>
        <v>#VALUE!</v>
      </c>
      <c r="BC23" s="289" t="e">
        <f>SUM(BC6,BC12,BC18)</f>
        <v>#VALUE!</v>
      </c>
      <c r="BD23" s="289" t="e">
        <f t="shared" ref="BD23:BI23" si="242">SUM(BD6,BD12,BD18)</f>
        <v>#VALUE!</v>
      </c>
      <c r="BE23" s="289" t="e">
        <f t="shared" si="242"/>
        <v>#VALUE!</v>
      </c>
      <c r="BF23" s="289" t="e">
        <f t="shared" si="242"/>
        <v>#VALUE!</v>
      </c>
      <c r="BG23" s="289" t="e">
        <f t="shared" si="242"/>
        <v>#VALUE!</v>
      </c>
      <c r="BH23" s="289" t="e">
        <f t="shared" si="242"/>
        <v>#VALUE!</v>
      </c>
      <c r="BI23" s="292" t="e">
        <f t="shared" si="242"/>
        <v>#VALUE!</v>
      </c>
      <c r="BJ23" s="288" t="e">
        <f>SUM(BJ6,BJ12,BJ18)</f>
        <v>#VALUE!</v>
      </c>
      <c r="BK23" s="289" t="e">
        <f>SUM(BK6,BK12,BK18)</f>
        <v>#VALUE!</v>
      </c>
      <c r="BL23" s="289" t="e">
        <f t="shared" ref="BL23:BQ23" si="243">SUM(BL6,BL12,BL18)</f>
        <v>#VALUE!</v>
      </c>
      <c r="BM23" s="289" t="e">
        <f t="shared" si="243"/>
        <v>#VALUE!</v>
      </c>
      <c r="BN23" s="289" t="e">
        <f t="shared" si="243"/>
        <v>#VALUE!</v>
      </c>
      <c r="BO23" s="289" t="e">
        <f t="shared" si="243"/>
        <v>#VALUE!</v>
      </c>
      <c r="BP23" s="289" t="e">
        <f t="shared" si="243"/>
        <v>#VALUE!</v>
      </c>
      <c r="BQ23" s="292" t="e">
        <f t="shared" si="243"/>
        <v>#VALUE!</v>
      </c>
      <c r="BR23" s="288" t="e">
        <f>SUM(BR6,BR12,BR18)</f>
        <v>#VALUE!</v>
      </c>
      <c r="BS23" s="289" t="e">
        <f>SUM(BS6,BS12,BS18)</f>
        <v>#VALUE!</v>
      </c>
      <c r="BT23" s="289" t="e">
        <f t="shared" ref="BT23:BY23" si="244">SUM(BT6,BT12,BT18)</f>
        <v>#VALUE!</v>
      </c>
      <c r="BU23" s="289" t="e">
        <f t="shared" si="244"/>
        <v>#VALUE!</v>
      </c>
      <c r="BV23" s="289" t="e">
        <f t="shared" si="244"/>
        <v>#VALUE!</v>
      </c>
      <c r="BW23" s="289" t="e">
        <f t="shared" si="244"/>
        <v>#VALUE!</v>
      </c>
      <c r="BX23" s="289" t="e">
        <f t="shared" si="244"/>
        <v>#VALUE!</v>
      </c>
      <c r="BY23" s="292" t="e">
        <f t="shared" si="244"/>
        <v>#VALUE!</v>
      </c>
      <c r="BZ23" s="288" t="e">
        <f>SUM(BZ6,BZ12,BZ18)</f>
        <v>#VALUE!</v>
      </c>
      <c r="CA23" s="289" t="e">
        <f>SUM(CA6,CA12,CA18)</f>
        <v>#VALUE!</v>
      </c>
      <c r="CB23" s="289" t="e">
        <f t="shared" ref="CB23:CG23" si="245">SUM(CB6,CB12,CB18)</f>
        <v>#VALUE!</v>
      </c>
      <c r="CC23" s="289" t="e">
        <f t="shared" si="245"/>
        <v>#VALUE!</v>
      </c>
      <c r="CD23" s="289" t="e">
        <f t="shared" si="245"/>
        <v>#VALUE!</v>
      </c>
      <c r="CE23" s="289" t="e">
        <f t="shared" si="245"/>
        <v>#VALUE!</v>
      </c>
      <c r="CF23" s="289" t="e">
        <f t="shared" si="245"/>
        <v>#VALUE!</v>
      </c>
      <c r="CG23" s="292" t="e">
        <f t="shared" si="245"/>
        <v>#VALUE!</v>
      </c>
    </row>
    <row r="24" spans="2:85" outlineLevel="1" x14ac:dyDescent="0.3">
      <c r="B24" s="941"/>
      <c r="C24" s="938"/>
      <c r="D24" s="933" t="s">
        <v>213</v>
      </c>
      <c r="E24" s="196" t="s">
        <v>210</v>
      </c>
      <c r="F24" s="194">
        <f t="shared" ref="F24:AK24" si="246">SUM(F7,F13,F19)</f>
        <v>0</v>
      </c>
      <c r="G24" s="167">
        <f t="shared" si="246"/>
        <v>0</v>
      </c>
      <c r="H24" s="167">
        <f t="shared" si="246"/>
        <v>0</v>
      </c>
      <c r="I24" s="167">
        <f t="shared" si="246"/>
        <v>0</v>
      </c>
      <c r="J24" s="167">
        <f t="shared" si="246"/>
        <v>0</v>
      </c>
      <c r="K24" s="167">
        <f t="shared" si="246"/>
        <v>0</v>
      </c>
      <c r="L24" s="167">
        <f t="shared" si="246"/>
        <v>0</v>
      </c>
      <c r="M24" s="168">
        <f t="shared" si="246"/>
        <v>0</v>
      </c>
      <c r="N24" s="194">
        <f t="shared" si="246"/>
        <v>10090</v>
      </c>
      <c r="O24" s="167">
        <f t="shared" si="246"/>
        <v>1375</v>
      </c>
      <c r="P24" s="167">
        <f t="shared" si="246"/>
        <v>1550</v>
      </c>
      <c r="Q24" s="167">
        <f t="shared" si="246"/>
        <v>1707</v>
      </c>
      <c r="R24" s="167">
        <f t="shared" si="246"/>
        <v>1660</v>
      </c>
      <c r="S24" s="167">
        <f t="shared" si="246"/>
        <v>1850</v>
      </c>
      <c r="T24" s="167">
        <f t="shared" si="246"/>
        <v>1948</v>
      </c>
      <c r="U24" s="168">
        <f t="shared" si="246"/>
        <v>0</v>
      </c>
      <c r="V24" s="194">
        <f t="shared" si="246"/>
        <v>6390</v>
      </c>
      <c r="W24" s="167">
        <f t="shared" si="246"/>
        <v>450</v>
      </c>
      <c r="X24" s="167">
        <f t="shared" si="246"/>
        <v>942</v>
      </c>
      <c r="Y24" s="167">
        <f t="shared" si="246"/>
        <v>948</v>
      </c>
      <c r="Z24" s="167">
        <f t="shared" si="246"/>
        <v>450</v>
      </c>
      <c r="AA24" s="167">
        <f t="shared" si="246"/>
        <v>1450</v>
      </c>
      <c r="AB24" s="167">
        <f t="shared" si="246"/>
        <v>2150</v>
      </c>
      <c r="AC24" s="167">
        <f t="shared" si="246"/>
        <v>0</v>
      </c>
      <c r="AD24" s="194">
        <f t="shared" si="246"/>
        <v>9650</v>
      </c>
      <c r="AE24" s="167">
        <f t="shared" si="246"/>
        <v>1300</v>
      </c>
      <c r="AF24" s="167">
        <f t="shared" si="246"/>
        <v>1750</v>
      </c>
      <c r="AG24" s="167">
        <f t="shared" si="246"/>
        <v>1940</v>
      </c>
      <c r="AH24" s="167">
        <f t="shared" si="246"/>
        <v>1910</v>
      </c>
      <c r="AI24" s="167">
        <f t="shared" si="246"/>
        <v>2050</v>
      </c>
      <c r="AJ24" s="167">
        <f t="shared" si="246"/>
        <v>700</v>
      </c>
      <c r="AK24" s="168">
        <f t="shared" si="246"/>
        <v>0</v>
      </c>
      <c r="AL24" s="194">
        <f t="shared" ref="AL24:AS24" si="247">SUM(AL7,AL13,AL19)</f>
        <v>10607</v>
      </c>
      <c r="AM24" s="167">
        <f t="shared" si="247"/>
        <v>1391</v>
      </c>
      <c r="AN24" s="167">
        <f t="shared" si="247"/>
        <v>1690</v>
      </c>
      <c r="AO24" s="167">
        <f t="shared" si="247"/>
        <v>1709</v>
      </c>
      <c r="AP24" s="167">
        <f t="shared" si="247"/>
        <v>1702</v>
      </c>
      <c r="AQ24" s="167">
        <f t="shared" si="247"/>
        <v>2074</v>
      </c>
      <c r="AR24" s="167">
        <f t="shared" si="247"/>
        <v>1951</v>
      </c>
      <c r="AS24" s="168">
        <f t="shared" si="247"/>
        <v>90</v>
      </c>
      <c r="AT24" s="194">
        <f t="shared" ref="AT24:BA24" si="248">SUM(AT7,AT13,AT19)</f>
        <v>11061</v>
      </c>
      <c r="AU24" s="167">
        <f t="shared" si="248"/>
        <v>1194</v>
      </c>
      <c r="AV24" s="167">
        <f t="shared" si="248"/>
        <v>1909</v>
      </c>
      <c r="AW24" s="167">
        <f t="shared" si="248"/>
        <v>1864</v>
      </c>
      <c r="AX24" s="167">
        <f t="shared" si="248"/>
        <v>1804</v>
      </c>
      <c r="AY24" s="167">
        <f t="shared" si="248"/>
        <v>2286</v>
      </c>
      <c r="AZ24" s="167">
        <f t="shared" si="248"/>
        <v>1914</v>
      </c>
      <c r="BA24" s="168">
        <f t="shared" si="248"/>
        <v>90</v>
      </c>
      <c r="BB24" s="194">
        <f t="shared" ref="BB24:BI24" si="249">SUM(BB7,BB13,BB19)</f>
        <v>11546</v>
      </c>
      <c r="BC24" s="167">
        <f t="shared" si="249"/>
        <v>1449</v>
      </c>
      <c r="BD24" s="167">
        <f t="shared" si="249"/>
        <v>2083</v>
      </c>
      <c r="BE24" s="167">
        <f t="shared" si="249"/>
        <v>1938</v>
      </c>
      <c r="BF24" s="167">
        <f t="shared" si="249"/>
        <v>1795</v>
      </c>
      <c r="BG24" s="167">
        <f t="shared" si="249"/>
        <v>2074</v>
      </c>
      <c r="BH24" s="167">
        <f t="shared" si="249"/>
        <v>2117</v>
      </c>
      <c r="BI24" s="168">
        <f t="shared" si="249"/>
        <v>90</v>
      </c>
      <c r="BJ24" s="194" t="e">
        <f t="shared" ref="BJ24:BQ24" si="250">SUM(BJ7,BJ13,BJ19)</f>
        <v>#VALUE!</v>
      </c>
      <c r="BK24" s="167">
        <f t="shared" si="250"/>
        <v>1317</v>
      </c>
      <c r="BL24" s="167">
        <f>SUM(BL7,BL13,BL19)</f>
        <v>1948</v>
      </c>
      <c r="BM24" s="167">
        <f t="shared" si="250"/>
        <v>2120</v>
      </c>
      <c r="BN24" s="167">
        <f t="shared" si="250"/>
        <v>1781</v>
      </c>
      <c r="BO24" s="167">
        <f t="shared" si="250"/>
        <v>2192</v>
      </c>
      <c r="BP24" s="167" t="e">
        <f t="shared" si="250"/>
        <v>#VALUE!</v>
      </c>
      <c r="BQ24" s="168">
        <f t="shared" si="250"/>
        <v>0</v>
      </c>
      <c r="BR24" s="194">
        <f t="shared" ref="BR24:BS24" si="251">SUM(BR7,BR13,BR19)</f>
        <v>0</v>
      </c>
      <c r="BS24" s="167">
        <f t="shared" si="251"/>
        <v>0</v>
      </c>
      <c r="BT24" s="167">
        <f>SUM(BT7,BT13,BT19)</f>
        <v>0</v>
      </c>
      <c r="BU24" s="167">
        <f t="shared" ref="BU24:CA24" si="252">SUM(BU7,BU13,BU19)</f>
        <v>0</v>
      </c>
      <c r="BV24" s="167">
        <f t="shared" si="252"/>
        <v>0</v>
      </c>
      <c r="BW24" s="167">
        <f t="shared" si="252"/>
        <v>0</v>
      </c>
      <c r="BX24" s="167">
        <f t="shared" si="252"/>
        <v>0</v>
      </c>
      <c r="BY24" s="168">
        <f t="shared" si="252"/>
        <v>0</v>
      </c>
      <c r="BZ24" s="194">
        <f t="shared" si="252"/>
        <v>0</v>
      </c>
      <c r="CA24" s="167">
        <f t="shared" si="252"/>
        <v>0</v>
      </c>
      <c r="CB24" s="167">
        <f>SUM(CB7,CB13,CB19)</f>
        <v>0</v>
      </c>
      <c r="CC24" s="167">
        <f t="shared" ref="CC24:CG24" si="253">SUM(CC7,CC13,CC19)</f>
        <v>0</v>
      </c>
      <c r="CD24" s="167">
        <f t="shared" si="253"/>
        <v>0</v>
      </c>
      <c r="CE24" s="167">
        <f t="shared" si="253"/>
        <v>0</v>
      </c>
      <c r="CF24" s="167">
        <f t="shared" si="253"/>
        <v>0</v>
      </c>
      <c r="CG24" s="168">
        <f t="shared" si="253"/>
        <v>0</v>
      </c>
    </row>
    <row r="25" spans="2:85" outlineLevel="1" x14ac:dyDescent="0.3">
      <c r="B25" s="941"/>
      <c r="C25" s="939"/>
      <c r="D25" s="934"/>
      <c r="E25" s="199" t="s">
        <v>212</v>
      </c>
      <c r="F25" s="195">
        <f>SUM(F9,F15,F21)</f>
        <v>0</v>
      </c>
      <c r="G25" s="279">
        <f t="shared" ref="G25:AK25" si="254">SUM(G9,G15,G21)</f>
        <v>0</v>
      </c>
      <c r="H25" s="279">
        <f t="shared" si="254"/>
        <v>0</v>
      </c>
      <c r="I25" s="279">
        <f t="shared" si="254"/>
        <v>0</v>
      </c>
      <c r="J25" s="279">
        <f t="shared" si="254"/>
        <v>0</v>
      </c>
      <c r="K25" s="279">
        <f t="shared" si="254"/>
        <v>0</v>
      </c>
      <c r="L25" s="279">
        <f t="shared" si="254"/>
        <v>0</v>
      </c>
      <c r="M25" s="280">
        <f t="shared" si="254"/>
        <v>0</v>
      </c>
      <c r="N25" s="195" t="e">
        <f t="shared" si="254"/>
        <v>#VALUE!</v>
      </c>
      <c r="O25" s="279">
        <f t="shared" si="254"/>
        <v>72250</v>
      </c>
      <c r="P25" s="279">
        <f t="shared" si="254"/>
        <v>77300</v>
      </c>
      <c r="Q25" s="279">
        <f t="shared" si="254"/>
        <v>84308.241491419743</v>
      </c>
      <c r="R25" s="279">
        <f t="shared" si="254"/>
        <v>85941.710987064187</v>
      </c>
      <c r="S25" s="279">
        <f t="shared" si="254"/>
        <v>111407.9563113667</v>
      </c>
      <c r="T25" s="279" t="e">
        <f t="shared" si="254"/>
        <v>#VALUE!</v>
      </c>
      <c r="U25" s="280" t="e">
        <f t="shared" si="254"/>
        <v>#VALUE!</v>
      </c>
      <c r="V25" s="195" t="e">
        <f>SUM(V9,V15,V21)</f>
        <v>#VALUE!</v>
      </c>
      <c r="W25" s="279">
        <f t="shared" si="254"/>
        <v>59443</v>
      </c>
      <c r="X25" s="279">
        <f t="shared" si="254"/>
        <v>82628</v>
      </c>
      <c r="Y25" s="279">
        <f t="shared" si="254"/>
        <v>86006</v>
      </c>
      <c r="Z25" s="279">
        <f t="shared" si="254"/>
        <v>85192</v>
      </c>
      <c r="AA25" s="279">
        <f t="shared" si="254"/>
        <v>99712</v>
      </c>
      <c r="AB25" s="279">
        <f t="shared" si="254"/>
        <v>106106</v>
      </c>
      <c r="AC25" s="279" t="e">
        <f t="shared" si="254"/>
        <v>#VALUE!</v>
      </c>
      <c r="AD25" s="195">
        <f>SUM(AD9,AD15,AD21)</f>
        <v>446910</v>
      </c>
      <c r="AE25" s="279">
        <f t="shared" si="254"/>
        <v>59583</v>
      </c>
      <c r="AF25" s="279">
        <f t="shared" si="254"/>
        <v>81713</v>
      </c>
      <c r="AG25" s="279">
        <f t="shared" si="254"/>
        <v>88493</v>
      </c>
      <c r="AH25" s="279">
        <f t="shared" si="254"/>
        <v>86189</v>
      </c>
      <c r="AI25" s="279">
        <f t="shared" si="254"/>
        <v>94932</v>
      </c>
      <c r="AJ25" s="279">
        <f t="shared" si="254"/>
        <v>36000</v>
      </c>
      <c r="AK25" s="280">
        <f t="shared" si="254"/>
        <v>0</v>
      </c>
      <c r="AL25" s="195">
        <f t="shared" ref="AL25:AO25" si="255">SUM(AL9,AL15,AL21)</f>
        <v>506376</v>
      </c>
      <c r="AM25" s="279">
        <f t="shared" si="255"/>
        <v>61498</v>
      </c>
      <c r="AN25" s="279">
        <f t="shared" si="255"/>
        <v>69802</v>
      </c>
      <c r="AO25" s="279">
        <f t="shared" si="255"/>
        <v>81007</v>
      </c>
      <c r="AP25" s="279">
        <f>AP21+AP15+AP9</f>
        <v>81247</v>
      </c>
      <c r="AQ25" s="279">
        <f>SUM(AQ21,AQ15,AQ9)</f>
        <v>105970</v>
      </c>
      <c r="AR25" s="279">
        <f>SUM(AR21,AR15,AR9)</f>
        <v>101486</v>
      </c>
      <c r="AS25" s="279">
        <f>SUM(AS21,AS15,AS9)</f>
        <v>5366</v>
      </c>
      <c r="AT25" s="195">
        <f t="shared" ref="AT25:BA25" si="256">SUM(AT9,AT15,AT21)</f>
        <v>577581</v>
      </c>
      <c r="AU25" s="279">
        <f t="shared" si="256"/>
        <v>61053</v>
      </c>
      <c r="AV25" s="279">
        <f t="shared" si="256"/>
        <v>94524</v>
      </c>
      <c r="AW25" s="279">
        <f t="shared" si="256"/>
        <v>96646</v>
      </c>
      <c r="AX25" s="279">
        <f t="shared" si="256"/>
        <v>88952</v>
      </c>
      <c r="AY25" s="279">
        <f t="shared" si="256"/>
        <v>124656</v>
      </c>
      <c r="AZ25" s="279">
        <f t="shared" si="256"/>
        <v>106902</v>
      </c>
      <c r="BA25" s="280">
        <f t="shared" si="256"/>
        <v>4848</v>
      </c>
      <c r="BB25" s="195">
        <f t="shared" ref="BB25" si="257">SUM(BB9,BB15,BB21)</f>
        <v>556748</v>
      </c>
      <c r="BC25" s="279">
        <f>SUM(BC9,BC15,BC21)</f>
        <v>69736</v>
      </c>
      <c r="BD25" s="279">
        <f>SUM(BD9,BD15,BD21)</f>
        <v>98763</v>
      </c>
      <c r="BE25" s="279">
        <f t="shared" ref="BE25:BI25" si="258">SUM(BE9,BE15,BE21)</f>
        <v>97228</v>
      </c>
      <c r="BF25" s="279">
        <f t="shared" si="258"/>
        <v>85996</v>
      </c>
      <c r="BG25" s="279">
        <f t="shared" si="258"/>
        <v>108122</v>
      </c>
      <c r="BH25" s="279">
        <f t="shared" si="258"/>
        <v>112263</v>
      </c>
      <c r="BI25" s="280">
        <f t="shared" si="258"/>
        <v>5227</v>
      </c>
      <c r="BJ25" s="195" t="e">
        <f t="shared" ref="BJ25" si="259">SUM(BJ9,BJ15,BJ21)</f>
        <v>#VALUE!</v>
      </c>
      <c r="BK25" s="279">
        <f>SUM(BK9,BK15,BK21)</f>
        <v>61761</v>
      </c>
      <c r="BL25" s="279">
        <f>SUM(BL9,BL15,BL21)</f>
        <v>82283</v>
      </c>
      <c r="BM25" s="279">
        <f t="shared" ref="BM25:BR25" si="260">SUM(BM9,BM15,BM21)</f>
        <v>93288</v>
      </c>
      <c r="BN25" s="279">
        <f t="shared" si="260"/>
        <v>84215</v>
      </c>
      <c r="BO25" s="279" t="e">
        <f t="shared" si="260"/>
        <v>#VALUE!</v>
      </c>
      <c r="BP25" s="279" t="e">
        <f t="shared" si="260"/>
        <v>#VALUE!</v>
      </c>
      <c r="BQ25" s="280" t="e">
        <f t="shared" si="260"/>
        <v>#VALUE!</v>
      </c>
      <c r="BR25" s="195" t="e">
        <f t="shared" si="260"/>
        <v>#VALUE!</v>
      </c>
      <c r="BS25" s="279" t="e">
        <f>SUM(BS9,BS15,BS21)</f>
        <v>#VALUE!</v>
      </c>
      <c r="BT25" s="279" t="e">
        <f>SUM(BT9,BT15,BT21)</f>
        <v>#VALUE!</v>
      </c>
      <c r="BU25" s="279" t="e">
        <f t="shared" ref="BU25:BZ25" si="261">SUM(BU9,BU15,BU21)</f>
        <v>#VALUE!</v>
      </c>
      <c r="BV25" s="279" t="e">
        <f t="shared" si="261"/>
        <v>#VALUE!</v>
      </c>
      <c r="BW25" s="279" t="e">
        <f t="shared" si="261"/>
        <v>#VALUE!</v>
      </c>
      <c r="BX25" s="279" t="e">
        <f t="shared" si="261"/>
        <v>#VALUE!</v>
      </c>
      <c r="BY25" s="280" t="e">
        <f t="shared" si="261"/>
        <v>#VALUE!</v>
      </c>
      <c r="BZ25" s="195" t="e">
        <f t="shared" si="261"/>
        <v>#VALUE!</v>
      </c>
      <c r="CA25" s="279" t="e">
        <f>SUM(CA9,CA15,CA21)</f>
        <v>#VALUE!</v>
      </c>
      <c r="CB25" s="279" t="e">
        <f>SUM(CB9,CB15,CB21)</f>
        <v>#VALUE!</v>
      </c>
      <c r="CC25" s="279" t="e">
        <f t="shared" ref="CC25:CG25" si="262">SUM(CC9,CC15,CC21)</f>
        <v>#VALUE!</v>
      </c>
      <c r="CD25" s="279" t="e">
        <f t="shared" si="262"/>
        <v>#VALUE!</v>
      </c>
      <c r="CE25" s="279" t="e">
        <f t="shared" si="262"/>
        <v>#VALUE!</v>
      </c>
      <c r="CF25" s="279" t="e">
        <f t="shared" si="262"/>
        <v>#VALUE!</v>
      </c>
      <c r="CG25" s="280" t="e">
        <f t="shared" si="262"/>
        <v>#VALUE!</v>
      </c>
    </row>
    <row r="26" spans="2:85" outlineLevel="1" x14ac:dyDescent="0.3">
      <c r="B26" s="941"/>
      <c r="C26" s="930" t="s">
        <v>217</v>
      </c>
      <c r="D26" s="929" t="s">
        <v>210</v>
      </c>
      <c r="E26" s="188" t="s">
        <v>218</v>
      </c>
      <c r="F26" s="338" t="e">
        <f t="shared" ref="F26:U26" si="263">F25-F23</f>
        <v>#VALUE!</v>
      </c>
      <c r="G26" s="339" t="e">
        <f t="shared" si="263"/>
        <v>#VALUE!</v>
      </c>
      <c r="H26" s="340" t="e">
        <f t="shared" si="263"/>
        <v>#VALUE!</v>
      </c>
      <c r="I26" s="340" t="e">
        <f t="shared" si="263"/>
        <v>#VALUE!</v>
      </c>
      <c r="J26" s="340" t="e">
        <f t="shared" si="263"/>
        <v>#VALUE!</v>
      </c>
      <c r="K26" s="340" t="e">
        <f t="shared" si="263"/>
        <v>#VALUE!</v>
      </c>
      <c r="L26" s="340" t="e">
        <f t="shared" si="263"/>
        <v>#VALUE!</v>
      </c>
      <c r="M26" s="341" t="e">
        <f t="shared" si="263"/>
        <v>#VALUE!</v>
      </c>
      <c r="N26" s="338" t="e">
        <f t="shared" si="263"/>
        <v>#VALUE!</v>
      </c>
      <c r="O26" s="339" t="e">
        <f t="shared" si="263"/>
        <v>#VALUE!</v>
      </c>
      <c r="P26" s="340" t="e">
        <f t="shared" si="263"/>
        <v>#VALUE!</v>
      </c>
      <c r="Q26" s="340" t="e">
        <f t="shared" si="263"/>
        <v>#VALUE!</v>
      </c>
      <c r="R26" s="340" t="e">
        <f t="shared" si="263"/>
        <v>#VALUE!</v>
      </c>
      <c r="S26" s="340" t="e">
        <f t="shared" si="263"/>
        <v>#VALUE!</v>
      </c>
      <c r="T26" s="340" t="e">
        <f t="shared" si="263"/>
        <v>#VALUE!</v>
      </c>
      <c r="U26" s="341" t="e">
        <f t="shared" si="263"/>
        <v>#VALUE!</v>
      </c>
      <c r="V26" s="342">
        <f>V24-V22</f>
        <v>6390</v>
      </c>
      <c r="W26" s="343">
        <f t="shared" ref="W26:AC26" si="264">W24-W22</f>
        <v>450</v>
      </c>
      <c r="X26" s="344">
        <f t="shared" si="264"/>
        <v>942</v>
      </c>
      <c r="Y26" s="344">
        <f t="shared" si="264"/>
        <v>948</v>
      </c>
      <c r="Z26" s="344">
        <f t="shared" si="264"/>
        <v>450</v>
      </c>
      <c r="AA26" s="344">
        <f t="shared" si="264"/>
        <v>1450</v>
      </c>
      <c r="AB26" s="344">
        <f t="shared" si="264"/>
        <v>2150</v>
      </c>
      <c r="AC26" s="344">
        <f t="shared" si="264"/>
        <v>0</v>
      </c>
      <c r="AD26" s="342">
        <f>AD24-AD22</f>
        <v>9650</v>
      </c>
      <c r="AE26" s="343">
        <f t="shared" ref="AE26:AK26" si="265">AE24-AE22</f>
        <v>1300</v>
      </c>
      <c r="AF26" s="344">
        <f t="shared" si="265"/>
        <v>1750</v>
      </c>
      <c r="AG26" s="344">
        <f t="shared" si="265"/>
        <v>1940</v>
      </c>
      <c r="AH26" s="344">
        <f t="shared" si="265"/>
        <v>1910</v>
      </c>
      <c r="AI26" s="344">
        <f t="shared" si="265"/>
        <v>2050</v>
      </c>
      <c r="AJ26" s="344">
        <f t="shared" si="265"/>
        <v>700</v>
      </c>
      <c r="AK26" s="345">
        <f t="shared" si="265"/>
        <v>0</v>
      </c>
      <c r="AL26" s="342">
        <f>AL24-AL22</f>
        <v>8237</v>
      </c>
      <c r="AM26" s="343">
        <f t="shared" ref="AM26:AS26" si="266">AM24-AM22</f>
        <v>1391</v>
      </c>
      <c r="AN26" s="344">
        <f t="shared" si="266"/>
        <v>1240</v>
      </c>
      <c r="AO26" s="344">
        <f t="shared" si="266"/>
        <v>1709</v>
      </c>
      <c r="AP26" s="344">
        <f t="shared" si="266"/>
        <v>1702</v>
      </c>
      <c r="AQ26" s="344">
        <f t="shared" si="266"/>
        <v>1474</v>
      </c>
      <c r="AR26" s="344">
        <f t="shared" si="266"/>
        <v>631</v>
      </c>
      <c r="AS26" s="345">
        <f t="shared" si="266"/>
        <v>90</v>
      </c>
      <c r="AT26" s="342">
        <f>AT24-AT22</f>
        <v>7658</v>
      </c>
      <c r="AU26" s="343">
        <f t="shared" ref="AU26:BA26" si="267">AU24-AU22</f>
        <v>1194</v>
      </c>
      <c r="AV26" s="344">
        <f t="shared" si="267"/>
        <v>1909</v>
      </c>
      <c r="AW26" s="344">
        <f t="shared" si="267"/>
        <v>1264</v>
      </c>
      <c r="AX26" s="344">
        <f t="shared" si="267"/>
        <v>1804</v>
      </c>
      <c r="AY26" s="344">
        <f t="shared" si="267"/>
        <v>1436</v>
      </c>
      <c r="AZ26" s="344">
        <f t="shared" si="267"/>
        <v>-39</v>
      </c>
      <c r="BA26" s="345">
        <f t="shared" si="267"/>
        <v>90</v>
      </c>
      <c r="BB26" s="342">
        <f>BB24-BB22</f>
        <v>11546</v>
      </c>
      <c r="BC26" s="343">
        <f t="shared" ref="BC26:BI26" si="268">BC24-BC22</f>
        <v>1449</v>
      </c>
      <c r="BD26" s="344">
        <f>BD24-BD22</f>
        <v>2083</v>
      </c>
      <c r="BE26" s="344">
        <f t="shared" si="268"/>
        <v>1938</v>
      </c>
      <c r="BF26" s="344">
        <f t="shared" si="268"/>
        <v>1795</v>
      </c>
      <c r="BG26" s="344">
        <f t="shared" si="268"/>
        <v>2074</v>
      </c>
      <c r="BH26" s="344">
        <f t="shared" si="268"/>
        <v>2117</v>
      </c>
      <c r="BI26" s="345">
        <f t="shared" si="268"/>
        <v>90</v>
      </c>
      <c r="BJ26" s="342" t="e">
        <f>BJ24-BJ22</f>
        <v>#VALUE!</v>
      </c>
      <c r="BK26" s="343">
        <f t="shared" ref="BK26" si="269">BK24-BK22</f>
        <v>1317</v>
      </c>
      <c r="BL26" s="344">
        <f>BL24-BL22</f>
        <v>1948</v>
      </c>
      <c r="BM26" s="344">
        <f t="shared" ref="BM26:BQ26" si="270">BM24-BM22</f>
        <v>2120</v>
      </c>
      <c r="BN26" s="344">
        <f t="shared" si="270"/>
        <v>1781</v>
      </c>
      <c r="BO26" s="344">
        <f t="shared" si="270"/>
        <v>2192</v>
      </c>
      <c r="BP26" s="344" t="e">
        <f t="shared" si="270"/>
        <v>#VALUE!</v>
      </c>
      <c r="BQ26" s="345">
        <f t="shared" si="270"/>
        <v>0</v>
      </c>
      <c r="BR26" s="342">
        <f>BR24-BR22</f>
        <v>0</v>
      </c>
      <c r="BS26" s="343">
        <f t="shared" ref="BS26" si="271">BS24-BS22</f>
        <v>0</v>
      </c>
      <c r="BT26" s="344">
        <f>BT24-BT22</f>
        <v>0</v>
      </c>
      <c r="BU26" s="344">
        <f t="shared" ref="BU26:BY26" si="272">BU24-BU22</f>
        <v>0</v>
      </c>
      <c r="BV26" s="344">
        <f t="shared" si="272"/>
        <v>0</v>
      </c>
      <c r="BW26" s="344">
        <f t="shared" si="272"/>
        <v>0</v>
      </c>
      <c r="BX26" s="344">
        <f t="shared" si="272"/>
        <v>0</v>
      </c>
      <c r="BY26" s="345">
        <f t="shared" si="272"/>
        <v>0</v>
      </c>
      <c r="BZ26" s="342">
        <f>BZ24-BZ22</f>
        <v>0</v>
      </c>
      <c r="CA26" s="343">
        <f t="shared" ref="CA26" si="273">CA24-CA22</f>
        <v>0</v>
      </c>
      <c r="CB26" s="344">
        <f>CB24-CB22</f>
        <v>0</v>
      </c>
      <c r="CC26" s="344">
        <f t="shared" ref="CC26:CG26" si="274">CC24-CC22</f>
        <v>0</v>
      </c>
      <c r="CD26" s="344">
        <f t="shared" si="274"/>
        <v>0</v>
      </c>
      <c r="CE26" s="344">
        <f t="shared" si="274"/>
        <v>0</v>
      </c>
      <c r="CF26" s="344">
        <f t="shared" si="274"/>
        <v>0</v>
      </c>
      <c r="CG26" s="345">
        <f t="shared" si="274"/>
        <v>0</v>
      </c>
    </row>
    <row r="27" spans="2:85" outlineLevel="1" x14ac:dyDescent="0.3">
      <c r="B27" s="941"/>
      <c r="C27" s="931"/>
      <c r="D27" s="929"/>
      <c r="E27" s="199" t="s">
        <v>219</v>
      </c>
      <c r="F27" s="295">
        <f t="shared" ref="F27:U27" si="275">IFERROR(F26/F23,0)</f>
        <v>0</v>
      </c>
      <c r="G27" s="334">
        <f t="shared" si="275"/>
        <v>0</v>
      </c>
      <c r="H27" s="335">
        <f t="shared" si="275"/>
        <v>0</v>
      </c>
      <c r="I27" s="335">
        <f t="shared" si="275"/>
        <v>0</v>
      </c>
      <c r="J27" s="335">
        <f t="shared" si="275"/>
        <v>0</v>
      </c>
      <c r="K27" s="335">
        <f t="shared" si="275"/>
        <v>0</v>
      </c>
      <c r="L27" s="335">
        <f t="shared" si="275"/>
        <v>0</v>
      </c>
      <c r="M27" s="336">
        <f t="shared" si="275"/>
        <v>0</v>
      </c>
      <c r="N27" s="295">
        <f t="shared" si="275"/>
        <v>0</v>
      </c>
      <c r="O27" s="334">
        <f t="shared" si="275"/>
        <v>0</v>
      </c>
      <c r="P27" s="335">
        <f t="shared" si="275"/>
        <v>0</v>
      </c>
      <c r="Q27" s="335">
        <f t="shared" si="275"/>
        <v>0</v>
      </c>
      <c r="R27" s="335">
        <f t="shared" si="275"/>
        <v>0</v>
      </c>
      <c r="S27" s="335">
        <f t="shared" si="275"/>
        <v>0</v>
      </c>
      <c r="T27" s="335">
        <f t="shared" si="275"/>
        <v>0</v>
      </c>
      <c r="U27" s="336">
        <f t="shared" si="275"/>
        <v>0</v>
      </c>
      <c r="V27" s="348">
        <f>IFERROR((V24/V22)-1,0)</f>
        <v>0</v>
      </c>
      <c r="W27" s="349">
        <f t="shared" ref="W27:AC27" si="276">IFERROR((W24/W22)-1,0)</f>
        <v>0</v>
      </c>
      <c r="X27" s="350">
        <f t="shared" si="276"/>
        <v>0</v>
      </c>
      <c r="Y27" s="350">
        <f t="shared" si="276"/>
        <v>0</v>
      </c>
      <c r="Z27" s="350">
        <f t="shared" si="276"/>
        <v>0</v>
      </c>
      <c r="AA27" s="350">
        <f t="shared" si="276"/>
        <v>0</v>
      </c>
      <c r="AB27" s="350">
        <f t="shared" si="276"/>
        <v>0</v>
      </c>
      <c r="AC27" s="350">
        <f t="shared" si="276"/>
        <v>0</v>
      </c>
      <c r="AD27" s="348">
        <f>IFERROR((AD24/AD22)-1,0)</f>
        <v>0</v>
      </c>
      <c r="AE27" s="349">
        <f t="shared" ref="AE27:AK27" si="277">IFERROR((AE24/AE22)-1,0)</f>
        <v>0</v>
      </c>
      <c r="AF27" s="350">
        <f t="shared" si="277"/>
        <v>0</v>
      </c>
      <c r="AG27" s="350">
        <f t="shared" si="277"/>
        <v>0</v>
      </c>
      <c r="AH27" s="350">
        <f t="shared" si="277"/>
        <v>0</v>
      </c>
      <c r="AI27" s="350">
        <f t="shared" si="277"/>
        <v>0</v>
      </c>
      <c r="AJ27" s="350">
        <f t="shared" si="277"/>
        <v>0</v>
      </c>
      <c r="AK27" s="353">
        <f t="shared" si="277"/>
        <v>0</v>
      </c>
      <c r="AL27" s="348">
        <f>IFERROR((AL24/AL22)-1,0)</f>
        <v>3.4755274261603377</v>
      </c>
      <c r="AM27" s="349">
        <f t="shared" ref="AM27:AS27" si="278">IFERROR((AM24/AM22)-1,0)</f>
        <v>0</v>
      </c>
      <c r="AN27" s="350">
        <f t="shared" si="278"/>
        <v>2.7555555555555555</v>
      </c>
      <c r="AO27" s="350">
        <f t="shared" si="278"/>
        <v>0</v>
      </c>
      <c r="AP27" s="350">
        <f t="shared" si="278"/>
        <v>0</v>
      </c>
      <c r="AQ27" s="350">
        <f t="shared" si="278"/>
        <v>2.4566666666666666</v>
      </c>
      <c r="AR27" s="350">
        <f t="shared" si="278"/>
        <v>0.47803030303030303</v>
      </c>
      <c r="AS27" s="353">
        <f t="shared" si="278"/>
        <v>0</v>
      </c>
      <c r="AT27" s="348">
        <f>IFERROR((AT24/AT22)-1,0)</f>
        <v>2.2503673229503378</v>
      </c>
      <c r="AU27" s="349">
        <f t="shared" ref="AU27:BA27" si="279">IFERROR((AU24/AU22)-1,0)</f>
        <v>0</v>
      </c>
      <c r="AV27" s="350">
        <f t="shared" si="279"/>
        <v>0</v>
      </c>
      <c r="AW27" s="350">
        <f t="shared" si="279"/>
        <v>2.1066666666666665</v>
      </c>
      <c r="AX27" s="350">
        <f t="shared" si="279"/>
        <v>0</v>
      </c>
      <c r="AY27" s="350">
        <f t="shared" si="279"/>
        <v>1.6894117647058824</v>
      </c>
      <c r="AZ27" s="350">
        <f t="shared" si="279"/>
        <v>-1.9969278033794113E-2</v>
      </c>
      <c r="BA27" s="353">
        <f t="shared" si="279"/>
        <v>0</v>
      </c>
      <c r="BB27" s="348">
        <f>IFERROR((BB24/BB22)-1,0)</f>
        <v>0</v>
      </c>
      <c r="BC27" s="349">
        <f t="shared" ref="BC27:BI27" si="280">IFERROR((BC24/BC22)-1,0)</f>
        <v>0</v>
      </c>
      <c r="BD27" s="350">
        <f t="shared" si="280"/>
        <v>0</v>
      </c>
      <c r="BE27" s="350">
        <f t="shared" si="280"/>
        <v>0</v>
      </c>
      <c r="BF27" s="350">
        <f t="shared" si="280"/>
        <v>0</v>
      </c>
      <c r="BG27" s="350">
        <f t="shared" si="280"/>
        <v>0</v>
      </c>
      <c r="BH27" s="350">
        <f t="shared" si="280"/>
        <v>0</v>
      </c>
      <c r="BI27" s="353">
        <f t="shared" si="280"/>
        <v>0</v>
      </c>
      <c r="BJ27" s="348">
        <f>IFERROR((BJ24/BJ22)-1,0)</f>
        <v>0</v>
      </c>
      <c r="BK27" s="349">
        <f t="shared" ref="BK27:BQ27" si="281">IFERROR((BK24/BK22)-1,0)</f>
        <v>0</v>
      </c>
      <c r="BL27" s="350">
        <f t="shared" si="281"/>
        <v>0</v>
      </c>
      <c r="BM27" s="350">
        <f t="shared" si="281"/>
        <v>0</v>
      </c>
      <c r="BN27" s="350">
        <f t="shared" si="281"/>
        <v>0</v>
      </c>
      <c r="BO27" s="350">
        <f t="shared" si="281"/>
        <v>0</v>
      </c>
      <c r="BP27" s="350">
        <f t="shared" si="281"/>
        <v>0</v>
      </c>
      <c r="BQ27" s="353">
        <f t="shared" si="281"/>
        <v>0</v>
      </c>
      <c r="BR27" s="348">
        <f>IFERROR((BR24/BR22)-1,0)</f>
        <v>0</v>
      </c>
      <c r="BS27" s="349">
        <f t="shared" ref="BS27:BY27" si="282">IFERROR((BS24/BS22)-1,0)</f>
        <v>0</v>
      </c>
      <c r="BT27" s="350">
        <f t="shared" si="282"/>
        <v>0</v>
      </c>
      <c r="BU27" s="350">
        <f t="shared" si="282"/>
        <v>0</v>
      </c>
      <c r="BV27" s="350">
        <f t="shared" si="282"/>
        <v>0</v>
      </c>
      <c r="BW27" s="350">
        <f t="shared" si="282"/>
        <v>0</v>
      </c>
      <c r="BX27" s="350">
        <f t="shared" si="282"/>
        <v>0</v>
      </c>
      <c r="BY27" s="353">
        <f t="shared" si="282"/>
        <v>0</v>
      </c>
      <c r="BZ27" s="348">
        <f>IFERROR((BZ24/BZ22)-1,0)</f>
        <v>0</v>
      </c>
      <c r="CA27" s="349">
        <f t="shared" ref="CA27:CG27" si="283">IFERROR((CA24/CA22)-1,0)</f>
        <v>0</v>
      </c>
      <c r="CB27" s="350">
        <f t="shared" si="283"/>
        <v>0</v>
      </c>
      <c r="CC27" s="350">
        <f t="shared" si="283"/>
        <v>0</v>
      </c>
      <c r="CD27" s="350">
        <f t="shared" si="283"/>
        <v>0</v>
      </c>
      <c r="CE27" s="350">
        <f t="shared" si="283"/>
        <v>0</v>
      </c>
      <c r="CF27" s="350">
        <f t="shared" si="283"/>
        <v>0</v>
      </c>
      <c r="CG27" s="353">
        <f t="shared" si="283"/>
        <v>0</v>
      </c>
    </row>
    <row r="28" spans="2:85" outlineLevel="1" x14ac:dyDescent="0.3">
      <c r="B28" s="941"/>
      <c r="C28" s="931"/>
      <c r="D28" s="929" t="s">
        <v>220</v>
      </c>
      <c r="E28" s="188" t="s">
        <v>218</v>
      </c>
      <c r="F28" s="189" t="e">
        <f t="shared" ref="F28:U28" si="284">F23-F21</f>
        <v>#VALUE!</v>
      </c>
      <c r="G28" s="337" t="e">
        <f t="shared" si="284"/>
        <v>#VALUE!</v>
      </c>
      <c r="H28" s="166" t="e">
        <f t="shared" si="284"/>
        <v>#VALUE!</v>
      </c>
      <c r="I28" s="166" t="e">
        <f t="shared" si="284"/>
        <v>#VALUE!</v>
      </c>
      <c r="J28" s="166" t="e">
        <f t="shared" si="284"/>
        <v>#VALUE!</v>
      </c>
      <c r="K28" s="166" t="e">
        <f t="shared" si="284"/>
        <v>#VALUE!</v>
      </c>
      <c r="L28" s="166" t="e">
        <f t="shared" si="284"/>
        <v>#VALUE!</v>
      </c>
      <c r="M28" s="192" t="e">
        <f t="shared" si="284"/>
        <v>#VALUE!</v>
      </c>
      <c r="N28" s="189" t="e">
        <f t="shared" si="284"/>
        <v>#VALUE!</v>
      </c>
      <c r="O28" s="337" t="e">
        <f t="shared" si="284"/>
        <v>#VALUE!</v>
      </c>
      <c r="P28" s="166" t="e">
        <f t="shared" si="284"/>
        <v>#VALUE!</v>
      </c>
      <c r="Q28" s="166" t="e">
        <f t="shared" si="284"/>
        <v>#VALUE!</v>
      </c>
      <c r="R28" s="166" t="e">
        <f t="shared" si="284"/>
        <v>#VALUE!</v>
      </c>
      <c r="S28" s="166" t="e">
        <f t="shared" si="284"/>
        <v>#VALUE!</v>
      </c>
      <c r="T28" s="166" t="e">
        <f t="shared" si="284"/>
        <v>#VALUE!</v>
      </c>
      <c r="U28" s="192" t="e">
        <f t="shared" si="284"/>
        <v>#VALUE!</v>
      </c>
      <c r="V28" s="189">
        <f>AVERAGE(V5,V11,V17)-AVERAGE(V8,V14,V20)</f>
        <v>-15.01228821938132</v>
      </c>
      <c r="W28" s="337" t="e">
        <f t="shared" ref="W28:AC28" si="285">AVERAGE(W5,W11,W17)-AVERAGE(W8,W14,W20)</f>
        <v>#DIV/0!</v>
      </c>
      <c r="X28" s="166" t="e">
        <f t="shared" si="285"/>
        <v>#DIV/0!</v>
      </c>
      <c r="Y28" s="166" t="e">
        <f t="shared" si="285"/>
        <v>#DIV/0!</v>
      </c>
      <c r="Z28" s="166" t="e">
        <f t="shared" si="285"/>
        <v>#DIV/0!</v>
      </c>
      <c r="AA28" s="166" t="e">
        <f t="shared" si="285"/>
        <v>#DIV/0!</v>
      </c>
      <c r="AB28" s="166" t="e">
        <f t="shared" si="285"/>
        <v>#DIV/0!</v>
      </c>
      <c r="AC28" s="166" t="e">
        <f t="shared" si="285"/>
        <v>#DIV/0!</v>
      </c>
      <c r="AD28" s="189">
        <f>AVERAGE(AD5,AD11,AD17)-AVERAGE(AD8,AD14,AD20)</f>
        <v>-47.873152958152957</v>
      </c>
      <c r="AE28" s="337" t="e">
        <f t="shared" ref="AE28:AK28" si="286">AVERAGE(AE5,AE11,AE17)-AVERAGE(AE8,AE14,AE20)</f>
        <v>#DIV/0!</v>
      </c>
      <c r="AF28" s="166" t="e">
        <f t="shared" si="286"/>
        <v>#DIV/0!</v>
      </c>
      <c r="AG28" s="166" t="e">
        <f t="shared" si="286"/>
        <v>#DIV/0!</v>
      </c>
      <c r="AH28" s="166" t="e">
        <f t="shared" si="286"/>
        <v>#DIV/0!</v>
      </c>
      <c r="AI28" s="166" t="e">
        <f t="shared" si="286"/>
        <v>#DIV/0!</v>
      </c>
      <c r="AJ28" s="166">
        <f t="shared" si="286"/>
        <v>-17.142857142857142</v>
      </c>
      <c r="AK28" s="192" t="e">
        <f t="shared" si="286"/>
        <v>#DIV/0!</v>
      </c>
      <c r="AL28" s="189">
        <f>AVERAGE(AL5,AL11,AL17)-AVERAGE(AL8,AL14,AL20)</f>
        <v>-48.855026455026454</v>
      </c>
      <c r="AM28" s="337" t="e">
        <f t="shared" ref="AM28:AS28" si="287">AVERAGE(AM5,AM11,AM17)-AVERAGE(AM8,AM14,AM20)</f>
        <v>#DIV/0!</v>
      </c>
      <c r="AN28" s="166" t="e">
        <f t="shared" si="287"/>
        <v>#DIV/0!</v>
      </c>
      <c r="AO28" s="166" t="e">
        <f t="shared" si="287"/>
        <v>#DIV/0!</v>
      </c>
      <c r="AP28" s="166" t="e">
        <f t="shared" si="287"/>
        <v>#DIV/0!</v>
      </c>
      <c r="AQ28" s="166" t="e">
        <f t="shared" si="287"/>
        <v>#DIV/0!</v>
      </c>
      <c r="AR28" s="166" t="e">
        <f t="shared" si="287"/>
        <v>#DIV/0!</v>
      </c>
      <c r="AS28" s="192" t="e">
        <f t="shared" si="287"/>
        <v>#DIV/0!</v>
      </c>
      <c r="AT28" s="338">
        <f>AVERAGE(AT5,AT11,AT17)-AVERAGE(AT8,AT14,AT20)</f>
        <v>-53.128543051755059</v>
      </c>
      <c r="AU28" s="337" t="e">
        <f t="shared" ref="AU28:BA28" si="288">AVERAGE(AU5,AU11,AU17)-AVERAGE(AU8,AU14,AU20)</f>
        <v>#DIV/0!</v>
      </c>
      <c r="AV28" s="166" t="e">
        <f t="shared" si="288"/>
        <v>#DIV/0!</v>
      </c>
      <c r="AW28" s="166" t="e">
        <f t="shared" si="288"/>
        <v>#DIV/0!</v>
      </c>
      <c r="AX28" s="166" t="e">
        <f t="shared" si="288"/>
        <v>#DIV/0!</v>
      </c>
      <c r="AY28" s="166" t="e">
        <f t="shared" si="288"/>
        <v>#DIV/0!</v>
      </c>
      <c r="AZ28" s="166" t="e">
        <f t="shared" si="288"/>
        <v>#DIV/0!</v>
      </c>
      <c r="BA28" s="192" t="e">
        <f t="shared" si="288"/>
        <v>#DIV/0!</v>
      </c>
      <c r="BB28" s="338">
        <f>AVERAGE(BB5,BB11,BB17)-AVERAGE(BB8,BB14,BB20)</f>
        <v>-52.587301587301589</v>
      </c>
      <c r="BC28" s="337" t="e">
        <f t="shared" ref="BC28:BI28" si="289">AVERAGE(BC5,BC11,BC17)-AVERAGE(BC8,BC14,BC20)</f>
        <v>#DIV/0!</v>
      </c>
      <c r="BD28" s="166" t="e">
        <f t="shared" si="289"/>
        <v>#DIV/0!</v>
      </c>
      <c r="BE28" s="166" t="e">
        <f t="shared" si="289"/>
        <v>#DIV/0!</v>
      </c>
      <c r="BF28" s="166" t="e">
        <f t="shared" si="289"/>
        <v>#DIV/0!</v>
      </c>
      <c r="BG28" s="166" t="e">
        <f t="shared" si="289"/>
        <v>#DIV/0!</v>
      </c>
      <c r="BH28" s="166" t="e">
        <f t="shared" si="289"/>
        <v>#DIV/0!</v>
      </c>
      <c r="BI28" s="192" t="e">
        <f t="shared" si="289"/>
        <v>#DIV/0!</v>
      </c>
      <c r="BJ28" s="338">
        <f>AVERAGE(BJ5,BJ11,BJ17)-AVERAGE(BJ8,BJ14,BJ20)</f>
        <v>-49.416666666666664</v>
      </c>
      <c r="BK28" s="337" t="e">
        <f t="shared" ref="BK28:BQ28" si="290">AVERAGE(BK5,BK11,BK17)-AVERAGE(BK8,BK14,BK20)</f>
        <v>#DIV/0!</v>
      </c>
      <c r="BL28" s="166" t="e">
        <f t="shared" si="290"/>
        <v>#DIV/0!</v>
      </c>
      <c r="BM28" s="166" t="e">
        <f t="shared" si="290"/>
        <v>#DIV/0!</v>
      </c>
      <c r="BN28" s="166" t="e">
        <f t="shared" si="290"/>
        <v>#DIV/0!</v>
      </c>
      <c r="BO28" s="166" t="e">
        <f t="shared" si="290"/>
        <v>#DIV/0!</v>
      </c>
      <c r="BP28" s="166" t="e">
        <f t="shared" si="290"/>
        <v>#DIV/0!</v>
      </c>
      <c r="BQ28" s="192" t="e">
        <f t="shared" si="290"/>
        <v>#DIV/0!</v>
      </c>
      <c r="BR28" s="338">
        <f>AVERAGE(BR5,BR11,BR17)-AVERAGE(BR8,BR14,BR20)</f>
        <v>-33</v>
      </c>
      <c r="BS28" s="337" t="e">
        <f t="shared" ref="BS28:BY28" si="291">AVERAGE(BS5,BS11,BS17)-AVERAGE(BS8,BS14,BS20)</f>
        <v>#DIV/0!</v>
      </c>
      <c r="BT28" s="166" t="e">
        <f t="shared" si="291"/>
        <v>#DIV/0!</v>
      </c>
      <c r="BU28" s="166" t="e">
        <f t="shared" si="291"/>
        <v>#DIV/0!</v>
      </c>
      <c r="BV28" s="166" t="e">
        <f t="shared" si="291"/>
        <v>#DIV/0!</v>
      </c>
      <c r="BW28" s="166" t="e">
        <f t="shared" si="291"/>
        <v>#DIV/0!</v>
      </c>
      <c r="BX28" s="166" t="e">
        <f t="shared" si="291"/>
        <v>#DIV/0!</v>
      </c>
      <c r="BY28" s="192" t="e">
        <f t="shared" si="291"/>
        <v>#DIV/0!</v>
      </c>
      <c r="BZ28" s="338">
        <f>AVERAGE(BZ5,BZ11,BZ17)-AVERAGE(BZ8,BZ14,BZ20)</f>
        <v>0</v>
      </c>
      <c r="CA28" s="337" t="e">
        <f t="shared" ref="CA28:CG28" si="292">AVERAGE(CA5,CA11,CA17)-AVERAGE(CA8,CA14,CA20)</f>
        <v>#DIV/0!</v>
      </c>
      <c r="CB28" s="166" t="e">
        <f t="shared" si="292"/>
        <v>#DIV/0!</v>
      </c>
      <c r="CC28" s="166" t="e">
        <f t="shared" si="292"/>
        <v>#DIV/0!</v>
      </c>
      <c r="CD28" s="166" t="e">
        <f t="shared" si="292"/>
        <v>#DIV/0!</v>
      </c>
      <c r="CE28" s="166" t="e">
        <f t="shared" si="292"/>
        <v>#DIV/0!</v>
      </c>
      <c r="CF28" s="166" t="e">
        <f t="shared" si="292"/>
        <v>#DIV/0!</v>
      </c>
      <c r="CG28" s="192" t="e">
        <f t="shared" si="292"/>
        <v>#DIV/0!</v>
      </c>
    </row>
    <row r="29" spans="2:85" outlineLevel="1" x14ac:dyDescent="0.3">
      <c r="B29" s="941"/>
      <c r="C29" s="931"/>
      <c r="D29" s="929"/>
      <c r="E29" s="199" t="s">
        <v>219</v>
      </c>
      <c r="F29" s="295">
        <f t="shared" ref="F29:U29" si="293">IFERROR(F28/F21,0)</f>
        <v>0</v>
      </c>
      <c r="G29" s="334">
        <f t="shared" si="293"/>
        <v>0</v>
      </c>
      <c r="H29" s="335">
        <f t="shared" si="293"/>
        <v>0</v>
      </c>
      <c r="I29" s="335">
        <f t="shared" si="293"/>
        <v>0</v>
      </c>
      <c r="J29" s="335">
        <f t="shared" si="293"/>
        <v>0</v>
      </c>
      <c r="K29" s="335">
        <f t="shared" si="293"/>
        <v>0</v>
      </c>
      <c r="L29" s="335">
        <f t="shared" si="293"/>
        <v>0</v>
      </c>
      <c r="M29" s="336">
        <f t="shared" si="293"/>
        <v>0</v>
      </c>
      <c r="N29" s="295">
        <f t="shared" si="293"/>
        <v>0</v>
      </c>
      <c r="O29" s="334">
        <f t="shared" si="293"/>
        <v>0</v>
      </c>
      <c r="P29" s="335">
        <f t="shared" si="293"/>
        <v>0</v>
      </c>
      <c r="Q29" s="335">
        <f t="shared" si="293"/>
        <v>0</v>
      </c>
      <c r="R29" s="335">
        <f t="shared" si="293"/>
        <v>0</v>
      </c>
      <c r="S29" s="335">
        <f t="shared" si="293"/>
        <v>0</v>
      </c>
      <c r="T29" s="335">
        <f t="shared" si="293"/>
        <v>0</v>
      </c>
      <c r="U29" s="336">
        <f t="shared" si="293"/>
        <v>0</v>
      </c>
      <c r="V29" s="348">
        <f>IFERROR((AVERAGE(V5,V11,V17)/AVERAGE(V8,V14,V20))-1,0)</f>
        <v>-1</v>
      </c>
      <c r="W29" s="349">
        <f t="shared" ref="W29:AC29" si="294">IFERROR((AVERAGE(W5,W11,W17)/AVERAGE(W8,W14,W20))-1,0)</f>
        <v>0</v>
      </c>
      <c r="X29" s="350">
        <f t="shared" si="294"/>
        <v>0</v>
      </c>
      <c r="Y29" s="350">
        <f t="shared" si="294"/>
        <v>0</v>
      </c>
      <c r="Z29" s="350">
        <f t="shared" si="294"/>
        <v>0</v>
      </c>
      <c r="AA29" s="350">
        <f t="shared" si="294"/>
        <v>0</v>
      </c>
      <c r="AB29" s="350">
        <f>IFERROR((AVERAGE(AB5,AB11,AB17)/AVERAGE(AB8,AB14,AB20))-1,0)</f>
        <v>0</v>
      </c>
      <c r="AC29" s="350">
        <f t="shared" si="294"/>
        <v>0</v>
      </c>
      <c r="AD29" s="348">
        <f>IFERROR((AVERAGE(AD5,AD11,AD17)/AVERAGE(AD8,AD14,AD20))-1,0)</f>
        <v>-1</v>
      </c>
      <c r="AE29" s="349">
        <f t="shared" ref="AE29:AI29" si="295">IFERROR((AVERAGE(AE5,AE11,AE17)/AVERAGE(AE8,AE14,AE20))-1,0)</f>
        <v>0</v>
      </c>
      <c r="AF29" s="350">
        <f t="shared" si="295"/>
        <v>0</v>
      </c>
      <c r="AG29" s="350">
        <f t="shared" si="295"/>
        <v>0</v>
      </c>
      <c r="AH29" s="350">
        <f t="shared" si="295"/>
        <v>0</v>
      </c>
      <c r="AI29" s="350">
        <f t="shared" si="295"/>
        <v>0</v>
      </c>
      <c r="AJ29" s="350">
        <f>IFERROR((AVERAGE(AJ5,AJ11,AJ17)/AVERAGE(AJ8,AJ14,AJ20))-1,0)</f>
        <v>-1</v>
      </c>
      <c r="AK29" s="353">
        <f t="shared" ref="AK29" si="296">IFERROR((AVERAGE(AK5,AK11,AK17)/AVERAGE(AK8,AK14,AK20))-1,0)</f>
        <v>0</v>
      </c>
      <c r="AL29" s="348">
        <f>IFERROR((AVERAGE(AL5,AL11,AL17)/AVERAGE(AL8,AL14,AL20))-1,0)</f>
        <v>-1</v>
      </c>
      <c r="AM29" s="349">
        <f t="shared" ref="AM29:AQ29" si="297">IFERROR((AVERAGE(AM5,AM11,AM17)/AVERAGE(AM8,AM14,AM20))-1,0)</f>
        <v>0</v>
      </c>
      <c r="AN29" s="350">
        <f t="shared" si="297"/>
        <v>0</v>
      </c>
      <c r="AO29" s="350">
        <f t="shared" si="297"/>
        <v>0</v>
      </c>
      <c r="AP29" s="350">
        <f t="shared" si="297"/>
        <v>0</v>
      </c>
      <c r="AQ29" s="350">
        <f t="shared" si="297"/>
        <v>0</v>
      </c>
      <c r="AR29" s="350">
        <f>IFERROR((AVERAGE(AR5,AR11,AR17)/AVERAGE(AR8,AR14,AR20))-1,0)</f>
        <v>0</v>
      </c>
      <c r="AS29" s="353">
        <f t="shared" ref="AS29" si="298">IFERROR((AVERAGE(AS5,AS11,AS17)/AVERAGE(AS8,AS14,AS20))-1,0)</f>
        <v>0</v>
      </c>
      <c r="AT29" s="348">
        <f>IFERROR((AVERAGE(AT5,AT11,AT17)/AVERAGE(AT8,AT14,AT20))-1,0)</f>
        <v>-1</v>
      </c>
      <c r="AU29" s="349">
        <f t="shared" ref="AU29:AY29" si="299">IFERROR((AVERAGE(AU5,AU11,AU17)/AVERAGE(AU8,AU14,AU20))-1,0)</f>
        <v>0</v>
      </c>
      <c r="AV29" s="350">
        <f t="shared" si="299"/>
        <v>0</v>
      </c>
      <c r="AW29" s="350">
        <f t="shared" si="299"/>
        <v>0</v>
      </c>
      <c r="AX29" s="350">
        <f t="shared" si="299"/>
        <v>0</v>
      </c>
      <c r="AY29" s="350">
        <f t="shared" si="299"/>
        <v>0</v>
      </c>
      <c r="AZ29" s="350">
        <f>IFERROR((AVERAGE(AZ5,AZ11,AZ17)/AVERAGE(AZ8,AZ14,AZ20))-1,0)</f>
        <v>0</v>
      </c>
      <c r="BA29" s="353">
        <f t="shared" ref="BA29" si="300">IFERROR((AVERAGE(BA5,BA11,BA17)/AVERAGE(BA8,BA14,BA20))-1,0)</f>
        <v>0</v>
      </c>
      <c r="BB29" s="348">
        <f>IFERROR((AVERAGE(BB5,BB11,BB17)/AVERAGE(BB8,BB14,BB20))-1,0)</f>
        <v>-1</v>
      </c>
      <c r="BC29" s="349">
        <f t="shared" ref="BC29:BG29" si="301">IFERROR((AVERAGE(BC5,BC11,BC17)/AVERAGE(BC8,BC14,BC20))-1,0)</f>
        <v>0</v>
      </c>
      <c r="BD29" s="350">
        <f t="shared" si="301"/>
        <v>0</v>
      </c>
      <c r="BE29" s="350">
        <f t="shared" si="301"/>
        <v>0</v>
      </c>
      <c r="BF29" s="350">
        <f t="shared" si="301"/>
        <v>0</v>
      </c>
      <c r="BG29" s="350">
        <f t="shared" si="301"/>
        <v>0</v>
      </c>
      <c r="BH29" s="350">
        <f>IFERROR((AVERAGE(BH5,BH11,BH17)/AVERAGE(BH8,BH14,BH20))-1,0)</f>
        <v>0</v>
      </c>
      <c r="BI29" s="353">
        <f t="shared" ref="BI29" si="302">IFERROR((AVERAGE(BI5,BI11,BI17)/AVERAGE(BI8,BI14,BI20))-1,0)</f>
        <v>0</v>
      </c>
      <c r="BJ29" s="348">
        <f>IFERROR((AVERAGE(BJ5,BJ11,BJ17)/AVERAGE(BJ8,BJ14,BJ20))-1,0)</f>
        <v>-1</v>
      </c>
      <c r="BK29" s="349">
        <f t="shared" ref="BK29:BO29" si="303">IFERROR((AVERAGE(BK5,BK11,BK17)/AVERAGE(BK8,BK14,BK20))-1,0)</f>
        <v>0</v>
      </c>
      <c r="BL29" s="350">
        <f t="shared" si="303"/>
        <v>0</v>
      </c>
      <c r="BM29" s="350">
        <f t="shared" si="303"/>
        <v>0</v>
      </c>
      <c r="BN29" s="350">
        <f t="shared" si="303"/>
        <v>0</v>
      </c>
      <c r="BO29" s="350">
        <f t="shared" si="303"/>
        <v>0</v>
      </c>
      <c r="BP29" s="350">
        <f>IFERROR((AVERAGE(BP5,BP11,BP17)/AVERAGE(BP8,BP14,BP20))-1,0)</f>
        <v>0</v>
      </c>
      <c r="BQ29" s="353">
        <f t="shared" ref="BQ29" si="304">IFERROR((AVERAGE(BQ5,BQ11,BQ17)/AVERAGE(BQ8,BQ14,BQ20))-1,0)</f>
        <v>0</v>
      </c>
      <c r="BR29" s="348">
        <f>IFERROR((AVERAGE(BR5,BR11,BR17)/AVERAGE(BR8,BR14,BR20))-1,0)</f>
        <v>-1</v>
      </c>
      <c r="BS29" s="349">
        <f t="shared" ref="BS29:BW29" si="305">IFERROR((AVERAGE(BS5,BS11,BS17)/AVERAGE(BS8,BS14,BS20))-1,0)</f>
        <v>0</v>
      </c>
      <c r="BT29" s="350">
        <f t="shared" si="305"/>
        <v>0</v>
      </c>
      <c r="BU29" s="350">
        <f t="shared" si="305"/>
        <v>0</v>
      </c>
      <c r="BV29" s="350">
        <f t="shared" si="305"/>
        <v>0</v>
      </c>
      <c r="BW29" s="350">
        <f t="shared" si="305"/>
        <v>0</v>
      </c>
      <c r="BX29" s="350">
        <f>IFERROR((AVERAGE(BX5,BX11,BX17)/AVERAGE(BX8,BX14,BX20))-1,0)</f>
        <v>0</v>
      </c>
      <c r="BY29" s="353">
        <f t="shared" ref="BY29" si="306">IFERROR((AVERAGE(BY5,BY11,BY17)/AVERAGE(BY8,BY14,BY20))-1,0)</f>
        <v>0</v>
      </c>
      <c r="BZ29" s="348">
        <f>IFERROR((AVERAGE(BZ5,BZ11,BZ17)/AVERAGE(BZ8,BZ14,BZ20))-1,0)</f>
        <v>0</v>
      </c>
      <c r="CA29" s="349">
        <f t="shared" ref="CA29:CE29" si="307">IFERROR((AVERAGE(CA5,CA11,CA17)/AVERAGE(CA8,CA14,CA20))-1,0)</f>
        <v>0</v>
      </c>
      <c r="CB29" s="350">
        <f t="shared" si="307"/>
        <v>0</v>
      </c>
      <c r="CC29" s="350">
        <f t="shared" si="307"/>
        <v>0</v>
      </c>
      <c r="CD29" s="350">
        <f t="shared" si="307"/>
        <v>0</v>
      </c>
      <c r="CE29" s="350">
        <f t="shared" si="307"/>
        <v>0</v>
      </c>
      <c r="CF29" s="350">
        <f>IFERROR((AVERAGE(CF5,CF11,CF17)/AVERAGE(CF8,CF14,CF20))-1,0)</f>
        <v>0</v>
      </c>
      <c r="CG29" s="353">
        <f t="shared" ref="CG29" si="308">IFERROR((AVERAGE(CG5,CG11,CG17)/AVERAGE(CG8,CG14,CG20))-1,0)</f>
        <v>0</v>
      </c>
    </row>
    <row r="30" spans="2:85" outlineLevel="1" x14ac:dyDescent="0.3">
      <c r="B30" s="941"/>
      <c r="C30" s="931"/>
      <c r="D30" s="929" t="s">
        <v>212</v>
      </c>
      <c r="E30" s="196" t="s">
        <v>218</v>
      </c>
      <c r="F30" s="194" t="e">
        <f t="shared" ref="F30:V30" si="309">F25-F23</f>
        <v>#VALUE!</v>
      </c>
      <c r="G30" s="333" t="e">
        <f t="shared" si="309"/>
        <v>#VALUE!</v>
      </c>
      <c r="H30" s="167" t="e">
        <f t="shared" si="309"/>
        <v>#VALUE!</v>
      </c>
      <c r="I30" s="167" t="e">
        <f t="shared" si="309"/>
        <v>#VALUE!</v>
      </c>
      <c r="J30" s="167" t="e">
        <f t="shared" si="309"/>
        <v>#VALUE!</v>
      </c>
      <c r="K30" s="167" t="e">
        <f t="shared" si="309"/>
        <v>#VALUE!</v>
      </c>
      <c r="L30" s="167" t="e">
        <f t="shared" si="309"/>
        <v>#VALUE!</v>
      </c>
      <c r="M30" s="168" t="e">
        <f t="shared" si="309"/>
        <v>#VALUE!</v>
      </c>
      <c r="N30" s="194" t="e">
        <f t="shared" si="309"/>
        <v>#VALUE!</v>
      </c>
      <c r="O30" s="333" t="e">
        <f t="shared" si="309"/>
        <v>#VALUE!</v>
      </c>
      <c r="P30" s="167" t="e">
        <f t="shared" si="309"/>
        <v>#VALUE!</v>
      </c>
      <c r="Q30" s="167" t="e">
        <f t="shared" si="309"/>
        <v>#VALUE!</v>
      </c>
      <c r="R30" s="167" t="e">
        <f t="shared" si="309"/>
        <v>#VALUE!</v>
      </c>
      <c r="S30" s="167" t="e">
        <f t="shared" si="309"/>
        <v>#VALUE!</v>
      </c>
      <c r="T30" s="167" t="e">
        <f t="shared" si="309"/>
        <v>#VALUE!</v>
      </c>
      <c r="U30" s="168" t="e">
        <f t="shared" si="309"/>
        <v>#VALUE!</v>
      </c>
      <c r="V30" s="368" t="e">
        <f t="shared" si="309"/>
        <v>#VALUE!</v>
      </c>
      <c r="W30" s="369" t="e">
        <f t="shared" ref="W30:AD30" si="310">W25-W23</f>
        <v>#VALUE!</v>
      </c>
      <c r="X30" s="370" t="e">
        <f t="shared" si="310"/>
        <v>#VALUE!</v>
      </c>
      <c r="Y30" s="370" t="e">
        <f t="shared" si="310"/>
        <v>#VALUE!</v>
      </c>
      <c r="Z30" s="370" t="e">
        <f t="shared" si="310"/>
        <v>#VALUE!</v>
      </c>
      <c r="AA30" s="370" t="e">
        <f t="shared" si="310"/>
        <v>#VALUE!</v>
      </c>
      <c r="AB30" s="370" t="e">
        <f t="shared" si="310"/>
        <v>#VALUE!</v>
      </c>
      <c r="AC30" s="370" t="e">
        <f t="shared" si="310"/>
        <v>#VALUE!</v>
      </c>
      <c r="AD30" s="368" t="e">
        <f t="shared" si="310"/>
        <v>#VALUE!</v>
      </c>
      <c r="AE30" s="369" t="e">
        <f t="shared" ref="AE30:BA30" si="311">AE25-AE23</f>
        <v>#VALUE!</v>
      </c>
      <c r="AF30" s="370" t="e">
        <f t="shared" si="311"/>
        <v>#VALUE!</v>
      </c>
      <c r="AG30" s="370" t="e">
        <f t="shared" si="311"/>
        <v>#VALUE!</v>
      </c>
      <c r="AH30" s="370" t="e">
        <f t="shared" si="311"/>
        <v>#VALUE!</v>
      </c>
      <c r="AI30" s="370" t="e">
        <f t="shared" si="311"/>
        <v>#VALUE!</v>
      </c>
      <c r="AJ30" s="370" t="e">
        <f t="shared" si="311"/>
        <v>#VALUE!</v>
      </c>
      <c r="AK30" s="371" t="e">
        <f t="shared" si="311"/>
        <v>#VALUE!</v>
      </c>
      <c r="AL30" s="368" t="e">
        <f t="shared" si="311"/>
        <v>#VALUE!</v>
      </c>
      <c r="AM30" s="369" t="e">
        <f t="shared" si="311"/>
        <v>#VALUE!</v>
      </c>
      <c r="AN30" s="370" t="e">
        <f t="shared" si="311"/>
        <v>#VALUE!</v>
      </c>
      <c r="AO30" s="370" t="e">
        <f t="shared" si="311"/>
        <v>#VALUE!</v>
      </c>
      <c r="AP30" s="370" t="e">
        <f t="shared" si="311"/>
        <v>#VALUE!</v>
      </c>
      <c r="AQ30" s="370" t="e">
        <f t="shared" si="311"/>
        <v>#VALUE!</v>
      </c>
      <c r="AR30" s="370" t="e">
        <f t="shared" si="311"/>
        <v>#VALUE!</v>
      </c>
      <c r="AS30" s="371" t="e">
        <f t="shared" si="311"/>
        <v>#VALUE!</v>
      </c>
      <c r="AT30" s="372" t="e">
        <f t="shared" si="311"/>
        <v>#VALUE!</v>
      </c>
      <c r="AU30" s="333" t="e">
        <f t="shared" si="311"/>
        <v>#VALUE!</v>
      </c>
      <c r="AV30" s="167" t="e">
        <f t="shared" si="311"/>
        <v>#VALUE!</v>
      </c>
      <c r="AW30" s="167" t="e">
        <f t="shared" si="311"/>
        <v>#VALUE!</v>
      </c>
      <c r="AX30" s="167" t="e">
        <f t="shared" si="311"/>
        <v>#VALUE!</v>
      </c>
      <c r="AY30" s="167" t="e">
        <f t="shared" si="311"/>
        <v>#VALUE!</v>
      </c>
      <c r="AZ30" s="167" t="e">
        <f t="shared" si="311"/>
        <v>#VALUE!</v>
      </c>
      <c r="BA30" s="168" t="e">
        <f t="shared" si="311"/>
        <v>#VALUE!</v>
      </c>
      <c r="BB30" s="372" t="e">
        <f t="shared" ref="BB30:BI30" si="312">BB25-BB23</f>
        <v>#VALUE!</v>
      </c>
      <c r="BC30" s="333" t="e">
        <f t="shared" si="312"/>
        <v>#VALUE!</v>
      </c>
      <c r="BD30" s="167" t="e">
        <f t="shared" si="312"/>
        <v>#VALUE!</v>
      </c>
      <c r="BE30" s="167" t="e">
        <f t="shared" si="312"/>
        <v>#VALUE!</v>
      </c>
      <c r="BF30" s="167" t="e">
        <f t="shared" si="312"/>
        <v>#VALUE!</v>
      </c>
      <c r="BG30" s="167" t="e">
        <f t="shared" si="312"/>
        <v>#VALUE!</v>
      </c>
      <c r="BH30" s="167" t="e">
        <f t="shared" si="312"/>
        <v>#VALUE!</v>
      </c>
      <c r="BI30" s="168" t="e">
        <f t="shared" si="312"/>
        <v>#VALUE!</v>
      </c>
      <c r="BJ30" s="372" t="e">
        <f t="shared" ref="BJ30:BQ30" si="313">BJ25-BJ23</f>
        <v>#VALUE!</v>
      </c>
      <c r="BK30" s="333" t="e">
        <f t="shared" si="313"/>
        <v>#VALUE!</v>
      </c>
      <c r="BL30" s="167" t="e">
        <f t="shared" si="313"/>
        <v>#VALUE!</v>
      </c>
      <c r="BM30" s="167" t="e">
        <f t="shared" si="313"/>
        <v>#VALUE!</v>
      </c>
      <c r="BN30" s="167" t="e">
        <f t="shared" si="313"/>
        <v>#VALUE!</v>
      </c>
      <c r="BO30" s="167" t="e">
        <f t="shared" si="313"/>
        <v>#VALUE!</v>
      </c>
      <c r="BP30" s="167" t="e">
        <f t="shared" si="313"/>
        <v>#VALUE!</v>
      </c>
      <c r="BQ30" s="168" t="e">
        <f t="shared" si="313"/>
        <v>#VALUE!</v>
      </c>
      <c r="BR30" s="372" t="e">
        <f t="shared" ref="BR30:BY30" si="314">BR25-BR23</f>
        <v>#VALUE!</v>
      </c>
      <c r="BS30" s="333" t="e">
        <f t="shared" si="314"/>
        <v>#VALUE!</v>
      </c>
      <c r="BT30" s="167" t="e">
        <f t="shared" si="314"/>
        <v>#VALUE!</v>
      </c>
      <c r="BU30" s="167" t="e">
        <f t="shared" si="314"/>
        <v>#VALUE!</v>
      </c>
      <c r="BV30" s="167" t="e">
        <f t="shared" si="314"/>
        <v>#VALUE!</v>
      </c>
      <c r="BW30" s="167" t="e">
        <f t="shared" si="314"/>
        <v>#VALUE!</v>
      </c>
      <c r="BX30" s="167" t="e">
        <f t="shared" si="314"/>
        <v>#VALUE!</v>
      </c>
      <c r="BY30" s="168" t="e">
        <f t="shared" si="314"/>
        <v>#VALUE!</v>
      </c>
      <c r="BZ30" s="372" t="e">
        <f t="shared" ref="BZ30:CG30" si="315">BZ25-BZ23</f>
        <v>#VALUE!</v>
      </c>
      <c r="CA30" s="333" t="e">
        <f t="shared" si="315"/>
        <v>#VALUE!</v>
      </c>
      <c r="CB30" s="167" t="e">
        <f t="shared" si="315"/>
        <v>#VALUE!</v>
      </c>
      <c r="CC30" s="167" t="e">
        <f t="shared" si="315"/>
        <v>#VALUE!</v>
      </c>
      <c r="CD30" s="167" t="e">
        <f t="shared" si="315"/>
        <v>#VALUE!</v>
      </c>
      <c r="CE30" s="167" t="e">
        <f t="shared" si="315"/>
        <v>#VALUE!</v>
      </c>
      <c r="CF30" s="167" t="e">
        <f t="shared" si="315"/>
        <v>#VALUE!</v>
      </c>
      <c r="CG30" s="168" t="e">
        <f t="shared" si="315"/>
        <v>#VALUE!</v>
      </c>
    </row>
    <row r="31" spans="2:85" outlineLevel="1" x14ac:dyDescent="0.3">
      <c r="B31" s="941"/>
      <c r="C31" s="931"/>
      <c r="D31" s="929"/>
      <c r="E31" s="199" t="s">
        <v>219</v>
      </c>
      <c r="F31" s="295">
        <f t="shared" ref="F31:U31" si="316">IFERROR(F30/F23,0)</f>
        <v>0</v>
      </c>
      <c r="G31" s="334">
        <f t="shared" si="316"/>
        <v>0</v>
      </c>
      <c r="H31" s="335">
        <f t="shared" si="316"/>
        <v>0</v>
      </c>
      <c r="I31" s="335">
        <f t="shared" si="316"/>
        <v>0</v>
      </c>
      <c r="J31" s="335">
        <f t="shared" si="316"/>
        <v>0</v>
      </c>
      <c r="K31" s="335">
        <f t="shared" si="316"/>
        <v>0</v>
      </c>
      <c r="L31" s="335">
        <f t="shared" si="316"/>
        <v>0</v>
      </c>
      <c r="M31" s="336">
        <f t="shared" si="316"/>
        <v>0</v>
      </c>
      <c r="N31" s="295">
        <f t="shared" si="316"/>
        <v>0</v>
      </c>
      <c r="O31" s="334">
        <f t="shared" si="316"/>
        <v>0</v>
      </c>
      <c r="P31" s="335">
        <f t="shared" si="316"/>
        <v>0</v>
      </c>
      <c r="Q31" s="335">
        <f t="shared" si="316"/>
        <v>0</v>
      </c>
      <c r="R31" s="335">
        <f t="shared" si="316"/>
        <v>0</v>
      </c>
      <c r="S31" s="335">
        <f t="shared" si="316"/>
        <v>0</v>
      </c>
      <c r="T31" s="335">
        <f t="shared" si="316"/>
        <v>0</v>
      </c>
      <c r="U31" s="336">
        <f t="shared" si="316"/>
        <v>0</v>
      </c>
      <c r="V31" s="348">
        <f>IFERROR((V25/V23)-1,0)</f>
        <v>0</v>
      </c>
      <c r="W31" s="349">
        <f>IFERROR((W25/W23)-1,0)</f>
        <v>0</v>
      </c>
      <c r="X31" s="350">
        <f t="shared" ref="X31:AC31" si="317">IFERROR((X25/X23)-1,0)</f>
        <v>0</v>
      </c>
      <c r="Y31" s="350">
        <f t="shared" si="317"/>
        <v>0</v>
      </c>
      <c r="Z31" s="350">
        <f t="shared" si="317"/>
        <v>0</v>
      </c>
      <c r="AA31" s="350">
        <f t="shared" si="317"/>
        <v>0</v>
      </c>
      <c r="AB31" s="350">
        <f t="shared" si="317"/>
        <v>0</v>
      </c>
      <c r="AC31" s="350">
        <f t="shared" si="317"/>
        <v>0</v>
      </c>
      <c r="AD31" s="348">
        <f>IFERROR((AD25/AD23)-1,0)</f>
        <v>0</v>
      </c>
      <c r="AE31" s="349">
        <f>IFERROR((AE25/AE23)-1,0)</f>
        <v>0</v>
      </c>
      <c r="AF31" s="350">
        <f t="shared" ref="AF31:AK31" si="318">IFERROR((AF25/AF23)-1,0)</f>
        <v>0</v>
      </c>
      <c r="AG31" s="350">
        <f t="shared" si="318"/>
        <v>0</v>
      </c>
      <c r="AH31" s="350">
        <f t="shared" si="318"/>
        <v>0</v>
      </c>
      <c r="AI31" s="350">
        <f t="shared" si="318"/>
        <v>0</v>
      </c>
      <c r="AJ31" s="350">
        <f t="shared" si="318"/>
        <v>0</v>
      </c>
      <c r="AK31" s="353">
        <f t="shared" si="318"/>
        <v>0</v>
      </c>
      <c r="AL31" s="348">
        <f>IFERROR((AL25/AL23)-1,0)</f>
        <v>0</v>
      </c>
      <c r="AM31" s="349">
        <f>IFERROR((AM25/AM23)-1,0)</f>
        <v>0</v>
      </c>
      <c r="AN31" s="350">
        <f t="shared" ref="AN31:AS31" si="319">IFERROR((AN25/AN23)-1,0)</f>
        <v>0</v>
      </c>
      <c r="AO31" s="350">
        <f t="shared" si="319"/>
        <v>0</v>
      </c>
      <c r="AP31" s="350">
        <f t="shared" si="319"/>
        <v>0</v>
      </c>
      <c r="AQ31" s="350">
        <f t="shared" si="319"/>
        <v>0</v>
      </c>
      <c r="AR31" s="350">
        <f t="shared" si="319"/>
        <v>0</v>
      </c>
      <c r="AS31" s="353">
        <f t="shared" si="319"/>
        <v>0</v>
      </c>
      <c r="AT31" s="348">
        <f>IFERROR((AT25/AT23)-1,0)</f>
        <v>0</v>
      </c>
      <c r="AU31" s="349">
        <f>IFERROR((AU25/AU23)-1,0)</f>
        <v>0</v>
      </c>
      <c r="AV31" s="350">
        <f t="shared" ref="AV31:BA31" si="320">IFERROR((AV25/AV23)-1,0)</f>
        <v>0</v>
      </c>
      <c r="AW31" s="350">
        <f t="shared" si="320"/>
        <v>0</v>
      </c>
      <c r="AX31" s="350">
        <f t="shared" si="320"/>
        <v>0</v>
      </c>
      <c r="AY31" s="350">
        <f t="shared" si="320"/>
        <v>0</v>
      </c>
      <c r="AZ31" s="350">
        <f t="shared" si="320"/>
        <v>0</v>
      </c>
      <c r="BA31" s="353">
        <f t="shared" si="320"/>
        <v>0</v>
      </c>
      <c r="BB31" s="348">
        <f>IFERROR((BB25/BB23)-1,0)</f>
        <v>0</v>
      </c>
      <c r="BC31" s="349">
        <f>IFERROR((BC25/BC23)-1,0)</f>
        <v>0</v>
      </c>
      <c r="BD31" s="350">
        <f t="shared" ref="BD31:BI31" si="321">IFERROR((BD25/BD23)-1,0)</f>
        <v>0</v>
      </c>
      <c r="BE31" s="350">
        <f>IFERROR((BE25/BE23)-1,0)</f>
        <v>0</v>
      </c>
      <c r="BF31" s="350">
        <f t="shared" si="321"/>
        <v>0</v>
      </c>
      <c r="BG31" s="350">
        <f t="shared" si="321"/>
        <v>0</v>
      </c>
      <c r="BH31" s="350">
        <f t="shared" si="321"/>
        <v>0</v>
      </c>
      <c r="BI31" s="353">
        <f t="shared" si="321"/>
        <v>0</v>
      </c>
      <c r="BJ31" s="348">
        <f>IFERROR((BJ25/BJ23)-1,0)</f>
        <v>0</v>
      </c>
      <c r="BK31" s="349">
        <f>IFERROR((BK25/BK23)-1,0)</f>
        <v>0</v>
      </c>
      <c r="BL31" s="350">
        <f t="shared" ref="BL31:BQ31" si="322">IFERROR((BL25/BL23)-1,0)</f>
        <v>0</v>
      </c>
      <c r="BM31" s="350">
        <f t="shared" si="322"/>
        <v>0</v>
      </c>
      <c r="BN31" s="350">
        <f t="shared" si="322"/>
        <v>0</v>
      </c>
      <c r="BO31" s="350">
        <f t="shared" si="322"/>
        <v>0</v>
      </c>
      <c r="BP31" s="350">
        <f t="shared" si="322"/>
        <v>0</v>
      </c>
      <c r="BQ31" s="353">
        <f t="shared" si="322"/>
        <v>0</v>
      </c>
      <c r="BR31" s="348">
        <f>IFERROR((BR25/BR23)-1,0)</f>
        <v>0</v>
      </c>
      <c r="BS31" s="349">
        <f>IFERROR((BS25/BS23)-1,0)</f>
        <v>0</v>
      </c>
      <c r="BT31" s="350">
        <f t="shared" ref="BT31:BY31" si="323">IFERROR((BT25/BT23)-1,0)</f>
        <v>0</v>
      </c>
      <c r="BU31" s="350">
        <f t="shared" si="323"/>
        <v>0</v>
      </c>
      <c r="BV31" s="350">
        <f t="shared" si="323"/>
        <v>0</v>
      </c>
      <c r="BW31" s="350">
        <f t="shared" si="323"/>
        <v>0</v>
      </c>
      <c r="BX31" s="350">
        <f t="shared" si="323"/>
        <v>0</v>
      </c>
      <c r="BY31" s="353">
        <f t="shared" si="323"/>
        <v>0</v>
      </c>
      <c r="BZ31" s="348">
        <f>IFERROR((BZ25/BZ23)-1,0)</f>
        <v>0</v>
      </c>
      <c r="CA31" s="349">
        <f>IFERROR((CA25/CA23)-1,0)</f>
        <v>0</v>
      </c>
      <c r="CB31" s="350">
        <f t="shared" ref="CB31:CG31" si="324">IFERROR((CB25/CB23)-1,0)</f>
        <v>0</v>
      </c>
      <c r="CC31" s="350">
        <f t="shared" si="324"/>
        <v>0</v>
      </c>
      <c r="CD31" s="350">
        <f t="shared" si="324"/>
        <v>0</v>
      </c>
      <c r="CE31" s="350">
        <f t="shared" si="324"/>
        <v>0</v>
      </c>
      <c r="CF31" s="350">
        <f t="shared" si="324"/>
        <v>0</v>
      </c>
      <c r="CG31" s="353">
        <f t="shared" si="324"/>
        <v>0</v>
      </c>
    </row>
    <row r="32" spans="2:85" ht="15" outlineLevel="1" thickBot="1" x14ac:dyDescent="0.35">
      <c r="B32" s="942"/>
      <c r="C32" s="932"/>
      <c r="D32" s="331" t="s">
        <v>221</v>
      </c>
      <c r="E32" s="197" t="s">
        <v>219</v>
      </c>
      <c r="F32" s="295">
        <f>IFERROR(#REF!/F25,0)</f>
        <v>0</v>
      </c>
      <c r="G32" s="296">
        <f>IFERROR(#REF!/G25,0)</f>
        <v>0</v>
      </c>
      <c r="H32" s="297">
        <f>IFERROR(#REF!/H25,0)</f>
        <v>0</v>
      </c>
      <c r="I32" s="297">
        <f>IFERROR(#REF!/I25,0)</f>
        <v>0</v>
      </c>
      <c r="J32" s="297">
        <f>IFERROR(#REF!/J25,0)</f>
        <v>0</v>
      </c>
      <c r="K32" s="297">
        <f>IFERROR(#REF!/K25,0)</f>
        <v>0</v>
      </c>
      <c r="L32" s="297">
        <f>IFERROR(#REF!/L25,0)</f>
        <v>0</v>
      </c>
      <c r="M32" s="298">
        <f>IFERROR(#REF!/M25,0)</f>
        <v>0</v>
      </c>
      <c r="N32" s="295">
        <f>IFERROR(#REF!/N25,0)</f>
        <v>0</v>
      </c>
      <c r="O32" s="296">
        <f>IFERROR(#REF!/O25,0)</f>
        <v>0</v>
      </c>
      <c r="P32" s="297">
        <f>IFERROR(#REF!/P25,0)</f>
        <v>0</v>
      </c>
      <c r="Q32" s="297">
        <f>IFERROR(#REF!/Q25,0)</f>
        <v>0</v>
      </c>
      <c r="R32" s="297">
        <f>IFERROR(#REF!/R25,0)</f>
        <v>0</v>
      </c>
      <c r="S32" s="297">
        <f>IFERROR(#REF!/S25,0)</f>
        <v>0</v>
      </c>
      <c r="T32" s="297">
        <f>IFERROR(#REF!/T25,0)</f>
        <v>0</v>
      </c>
      <c r="U32" s="298">
        <f>IFERROR(#REF!/U25,0)</f>
        <v>0</v>
      </c>
      <c r="V32" s="348">
        <f>AVERAGE(W32:AC32)</f>
        <v>0</v>
      </c>
      <c r="W32" s="351">
        <f t="shared" ref="W32:AC32" si="325">IFERROR((W25/((W7*W8)+(W13*W14)+(W19*W20)))-1,0)</f>
        <v>0</v>
      </c>
      <c r="X32" s="352">
        <f t="shared" si="325"/>
        <v>0</v>
      </c>
      <c r="Y32" s="352">
        <f t="shared" si="325"/>
        <v>0</v>
      </c>
      <c r="Z32" s="352">
        <f t="shared" si="325"/>
        <v>0</v>
      </c>
      <c r="AA32" s="352">
        <f t="shared" si="325"/>
        <v>0</v>
      </c>
      <c r="AB32" s="352">
        <f t="shared" si="325"/>
        <v>0</v>
      </c>
      <c r="AC32" s="352">
        <f t="shared" si="325"/>
        <v>0</v>
      </c>
      <c r="AD32" s="354">
        <f>IFERROR((AD25/((AD7*AD8)+(AD13*AD14)+(AD19*AD20)))-1,0)</f>
        <v>-3.5807991458497668E-2</v>
      </c>
      <c r="AE32" s="351">
        <f>IFERROR((AE25/((AE7*AE8)+(AE13*AE14)+(AE19*AE20)))-1,0)</f>
        <v>-4.3488730495087613E-2</v>
      </c>
      <c r="AF32" s="352">
        <f t="shared" ref="AF32:AK32" si="326">IFERROR((AF25/((AF7*AF8)+(AF13*AF14)+(AF19*AF20)))-1,0)</f>
        <v>1.2743692484897817E-3</v>
      </c>
      <c r="AG32" s="352">
        <f t="shared" si="326"/>
        <v>-2.41177767975298E-2</v>
      </c>
      <c r="AH32" s="352">
        <f t="shared" si="326"/>
        <v>-3.989083212654565E-2</v>
      </c>
      <c r="AI32" s="352">
        <f t="shared" si="326"/>
        <v>-8.0561743341404313E-2</v>
      </c>
      <c r="AJ32" s="352">
        <f>IFERROR((AJ25/((AJ7*AJ8)+(AJ13*AJ14)+(AJ19*AJ20)))-1,0)</f>
        <v>0</v>
      </c>
      <c r="AK32" s="355">
        <f t="shared" si="326"/>
        <v>0</v>
      </c>
      <c r="AL32" s="348">
        <f>IFERROR((AL25/((AL7*AL8)+(AL13*AL14)+(AL19*AL20)))-1,0)</f>
        <v>-2.4757570005922935E-2</v>
      </c>
      <c r="AM32" s="351">
        <f>IFERROR((AM25/((AM7*AM8)+(AM13*AM14)+(AM19*AM20)))-1,0)</f>
        <v>-9.7578255828931759E-3</v>
      </c>
      <c r="AN32" s="352">
        <f t="shared" ref="AN32:AS32" si="327">IFERROR((AN25/((AN7*AN8)+(AN13*AN14)+(AN19*AN20)))-1,0)</f>
        <v>-2.8909293266555336E-2</v>
      </c>
      <c r="AO32" s="352">
        <f t="shared" si="327"/>
        <v>-4.1904198698994644E-2</v>
      </c>
      <c r="AP32" s="352">
        <f t="shared" si="327"/>
        <v>-1.7985133256783747E-2</v>
      </c>
      <c r="AQ32" s="352">
        <f t="shared" si="327"/>
        <v>-2.1713040748878365E-2</v>
      </c>
      <c r="AR32" s="352">
        <f t="shared" si="327"/>
        <v>-1.0886621248891393E-2</v>
      </c>
      <c r="AS32" s="355">
        <f t="shared" si="327"/>
        <v>0</v>
      </c>
      <c r="AT32" s="348">
        <f>IFERROR((AT25/((AT7*AT8)+(AT13*AT14)+(AT19*AT20)))-1,0)</f>
        <v>-1.9592203868466829E-2</v>
      </c>
      <c r="AU32" s="351">
        <f>IFERROR((AU25/((AU7*AU8)+(AU13*AU14)+(AU19*AU20)))-1,0)</f>
        <v>-2.9178857651698253E-2</v>
      </c>
      <c r="AV32" s="352">
        <f>IFERROR((AV25/((AV7*AV8)+(AV13*AV14)+(AV19*AV20)))-1,0)</f>
        <v>-1.8269060997268438E-2</v>
      </c>
      <c r="AW32" s="352">
        <f t="shared" ref="AW32:BA32" si="328">IFERROR((AW25/((AW7*AW8)+(AW13*AW14)+(AW19*AW20)))-1,0)</f>
        <v>-3.0262286528466187E-2</v>
      </c>
      <c r="AX32" s="352">
        <f t="shared" si="328"/>
        <v>-5.1765307862868815E-2</v>
      </c>
      <c r="AY32" s="352">
        <f t="shared" si="328"/>
        <v>-1.7884436600854037E-2</v>
      </c>
      <c r="AZ32" s="352">
        <f t="shared" si="328"/>
        <v>0</v>
      </c>
      <c r="BA32" s="355">
        <f t="shared" si="328"/>
        <v>0</v>
      </c>
      <c r="BB32" s="348">
        <f>IFERROR((BB25/((BB7*BB8)+(BB13*BB14)+(BB19*BB20)))-1,0)</f>
        <v>-8.4477536603607128E-2</v>
      </c>
      <c r="BC32" s="351">
        <f>IFERROR((BC25/((BC7*BC8)+(BC13*BC14)+(BC19*BC20)))-1,0)</f>
        <v>-0.11496922393552889</v>
      </c>
      <c r="BD32" s="352">
        <f>IFERROR((BD25/((BD7*BD8)+(BD13*BD14)+(BD19*BD20)))-1,0)</f>
        <v>-4.8828407153794995E-2</v>
      </c>
      <c r="BE32" s="352">
        <f t="shared" ref="BE32:BI32" si="329">IFERROR((BE25/((BE7*BE8)+(BE13*BE14)+(BE19*BE20)))-1,0)</f>
        <v>-3.3076754778527007E-2</v>
      </c>
      <c r="BF32" s="352">
        <f t="shared" si="329"/>
        <v>-7.7484203864019108E-2</v>
      </c>
      <c r="BG32" s="352">
        <f t="shared" si="329"/>
        <v>-3.4590521090038906E-2</v>
      </c>
      <c r="BH32" s="352">
        <f t="shared" si="329"/>
        <v>-1.7976171731485802E-2</v>
      </c>
      <c r="BI32" s="355">
        <f t="shared" si="329"/>
        <v>7.5514403292181065E-2</v>
      </c>
      <c r="BJ32" s="348">
        <f>IFERROR((BJ25/((BJ7*BJ8)+(BJ13*BJ14)+(BJ19*BJ20)))-1,0)</f>
        <v>0</v>
      </c>
      <c r="BK32" s="351">
        <f>IFERROR((BK25/((BK7*BK8)+(BK13*BK14)+(BK19*BK20)))-1,0)</f>
        <v>-4.3443917851500813E-2</v>
      </c>
      <c r="BL32" s="352">
        <f>IFERROR((BL25/((BL7*BL8)+(BL13*BL14)+(BL19*BL20)))-1,0)</f>
        <v>-0.14283184365689527</v>
      </c>
      <c r="BM32" s="352">
        <f t="shared" ref="BM32:BQ32" si="330">IFERROR((BM25/((BM7*BM8)+(BM13*BM14)+(BM19*BM20)))-1,0)</f>
        <v>-0.11592115238817291</v>
      </c>
      <c r="BN32" s="352">
        <f t="shared" si="330"/>
        <v>-5.4295339696799561E-2</v>
      </c>
      <c r="BO32" s="352">
        <f t="shared" si="330"/>
        <v>0</v>
      </c>
      <c r="BP32" s="352">
        <f t="shared" si="330"/>
        <v>0</v>
      </c>
      <c r="BQ32" s="355">
        <f t="shared" si="330"/>
        <v>0</v>
      </c>
      <c r="BR32" s="348">
        <f>IFERROR((BR25/((BR7*BR8)+(BR13*BR14)+(BR19*BR20)))-1,0)</f>
        <v>0</v>
      </c>
      <c r="BS32" s="351">
        <f>IFERROR((BS25/((BS7*BS8)+(BS13*BS14)+(BS19*BS20)))-1,0)</f>
        <v>0</v>
      </c>
      <c r="BT32" s="352">
        <f>IFERROR((BT25/((BT7*BT8)+(BT13*BT14)+(BT19*BT20)))-1,0)</f>
        <v>0</v>
      </c>
      <c r="BU32" s="352">
        <f t="shared" ref="BU32:BY32" si="331">IFERROR((BU25/((BU7*BU8)+(BU13*BU14)+(BU19*BU20)))-1,0)</f>
        <v>0</v>
      </c>
      <c r="BV32" s="352">
        <f t="shared" si="331"/>
        <v>0</v>
      </c>
      <c r="BW32" s="352">
        <f t="shared" si="331"/>
        <v>0</v>
      </c>
      <c r="BX32" s="352">
        <f t="shared" si="331"/>
        <v>0</v>
      </c>
      <c r="BY32" s="355">
        <f t="shared" si="331"/>
        <v>0</v>
      </c>
      <c r="BZ32" s="348">
        <f>IFERROR((BZ25/((BZ7*BZ8)+(BZ13*BZ14)+(BZ19*BZ20)))-1,0)</f>
        <v>0</v>
      </c>
      <c r="CA32" s="351">
        <f>IFERROR((CA25/((CA7*CA8)+(CA13*CA14)+(CA19*CA20)))-1,0)</f>
        <v>0</v>
      </c>
      <c r="CB32" s="352">
        <f>IFERROR((CB25/((CB7*CB8)+(CB13*CB14)+(CB19*CB20)))-1,0)</f>
        <v>0</v>
      </c>
      <c r="CC32" s="352">
        <f t="shared" ref="CC32:CG32" si="332">IFERROR((CC25/((CC7*CC8)+(CC13*CC14)+(CC19*CC20)))-1,0)</f>
        <v>0</v>
      </c>
      <c r="CD32" s="352">
        <f t="shared" si="332"/>
        <v>0</v>
      </c>
      <c r="CE32" s="352">
        <f t="shared" si="332"/>
        <v>0</v>
      </c>
      <c r="CF32" s="352">
        <f t="shared" si="332"/>
        <v>0</v>
      </c>
      <c r="CG32" s="355">
        <f t="shared" si="332"/>
        <v>0</v>
      </c>
    </row>
    <row r="33" spans="2:85" ht="14.85" customHeight="1" x14ac:dyDescent="0.3">
      <c r="B33" s="958" t="s">
        <v>222</v>
      </c>
      <c r="C33" s="200"/>
      <c r="D33" s="201"/>
      <c r="E33" s="202" t="s">
        <v>144</v>
      </c>
      <c r="F33" s="173">
        <f t="shared" ref="F33:F36" si="333">SUM(G33:M33)</f>
        <v>139000</v>
      </c>
      <c r="G33" s="174">
        <v>26000</v>
      </c>
      <c r="H33" s="174">
        <v>0</v>
      </c>
      <c r="I33" s="174">
        <v>25000</v>
      </c>
      <c r="J33" s="174">
        <v>23000</v>
      </c>
      <c r="K33" s="174">
        <v>30000</v>
      </c>
      <c r="L33" s="174">
        <v>35000</v>
      </c>
      <c r="M33" s="175">
        <v>0</v>
      </c>
      <c r="N33" s="270">
        <f t="shared" ref="N33" si="334">SUM(O33:U33)</f>
        <v>167500</v>
      </c>
      <c r="O33" s="174">
        <v>25000</v>
      </c>
      <c r="P33" s="174">
        <v>27500</v>
      </c>
      <c r="Q33" s="174">
        <v>27500</v>
      </c>
      <c r="R33" s="174">
        <v>27500</v>
      </c>
      <c r="S33" s="174">
        <v>30000</v>
      </c>
      <c r="T33" s="174">
        <v>30000</v>
      </c>
      <c r="U33" s="175">
        <v>0</v>
      </c>
      <c r="V33" s="270">
        <f t="shared" ref="V33" si="335">SUM(W33:AC33)</f>
        <v>172000</v>
      </c>
      <c r="W33" s="174">
        <v>26000</v>
      </c>
      <c r="X33" s="174">
        <v>26000</v>
      </c>
      <c r="Y33" s="174">
        <v>27000</v>
      </c>
      <c r="Z33" s="174">
        <v>28000</v>
      </c>
      <c r="AA33" s="174">
        <v>30000</v>
      </c>
      <c r="AB33" s="174">
        <v>35000</v>
      </c>
      <c r="AC33" s="175"/>
      <c r="AD33" s="270">
        <f t="shared" ref="AD33" si="336">SUM(AE33:AK33)</f>
        <v>135000</v>
      </c>
      <c r="AE33" s="174">
        <v>25000</v>
      </c>
      <c r="AF33" s="174">
        <v>25000</v>
      </c>
      <c r="AG33" s="174">
        <v>27000</v>
      </c>
      <c r="AH33" s="174">
        <v>28000</v>
      </c>
      <c r="AI33" s="174">
        <v>30000</v>
      </c>
      <c r="AJ33" s="174"/>
      <c r="AK33" s="175"/>
      <c r="AL33" s="270">
        <f t="shared" ref="AL33" si="337">SUM(AM33:AS33)</f>
        <v>0</v>
      </c>
      <c r="AM33" s="174"/>
      <c r="AN33" s="174"/>
      <c r="AO33" s="174"/>
      <c r="AP33" s="174"/>
      <c r="AQ33" s="174"/>
      <c r="AR33" s="174"/>
      <c r="AS33" s="175"/>
      <c r="AT33" s="270">
        <f t="shared" ref="AT33" si="338">SUM(AU33:BA33)</f>
        <v>200000</v>
      </c>
      <c r="AU33" s="174">
        <v>17000</v>
      </c>
      <c r="AV33" s="174">
        <v>25000</v>
      </c>
      <c r="AW33" s="174">
        <v>25000</v>
      </c>
      <c r="AX33" s="174">
        <v>26000</v>
      </c>
      <c r="AY33" s="174">
        <v>27000</v>
      </c>
      <c r="AZ33" s="174">
        <v>40000</v>
      </c>
      <c r="BA33" s="175">
        <v>40000</v>
      </c>
      <c r="BB33" s="270">
        <f t="shared" ref="BB33" si="339">SUM(BC33:BI33)</f>
        <v>180000</v>
      </c>
      <c r="BC33" s="174">
        <v>27000</v>
      </c>
      <c r="BD33" s="174">
        <v>27000</v>
      </c>
      <c r="BE33" s="174">
        <v>27000</v>
      </c>
      <c r="BF33" s="174">
        <v>29000</v>
      </c>
      <c r="BG33" s="174">
        <v>30000</v>
      </c>
      <c r="BH33" s="174">
        <v>40000</v>
      </c>
      <c r="BI33" s="175"/>
      <c r="BJ33" s="270">
        <f t="shared" ref="BJ33" si="340">SUM(BK33:BQ33)</f>
        <v>183000</v>
      </c>
      <c r="BK33" s="174">
        <f>'Operations Forecast'!FF44</f>
        <v>0</v>
      </c>
      <c r="BL33" s="174">
        <f>'Operations Forecast'!FG44</f>
        <v>27000</v>
      </c>
      <c r="BM33" s="174">
        <f>'Operations Forecast'!FH44</f>
        <v>27000</v>
      </c>
      <c r="BN33" s="174">
        <f>'Operations Forecast'!FI44</f>
        <v>27000</v>
      </c>
      <c r="BO33" s="174">
        <f>'Operations Forecast'!FJ44</f>
        <v>29000</v>
      </c>
      <c r="BP33" s="174">
        <f>'Operations Forecast'!FK44</f>
        <v>30000</v>
      </c>
      <c r="BQ33" s="175">
        <f>'Operations Forecast'!FL44</f>
        <v>43000</v>
      </c>
      <c r="BR33" s="270">
        <f t="shared" ref="BR33" si="341">SUM(BS33:BY33)</f>
        <v>171000</v>
      </c>
      <c r="BS33" s="174">
        <f>'Operations Forecast'!FN44</f>
        <v>25000</v>
      </c>
      <c r="BT33" s="174">
        <f>'Operations Forecast'!FO44</f>
        <v>25000</v>
      </c>
      <c r="BU33" s="174">
        <f>'Operations Forecast'!FP44</f>
        <v>25000</v>
      </c>
      <c r="BV33" s="174">
        <f>'Operations Forecast'!FQ44</f>
        <v>26000</v>
      </c>
      <c r="BW33" s="174">
        <f>'Operations Forecast'!FR44</f>
        <v>30000</v>
      </c>
      <c r="BX33" s="174">
        <f>'Operations Forecast'!FS44</f>
        <v>40000</v>
      </c>
      <c r="BY33" s="175">
        <f>'Operations Forecast'!FT44</f>
        <v>0</v>
      </c>
      <c r="BZ33" s="270">
        <f t="shared" ref="BZ33" si="342">SUM(CA33:CG33)</f>
        <v>175000</v>
      </c>
      <c r="CA33" s="174">
        <v>26000</v>
      </c>
      <c r="CB33" s="174">
        <v>26000</v>
      </c>
      <c r="CC33" s="174">
        <v>28000</v>
      </c>
      <c r="CD33" s="174">
        <v>29000</v>
      </c>
      <c r="CE33" s="174">
        <v>29000</v>
      </c>
      <c r="CF33" s="174">
        <v>37000</v>
      </c>
      <c r="CG33" s="175"/>
    </row>
    <row r="34" spans="2:85" x14ac:dyDescent="0.3">
      <c r="B34" s="959"/>
      <c r="C34" s="179"/>
      <c r="D34" s="178"/>
      <c r="E34" s="185" t="s">
        <v>145</v>
      </c>
      <c r="F34" s="176">
        <f>SUM(G34:M34)</f>
        <v>159000</v>
      </c>
      <c r="G34" s="172">
        <v>39000</v>
      </c>
      <c r="H34" s="172">
        <v>0</v>
      </c>
      <c r="I34" s="172">
        <v>36000</v>
      </c>
      <c r="J34" s="172">
        <v>42000</v>
      </c>
      <c r="K34" s="172">
        <v>42000</v>
      </c>
      <c r="L34" s="172"/>
      <c r="M34" s="177"/>
      <c r="N34" s="271">
        <f>SUM(O34:U34)</f>
        <v>157500</v>
      </c>
      <c r="O34" s="172">
        <v>25000</v>
      </c>
      <c r="P34" s="172">
        <v>27500</v>
      </c>
      <c r="Q34" s="172">
        <v>30000</v>
      </c>
      <c r="R34" s="172">
        <v>37500</v>
      </c>
      <c r="S34" s="172">
        <v>37500</v>
      </c>
      <c r="T34" s="172"/>
      <c r="U34" s="177"/>
      <c r="V34" s="271">
        <f>SUM(W34:AC34)</f>
        <v>182000</v>
      </c>
      <c r="W34" s="172">
        <v>32000</v>
      </c>
      <c r="X34" s="172">
        <v>31000</v>
      </c>
      <c r="Y34" s="172">
        <v>36000</v>
      </c>
      <c r="Z34" s="172">
        <v>41000</v>
      </c>
      <c r="AA34" s="172">
        <v>42000</v>
      </c>
      <c r="AB34" s="172"/>
      <c r="AC34" s="177"/>
      <c r="AD34" s="271">
        <f>SUM(AE34:AK34)</f>
        <v>185000</v>
      </c>
      <c r="AE34" s="172">
        <v>34000</v>
      </c>
      <c r="AF34" s="172">
        <v>33000</v>
      </c>
      <c r="AG34" s="172">
        <v>36000</v>
      </c>
      <c r="AH34" s="172">
        <v>40000</v>
      </c>
      <c r="AI34" s="172">
        <v>42000</v>
      </c>
      <c r="AJ34" s="172"/>
      <c r="AK34" s="332"/>
      <c r="AL34" s="271">
        <f>SUM(AM34:AS34)</f>
        <v>0</v>
      </c>
      <c r="AM34" s="320"/>
      <c r="AN34" s="320"/>
      <c r="AO34" s="320"/>
      <c r="AP34" s="320"/>
      <c r="AQ34" s="320"/>
      <c r="AR34" s="320"/>
      <c r="AS34" s="177"/>
      <c r="AT34" s="271">
        <f>SUM(AU34:BA34)</f>
        <v>216000</v>
      </c>
      <c r="AU34" s="172">
        <v>35000</v>
      </c>
      <c r="AV34" s="172">
        <v>40000</v>
      </c>
      <c r="AW34" s="172">
        <v>43000</v>
      </c>
      <c r="AX34" s="172">
        <v>48000</v>
      </c>
      <c r="AY34" s="172">
        <v>50000</v>
      </c>
      <c r="AZ34" s="172"/>
      <c r="BA34" s="177"/>
      <c r="BB34" s="271">
        <f>SUM(BC34:BI34)</f>
        <v>204000</v>
      </c>
      <c r="BC34" s="172">
        <v>37000</v>
      </c>
      <c r="BD34" s="172">
        <v>37000</v>
      </c>
      <c r="BE34" s="172">
        <v>38000</v>
      </c>
      <c r="BF34" s="172">
        <v>45000</v>
      </c>
      <c r="BG34" s="172">
        <v>47000</v>
      </c>
      <c r="BH34" s="172"/>
      <c r="BI34" s="177"/>
      <c r="BJ34" s="271">
        <f>SUM(BK34:BQ34)</f>
        <v>204000</v>
      </c>
      <c r="BK34" s="172">
        <f>'Operations Forecast'!FF45</f>
        <v>0</v>
      </c>
      <c r="BL34" s="172">
        <f>'Operations Forecast'!FG45</f>
        <v>37000</v>
      </c>
      <c r="BM34" s="172">
        <f>'Operations Forecast'!FH45</f>
        <v>37000</v>
      </c>
      <c r="BN34" s="172">
        <f>'Operations Forecast'!FI45</f>
        <v>38000</v>
      </c>
      <c r="BO34" s="172">
        <f>'Operations Forecast'!FJ45</f>
        <v>45000</v>
      </c>
      <c r="BP34" s="172">
        <f>'Operations Forecast'!FK45</f>
        <v>47000</v>
      </c>
      <c r="BQ34" s="177">
        <f>'Operations Forecast'!FL45</f>
        <v>0</v>
      </c>
      <c r="BR34" s="271">
        <f>SUM(BS34:BY34)</f>
        <v>206000</v>
      </c>
      <c r="BS34" s="172">
        <f>'Operations Forecast'!FN45</f>
        <v>40000</v>
      </c>
      <c r="BT34" s="172">
        <f>'Operations Forecast'!FO45</f>
        <v>36000</v>
      </c>
      <c r="BU34" s="172">
        <f>'Operations Forecast'!FP45</f>
        <v>40000</v>
      </c>
      <c r="BV34" s="172">
        <f>'Operations Forecast'!FQ45</f>
        <v>45000</v>
      </c>
      <c r="BW34" s="172">
        <f>'Operations Forecast'!FR45</f>
        <v>45000</v>
      </c>
      <c r="BX34" s="172">
        <f>'Operations Forecast'!FS45</f>
        <v>0</v>
      </c>
      <c r="BY34" s="177">
        <f>'Operations Forecast'!FT45</f>
        <v>0</v>
      </c>
      <c r="BZ34" s="271">
        <f>SUM(CA34:CG34)</f>
        <v>202000</v>
      </c>
      <c r="CA34" s="172">
        <v>34000</v>
      </c>
      <c r="CB34" s="172">
        <v>36000</v>
      </c>
      <c r="CC34" s="172">
        <v>38000</v>
      </c>
      <c r="CD34" s="172">
        <v>47000</v>
      </c>
      <c r="CE34" s="172">
        <v>47000</v>
      </c>
      <c r="CF34" s="172"/>
      <c r="CG34" s="177"/>
    </row>
    <row r="35" spans="2:85" x14ac:dyDescent="0.3">
      <c r="B35" s="959"/>
      <c r="C35" s="179"/>
      <c r="D35" s="178"/>
      <c r="E35" s="185" t="s">
        <v>146</v>
      </c>
      <c r="F35" s="176">
        <f t="shared" si="333"/>
        <v>127000</v>
      </c>
      <c r="G35" s="172"/>
      <c r="H35" s="172">
        <v>0</v>
      </c>
      <c r="I35" s="172">
        <v>19000</v>
      </c>
      <c r="J35" s="172">
        <v>31000</v>
      </c>
      <c r="K35" s="178">
        <v>42000</v>
      </c>
      <c r="L35" s="172"/>
      <c r="M35" s="177">
        <v>35000</v>
      </c>
      <c r="N35" s="271">
        <f t="shared" ref="N35:N36" si="343">SUM(O35:U35)</f>
        <v>225000</v>
      </c>
      <c r="O35" s="172">
        <v>30000</v>
      </c>
      <c r="P35" s="172">
        <v>30000</v>
      </c>
      <c r="Q35" s="172">
        <v>40000</v>
      </c>
      <c r="R35" s="172">
        <v>42500</v>
      </c>
      <c r="S35" s="178">
        <v>42500</v>
      </c>
      <c r="T35" s="172"/>
      <c r="U35" s="177">
        <v>40000</v>
      </c>
      <c r="V35" s="271">
        <f t="shared" ref="V35:V36" si="344">SUM(W35:AC35)</f>
        <v>222000</v>
      </c>
      <c r="W35" s="172">
        <v>30000</v>
      </c>
      <c r="X35" s="172">
        <v>29000</v>
      </c>
      <c r="Y35" s="172">
        <v>32000</v>
      </c>
      <c r="Z35" s="172">
        <v>48000</v>
      </c>
      <c r="AA35" s="178">
        <v>45000</v>
      </c>
      <c r="AB35" s="172"/>
      <c r="AC35" s="177">
        <v>38000</v>
      </c>
      <c r="AD35" s="271">
        <f t="shared" ref="AD35:AD36" si="345">SUM(AE35:AK35)</f>
        <v>184000</v>
      </c>
      <c r="AE35" s="172">
        <v>32000</v>
      </c>
      <c r="AF35" s="172">
        <v>30000</v>
      </c>
      <c r="AG35" s="172">
        <v>34000</v>
      </c>
      <c r="AH35" s="172">
        <v>46000</v>
      </c>
      <c r="AI35" s="178"/>
      <c r="AJ35" s="172"/>
      <c r="AK35" s="177">
        <v>42000</v>
      </c>
      <c r="AL35" s="271">
        <f t="shared" ref="AL35:AL36" si="346">SUM(AM35:AS35)</f>
        <v>0</v>
      </c>
      <c r="AM35" s="320"/>
      <c r="AN35" s="320"/>
      <c r="AO35" s="320"/>
      <c r="AP35" s="320"/>
      <c r="AQ35" s="178"/>
      <c r="AR35" s="320"/>
      <c r="AS35" s="177"/>
      <c r="AT35" s="271">
        <f t="shared" ref="AT35:AT36" si="347">SUM(AU35:BA35)</f>
        <v>186000</v>
      </c>
      <c r="AU35" s="172">
        <v>31000</v>
      </c>
      <c r="AV35" s="172">
        <v>30000</v>
      </c>
      <c r="AW35" s="172">
        <v>35000</v>
      </c>
      <c r="AX35" s="172">
        <v>45000</v>
      </c>
      <c r="AY35" s="178">
        <v>45000</v>
      </c>
      <c r="AZ35" s="172"/>
      <c r="BA35" s="177"/>
      <c r="BB35" s="271">
        <f t="shared" ref="BB35:BB36" si="348">SUM(BC35:BI35)</f>
        <v>227000</v>
      </c>
      <c r="BC35" s="172">
        <v>34000</v>
      </c>
      <c r="BD35" s="172">
        <v>34000</v>
      </c>
      <c r="BE35" s="172">
        <v>34000</v>
      </c>
      <c r="BF35" s="172">
        <v>42000</v>
      </c>
      <c r="BG35" s="178">
        <v>46000</v>
      </c>
      <c r="BH35" s="172"/>
      <c r="BI35" s="177">
        <v>37000</v>
      </c>
      <c r="BJ35" s="271">
        <f t="shared" ref="BJ35:BJ36" si="349">SUM(BK35:BQ35)</f>
        <v>230000</v>
      </c>
      <c r="BK35" s="172">
        <f>'Operations Forecast'!FF46</f>
        <v>40000</v>
      </c>
      <c r="BL35" s="172">
        <f>'Operations Forecast'!FG46</f>
        <v>34000</v>
      </c>
      <c r="BM35" s="172">
        <f>'Operations Forecast'!FH46</f>
        <v>34000</v>
      </c>
      <c r="BN35" s="172">
        <f>'Operations Forecast'!FI46</f>
        <v>34000</v>
      </c>
      <c r="BO35" s="178">
        <f>'Operations Forecast'!FJ46</f>
        <v>42000</v>
      </c>
      <c r="BP35" s="172">
        <f>'Operations Forecast'!FK46</f>
        <v>46000</v>
      </c>
      <c r="BQ35" s="177">
        <f>'Operations Forecast'!FL46</f>
        <v>0</v>
      </c>
      <c r="BR35" s="271">
        <f t="shared" ref="BR35:BR36" si="350">SUM(BS35:BY35)</f>
        <v>229000</v>
      </c>
      <c r="BS35" s="172">
        <f>'Operations Forecast'!FN46</f>
        <v>34000</v>
      </c>
      <c r="BT35" s="172">
        <f>'Operations Forecast'!FO46</f>
        <v>30000</v>
      </c>
      <c r="BU35" s="172">
        <f>'Operations Forecast'!FP46</f>
        <v>35000</v>
      </c>
      <c r="BV35" s="172">
        <f>'Operations Forecast'!FQ46</f>
        <v>45000</v>
      </c>
      <c r="BW35" s="178">
        <f>'Operations Forecast'!FR46</f>
        <v>43000</v>
      </c>
      <c r="BX35" s="172">
        <f>'Operations Forecast'!FS46</f>
        <v>0</v>
      </c>
      <c r="BY35" s="177">
        <f>'Operations Forecast'!FT46</f>
        <v>42000</v>
      </c>
      <c r="BZ35" s="271">
        <f t="shared" ref="BZ35:BZ36" si="351">SUM(CA35:CG35)</f>
        <v>224000</v>
      </c>
      <c r="CA35" s="172">
        <v>33000</v>
      </c>
      <c r="CB35" s="172">
        <v>34000</v>
      </c>
      <c r="CC35" s="172">
        <v>34000</v>
      </c>
      <c r="CD35" s="172">
        <v>42000</v>
      </c>
      <c r="CE35" s="178">
        <v>44000</v>
      </c>
      <c r="CF35" s="172"/>
      <c r="CG35" s="177">
        <v>37000</v>
      </c>
    </row>
    <row r="36" spans="2:85" x14ac:dyDescent="0.3">
      <c r="B36" s="959"/>
      <c r="C36" s="179"/>
      <c r="D36" s="178"/>
      <c r="E36" s="186" t="s">
        <v>223</v>
      </c>
      <c r="F36" s="203">
        <f t="shared" si="333"/>
        <v>457000</v>
      </c>
      <c r="G36" s="204">
        <f>SUM(G33:G35)</f>
        <v>65000</v>
      </c>
      <c r="H36" s="204">
        <v>32000</v>
      </c>
      <c r="I36" s="204">
        <f t="shared" ref="I36:M36" si="352">SUM(I33:I35)</f>
        <v>80000</v>
      </c>
      <c r="J36" s="204">
        <f t="shared" si="352"/>
        <v>96000</v>
      </c>
      <c r="K36" s="204">
        <f t="shared" si="352"/>
        <v>114000</v>
      </c>
      <c r="L36" s="204">
        <f t="shared" si="352"/>
        <v>35000</v>
      </c>
      <c r="M36" s="205">
        <f t="shared" si="352"/>
        <v>35000</v>
      </c>
      <c r="N36" s="272">
        <f t="shared" si="343"/>
        <v>550000</v>
      </c>
      <c r="O36" s="204">
        <f>SUM(O33:O35)</f>
        <v>80000</v>
      </c>
      <c r="P36" s="204">
        <f t="shared" ref="P36:U36" si="353">SUM(P33:P35)</f>
        <v>85000</v>
      </c>
      <c r="Q36" s="204">
        <f t="shared" si="353"/>
        <v>97500</v>
      </c>
      <c r="R36" s="204">
        <f t="shared" si="353"/>
        <v>107500</v>
      </c>
      <c r="S36" s="204">
        <f t="shared" si="353"/>
        <v>110000</v>
      </c>
      <c r="T36" s="204">
        <f t="shared" si="353"/>
        <v>30000</v>
      </c>
      <c r="U36" s="205">
        <f t="shared" si="353"/>
        <v>40000</v>
      </c>
      <c r="V36" s="272">
        <f t="shared" si="344"/>
        <v>576000</v>
      </c>
      <c r="W36" s="204">
        <f>SUM(W33:W35)</f>
        <v>88000</v>
      </c>
      <c r="X36" s="204">
        <f t="shared" ref="X36:AC36" si="354">SUM(X33:X35)</f>
        <v>86000</v>
      </c>
      <c r="Y36" s="204">
        <f t="shared" si="354"/>
        <v>95000</v>
      </c>
      <c r="Z36" s="204">
        <f t="shared" si="354"/>
        <v>117000</v>
      </c>
      <c r="AA36" s="204">
        <f t="shared" si="354"/>
        <v>117000</v>
      </c>
      <c r="AB36" s="204">
        <f t="shared" si="354"/>
        <v>35000</v>
      </c>
      <c r="AC36" s="205">
        <f t="shared" si="354"/>
        <v>38000</v>
      </c>
      <c r="AD36" s="272">
        <f t="shared" si="345"/>
        <v>504000</v>
      </c>
      <c r="AE36" s="204">
        <f>SUM(AE33:AE35)</f>
        <v>91000</v>
      </c>
      <c r="AF36" s="204">
        <f t="shared" ref="AF36:AK36" si="355">SUM(AF33:AF35)</f>
        <v>88000</v>
      </c>
      <c r="AG36" s="204">
        <f t="shared" si="355"/>
        <v>97000</v>
      </c>
      <c r="AH36" s="204">
        <f t="shared" si="355"/>
        <v>114000</v>
      </c>
      <c r="AI36" s="204">
        <f t="shared" si="355"/>
        <v>72000</v>
      </c>
      <c r="AJ36" s="204">
        <f t="shared" si="355"/>
        <v>0</v>
      </c>
      <c r="AK36" s="205">
        <f t="shared" si="355"/>
        <v>42000</v>
      </c>
      <c r="AL36" s="272">
        <f t="shared" si="346"/>
        <v>0</v>
      </c>
      <c r="AM36" s="204">
        <f>SUM(AM33:AM35)</f>
        <v>0</v>
      </c>
      <c r="AN36" s="204">
        <f t="shared" ref="AN36:AS36" si="356">SUM(AN33:AN35)</f>
        <v>0</v>
      </c>
      <c r="AO36" s="204">
        <f t="shared" si="356"/>
        <v>0</v>
      </c>
      <c r="AP36" s="204">
        <f t="shared" si="356"/>
        <v>0</v>
      </c>
      <c r="AQ36" s="204">
        <f t="shared" si="356"/>
        <v>0</v>
      </c>
      <c r="AR36" s="204">
        <f t="shared" si="356"/>
        <v>0</v>
      </c>
      <c r="AS36" s="205">
        <f t="shared" si="356"/>
        <v>0</v>
      </c>
      <c r="AT36" s="272">
        <f t="shared" si="347"/>
        <v>602000</v>
      </c>
      <c r="AU36" s="204">
        <f>SUM(AU33:AU35)</f>
        <v>83000</v>
      </c>
      <c r="AV36" s="204">
        <f t="shared" ref="AV36:BA36" si="357">SUM(AV33:AV35)</f>
        <v>95000</v>
      </c>
      <c r="AW36" s="204">
        <f t="shared" si="357"/>
        <v>103000</v>
      </c>
      <c r="AX36" s="204">
        <f t="shared" si="357"/>
        <v>119000</v>
      </c>
      <c r="AY36" s="204">
        <f t="shared" si="357"/>
        <v>122000</v>
      </c>
      <c r="AZ36" s="204">
        <f t="shared" si="357"/>
        <v>40000</v>
      </c>
      <c r="BA36" s="205">
        <f t="shared" si="357"/>
        <v>40000</v>
      </c>
      <c r="BB36" s="272">
        <f t="shared" si="348"/>
        <v>611000</v>
      </c>
      <c r="BC36" s="204">
        <f>SUM(BC33:BC35)</f>
        <v>98000</v>
      </c>
      <c r="BD36" s="204">
        <f t="shared" ref="BD36:BI36" si="358">SUM(BD33:BD35)</f>
        <v>98000</v>
      </c>
      <c r="BE36" s="204">
        <f t="shared" si="358"/>
        <v>99000</v>
      </c>
      <c r="BF36" s="204">
        <f t="shared" si="358"/>
        <v>116000</v>
      </c>
      <c r="BG36" s="204">
        <f t="shared" si="358"/>
        <v>123000</v>
      </c>
      <c r="BH36" s="204">
        <f t="shared" si="358"/>
        <v>40000</v>
      </c>
      <c r="BI36" s="205">
        <f t="shared" si="358"/>
        <v>37000</v>
      </c>
      <c r="BJ36" s="272">
        <f t="shared" si="349"/>
        <v>617000</v>
      </c>
      <c r="BK36" s="204">
        <f>SUM(BK33:BK35)</f>
        <v>40000</v>
      </c>
      <c r="BL36" s="204">
        <f t="shared" ref="BL36:BQ36" si="359">SUM(BL33:BL35)</f>
        <v>98000</v>
      </c>
      <c r="BM36" s="204">
        <f t="shared" si="359"/>
        <v>98000</v>
      </c>
      <c r="BN36" s="204">
        <f t="shared" si="359"/>
        <v>99000</v>
      </c>
      <c r="BO36" s="204">
        <f t="shared" si="359"/>
        <v>116000</v>
      </c>
      <c r="BP36" s="204">
        <f t="shared" si="359"/>
        <v>123000</v>
      </c>
      <c r="BQ36" s="205">
        <f t="shared" si="359"/>
        <v>43000</v>
      </c>
      <c r="BR36" s="272">
        <f t="shared" si="350"/>
        <v>606000</v>
      </c>
      <c r="BS36" s="204">
        <f>SUM(BS33:BS35)</f>
        <v>99000</v>
      </c>
      <c r="BT36" s="204">
        <f t="shared" ref="BT36:BY36" si="360">SUM(BT33:BT35)</f>
        <v>91000</v>
      </c>
      <c r="BU36" s="204">
        <f t="shared" si="360"/>
        <v>100000</v>
      </c>
      <c r="BV36" s="204">
        <f t="shared" si="360"/>
        <v>116000</v>
      </c>
      <c r="BW36" s="204">
        <f t="shared" si="360"/>
        <v>118000</v>
      </c>
      <c r="BX36" s="204">
        <f t="shared" si="360"/>
        <v>40000</v>
      </c>
      <c r="BY36" s="205">
        <f t="shared" si="360"/>
        <v>42000</v>
      </c>
      <c r="BZ36" s="272">
        <f t="shared" si="351"/>
        <v>601000</v>
      </c>
      <c r="CA36" s="204">
        <f>SUM(CA33:CA35)</f>
        <v>93000</v>
      </c>
      <c r="CB36" s="204">
        <f t="shared" ref="CB36:CG36" si="361">SUM(CB33:CB35)</f>
        <v>96000</v>
      </c>
      <c r="CC36" s="204">
        <f t="shared" si="361"/>
        <v>100000</v>
      </c>
      <c r="CD36" s="204">
        <f t="shared" si="361"/>
        <v>118000</v>
      </c>
      <c r="CE36" s="204">
        <f t="shared" si="361"/>
        <v>120000</v>
      </c>
      <c r="CF36" s="204">
        <f t="shared" si="361"/>
        <v>37000</v>
      </c>
      <c r="CG36" s="205">
        <f t="shared" si="361"/>
        <v>37000</v>
      </c>
    </row>
    <row r="37" spans="2:85" ht="15" thickBot="1" x14ac:dyDescent="0.35">
      <c r="B37" s="960"/>
      <c r="C37" s="184"/>
      <c r="D37" s="181"/>
      <c r="E37" s="187" t="s">
        <v>224</v>
      </c>
      <c r="F37" s="182"/>
      <c r="G37" s="180">
        <v>15000</v>
      </c>
      <c r="H37" s="180" t="e">
        <f>G37+I6+I12-G36</f>
        <v>#VALUE!</v>
      </c>
      <c r="I37" s="180" t="e">
        <f>H37+I18-H36</f>
        <v>#VALUE!</v>
      </c>
      <c r="J37" s="180" t="e">
        <f>I37+J23-I36</f>
        <v>#VALUE!</v>
      </c>
      <c r="K37" s="180" t="e">
        <f>J37+K23-J36</f>
        <v>#VALUE!</v>
      </c>
      <c r="L37" s="180" t="e">
        <f>K37+L23-K36</f>
        <v>#VALUE!</v>
      </c>
      <c r="M37" s="180" t="e">
        <f>L37+M23+O12-M36</f>
        <v>#VALUE!</v>
      </c>
      <c r="N37" s="182"/>
      <c r="O37" s="180">
        <v>31000</v>
      </c>
      <c r="P37" s="180">
        <v>26000</v>
      </c>
      <c r="Q37" s="180">
        <v>36000</v>
      </c>
      <c r="R37" s="180">
        <v>17000</v>
      </c>
      <c r="S37" s="180" t="e">
        <f>R37+T9+T15+T21-R36</f>
        <v>#VALUE!</v>
      </c>
      <c r="T37" s="180" t="e">
        <f>S37+T25-S36</f>
        <v>#VALUE!</v>
      </c>
      <c r="U37" s="180" t="e">
        <f>T37+U25+W12+W9-U36</f>
        <v>#VALUE!</v>
      </c>
      <c r="V37" s="182"/>
      <c r="W37" s="180">
        <v>19000</v>
      </c>
      <c r="X37" s="180">
        <v>21000</v>
      </c>
      <c r="Y37" s="180">
        <f>(X37+Y15-X33)+(Y21-X34)+(Y9-X35)</f>
        <v>21006</v>
      </c>
      <c r="Z37" s="180">
        <f>(Y37+Z15-Y33)+(Z21-Y34)+(Z9-Y35)</f>
        <v>11198</v>
      </c>
      <c r="AA37" s="180">
        <f>(Z37+AA15-Z33)+(AA21-Z34)+(AA9-Z35)</f>
        <v>-6090</v>
      </c>
      <c r="AB37" s="180">
        <f>(AA37+AB15-AA33)+(AB21-AA34)+(AB9-AA35)</f>
        <v>-16984</v>
      </c>
      <c r="AC37" s="183"/>
      <c r="AD37" s="182"/>
      <c r="AE37" s="180">
        <v>11000</v>
      </c>
      <c r="AF37" s="180">
        <f>(AE37+AG13-AE34)+(AG19-AE35)+(AG7-AE36)</f>
        <v>-144060</v>
      </c>
      <c r="AG37" s="180">
        <f>(AF37+AH13-AF34)+(AH19-AF35)+(AH7-AF36)</f>
        <v>-293150</v>
      </c>
      <c r="AH37" s="180">
        <f>(AG37+AI13-AG34)+(AI19-AG35)+(AI7-AG36)</f>
        <v>-458100</v>
      </c>
      <c r="AI37" s="180">
        <f>(AH37+AJ13-AH34)+(AJ19-AH35)+(AJ7-AH36)</f>
        <v>-657400</v>
      </c>
      <c r="AJ37" s="180">
        <f>AI37+AK13-AI34+AL13</f>
        <v>-695281</v>
      </c>
      <c r="AK37" s="183"/>
      <c r="AL37" s="182"/>
      <c r="AM37" s="180">
        <v>11000</v>
      </c>
      <c r="AN37" s="180">
        <f>(AM37+AO13-AM34)+(AO19-AM35)+(AO7-AM36)</f>
        <v>12709</v>
      </c>
      <c r="AO37" s="180">
        <f>(AN37+AP13-AN34)+(AP19-AN35)+(AP7-AN36)</f>
        <v>14411</v>
      </c>
      <c r="AP37" s="180">
        <f>(AO37+AQ13-AO34)+(AQ19-AO35)+(AQ7-AO36)</f>
        <v>16485</v>
      </c>
      <c r="AQ37" s="180">
        <f>(AP37+AR13-AP34)+(AR19-AP35)+(AR7-AP36)</f>
        <v>18436</v>
      </c>
      <c r="AR37" s="180">
        <f>AQ37+AS13-AQ34+AT13</f>
        <v>22942</v>
      </c>
      <c r="AS37" s="183"/>
      <c r="AT37" s="182"/>
      <c r="AU37" s="180">
        <v>11000</v>
      </c>
      <c r="AV37" s="180">
        <f>(AU37+AW15-AU34)+(AW21-AU35)+(AW9-AU36)</f>
        <v>-41354</v>
      </c>
      <c r="AW37" s="180">
        <f>(AV37+AX15-AV34)+(AX21-AV35)+(AX9-AV36)</f>
        <v>-117402</v>
      </c>
      <c r="AX37" s="180">
        <f>(AW37+AY15-AW34)+(AY21-AW35)+(AY9-AW36)</f>
        <v>-173746</v>
      </c>
      <c r="AY37" s="180">
        <f>(AX37+AZ15-AX34)+(AZ21-AX35)+(AZ9-AX36)</f>
        <v>-278844</v>
      </c>
      <c r="AZ37" s="180">
        <f>(AY37+BA15-AY34)+(BA21-AY35)+(BA9-AY36)</f>
        <v>-490996</v>
      </c>
      <c r="BA37" s="183"/>
      <c r="BB37" s="182"/>
      <c r="BC37" s="180">
        <v>11000</v>
      </c>
      <c r="BD37" s="180">
        <f>(BC37+BE15-BC34)+(BE21-BC35)+(BE9-BC36)</f>
        <v>-60772</v>
      </c>
      <c r="BE37" s="180">
        <f>(BD37+BF15-BD34)+(BF21-BD35)+(BF9-BD36)</f>
        <v>-143776</v>
      </c>
      <c r="BF37" s="180">
        <f>(BE37+BG15-BE34)+(BG21-BE35)+(BG9-BE36)</f>
        <v>-206654</v>
      </c>
      <c r="BG37" s="180">
        <f>(BF37+BH15-BF34)+(BH21-BF35)+(BH9-BF36)</f>
        <v>-297391</v>
      </c>
      <c r="BH37" s="180">
        <v>20000</v>
      </c>
      <c r="BI37" s="367" t="e">
        <f>BH37+BI12+BK12-BH36</f>
        <v>#VALUE!</v>
      </c>
      <c r="BJ37" s="182"/>
      <c r="BK37" s="180">
        <v>20000</v>
      </c>
      <c r="BL37" s="180">
        <v>20000</v>
      </c>
      <c r="BM37" s="180">
        <f>20000</f>
        <v>20000</v>
      </c>
      <c r="BN37" s="180">
        <f>BM37+BN9+BN15+BN21-BM36</f>
        <v>6215</v>
      </c>
      <c r="BO37" s="180" t="e">
        <f t="shared" ref="BO37:BP37" si="362">BN37+BO9+BO15+BO21-BN36</f>
        <v>#VALUE!</v>
      </c>
      <c r="BP37" s="180" t="e">
        <f t="shared" si="362"/>
        <v>#VALUE!</v>
      </c>
      <c r="BQ37" s="183"/>
      <c r="BR37" s="182"/>
      <c r="BS37" s="180" t="e">
        <f>BQ37+BS6+BS15-BQ36</f>
        <v>#VALUE!</v>
      </c>
      <c r="BT37" s="180" t="e">
        <f>BS37+BT9+BT15+BT21-BS36</f>
        <v>#VALUE!</v>
      </c>
      <c r="BU37" s="180" t="e">
        <f>BT37+BU9+BU15+BU21-BT36</f>
        <v>#VALUE!</v>
      </c>
      <c r="BV37" s="180" t="e">
        <f>BU37+BV9+BV15+BV21-BU36</f>
        <v>#VALUE!</v>
      </c>
      <c r="BW37" s="180" t="e">
        <f t="shared" ref="BW37" si="363">BV37+BW9+BW15+BW21-BV36</f>
        <v>#VALUE!</v>
      </c>
      <c r="BX37" s="180" t="e">
        <f t="shared" ref="BX37" si="364">BW37+BX9+BX15+BX21-BW36</f>
        <v>#VALUE!</v>
      </c>
      <c r="BY37" s="183"/>
      <c r="BZ37" s="182"/>
      <c r="CA37" s="180" t="e">
        <f>BY37+CA6+CA15-BY36</f>
        <v>#VALUE!</v>
      </c>
      <c r="CB37" s="180" t="e">
        <f>CA37+CB9+CB15+CB21-CA36</f>
        <v>#VALUE!</v>
      </c>
      <c r="CC37" s="180" t="e">
        <f>CB37+CC9+CC15+CC21-CB36</f>
        <v>#VALUE!</v>
      </c>
      <c r="CD37" s="180" t="e">
        <f>CC37+CD9+CD15+CD21-CC36</f>
        <v>#VALUE!</v>
      </c>
      <c r="CE37" s="180" t="e">
        <f t="shared" ref="CE37" si="365">CD37+CE9+CE15+CE21-CD36</f>
        <v>#VALUE!</v>
      </c>
      <c r="CF37" s="180" t="e">
        <f t="shared" ref="CF37" si="366">CE37+CF9+CF15+CF21-CE36</f>
        <v>#VALUE!</v>
      </c>
      <c r="CG37" s="183"/>
    </row>
    <row r="38" spans="2:85" x14ac:dyDescent="0.3">
      <c r="B38" s="940" t="s">
        <v>159</v>
      </c>
      <c r="C38" s="961" t="s">
        <v>209</v>
      </c>
      <c r="D38" s="962"/>
      <c r="E38" s="281" t="s">
        <v>225</v>
      </c>
      <c r="F38" s="293">
        <f t="shared" ref="F38:F45" si="367">SUM(G38:M38)</f>
        <v>0</v>
      </c>
      <c r="G38" s="283" t="str">
        <f>IFERROR('ST Forecast'!#REF!,"")</f>
        <v/>
      </c>
      <c r="H38" s="283" t="str">
        <f>IFERROR('ST Forecast'!#REF!,"")</f>
        <v/>
      </c>
      <c r="I38" s="283" t="str">
        <f>IFERROR('ST Forecast'!#REF!,"")</f>
        <v/>
      </c>
      <c r="J38" s="283" t="str">
        <f>IFERROR('ST Forecast'!#REF!,"")</f>
        <v/>
      </c>
      <c r="K38" s="283" t="str">
        <f>IFERROR('ST Forecast'!#REF!,"")</f>
        <v/>
      </c>
      <c r="L38" s="283" t="str">
        <f>IFERROR('ST Forecast'!#REF!,"")</f>
        <v/>
      </c>
      <c r="M38" s="294" t="str">
        <f>IFERROR('ST Forecast'!#REF!,"")</f>
        <v/>
      </c>
      <c r="N38" s="293">
        <f t="shared" ref="N38:N45" si="368">SUM(O38:U38)</f>
        <v>0</v>
      </c>
      <c r="O38" s="283" t="str">
        <f>IFERROR('ST Forecast'!#REF!,"")</f>
        <v/>
      </c>
      <c r="P38" s="283" t="str">
        <f>IFERROR('ST Forecast'!#REF!,"")</f>
        <v/>
      </c>
      <c r="Q38" s="283" t="str">
        <f>IFERROR('ST Forecast'!#REF!,"")</f>
        <v/>
      </c>
      <c r="R38" s="283" t="str">
        <f>IFERROR('ST Forecast'!#REF!,"")</f>
        <v/>
      </c>
      <c r="S38" s="283" t="str">
        <f>IFERROR('ST Forecast'!#REF!,"")</f>
        <v/>
      </c>
      <c r="T38" s="283" t="str">
        <f>IFERROR('ST Forecast'!#REF!,"")</f>
        <v/>
      </c>
      <c r="U38" s="294" t="str">
        <f>IFERROR('ST Forecast'!#REF!,"")</f>
        <v/>
      </c>
      <c r="V38" s="293">
        <f t="shared" ref="V38:V45" si="369">SUM(W38:AC38)</f>
        <v>0</v>
      </c>
      <c r="W38" s="283" t="str">
        <f>IFERROR('ST Forecast'!#REF!,"")</f>
        <v/>
      </c>
      <c r="X38" s="283" t="str">
        <f>IFERROR('ST Forecast'!#REF!,"")</f>
        <v/>
      </c>
      <c r="Y38" s="283" t="str">
        <f>IFERROR('ST Forecast'!#REF!,"")</f>
        <v/>
      </c>
      <c r="Z38" s="283" t="str">
        <f>IFERROR('ST Forecast'!#REF!,"")</f>
        <v/>
      </c>
      <c r="AA38" s="283" t="str">
        <f>IFERROR('ST Forecast'!#REF!,"")</f>
        <v/>
      </c>
      <c r="AB38" s="283" t="str">
        <f>IFERROR('ST Forecast'!#REF!,"")</f>
        <v/>
      </c>
      <c r="AC38" s="294" t="str">
        <f>IFERROR('ST Forecast'!#REF!,"")</f>
        <v/>
      </c>
      <c r="AD38" s="293">
        <f t="shared" ref="AD38:AD42" si="370">SUM(AE38:AK38)</f>
        <v>0</v>
      </c>
      <c r="AE38" s="283" t="str">
        <f>IFERROR('ST Forecast'!#REF!,"")</f>
        <v/>
      </c>
      <c r="AF38" s="283" t="str">
        <f>IFERROR('ST Forecast'!#REF!,"")</f>
        <v/>
      </c>
      <c r="AG38" s="283" t="str">
        <f>IFERROR('ST Forecast'!#REF!,"")</f>
        <v/>
      </c>
      <c r="AH38" s="283" t="str">
        <f>IFERROR('ST Forecast'!#REF!,"")</f>
        <v/>
      </c>
      <c r="AI38" s="283" t="str">
        <f>IFERROR('ST Forecast'!#REF!,"")</f>
        <v/>
      </c>
      <c r="AJ38" s="283" t="str">
        <f>IFERROR('ST Forecast'!#REF!,"")</f>
        <v/>
      </c>
      <c r="AK38" s="294" t="str">
        <f>IFERROR('ST Forecast'!#REF!,"")</f>
        <v/>
      </c>
      <c r="AL38" s="293">
        <f t="shared" ref="AL38:AL42" si="371">SUM(AM38:AS38)</f>
        <v>0</v>
      </c>
      <c r="AM38" s="283" t="str">
        <f>IFERROR('ST Forecast'!#REF!,"")</f>
        <v/>
      </c>
      <c r="AN38" s="283" t="str">
        <f>IFERROR('ST Forecast'!#REF!,"")</f>
        <v/>
      </c>
      <c r="AO38" s="283" t="str">
        <f>IFERROR('ST Forecast'!#REF!,"")</f>
        <v/>
      </c>
      <c r="AP38" s="283" t="str">
        <f>IFERROR('ST Forecast'!#REF!,"")</f>
        <v/>
      </c>
      <c r="AQ38" s="283" t="str">
        <f>IFERROR('ST Forecast'!#REF!,"")</f>
        <v/>
      </c>
      <c r="AR38" s="283" t="str">
        <f>IFERROR('ST Forecast'!#REF!,"")</f>
        <v/>
      </c>
      <c r="AS38" s="294" t="str">
        <f>IFERROR('ST Forecast'!#REF!,"")</f>
        <v/>
      </c>
      <c r="AT38" s="293">
        <f t="shared" ref="AT38:AT42" si="372">SUM(AU38:BA38)</f>
        <v>0</v>
      </c>
      <c r="AU38" s="325" t="str">
        <f>IFERROR('ST Forecast'!#REF!,"")</f>
        <v/>
      </c>
      <c r="AV38" s="325" t="str">
        <f>IFERROR('ST Forecast'!#REF!,"")</f>
        <v/>
      </c>
      <c r="AW38" s="325" t="str">
        <f>IFERROR('ST Forecast'!#REF!,"")</f>
        <v/>
      </c>
      <c r="AX38" s="325" t="str">
        <f>IFERROR('ST Forecast'!#REF!,"")</f>
        <v/>
      </c>
      <c r="AY38" s="325" t="str">
        <f>IFERROR('ST Forecast'!#REF!,"")</f>
        <v/>
      </c>
      <c r="AZ38" s="325" t="str">
        <f>IFERROR('ST Forecast'!#REF!,"")</f>
        <v/>
      </c>
      <c r="BA38" s="326" t="str">
        <f>IFERROR('ST Forecast'!#REF!,"")</f>
        <v/>
      </c>
      <c r="BB38" s="293">
        <f t="shared" ref="BB38:BB42" si="373">SUM(BC38:BI38)</f>
        <v>0</v>
      </c>
      <c r="BC38" s="325" t="str">
        <f>IFERROR('ST Forecast'!#REF!,"")</f>
        <v/>
      </c>
      <c r="BD38" s="325" t="str">
        <f>IFERROR('ST Forecast'!#REF!,"")</f>
        <v/>
      </c>
      <c r="BE38" s="325" t="str">
        <f>IFERROR('ST Forecast'!#REF!,"")</f>
        <v/>
      </c>
      <c r="BF38" s="325" t="str">
        <f>IFERROR('ST Forecast'!#REF!,"")</f>
        <v/>
      </c>
      <c r="BG38" s="325" t="str">
        <f>IFERROR('ST Forecast'!#REF!,"")</f>
        <v/>
      </c>
      <c r="BH38" s="325" t="str">
        <f>IFERROR('ST Forecast'!#REF!,"")</f>
        <v/>
      </c>
      <c r="BI38" s="326" t="str">
        <f>IFERROR('ST Forecast'!#REF!,"")</f>
        <v/>
      </c>
      <c r="BJ38" s="293">
        <f t="shared" ref="BJ38:BJ42" si="374">SUM(BK38:BQ38)</f>
        <v>0</v>
      </c>
      <c r="BK38" s="325" t="str">
        <f>IFERROR('ST Forecast'!#REF!,"")</f>
        <v/>
      </c>
      <c r="BL38" s="325" t="str">
        <f>IFERROR('ST Forecast'!#REF!,"")</f>
        <v/>
      </c>
      <c r="BM38" s="325" t="str">
        <f>IFERROR('ST Forecast'!#REF!,"")</f>
        <v/>
      </c>
      <c r="BN38" s="325" t="str">
        <f>IFERROR('ST Forecast'!#REF!,"")</f>
        <v/>
      </c>
      <c r="BO38" s="325" t="str">
        <f>IFERROR('ST Forecast'!#REF!,"")</f>
        <v/>
      </c>
      <c r="BP38" s="325" t="str">
        <f>IFERROR('ST Forecast'!#REF!,"")</f>
        <v/>
      </c>
      <c r="BQ38" s="326" t="str">
        <f>IFERROR('ST Forecast'!#REF!,"")</f>
        <v/>
      </c>
      <c r="BR38" s="293">
        <f t="shared" ref="BR38:BR42" si="375">SUM(BS38:BY38)</f>
        <v>0</v>
      </c>
      <c r="BS38" s="325" t="str">
        <f>IFERROR('ST Forecast'!#REF!,"")</f>
        <v/>
      </c>
      <c r="BT38" s="325" t="str">
        <f>IFERROR('ST Forecast'!#REF!,"")</f>
        <v/>
      </c>
      <c r="BU38" s="325" t="str">
        <f>IFERROR('ST Forecast'!#REF!,"")</f>
        <v/>
      </c>
      <c r="BV38" s="325" t="str">
        <f>IFERROR('ST Forecast'!#REF!,"")</f>
        <v/>
      </c>
      <c r="BW38" s="325" t="str">
        <f>IFERROR('ST Forecast'!#REF!,"")</f>
        <v/>
      </c>
      <c r="BX38" s="325" t="str">
        <f>IFERROR('ST Forecast'!#REF!,"")</f>
        <v/>
      </c>
      <c r="BY38" s="326" t="str">
        <f>IFERROR('ST Forecast'!#REF!,"")</f>
        <v/>
      </c>
      <c r="BZ38" s="293">
        <f t="shared" ref="BZ38:BZ42" si="376">SUM(CA38:CG38)</f>
        <v>0</v>
      </c>
      <c r="CA38" s="325" t="str">
        <f>IFERROR('ST Forecast'!#REF!,"")</f>
        <v/>
      </c>
      <c r="CB38" s="325" t="str">
        <f>IFERROR('ST Forecast'!#REF!,"")</f>
        <v/>
      </c>
      <c r="CC38" s="325" t="str">
        <f>IFERROR('ST Forecast'!#REF!,"")</f>
        <v/>
      </c>
      <c r="CD38" s="325" t="str">
        <f>IFERROR('ST Forecast'!#REF!,"")</f>
        <v/>
      </c>
      <c r="CE38" s="325" t="str">
        <f>IFERROR('ST Forecast'!#REF!,"")</f>
        <v/>
      </c>
      <c r="CF38" s="325" t="str">
        <f>IFERROR('ST Forecast'!#REF!,"")</f>
        <v/>
      </c>
      <c r="CG38" s="326" t="str">
        <f>IFERROR('ST Forecast'!#REF!,"")</f>
        <v/>
      </c>
    </row>
    <row r="39" spans="2:85" x14ac:dyDescent="0.3">
      <c r="B39" s="941"/>
      <c r="C39" s="963"/>
      <c r="D39" s="964"/>
      <c r="E39" s="285" t="s">
        <v>226</v>
      </c>
      <c r="F39" s="282">
        <f t="shared" si="367"/>
        <v>0</v>
      </c>
      <c r="G39" s="283" t="str">
        <f>IFERROR('ST Forecast'!#REF!,"")</f>
        <v/>
      </c>
      <c r="H39" s="283" t="str">
        <f>IFERROR('ST Forecast'!#REF!,"")</f>
        <v/>
      </c>
      <c r="I39" s="283" t="str">
        <f>IFERROR('ST Forecast'!#REF!,"")</f>
        <v/>
      </c>
      <c r="J39" s="283" t="str">
        <f>IFERROR('ST Forecast'!#REF!,"")</f>
        <v/>
      </c>
      <c r="K39" s="283" t="str">
        <f>IFERROR('ST Forecast'!#REF!,"")</f>
        <v/>
      </c>
      <c r="L39" s="283" t="str">
        <f>IFERROR('ST Forecast'!#REF!,"")</f>
        <v/>
      </c>
      <c r="M39" s="294" t="str">
        <f>IFERROR('ST Forecast'!#REF!,"")</f>
        <v/>
      </c>
      <c r="N39" s="282">
        <f t="shared" si="368"/>
        <v>0</v>
      </c>
      <c r="O39" s="283" t="str">
        <f>IFERROR('ST Forecast'!#REF!,"")</f>
        <v/>
      </c>
      <c r="P39" s="283" t="str">
        <f>IFERROR('ST Forecast'!#REF!,"")</f>
        <v/>
      </c>
      <c r="Q39" s="283" t="str">
        <f>IFERROR('ST Forecast'!#REF!,"")</f>
        <v/>
      </c>
      <c r="R39" s="283" t="str">
        <f>IFERROR('ST Forecast'!#REF!,"")</f>
        <v/>
      </c>
      <c r="S39" s="283" t="str">
        <f>IFERROR('ST Forecast'!#REF!,"")</f>
        <v/>
      </c>
      <c r="T39" s="283" t="str">
        <f>IFERROR('ST Forecast'!#REF!,"")</f>
        <v/>
      </c>
      <c r="U39" s="294" t="str">
        <f>IFERROR('ST Forecast'!#REF!,"")</f>
        <v/>
      </c>
      <c r="V39" s="282">
        <f t="shared" si="369"/>
        <v>0</v>
      </c>
      <c r="W39" s="283" t="str">
        <f>IFERROR('ST Forecast'!#REF!,"")</f>
        <v/>
      </c>
      <c r="X39" s="283" t="str">
        <f>IFERROR('ST Forecast'!#REF!,"")</f>
        <v/>
      </c>
      <c r="Y39" s="283" t="str">
        <f>IFERROR('ST Forecast'!#REF!,"")</f>
        <v/>
      </c>
      <c r="Z39" s="283" t="str">
        <f>IFERROR('ST Forecast'!#REF!,"")</f>
        <v/>
      </c>
      <c r="AA39" s="283" t="str">
        <f>IFERROR('ST Forecast'!#REF!,"")</f>
        <v/>
      </c>
      <c r="AB39" s="283" t="str">
        <f>IFERROR('ST Forecast'!#REF!,"")</f>
        <v/>
      </c>
      <c r="AC39" s="294" t="str">
        <f>IFERROR('ST Forecast'!#REF!,"")</f>
        <v/>
      </c>
      <c r="AD39" s="282">
        <f t="shared" si="370"/>
        <v>0</v>
      </c>
      <c r="AE39" s="283" t="str">
        <f>IFERROR('ST Forecast'!#REF!,"")</f>
        <v/>
      </c>
      <c r="AF39" s="283" t="str">
        <f>IFERROR('ST Forecast'!#REF!,"")</f>
        <v/>
      </c>
      <c r="AG39" s="283" t="str">
        <f>IFERROR('ST Forecast'!#REF!,"")</f>
        <v/>
      </c>
      <c r="AH39" s="283" t="str">
        <f>IFERROR('ST Forecast'!#REF!,"")</f>
        <v/>
      </c>
      <c r="AI39" s="283" t="str">
        <f>IFERROR('ST Forecast'!#REF!,"")</f>
        <v/>
      </c>
      <c r="AJ39" s="283" t="str">
        <f>IFERROR('ST Forecast'!#REF!,"")</f>
        <v/>
      </c>
      <c r="AK39" s="294" t="str">
        <f>IFERROR('ST Forecast'!#REF!,"")</f>
        <v/>
      </c>
      <c r="AL39" s="282">
        <f t="shared" si="371"/>
        <v>0</v>
      </c>
      <c r="AM39" s="283" t="str">
        <f>IFERROR('ST Forecast'!#REF!,"")</f>
        <v/>
      </c>
      <c r="AN39" s="283" t="str">
        <f>IFERROR('ST Forecast'!#REF!,"")</f>
        <v/>
      </c>
      <c r="AO39" s="283" t="str">
        <f>IFERROR('ST Forecast'!#REF!,"")</f>
        <v/>
      </c>
      <c r="AP39" s="283" t="str">
        <f>IFERROR('ST Forecast'!#REF!,"")</f>
        <v/>
      </c>
      <c r="AQ39" s="283" t="str">
        <f>IFERROR('ST Forecast'!#REF!,"")</f>
        <v/>
      </c>
      <c r="AR39" s="283" t="str">
        <f>IFERROR('ST Forecast'!#REF!,"")</f>
        <v/>
      </c>
      <c r="AS39" s="294" t="str">
        <f>IFERROR('ST Forecast'!#REF!,"")</f>
        <v/>
      </c>
      <c r="AT39" s="282">
        <f t="shared" si="372"/>
        <v>0</v>
      </c>
      <c r="AU39" s="283" t="str">
        <f>IFERROR('ST Forecast'!#REF!,"")</f>
        <v/>
      </c>
      <c r="AV39" s="283" t="str">
        <f>IFERROR('ST Forecast'!#REF!,"")</f>
        <v/>
      </c>
      <c r="AW39" s="283" t="str">
        <f>IFERROR('ST Forecast'!#REF!,"")</f>
        <v/>
      </c>
      <c r="AX39" s="283" t="str">
        <f>IFERROR('ST Forecast'!#REF!,"")</f>
        <v/>
      </c>
      <c r="AY39" s="283" t="str">
        <f>IFERROR('ST Forecast'!#REF!,"")</f>
        <v/>
      </c>
      <c r="AZ39" s="283" t="str">
        <f>IFERROR('ST Forecast'!#REF!,"")</f>
        <v/>
      </c>
      <c r="BA39" s="327" t="str">
        <f>IFERROR('ST Forecast'!#REF!,"")</f>
        <v/>
      </c>
      <c r="BB39" s="282">
        <f t="shared" si="373"/>
        <v>0</v>
      </c>
      <c r="BC39" s="283" t="str">
        <f>IFERROR('ST Forecast'!#REF!,"")</f>
        <v/>
      </c>
      <c r="BD39" s="283" t="str">
        <f>IFERROR('ST Forecast'!#REF!,"")</f>
        <v/>
      </c>
      <c r="BE39" s="283" t="str">
        <f>IFERROR('ST Forecast'!#REF!,"")</f>
        <v/>
      </c>
      <c r="BF39" s="283" t="str">
        <f>IFERROR('ST Forecast'!#REF!,"")</f>
        <v/>
      </c>
      <c r="BG39" s="283" t="str">
        <f>IFERROR('ST Forecast'!#REF!,"")</f>
        <v/>
      </c>
      <c r="BH39" s="283" t="str">
        <f>IFERROR('ST Forecast'!#REF!,"")</f>
        <v/>
      </c>
      <c r="BI39" s="327" t="str">
        <f>IFERROR('ST Forecast'!#REF!,"")</f>
        <v/>
      </c>
      <c r="BJ39" s="282">
        <f t="shared" si="374"/>
        <v>0</v>
      </c>
      <c r="BK39" s="283" t="str">
        <f>IFERROR('ST Forecast'!#REF!,"")</f>
        <v/>
      </c>
      <c r="BL39" s="283" t="str">
        <f>IFERROR('ST Forecast'!#REF!,"")</f>
        <v/>
      </c>
      <c r="BM39" s="283" t="str">
        <f>IFERROR('ST Forecast'!#REF!,"")</f>
        <v/>
      </c>
      <c r="BN39" s="283" t="str">
        <f>IFERROR('ST Forecast'!#REF!,"")</f>
        <v/>
      </c>
      <c r="BO39" s="283" t="str">
        <f>IFERROR('ST Forecast'!#REF!,"")</f>
        <v/>
      </c>
      <c r="BP39" s="283" t="str">
        <f>IFERROR('ST Forecast'!#REF!,"")</f>
        <v/>
      </c>
      <c r="BQ39" s="327" t="str">
        <f>IFERROR('ST Forecast'!#REF!,"")</f>
        <v/>
      </c>
      <c r="BR39" s="282">
        <f t="shared" si="375"/>
        <v>0</v>
      </c>
      <c r="BS39" s="283" t="str">
        <f>IFERROR('ST Forecast'!#REF!,"")</f>
        <v/>
      </c>
      <c r="BT39" s="283" t="str">
        <f>IFERROR('ST Forecast'!#REF!,"")</f>
        <v/>
      </c>
      <c r="BU39" s="283" t="str">
        <f>IFERROR('ST Forecast'!#REF!,"")</f>
        <v/>
      </c>
      <c r="BV39" s="283" t="str">
        <f>IFERROR('ST Forecast'!#REF!,"")</f>
        <v/>
      </c>
      <c r="BW39" s="283" t="str">
        <f>IFERROR('ST Forecast'!#REF!,"")</f>
        <v/>
      </c>
      <c r="BX39" s="283" t="str">
        <f>IFERROR('ST Forecast'!#REF!,"")</f>
        <v/>
      </c>
      <c r="BY39" s="327" t="str">
        <f>IFERROR('ST Forecast'!#REF!,"")</f>
        <v/>
      </c>
      <c r="BZ39" s="282">
        <f t="shared" si="376"/>
        <v>0</v>
      </c>
      <c r="CA39" s="283" t="str">
        <f>IFERROR('ST Forecast'!#REF!,"")</f>
        <v/>
      </c>
      <c r="CB39" s="283" t="str">
        <f>IFERROR('ST Forecast'!#REF!,"")</f>
        <v/>
      </c>
      <c r="CC39" s="283" t="str">
        <f>IFERROR('ST Forecast'!#REF!,"")</f>
        <v/>
      </c>
      <c r="CD39" s="283" t="str">
        <f>IFERROR('ST Forecast'!#REF!,"")</f>
        <v/>
      </c>
      <c r="CE39" s="283" t="str">
        <f>IFERROR('ST Forecast'!#REF!,"")</f>
        <v/>
      </c>
      <c r="CF39" s="283" t="str">
        <f>IFERROR('ST Forecast'!#REF!,"")</f>
        <v/>
      </c>
      <c r="CG39" s="327" t="str">
        <f>IFERROR('ST Forecast'!#REF!,"")</f>
        <v/>
      </c>
    </row>
    <row r="40" spans="2:85" x14ac:dyDescent="0.3">
      <c r="B40" s="941"/>
      <c r="C40" s="963"/>
      <c r="D40" s="964"/>
      <c r="E40" s="285" t="s">
        <v>175</v>
      </c>
      <c r="F40" s="282">
        <f t="shared" si="367"/>
        <v>0</v>
      </c>
      <c r="G40" s="283" t="str">
        <f>IFERROR('ST Forecast'!#REF!,"")</f>
        <v/>
      </c>
      <c r="H40" s="283" t="str">
        <f>IFERROR('ST Forecast'!#REF!,"")</f>
        <v/>
      </c>
      <c r="I40" s="283" t="str">
        <f>IFERROR('ST Forecast'!#REF!,"")</f>
        <v/>
      </c>
      <c r="J40" s="283" t="str">
        <f>IFERROR('ST Forecast'!#REF!,"")</f>
        <v/>
      </c>
      <c r="K40" s="283" t="str">
        <f>IFERROR('ST Forecast'!#REF!,"")</f>
        <v/>
      </c>
      <c r="L40" s="283" t="str">
        <f>IFERROR('ST Forecast'!#REF!,"")</f>
        <v/>
      </c>
      <c r="M40" s="294" t="str">
        <f>IFERROR('ST Forecast'!#REF!,"")</f>
        <v/>
      </c>
      <c r="N40" s="282">
        <f t="shared" si="368"/>
        <v>0</v>
      </c>
      <c r="O40" s="283" t="str">
        <f>IFERROR('ST Forecast'!#REF!,"")</f>
        <v/>
      </c>
      <c r="P40" s="283" t="str">
        <f>IFERROR('ST Forecast'!#REF!,"")</f>
        <v/>
      </c>
      <c r="Q40" s="283" t="str">
        <f>IFERROR('ST Forecast'!#REF!,"")</f>
        <v/>
      </c>
      <c r="R40" s="283" t="str">
        <f>IFERROR('ST Forecast'!#REF!,"")</f>
        <v/>
      </c>
      <c r="S40" s="283" t="str">
        <f>IFERROR('ST Forecast'!#REF!,"")</f>
        <v/>
      </c>
      <c r="T40" s="283" t="str">
        <f>IFERROR('ST Forecast'!#REF!,"")</f>
        <v/>
      </c>
      <c r="U40" s="294" t="str">
        <f>IFERROR('ST Forecast'!#REF!,"")</f>
        <v/>
      </c>
      <c r="V40" s="282">
        <f t="shared" si="369"/>
        <v>0</v>
      </c>
      <c r="W40" s="283" t="str">
        <f>IFERROR('ST Forecast'!#REF!,"")</f>
        <v/>
      </c>
      <c r="X40" s="283" t="str">
        <f>IFERROR('ST Forecast'!#REF!,"")</f>
        <v/>
      </c>
      <c r="Y40" s="283" t="str">
        <f>IFERROR('ST Forecast'!#REF!,"")</f>
        <v/>
      </c>
      <c r="Z40" s="283" t="str">
        <f>IFERROR('ST Forecast'!#REF!,"")</f>
        <v/>
      </c>
      <c r="AA40" s="283" t="str">
        <f>IFERROR('ST Forecast'!#REF!,"")</f>
        <v/>
      </c>
      <c r="AB40" s="283" t="str">
        <f>IFERROR('ST Forecast'!#REF!,"")</f>
        <v/>
      </c>
      <c r="AC40" s="294" t="str">
        <f>IFERROR('ST Forecast'!#REF!,"")</f>
        <v/>
      </c>
      <c r="AD40" s="282">
        <f t="shared" si="370"/>
        <v>0</v>
      </c>
      <c r="AE40" s="283" t="str">
        <f>IFERROR('ST Forecast'!#REF!,"")</f>
        <v/>
      </c>
      <c r="AF40" s="283" t="str">
        <f>IFERROR('ST Forecast'!#REF!,"")</f>
        <v/>
      </c>
      <c r="AG40" s="283" t="str">
        <f>IFERROR('ST Forecast'!#REF!,"")</f>
        <v/>
      </c>
      <c r="AH40" s="283" t="str">
        <f>IFERROR('ST Forecast'!#REF!,"")</f>
        <v/>
      </c>
      <c r="AI40" s="283" t="str">
        <f>IFERROR('ST Forecast'!#REF!,"")</f>
        <v/>
      </c>
      <c r="AJ40" s="283" t="str">
        <f>IFERROR('ST Forecast'!#REF!,"")</f>
        <v/>
      </c>
      <c r="AK40" s="294" t="str">
        <f>IFERROR('ST Forecast'!#REF!,"")</f>
        <v/>
      </c>
      <c r="AL40" s="282">
        <f t="shared" si="371"/>
        <v>0</v>
      </c>
      <c r="AM40" s="283" t="str">
        <f>IFERROR('ST Forecast'!#REF!,"")</f>
        <v/>
      </c>
      <c r="AN40" s="283" t="str">
        <f>IFERROR('ST Forecast'!#REF!,"")</f>
        <v/>
      </c>
      <c r="AO40" s="283" t="str">
        <f>IFERROR('ST Forecast'!#REF!,"")</f>
        <v/>
      </c>
      <c r="AP40" s="283" t="str">
        <f>IFERROR('ST Forecast'!#REF!,"")</f>
        <v/>
      </c>
      <c r="AQ40" s="283" t="str">
        <f>IFERROR('ST Forecast'!#REF!,"")</f>
        <v/>
      </c>
      <c r="AR40" s="283" t="str">
        <f>IFERROR('ST Forecast'!#REF!,"")</f>
        <v/>
      </c>
      <c r="AS40" s="294" t="str">
        <f>IFERROR('ST Forecast'!#REF!,"")</f>
        <v/>
      </c>
      <c r="AT40" s="282">
        <f t="shared" si="372"/>
        <v>0</v>
      </c>
      <c r="AU40" s="283" t="str">
        <f>IFERROR('ST Forecast'!#REF!,"")</f>
        <v/>
      </c>
      <c r="AV40" s="283" t="str">
        <f>IFERROR('ST Forecast'!#REF!,"")</f>
        <v/>
      </c>
      <c r="AW40" s="283" t="str">
        <f>IFERROR('ST Forecast'!#REF!,"")</f>
        <v/>
      </c>
      <c r="AX40" s="283" t="str">
        <f>IFERROR('ST Forecast'!#REF!,"")</f>
        <v/>
      </c>
      <c r="AY40" s="283" t="str">
        <f>IFERROR('ST Forecast'!#REF!,"")</f>
        <v/>
      </c>
      <c r="AZ40" s="283" t="str">
        <f>IFERROR('ST Forecast'!#REF!,"")</f>
        <v/>
      </c>
      <c r="BA40" s="327" t="str">
        <f>IFERROR('ST Forecast'!#REF!,"")</f>
        <v/>
      </c>
      <c r="BB40" s="282">
        <f t="shared" si="373"/>
        <v>0</v>
      </c>
      <c r="BC40" s="283" t="str">
        <f>IFERROR('ST Forecast'!#REF!,"")</f>
        <v/>
      </c>
      <c r="BD40" s="283" t="str">
        <f>IFERROR('ST Forecast'!#REF!,"")</f>
        <v/>
      </c>
      <c r="BE40" s="283" t="str">
        <f>IFERROR('ST Forecast'!#REF!,"")</f>
        <v/>
      </c>
      <c r="BF40" s="283" t="str">
        <f>IFERROR('ST Forecast'!#REF!,"")</f>
        <v/>
      </c>
      <c r="BG40" s="283" t="str">
        <f>IFERROR('ST Forecast'!#REF!,"")</f>
        <v/>
      </c>
      <c r="BH40" s="283" t="str">
        <f>IFERROR('ST Forecast'!#REF!,"")</f>
        <v/>
      </c>
      <c r="BI40" s="327" t="str">
        <f>IFERROR('ST Forecast'!#REF!,"")</f>
        <v/>
      </c>
      <c r="BJ40" s="282">
        <f t="shared" si="374"/>
        <v>0</v>
      </c>
      <c r="BK40" s="283" t="str">
        <f>IFERROR('ST Forecast'!#REF!,"")</f>
        <v/>
      </c>
      <c r="BL40" s="283" t="str">
        <f>IFERROR('ST Forecast'!#REF!,"")</f>
        <v/>
      </c>
      <c r="BM40" s="283" t="str">
        <f>IFERROR('ST Forecast'!#REF!,"")</f>
        <v/>
      </c>
      <c r="BN40" s="283" t="str">
        <f>IFERROR('ST Forecast'!#REF!,"")</f>
        <v/>
      </c>
      <c r="BO40" s="283" t="str">
        <f>IFERROR('ST Forecast'!#REF!,"")</f>
        <v/>
      </c>
      <c r="BP40" s="283" t="str">
        <f>IFERROR('ST Forecast'!#REF!,"")</f>
        <v/>
      </c>
      <c r="BQ40" s="327" t="str">
        <f>IFERROR('ST Forecast'!#REF!,"")</f>
        <v/>
      </c>
      <c r="BR40" s="282">
        <f t="shared" si="375"/>
        <v>0</v>
      </c>
      <c r="BS40" s="283" t="str">
        <f>IFERROR('ST Forecast'!#REF!,"")</f>
        <v/>
      </c>
      <c r="BT40" s="283" t="str">
        <f>IFERROR('ST Forecast'!#REF!,"")</f>
        <v/>
      </c>
      <c r="BU40" s="283" t="str">
        <f>IFERROR('ST Forecast'!#REF!,"")</f>
        <v/>
      </c>
      <c r="BV40" s="283" t="str">
        <f>IFERROR('ST Forecast'!#REF!,"")</f>
        <v/>
      </c>
      <c r="BW40" s="283" t="str">
        <f>IFERROR('ST Forecast'!#REF!,"")</f>
        <v/>
      </c>
      <c r="BX40" s="283" t="str">
        <f>IFERROR('ST Forecast'!#REF!,"")</f>
        <v/>
      </c>
      <c r="BY40" s="327" t="str">
        <f>IFERROR('ST Forecast'!#REF!,"")</f>
        <v/>
      </c>
      <c r="BZ40" s="282">
        <f t="shared" si="376"/>
        <v>0</v>
      </c>
      <c r="CA40" s="283" t="str">
        <f>IFERROR('ST Forecast'!#REF!,"")</f>
        <v/>
      </c>
      <c r="CB40" s="283" t="str">
        <f>IFERROR('ST Forecast'!#REF!,"")</f>
        <v/>
      </c>
      <c r="CC40" s="283" t="str">
        <f>IFERROR('ST Forecast'!#REF!,"")</f>
        <v/>
      </c>
      <c r="CD40" s="283" t="str">
        <f>IFERROR('ST Forecast'!#REF!,"")</f>
        <v/>
      </c>
      <c r="CE40" s="283" t="str">
        <f>IFERROR('ST Forecast'!#REF!,"")</f>
        <v/>
      </c>
      <c r="CF40" s="283" t="str">
        <f>IFERROR('ST Forecast'!#REF!,"")</f>
        <v/>
      </c>
      <c r="CG40" s="327" t="str">
        <f>IFERROR('ST Forecast'!#REF!,"")</f>
        <v/>
      </c>
    </row>
    <row r="41" spans="2:85" x14ac:dyDescent="0.3">
      <c r="B41" s="941"/>
      <c r="C41" s="963"/>
      <c r="D41" s="964"/>
      <c r="E41" s="285" t="s">
        <v>193</v>
      </c>
      <c r="F41" s="282"/>
      <c r="G41" s="283"/>
      <c r="H41" s="283"/>
      <c r="I41" s="283"/>
      <c r="J41" s="283"/>
      <c r="K41" s="283"/>
      <c r="L41" s="283"/>
      <c r="M41" s="294"/>
      <c r="N41" s="282">
        <f t="shared" si="368"/>
        <v>0</v>
      </c>
      <c r="O41" s="283" t="str">
        <f>IFERROR('ST Forecast'!#REF!,"")</f>
        <v/>
      </c>
      <c r="P41" s="283" t="str">
        <f>IFERROR('ST Forecast'!#REF!,"")</f>
        <v/>
      </c>
      <c r="Q41" s="283" t="str">
        <f>IFERROR('ST Forecast'!#REF!,"")</f>
        <v/>
      </c>
      <c r="R41" s="283" t="str">
        <f>IFERROR('ST Forecast'!#REF!,"")</f>
        <v/>
      </c>
      <c r="S41" s="283" t="str">
        <f>IFERROR('ST Forecast'!#REF!,"")</f>
        <v/>
      </c>
      <c r="T41" s="283" t="str">
        <f>IFERROR('ST Forecast'!#REF!,"")</f>
        <v/>
      </c>
      <c r="U41" s="294" t="str">
        <f>IFERROR('ST Forecast'!#REF!,"")</f>
        <v/>
      </c>
      <c r="V41" s="282">
        <f t="shared" si="369"/>
        <v>0</v>
      </c>
      <c r="W41" s="283" t="str">
        <f>IFERROR('ST Forecast'!#REF!,"")</f>
        <v/>
      </c>
      <c r="X41" s="283" t="str">
        <f>IFERROR('ST Forecast'!#REF!,"")</f>
        <v/>
      </c>
      <c r="Y41" s="283" t="str">
        <f>IFERROR('ST Forecast'!#REF!,"")</f>
        <v/>
      </c>
      <c r="Z41" s="283" t="str">
        <f>IFERROR('ST Forecast'!#REF!,"")</f>
        <v/>
      </c>
      <c r="AA41" s="283" t="str">
        <f>IFERROR('ST Forecast'!#REF!,"")</f>
        <v/>
      </c>
      <c r="AB41" s="283" t="str">
        <f>IFERROR('ST Forecast'!#REF!,"")</f>
        <v/>
      </c>
      <c r="AC41" s="294" t="str">
        <f>IFERROR('ST Forecast'!#REF!,"")</f>
        <v/>
      </c>
      <c r="AD41" s="282">
        <f t="shared" si="370"/>
        <v>0</v>
      </c>
      <c r="AE41" s="283" t="str">
        <f>IFERROR('ST Forecast'!#REF!,"")</f>
        <v/>
      </c>
      <c r="AF41" s="283" t="str">
        <f>IFERROR('ST Forecast'!#REF!,"")</f>
        <v/>
      </c>
      <c r="AG41" s="283" t="str">
        <f>IFERROR('ST Forecast'!#REF!,"")</f>
        <v/>
      </c>
      <c r="AH41" s="283" t="str">
        <f>IFERROR('ST Forecast'!#REF!,"")</f>
        <v/>
      </c>
      <c r="AI41" s="283" t="str">
        <f>IFERROR('ST Forecast'!#REF!,"")</f>
        <v/>
      </c>
      <c r="AJ41" s="283" t="str">
        <f>IFERROR('ST Forecast'!#REF!,"")</f>
        <v/>
      </c>
      <c r="AK41" s="294" t="str">
        <f>IFERROR('ST Forecast'!#REF!,"")</f>
        <v/>
      </c>
      <c r="AL41" s="282">
        <f t="shared" si="371"/>
        <v>0</v>
      </c>
      <c r="AM41" s="283" t="str">
        <f>IFERROR('ST Forecast'!#REF!,"")</f>
        <v/>
      </c>
      <c r="AN41" s="283" t="str">
        <f>IFERROR('ST Forecast'!#REF!,"")</f>
        <v/>
      </c>
      <c r="AO41" s="283" t="str">
        <f>IFERROR('ST Forecast'!#REF!,"")</f>
        <v/>
      </c>
      <c r="AP41" s="283" t="str">
        <f>IFERROR('ST Forecast'!#REF!,"")</f>
        <v/>
      </c>
      <c r="AQ41" s="283" t="str">
        <f>IFERROR('ST Forecast'!#REF!,"")</f>
        <v/>
      </c>
      <c r="AR41" s="283" t="str">
        <f>IFERROR('ST Forecast'!#REF!,"")</f>
        <v/>
      </c>
      <c r="AS41" s="294" t="str">
        <f>IFERROR('ST Forecast'!#REF!,"")</f>
        <v/>
      </c>
      <c r="AT41" s="282">
        <f t="shared" si="372"/>
        <v>0</v>
      </c>
      <c r="AU41" s="283"/>
      <c r="AV41" s="283"/>
      <c r="AW41" s="283"/>
      <c r="AX41" s="283"/>
      <c r="AY41" s="283" t="str">
        <f>IFERROR('ST Forecast'!#REF!,"")</f>
        <v/>
      </c>
      <c r="AZ41" s="283"/>
      <c r="BA41" s="327" t="str">
        <f>IFERROR('ST Forecast'!#REF!,"")</f>
        <v/>
      </c>
      <c r="BB41" s="282">
        <f t="shared" si="373"/>
        <v>0</v>
      </c>
      <c r="BC41" s="283"/>
      <c r="BD41" s="283"/>
      <c r="BE41" s="283"/>
      <c r="BF41" s="283"/>
      <c r="BG41" s="283" t="str">
        <f>IFERROR('ST Forecast'!#REF!,"")</f>
        <v/>
      </c>
      <c r="BH41" s="283"/>
      <c r="BI41" s="327" t="str">
        <f>IFERROR('ST Forecast'!#REF!,"")</f>
        <v/>
      </c>
      <c r="BJ41" s="282">
        <f t="shared" si="374"/>
        <v>0</v>
      </c>
      <c r="BK41" s="283"/>
      <c r="BL41" s="283"/>
      <c r="BM41" s="283"/>
      <c r="BN41" s="283"/>
      <c r="BO41" s="283" t="str">
        <f>IFERROR('ST Forecast'!#REF!,"")</f>
        <v/>
      </c>
      <c r="BP41" s="283"/>
      <c r="BQ41" s="327" t="str">
        <f>IFERROR('ST Forecast'!#REF!,"")</f>
        <v/>
      </c>
      <c r="BR41" s="282">
        <f t="shared" si="375"/>
        <v>0</v>
      </c>
      <c r="BS41" s="283"/>
      <c r="BT41" s="283"/>
      <c r="BU41" s="283"/>
      <c r="BV41" s="283"/>
      <c r="BW41" s="283" t="str">
        <f>IFERROR('ST Forecast'!#REF!,"")</f>
        <v/>
      </c>
      <c r="BX41" s="283"/>
      <c r="BY41" s="327" t="str">
        <f>IFERROR('ST Forecast'!#REF!,"")</f>
        <v/>
      </c>
      <c r="BZ41" s="282">
        <f t="shared" si="376"/>
        <v>0</v>
      </c>
      <c r="CA41" s="283"/>
      <c r="CB41" s="283"/>
      <c r="CC41" s="283"/>
      <c r="CD41" s="283"/>
      <c r="CE41" s="283" t="str">
        <f>IFERROR('ST Forecast'!#REF!,"")</f>
        <v/>
      </c>
      <c r="CF41" s="283"/>
      <c r="CG41" s="327" t="str">
        <f>IFERROR('ST Forecast'!#REF!,"")</f>
        <v/>
      </c>
    </row>
    <row r="42" spans="2:85" x14ac:dyDescent="0.3">
      <c r="B42" s="941"/>
      <c r="C42" s="963"/>
      <c r="D42" s="964"/>
      <c r="E42" s="291" t="s">
        <v>227</v>
      </c>
      <c r="F42" s="288">
        <f t="shared" si="367"/>
        <v>0</v>
      </c>
      <c r="G42" s="289">
        <f>SUM(G38:G40)</f>
        <v>0</v>
      </c>
      <c r="H42" s="289">
        <f t="shared" ref="H42:M42" si="377">SUM(H38:H40)</f>
        <v>0</v>
      </c>
      <c r="I42" s="289">
        <f t="shared" si="377"/>
        <v>0</v>
      </c>
      <c r="J42" s="289">
        <f t="shared" si="377"/>
        <v>0</v>
      </c>
      <c r="K42" s="289">
        <f t="shared" si="377"/>
        <v>0</v>
      </c>
      <c r="L42" s="289">
        <f t="shared" si="377"/>
        <v>0</v>
      </c>
      <c r="M42" s="294">
        <f t="shared" si="377"/>
        <v>0</v>
      </c>
      <c r="N42" s="288">
        <f t="shared" si="368"/>
        <v>0</v>
      </c>
      <c r="O42" s="289">
        <f>SUM(O38:O40)</f>
        <v>0</v>
      </c>
      <c r="P42" s="289">
        <f t="shared" ref="P42:U42" si="378">SUM(P38:P40)</f>
        <v>0</v>
      </c>
      <c r="Q42" s="289">
        <f t="shared" si="378"/>
        <v>0</v>
      </c>
      <c r="R42" s="289">
        <f t="shared" si="378"/>
        <v>0</v>
      </c>
      <c r="S42" s="289">
        <f t="shared" si="378"/>
        <v>0</v>
      </c>
      <c r="T42" s="289">
        <f t="shared" si="378"/>
        <v>0</v>
      </c>
      <c r="U42" s="294">
        <f t="shared" si="378"/>
        <v>0</v>
      </c>
      <c r="V42" s="288">
        <f t="shared" si="369"/>
        <v>0</v>
      </c>
      <c r="W42" s="289">
        <f>SUM(W38:W41)</f>
        <v>0</v>
      </c>
      <c r="X42" s="289">
        <f t="shared" ref="X42:AC42" si="379">SUM(X38:X41)</f>
        <v>0</v>
      </c>
      <c r="Y42" s="289">
        <f t="shared" si="379"/>
        <v>0</v>
      </c>
      <c r="Z42" s="289">
        <f t="shared" si="379"/>
        <v>0</v>
      </c>
      <c r="AA42" s="289">
        <f t="shared" si="379"/>
        <v>0</v>
      </c>
      <c r="AB42" s="289">
        <f t="shared" si="379"/>
        <v>0</v>
      </c>
      <c r="AC42" s="289">
        <f t="shared" si="379"/>
        <v>0</v>
      </c>
      <c r="AD42" s="288">
        <f t="shared" si="370"/>
        <v>0</v>
      </c>
      <c r="AE42" s="289">
        <f>SUM(AE38:AE41)</f>
        <v>0</v>
      </c>
      <c r="AF42" s="289">
        <f t="shared" ref="AF42" si="380">SUM(AF38:AF41)</f>
        <v>0</v>
      </c>
      <c r="AG42" s="289">
        <f t="shared" ref="AG42" si="381">SUM(AG38:AG41)</f>
        <v>0</v>
      </c>
      <c r="AH42" s="289">
        <f t="shared" ref="AH42" si="382">SUM(AH38:AH41)</f>
        <v>0</v>
      </c>
      <c r="AI42" s="289">
        <f t="shared" ref="AI42" si="383">SUM(AI38:AI41)</f>
        <v>0</v>
      </c>
      <c r="AJ42" s="289">
        <f t="shared" ref="AJ42" si="384">SUM(AJ38:AJ41)</f>
        <v>0</v>
      </c>
      <c r="AK42" s="289">
        <f t="shared" ref="AK42" si="385">SUM(AK38:AK41)</f>
        <v>0</v>
      </c>
      <c r="AL42" s="288">
        <f t="shared" si="371"/>
        <v>0</v>
      </c>
      <c r="AM42" s="289">
        <f>SUM(AM38:AM41)</f>
        <v>0</v>
      </c>
      <c r="AN42" s="289">
        <f t="shared" ref="AN42:AS42" si="386">SUM(AN38:AN41)</f>
        <v>0</v>
      </c>
      <c r="AO42" s="289">
        <f t="shared" si="386"/>
        <v>0</v>
      </c>
      <c r="AP42" s="289">
        <f t="shared" si="386"/>
        <v>0</v>
      </c>
      <c r="AQ42" s="289">
        <f t="shared" si="386"/>
        <v>0</v>
      </c>
      <c r="AR42" s="289">
        <f t="shared" si="386"/>
        <v>0</v>
      </c>
      <c r="AS42" s="289">
        <f t="shared" si="386"/>
        <v>0</v>
      </c>
      <c r="AT42" s="288">
        <f t="shared" si="372"/>
        <v>0</v>
      </c>
      <c r="AU42" s="289">
        <f>SUM(AU38:AU41)</f>
        <v>0</v>
      </c>
      <c r="AV42" s="289">
        <f t="shared" ref="AV42:BA42" si="387">SUM(AV38:AV41)</f>
        <v>0</v>
      </c>
      <c r="AW42" s="289">
        <f t="shared" si="387"/>
        <v>0</v>
      </c>
      <c r="AX42" s="289">
        <f t="shared" si="387"/>
        <v>0</v>
      </c>
      <c r="AY42" s="289">
        <f t="shared" si="387"/>
        <v>0</v>
      </c>
      <c r="AZ42" s="289">
        <f t="shared" si="387"/>
        <v>0</v>
      </c>
      <c r="BA42" s="292">
        <f t="shared" si="387"/>
        <v>0</v>
      </c>
      <c r="BB42" s="288">
        <f t="shared" si="373"/>
        <v>0</v>
      </c>
      <c r="BC42" s="289">
        <f>SUM(BC38:BC41)</f>
        <v>0</v>
      </c>
      <c r="BD42" s="289">
        <f t="shared" ref="BD42:BI42" si="388">SUM(BD38:BD41)</f>
        <v>0</v>
      </c>
      <c r="BE42" s="289">
        <f t="shared" si="388"/>
        <v>0</v>
      </c>
      <c r="BF42" s="289">
        <f t="shared" si="388"/>
        <v>0</v>
      </c>
      <c r="BG42" s="289">
        <f t="shared" si="388"/>
        <v>0</v>
      </c>
      <c r="BH42" s="289">
        <f t="shared" si="388"/>
        <v>0</v>
      </c>
      <c r="BI42" s="292">
        <f t="shared" si="388"/>
        <v>0</v>
      </c>
      <c r="BJ42" s="288">
        <f t="shared" si="374"/>
        <v>0</v>
      </c>
      <c r="BK42" s="289">
        <f>SUM(BK38:BK41)</f>
        <v>0</v>
      </c>
      <c r="BL42" s="289">
        <f t="shared" ref="BL42:BQ42" si="389">SUM(BL38:BL41)</f>
        <v>0</v>
      </c>
      <c r="BM42" s="289">
        <f t="shared" si="389"/>
        <v>0</v>
      </c>
      <c r="BN42" s="289">
        <f t="shared" si="389"/>
        <v>0</v>
      </c>
      <c r="BO42" s="289">
        <f t="shared" si="389"/>
        <v>0</v>
      </c>
      <c r="BP42" s="289">
        <f t="shared" si="389"/>
        <v>0</v>
      </c>
      <c r="BQ42" s="292">
        <f t="shared" si="389"/>
        <v>0</v>
      </c>
      <c r="BR42" s="288">
        <f t="shared" si="375"/>
        <v>0</v>
      </c>
      <c r="BS42" s="289">
        <f>SUM(BS38:BS41)</f>
        <v>0</v>
      </c>
      <c r="BT42" s="289">
        <f t="shared" ref="BT42:BY42" si="390">SUM(BT38:BT41)</f>
        <v>0</v>
      </c>
      <c r="BU42" s="289">
        <f t="shared" si="390"/>
        <v>0</v>
      </c>
      <c r="BV42" s="289">
        <f t="shared" si="390"/>
        <v>0</v>
      </c>
      <c r="BW42" s="289">
        <f t="shared" si="390"/>
        <v>0</v>
      </c>
      <c r="BX42" s="289">
        <f t="shared" si="390"/>
        <v>0</v>
      </c>
      <c r="BY42" s="292">
        <f t="shared" si="390"/>
        <v>0</v>
      </c>
      <c r="BZ42" s="288">
        <f t="shared" si="376"/>
        <v>0</v>
      </c>
      <c r="CA42" s="289">
        <f>SUM(CA38:CA41)</f>
        <v>0</v>
      </c>
      <c r="CB42" s="289">
        <f t="shared" ref="CB42:CG42" si="391">SUM(CB38:CB41)</f>
        <v>0</v>
      </c>
      <c r="CC42" s="289">
        <f t="shared" si="391"/>
        <v>0</v>
      </c>
      <c r="CD42" s="289">
        <f t="shared" si="391"/>
        <v>0</v>
      </c>
      <c r="CE42" s="289">
        <f t="shared" si="391"/>
        <v>0</v>
      </c>
      <c r="CF42" s="289">
        <f t="shared" si="391"/>
        <v>0</v>
      </c>
      <c r="CG42" s="292">
        <f t="shared" si="391"/>
        <v>0</v>
      </c>
    </row>
    <row r="43" spans="2:85" x14ac:dyDescent="0.3">
      <c r="B43" s="941"/>
      <c r="C43" s="965" t="s">
        <v>213</v>
      </c>
      <c r="D43" s="966"/>
      <c r="E43" s="188" t="s">
        <v>225</v>
      </c>
      <c r="F43" s="189">
        <f t="shared" si="367"/>
        <v>0</v>
      </c>
      <c r="G43" s="167"/>
      <c r="H43" s="167"/>
      <c r="I43" s="167"/>
      <c r="J43" s="167"/>
      <c r="K43" s="167"/>
      <c r="L43" s="167"/>
      <c r="M43" s="168"/>
      <c r="N43" s="189">
        <f t="shared" si="368"/>
        <v>0</v>
      </c>
      <c r="O43" s="167"/>
      <c r="P43" s="167"/>
      <c r="Q43" s="167"/>
      <c r="R43" s="167"/>
      <c r="S43" s="167"/>
      <c r="T43" s="167"/>
      <c r="U43" s="168"/>
      <c r="V43" s="189">
        <f t="shared" si="369"/>
        <v>0</v>
      </c>
      <c r="W43" s="167"/>
      <c r="X43" s="167"/>
      <c r="Y43" s="167"/>
      <c r="Z43" s="167"/>
      <c r="AA43" s="167"/>
      <c r="AB43" s="167"/>
      <c r="AC43" s="168"/>
      <c r="AD43" s="189">
        <f t="shared" ref="AD43:AD45" si="392">SUM(AE43:AK43)</f>
        <v>0</v>
      </c>
      <c r="AE43" s="167"/>
      <c r="AF43" s="167"/>
      <c r="AG43" s="167"/>
      <c r="AH43" s="167"/>
      <c r="AI43" s="167"/>
      <c r="AJ43" s="167"/>
      <c r="AK43" s="168"/>
      <c r="AL43" s="189">
        <f t="shared" ref="AL43:AL45" si="393">SUM(AM43:AS43)</f>
        <v>0</v>
      </c>
      <c r="AM43" s="167"/>
      <c r="AN43" s="167"/>
      <c r="AO43" s="167"/>
      <c r="AP43" s="167"/>
      <c r="AQ43" s="167"/>
      <c r="AR43" s="167"/>
      <c r="AS43" s="168"/>
      <c r="AT43" s="189">
        <f t="shared" ref="AT43:AT45" si="394">SUM(AU43:BA43)</f>
        <v>0</v>
      </c>
      <c r="AU43" s="167"/>
      <c r="AV43" s="167"/>
      <c r="AW43" s="167"/>
      <c r="AX43" s="167"/>
      <c r="AY43" s="167"/>
      <c r="AZ43" s="167"/>
      <c r="BA43" s="168"/>
      <c r="BB43" s="189">
        <f t="shared" ref="BB43:BB45" si="395">SUM(BC43:BI43)</f>
        <v>0</v>
      </c>
      <c r="BC43" s="167"/>
      <c r="BD43" s="167"/>
      <c r="BE43" s="167"/>
      <c r="BF43" s="167"/>
      <c r="BG43" s="167"/>
      <c r="BH43" s="167"/>
      <c r="BI43" s="168"/>
      <c r="BJ43" s="189">
        <f t="shared" ref="BJ43:BJ45" si="396">SUM(BK43:BQ43)</f>
        <v>0</v>
      </c>
      <c r="BK43" s="167"/>
      <c r="BL43" s="167"/>
      <c r="BM43" s="167"/>
      <c r="BN43" s="167"/>
      <c r="BO43" s="167"/>
      <c r="BP43" s="167"/>
      <c r="BQ43" s="168"/>
      <c r="BR43" s="189">
        <f t="shared" ref="BR43:BR45" si="397">SUM(BS43:BY43)</f>
        <v>0</v>
      </c>
      <c r="BS43" s="167"/>
      <c r="BT43" s="167"/>
      <c r="BU43" s="167"/>
      <c r="BV43" s="167"/>
      <c r="BW43" s="167"/>
      <c r="BX43" s="167"/>
      <c r="BY43" s="168"/>
      <c r="BZ43" s="189">
        <f t="shared" ref="BZ43:BZ45" si="398">SUM(CA43:CG43)</f>
        <v>0</v>
      </c>
      <c r="CA43" s="167"/>
      <c r="CB43" s="167"/>
      <c r="CC43" s="167"/>
      <c r="CD43" s="167"/>
      <c r="CE43" s="167"/>
      <c r="CF43" s="167"/>
      <c r="CG43" s="168"/>
    </row>
    <row r="44" spans="2:85" x14ac:dyDescent="0.3">
      <c r="B44" s="941"/>
      <c r="C44" s="965"/>
      <c r="D44" s="966"/>
      <c r="E44" s="188" t="s">
        <v>226</v>
      </c>
      <c r="F44" s="189">
        <f t="shared" si="367"/>
        <v>0</v>
      </c>
      <c r="G44" s="167"/>
      <c r="H44" s="167"/>
      <c r="I44" s="167"/>
      <c r="J44" s="167"/>
      <c r="K44" s="167"/>
      <c r="L44" s="167"/>
      <c r="M44" s="168"/>
      <c r="N44" s="189">
        <f t="shared" si="368"/>
        <v>0</v>
      </c>
      <c r="O44" s="167"/>
      <c r="P44" s="167"/>
      <c r="Q44" s="167"/>
      <c r="R44" s="167"/>
      <c r="S44" s="167"/>
      <c r="T44" s="167"/>
      <c r="U44" s="168"/>
      <c r="V44" s="189">
        <f t="shared" si="369"/>
        <v>0</v>
      </c>
      <c r="W44" s="167"/>
      <c r="X44" s="167"/>
      <c r="Y44" s="167"/>
      <c r="Z44" s="167"/>
      <c r="AA44" s="167"/>
      <c r="AB44" s="167"/>
      <c r="AC44" s="168"/>
      <c r="AD44" s="189">
        <f t="shared" si="392"/>
        <v>0</v>
      </c>
      <c r="AE44" s="167"/>
      <c r="AF44" s="167"/>
      <c r="AG44" s="167"/>
      <c r="AH44" s="167"/>
      <c r="AI44" s="167"/>
      <c r="AJ44" s="167"/>
      <c r="AK44" s="168"/>
      <c r="AL44" s="189">
        <f t="shared" si="393"/>
        <v>0</v>
      </c>
      <c r="AM44" s="167"/>
      <c r="AN44" s="167"/>
      <c r="AO44" s="167"/>
      <c r="AP44" s="167"/>
      <c r="AQ44" s="167"/>
      <c r="AR44" s="167"/>
      <c r="AS44" s="168"/>
      <c r="AT44" s="189">
        <f t="shared" si="394"/>
        <v>0</v>
      </c>
      <c r="AU44" s="167"/>
      <c r="AV44" s="167"/>
      <c r="AW44" s="167"/>
      <c r="AX44" s="167"/>
      <c r="AY44" s="167"/>
      <c r="AZ44" s="167"/>
      <c r="BA44" s="168"/>
      <c r="BB44" s="189">
        <f t="shared" si="395"/>
        <v>0</v>
      </c>
      <c r="BC44" s="167"/>
      <c r="BD44" s="167"/>
      <c r="BE44" s="167"/>
      <c r="BF44" s="167"/>
      <c r="BG44" s="167"/>
      <c r="BH44" s="167"/>
      <c r="BI44" s="168"/>
      <c r="BJ44" s="189">
        <f t="shared" si="396"/>
        <v>0</v>
      </c>
      <c r="BK44" s="167"/>
      <c r="BL44" s="167"/>
      <c r="BM44" s="167"/>
      <c r="BN44" s="167"/>
      <c r="BO44" s="167"/>
      <c r="BP44" s="167"/>
      <c r="BQ44" s="168"/>
      <c r="BR44" s="189">
        <f t="shared" si="397"/>
        <v>0</v>
      </c>
      <c r="BS44" s="167"/>
      <c r="BT44" s="167"/>
      <c r="BU44" s="167"/>
      <c r="BV44" s="167"/>
      <c r="BW44" s="167"/>
      <c r="BX44" s="167"/>
      <c r="BY44" s="168"/>
      <c r="BZ44" s="189">
        <f t="shared" si="398"/>
        <v>0</v>
      </c>
      <c r="CA44" s="167"/>
      <c r="CB44" s="167"/>
      <c r="CC44" s="167"/>
      <c r="CD44" s="167"/>
      <c r="CE44" s="167"/>
      <c r="CF44" s="167"/>
      <c r="CG44" s="168"/>
    </row>
    <row r="45" spans="2:85" x14ac:dyDescent="0.3">
      <c r="B45" s="956"/>
      <c r="C45" s="965"/>
      <c r="D45" s="966"/>
      <c r="E45" s="196" t="s">
        <v>175</v>
      </c>
      <c r="F45" s="189">
        <f t="shared" si="367"/>
        <v>0</v>
      </c>
      <c r="G45" s="167"/>
      <c r="H45" s="167"/>
      <c r="I45" s="167"/>
      <c r="J45" s="167"/>
      <c r="K45" s="167"/>
      <c r="L45" s="167"/>
      <c r="M45" s="168"/>
      <c r="N45" s="189">
        <f t="shared" si="368"/>
        <v>0</v>
      </c>
      <c r="O45" s="167"/>
      <c r="P45" s="167"/>
      <c r="Q45" s="167"/>
      <c r="R45" s="167"/>
      <c r="S45" s="167"/>
      <c r="T45" s="167"/>
      <c r="U45" s="168"/>
      <c r="V45" s="189">
        <f t="shared" si="369"/>
        <v>0</v>
      </c>
      <c r="W45" s="167"/>
      <c r="X45" s="167"/>
      <c r="Y45" s="167"/>
      <c r="Z45" s="167"/>
      <c r="AA45" s="167"/>
      <c r="AB45" s="167"/>
      <c r="AC45" s="168"/>
      <c r="AD45" s="189">
        <f t="shared" si="392"/>
        <v>0</v>
      </c>
      <c r="AE45" s="167"/>
      <c r="AF45" s="167"/>
      <c r="AG45" s="167"/>
      <c r="AH45" s="167"/>
      <c r="AI45" s="167"/>
      <c r="AJ45" s="167"/>
      <c r="AK45" s="168"/>
      <c r="AL45" s="189">
        <f t="shared" si="393"/>
        <v>0</v>
      </c>
      <c r="AM45" s="167"/>
      <c r="AN45" s="167"/>
      <c r="AO45" s="167"/>
      <c r="AP45" s="167"/>
      <c r="AQ45" s="167"/>
      <c r="AR45" s="167"/>
      <c r="AS45" s="168"/>
      <c r="AT45" s="189">
        <f t="shared" si="394"/>
        <v>0</v>
      </c>
      <c r="AU45" s="167"/>
      <c r="AV45" s="167"/>
      <c r="AW45" s="167"/>
      <c r="AX45" s="167"/>
      <c r="AY45" s="167"/>
      <c r="AZ45" s="167"/>
      <c r="BA45" s="168"/>
      <c r="BB45" s="189">
        <f t="shared" si="395"/>
        <v>0</v>
      </c>
      <c r="BC45" s="167"/>
      <c r="BD45" s="167"/>
      <c r="BE45" s="167"/>
      <c r="BF45" s="167"/>
      <c r="BG45" s="167"/>
      <c r="BH45" s="167"/>
      <c r="BI45" s="168"/>
      <c r="BJ45" s="189">
        <f t="shared" si="396"/>
        <v>0</v>
      </c>
      <c r="BK45" s="167"/>
      <c r="BL45" s="167"/>
      <c r="BM45" s="167"/>
      <c r="BN45" s="167"/>
      <c r="BO45" s="167"/>
      <c r="BP45" s="167"/>
      <c r="BQ45" s="168"/>
      <c r="BR45" s="189">
        <f t="shared" si="397"/>
        <v>0</v>
      </c>
      <c r="BS45" s="167"/>
      <c r="BT45" s="167"/>
      <c r="BU45" s="167"/>
      <c r="BV45" s="167"/>
      <c r="BW45" s="167"/>
      <c r="BX45" s="167"/>
      <c r="BY45" s="168"/>
      <c r="BZ45" s="189">
        <f t="shared" si="398"/>
        <v>0</v>
      </c>
      <c r="CA45" s="167"/>
      <c r="CB45" s="167"/>
      <c r="CC45" s="167"/>
      <c r="CD45" s="167"/>
      <c r="CE45" s="167"/>
      <c r="CF45" s="167"/>
      <c r="CG45" s="168"/>
    </row>
    <row r="46" spans="2:85" ht="15" thickBot="1" x14ac:dyDescent="0.35">
      <c r="B46" s="957"/>
      <c r="C46" s="967"/>
      <c r="D46" s="968"/>
      <c r="E46" s="197" t="s">
        <v>227</v>
      </c>
      <c r="F46" s="198">
        <f>SUM(F43:F45)</f>
        <v>0</v>
      </c>
      <c r="G46" s="170">
        <f>SUM(G43:G45)</f>
        <v>0</v>
      </c>
      <c r="H46" s="170">
        <f t="shared" ref="H46" si="399">SUM(H43:H45)</f>
        <v>0</v>
      </c>
      <c r="I46" s="170">
        <f t="shared" ref="I46" si="400">SUM(I43:I45)</f>
        <v>0</v>
      </c>
      <c r="J46" s="170">
        <f t="shared" ref="J46" si="401">SUM(J43:J45)</f>
        <v>0</v>
      </c>
      <c r="K46" s="170">
        <f t="shared" ref="K46" si="402">SUM(K43:K45)</f>
        <v>0</v>
      </c>
      <c r="L46" s="170">
        <f t="shared" ref="L46" si="403">SUM(L43:L45)</f>
        <v>0</v>
      </c>
      <c r="M46" s="268"/>
      <c r="N46" s="198">
        <f>SUM(N43:N45)</f>
        <v>0</v>
      </c>
      <c r="O46" s="170">
        <f>SUM(O43:O45)</f>
        <v>0</v>
      </c>
      <c r="P46" s="170">
        <f t="shared" ref="P46:T46" si="404">SUM(P43:P45)</f>
        <v>0</v>
      </c>
      <c r="Q46" s="170">
        <f t="shared" si="404"/>
        <v>0</v>
      </c>
      <c r="R46" s="170">
        <f t="shared" si="404"/>
        <v>0</v>
      </c>
      <c r="S46" s="170">
        <f t="shared" si="404"/>
        <v>0</v>
      </c>
      <c r="T46" s="170">
        <f t="shared" si="404"/>
        <v>0</v>
      </c>
      <c r="U46" s="268"/>
      <c r="V46" s="198">
        <f>SUM(V43:V45)</f>
        <v>0</v>
      </c>
      <c r="W46" s="170">
        <f>SUM(W43:W45)</f>
        <v>0</v>
      </c>
      <c r="X46" s="170">
        <f t="shared" ref="X46:AB46" si="405">SUM(X43:X45)</f>
        <v>0</v>
      </c>
      <c r="Y46" s="170">
        <f t="shared" si="405"/>
        <v>0</v>
      </c>
      <c r="Z46" s="170">
        <f t="shared" si="405"/>
        <v>0</v>
      </c>
      <c r="AA46" s="170">
        <f t="shared" si="405"/>
        <v>0</v>
      </c>
      <c r="AB46" s="170">
        <f t="shared" si="405"/>
        <v>0</v>
      </c>
      <c r="AC46" s="268"/>
      <c r="AD46" s="198">
        <f>SUM(AD43:AD45)</f>
        <v>0</v>
      </c>
      <c r="AE46" s="170">
        <f>SUM(AE43:AE45)</f>
        <v>0</v>
      </c>
      <c r="AF46" s="170">
        <f t="shared" ref="AF46:AJ46" si="406">SUM(AF43:AF45)</f>
        <v>0</v>
      </c>
      <c r="AG46" s="170">
        <f t="shared" si="406"/>
        <v>0</v>
      </c>
      <c r="AH46" s="170">
        <f t="shared" si="406"/>
        <v>0</v>
      </c>
      <c r="AI46" s="170">
        <f t="shared" si="406"/>
        <v>0</v>
      </c>
      <c r="AJ46" s="170">
        <f t="shared" si="406"/>
        <v>0</v>
      </c>
      <c r="AK46" s="268"/>
      <c r="AL46" s="198">
        <f>SUM(AL43:AL45)</f>
        <v>0</v>
      </c>
      <c r="AM46" s="170">
        <f>SUM(AM43:AM45)</f>
        <v>0</v>
      </c>
      <c r="AN46" s="170">
        <f t="shared" ref="AN46:AR46" si="407">SUM(AN43:AN45)</f>
        <v>0</v>
      </c>
      <c r="AO46" s="170">
        <f t="shared" si="407"/>
        <v>0</v>
      </c>
      <c r="AP46" s="170">
        <f t="shared" si="407"/>
        <v>0</v>
      </c>
      <c r="AQ46" s="170">
        <f t="shared" si="407"/>
        <v>0</v>
      </c>
      <c r="AR46" s="170">
        <f t="shared" si="407"/>
        <v>0</v>
      </c>
      <c r="AS46" s="268"/>
      <c r="AT46" s="198">
        <f>SUM(AT43:AT45)</f>
        <v>0</v>
      </c>
      <c r="AU46" s="170">
        <f>SUM(AU43:AU45)</f>
        <v>0</v>
      </c>
      <c r="AV46" s="170">
        <f t="shared" ref="AV46:AZ46" si="408">SUM(AV43:AV45)</f>
        <v>0</v>
      </c>
      <c r="AW46" s="170">
        <f t="shared" si="408"/>
        <v>0</v>
      </c>
      <c r="AX46" s="170">
        <f t="shared" si="408"/>
        <v>0</v>
      </c>
      <c r="AY46" s="170">
        <f t="shared" si="408"/>
        <v>0</v>
      </c>
      <c r="AZ46" s="170">
        <f t="shared" si="408"/>
        <v>0</v>
      </c>
      <c r="BA46" s="268"/>
      <c r="BB46" s="198">
        <f>SUM(BB43:BB45)</f>
        <v>0</v>
      </c>
      <c r="BC46" s="170">
        <f>SUM(BC43:BC45)</f>
        <v>0</v>
      </c>
      <c r="BD46" s="170">
        <f t="shared" ref="BD46:BH46" si="409">SUM(BD43:BD45)</f>
        <v>0</v>
      </c>
      <c r="BE46" s="170">
        <f t="shared" si="409"/>
        <v>0</v>
      </c>
      <c r="BF46" s="170">
        <f t="shared" si="409"/>
        <v>0</v>
      </c>
      <c r="BG46" s="170">
        <f t="shared" si="409"/>
        <v>0</v>
      </c>
      <c r="BH46" s="170">
        <f t="shared" si="409"/>
        <v>0</v>
      </c>
      <c r="BI46" s="268"/>
      <c r="BJ46" s="198">
        <f>SUM(BJ43:BJ45)</f>
        <v>0</v>
      </c>
      <c r="BK46" s="170">
        <f>SUM(BK43:BK45)</f>
        <v>0</v>
      </c>
      <c r="BL46" s="170">
        <f t="shared" ref="BL46:BP46" si="410">SUM(BL43:BL45)</f>
        <v>0</v>
      </c>
      <c r="BM46" s="170">
        <f t="shared" si="410"/>
        <v>0</v>
      </c>
      <c r="BN46" s="170">
        <f t="shared" si="410"/>
        <v>0</v>
      </c>
      <c r="BO46" s="170">
        <f t="shared" si="410"/>
        <v>0</v>
      </c>
      <c r="BP46" s="170">
        <f t="shared" si="410"/>
        <v>0</v>
      </c>
      <c r="BQ46" s="268"/>
      <c r="BR46" s="198">
        <f>SUM(BR43:BR45)</f>
        <v>0</v>
      </c>
      <c r="BS46" s="170">
        <f>SUM(BS43:BS45)</f>
        <v>0</v>
      </c>
      <c r="BT46" s="170">
        <f t="shared" ref="BT46:BX46" si="411">SUM(BT43:BT45)</f>
        <v>0</v>
      </c>
      <c r="BU46" s="170">
        <f t="shared" si="411"/>
        <v>0</v>
      </c>
      <c r="BV46" s="170">
        <f t="shared" si="411"/>
        <v>0</v>
      </c>
      <c r="BW46" s="170">
        <f t="shared" si="411"/>
        <v>0</v>
      </c>
      <c r="BX46" s="170">
        <f t="shared" si="411"/>
        <v>0</v>
      </c>
      <c r="BY46" s="268"/>
      <c r="BZ46" s="198">
        <f>SUM(BZ43:BZ45)</f>
        <v>0</v>
      </c>
      <c r="CA46" s="170">
        <f>SUM(CA43:CA45)</f>
        <v>0</v>
      </c>
      <c r="CB46" s="170">
        <f t="shared" ref="CB46:CF46" si="412">SUM(CB43:CB45)</f>
        <v>0</v>
      </c>
      <c r="CC46" s="170">
        <f t="shared" si="412"/>
        <v>0</v>
      </c>
      <c r="CD46" s="170">
        <f t="shared" si="412"/>
        <v>0</v>
      </c>
      <c r="CE46" s="170">
        <f t="shared" si="412"/>
        <v>0</v>
      </c>
      <c r="CF46" s="170">
        <f t="shared" si="412"/>
        <v>0</v>
      </c>
      <c r="CG46" s="268"/>
    </row>
    <row r="47" spans="2:85" x14ac:dyDescent="0.3">
      <c r="B47" s="943" t="s">
        <v>228</v>
      </c>
      <c r="C47" s="946" t="s">
        <v>229</v>
      </c>
      <c r="D47" s="946"/>
      <c r="E47" s="206" t="s">
        <v>230</v>
      </c>
      <c r="F47" s="207"/>
      <c r="G47" s="208" t="e">
        <f>G10/14</f>
        <v>#VALUE!</v>
      </c>
      <c r="H47" s="208" t="e">
        <f t="shared" ref="H47:M47" si="413">H10/14</f>
        <v>#VALUE!</v>
      </c>
      <c r="I47" s="208" t="e">
        <f t="shared" si="413"/>
        <v>#VALUE!</v>
      </c>
      <c r="J47" s="208" t="e">
        <f t="shared" si="413"/>
        <v>#VALUE!</v>
      </c>
      <c r="K47" s="208" t="e">
        <f t="shared" si="413"/>
        <v>#VALUE!</v>
      </c>
      <c r="L47" s="208" t="e">
        <f t="shared" si="413"/>
        <v>#VALUE!</v>
      </c>
      <c r="M47" s="208" t="e">
        <f t="shared" si="413"/>
        <v>#VALUE!</v>
      </c>
      <c r="N47" s="207"/>
      <c r="O47" s="208">
        <f t="shared" ref="O47:P47" si="414">O13/14</f>
        <v>26.428571428571427</v>
      </c>
      <c r="P47" s="208">
        <f t="shared" si="414"/>
        <v>57.142857142857146</v>
      </c>
      <c r="Q47" s="208">
        <f>Q13/14</f>
        <v>55.857142857142854</v>
      </c>
      <c r="R47" s="208">
        <f t="shared" ref="R47:U47" si="415">R13/14</f>
        <v>55.714285714285715</v>
      </c>
      <c r="S47" s="208">
        <f t="shared" si="415"/>
        <v>57.142857142857146</v>
      </c>
      <c r="T47" s="208">
        <f t="shared" si="415"/>
        <v>58.428571428571431</v>
      </c>
      <c r="U47" s="208" t="e">
        <f t="shared" si="415"/>
        <v>#VALUE!</v>
      </c>
      <c r="V47" s="207"/>
      <c r="W47" s="208" t="e">
        <f t="shared" ref="W47:X47" si="416">W13/14</f>
        <v>#VALUE!</v>
      </c>
      <c r="X47" s="208" t="e">
        <f t="shared" si="416"/>
        <v>#VALUE!</v>
      </c>
      <c r="Y47" s="208" t="e">
        <f>Y13/14</f>
        <v>#VALUE!</v>
      </c>
      <c r="Z47" s="208" t="e">
        <f t="shared" ref="Z47:AC47" si="417">Z13/14</f>
        <v>#VALUE!</v>
      </c>
      <c r="AA47" s="208">
        <f t="shared" si="417"/>
        <v>58.571428571428569</v>
      </c>
      <c r="AB47" s="208">
        <f t="shared" si="417"/>
        <v>58.571428571428569</v>
      </c>
      <c r="AC47" s="208" t="e">
        <f t="shared" si="417"/>
        <v>#VALUE!</v>
      </c>
      <c r="AD47" s="207"/>
      <c r="AE47" s="208">
        <f t="shared" ref="AE47:AF47" si="418">AE13/14</f>
        <v>28.571428571428573</v>
      </c>
      <c r="AF47" s="208">
        <f t="shared" si="418"/>
        <v>57.142857142857146</v>
      </c>
      <c r="AG47" s="208">
        <f>AG13/14</f>
        <v>57.142857142857146</v>
      </c>
      <c r="AH47" s="208">
        <f t="shared" ref="AH47:AK47" si="419">AH13/14</f>
        <v>56.142857142857146</v>
      </c>
      <c r="AI47" s="208">
        <f t="shared" si="419"/>
        <v>53.571428571428569</v>
      </c>
      <c r="AJ47" s="208">
        <f t="shared" si="419"/>
        <v>50</v>
      </c>
      <c r="AK47" s="208">
        <f t="shared" si="419"/>
        <v>0</v>
      </c>
      <c r="AL47" s="207"/>
      <c r="AM47" s="208">
        <f t="shared" ref="AM47:AN47" si="420">AM13/14</f>
        <v>31.714285714285715</v>
      </c>
      <c r="AN47" s="208">
        <f t="shared" si="420"/>
        <v>51.428571428571431</v>
      </c>
      <c r="AO47" s="208">
        <f>AO13/14</f>
        <v>56.357142857142854</v>
      </c>
      <c r="AP47" s="208">
        <f t="shared" ref="AP47:AS47" si="421">AP13/14</f>
        <v>50.642857142857146</v>
      </c>
      <c r="AQ47" s="208">
        <f t="shared" si="421"/>
        <v>49.285714285714285</v>
      </c>
      <c r="AR47" s="208">
        <f t="shared" si="421"/>
        <v>48.357142857142854</v>
      </c>
      <c r="AS47" s="208">
        <f t="shared" si="421"/>
        <v>6.4285714285714288</v>
      </c>
      <c r="AT47" s="207"/>
      <c r="AU47" s="208">
        <f t="shared" ref="AU47:AV47" si="422">AU13/14</f>
        <v>25.285714285714285</v>
      </c>
      <c r="AV47" s="208">
        <f t="shared" si="422"/>
        <v>55.928571428571431</v>
      </c>
      <c r="AW47" s="208">
        <f>AW13/14</f>
        <v>56.785714285714285</v>
      </c>
      <c r="AX47" s="208">
        <f t="shared" ref="AX47:BA47" si="423">AX13/14</f>
        <v>52.214285714285715</v>
      </c>
      <c r="AY47" s="208">
        <f t="shared" si="423"/>
        <v>60.571428571428569</v>
      </c>
      <c r="AZ47" s="208">
        <f t="shared" si="423"/>
        <v>58.214285714285715</v>
      </c>
      <c r="BA47" s="208">
        <f t="shared" si="423"/>
        <v>6.4285714285714288</v>
      </c>
      <c r="BB47" s="359"/>
      <c r="BC47" s="360" t="e">
        <f>BC10/14</f>
        <v>#VALUE!</v>
      </c>
      <c r="BD47" s="360" t="e">
        <f t="shared" ref="BD47:BI47" si="424">BD10/14</f>
        <v>#VALUE!</v>
      </c>
      <c r="BE47" s="360" t="e">
        <f t="shared" si="424"/>
        <v>#VALUE!</v>
      </c>
      <c r="BF47" s="360" t="e">
        <f t="shared" si="424"/>
        <v>#VALUE!</v>
      </c>
      <c r="BG47" s="360" t="e">
        <f t="shared" si="424"/>
        <v>#VALUE!</v>
      </c>
      <c r="BH47" s="360" t="e">
        <f t="shared" si="424"/>
        <v>#VALUE!</v>
      </c>
      <c r="BI47" s="361" t="e">
        <f t="shared" si="424"/>
        <v>#VALUE!</v>
      </c>
      <c r="BJ47" s="359"/>
      <c r="BK47" s="360" t="e">
        <f>BK10/14</f>
        <v>#VALUE!</v>
      </c>
      <c r="BL47" s="360" t="e">
        <f t="shared" ref="BL47:BQ47" si="425">BL10/14</f>
        <v>#VALUE!</v>
      </c>
      <c r="BM47" s="360" t="e">
        <f t="shared" si="425"/>
        <v>#VALUE!</v>
      </c>
      <c r="BN47" s="360" t="e">
        <f t="shared" si="425"/>
        <v>#VALUE!</v>
      </c>
      <c r="BO47" s="360" t="e">
        <f t="shared" si="425"/>
        <v>#VALUE!</v>
      </c>
      <c r="BP47" s="360" t="e">
        <f t="shared" si="425"/>
        <v>#VALUE!</v>
      </c>
      <c r="BQ47" s="361" t="e">
        <f t="shared" si="425"/>
        <v>#VALUE!</v>
      </c>
      <c r="BR47" s="359"/>
      <c r="BS47" s="360" t="e">
        <f>BS10/14</f>
        <v>#VALUE!</v>
      </c>
      <c r="BT47" s="360" t="e">
        <f t="shared" ref="BT47:BY47" si="426">BT10/14</f>
        <v>#VALUE!</v>
      </c>
      <c r="BU47" s="360" t="e">
        <f t="shared" si="426"/>
        <v>#VALUE!</v>
      </c>
      <c r="BV47" s="360" t="e">
        <f t="shared" si="426"/>
        <v>#VALUE!</v>
      </c>
      <c r="BW47" s="360" t="e">
        <f t="shared" si="426"/>
        <v>#VALUE!</v>
      </c>
      <c r="BX47" s="360" t="e">
        <f t="shared" si="426"/>
        <v>#VALUE!</v>
      </c>
      <c r="BY47" s="361" t="e">
        <f t="shared" si="426"/>
        <v>#VALUE!</v>
      </c>
      <c r="BZ47" s="359"/>
      <c r="CA47" s="360" t="e">
        <f>CA10/14</f>
        <v>#VALUE!</v>
      </c>
      <c r="CB47" s="360" t="e">
        <f t="shared" ref="CB47:CG47" si="427">CB10/14</f>
        <v>#VALUE!</v>
      </c>
      <c r="CC47" s="360" t="e">
        <f t="shared" si="427"/>
        <v>#VALUE!</v>
      </c>
      <c r="CD47" s="360" t="e">
        <f t="shared" si="427"/>
        <v>#VALUE!</v>
      </c>
      <c r="CE47" s="360" t="e">
        <f t="shared" si="427"/>
        <v>#VALUE!</v>
      </c>
      <c r="CF47" s="360" t="e">
        <f t="shared" si="427"/>
        <v>#VALUE!</v>
      </c>
      <c r="CG47" s="361" t="e">
        <f t="shared" si="427"/>
        <v>#VALUE!</v>
      </c>
    </row>
    <row r="48" spans="2:85" x14ac:dyDescent="0.3">
      <c r="B48" s="944"/>
      <c r="C48" s="946"/>
      <c r="D48" s="946"/>
      <c r="E48" s="206" t="s">
        <v>231</v>
      </c>
      <c r="F48" s="209"/>
      <c r="G48" s="210" t="e">
        <f>G16/14</f>
        <v>#VALUE!</v>
      </c>
      <c r="H48" s="210" t="e">
        <f t="shared" ref="H48:M48" si="428">H16/14</f>
        <v>#VALUE!</v>
      </c>
      <c r="I48" s="210" t="e">
        <f t="shared" si="428"/>
        <v>#VALUE!</v>
      </c>
      <c r="J48" s="210" t="e">
        <f t="shared" si="428"/>
        <v>#VALUE!</v>
      </c>
      <c r="K48" s="210" t="e">
        <f t="shared" si="428"/>
        <v>#VALUE!</v>
      </c>
      <c r="L48" s="210" t="e">
        <f t="shared" si="428"/>
        <v>#VALUE!</v>
      </c>
      <c r="M48" s="210" t="e">
        <f t="shared" si="428"/>
        <v>#VALUE!</v>
      </c>
      <c r="N48" s="209"/>
      <c r="O48" s="210">
        <f>O19/14</f>
        <v>36.071428571428569</v>
      </c>
      <c r="P48" s="210">
        <f t="shared" ref="P48:U48" si="429">P19/14</f>
        <v>39.285714285714285</v>
      </c>
      <c r="Q48" s="210">
        <f t="shared" si="429"/>
        <v>37.571428571428569</v>
      </c>
      <c r="R48" s="210">
        <f>R19/14</f>
        <v>34.285714285714285</v>
      </c>
      <c r="S48" s="210">
        <f t="shared" si="429"/>
        <v>39.285714285714285</v>
      </c>
      <c r="T48" s="210">
        <f t="shared" si="429"/>
        <v>35.714285714285715</v>
      </c>
      <c r="U48" s="210" t="e">
        <f t="shared" si="429"/>
        <v>#VALUE!</v>
      </c>
      <c r="V48" s="209"/>
      <c r="W48" s="210" t="e">
        <f>W19/14</f>
        <v>#VALUE!</v>
      </c>
      <c r="X48" s="210">
        <f t="shared" ref="X48:AC48" si="430">X19/14</f>
        <v>39.285714285714285</v>
      </c>
      <c r="Y48" s="210">
        <f t="shared" si="430"/>
        <v>39.214285714285715</v>
      </c>
      <c r="Z48" s="210" t="e">
        <f t="shared" si="430"/>
        <v>#VALUE!</v>
      </c>
      <c r="AA48" s="210" t="e">
        <f t="shared" si="430"/>
        <v>#VALUE!</v>
      </c>
      <c r="AB48" s="210">
        <f t="shared" si="430"/>
        <v>46.428571428571431</v>
      </c>
      <c r="AC48" s="210" t="e">
        <f t="shared" si="430"/>
        <v>#VALUE!</v>
      </c>
      <c r="AD48" s="209"/>
      <c r="AE48" s="210">
        <f>AE19/14</f>
        <v>32.142857142857146</v>
      </c>
      <c r="AF48" s="210">
        <f t="shared" ref="AF48:AK48" si="431">AF19/14</f>
        <v>39.285714285714285</v>
      </c>
      <c r="AG48" s="210">
        <f t="shared" si="431"/>
        <v>45.714285714285715</v>
      </c>
      <c r="AH48" s="210">
        <f t="shared" si="431"/>
        <v>45.571428571428569</v>
      </c>
      <c r="AI48" s="210">
        <f t="shared" si="431"/>
        <v>46.428571428571431</v>
      </c>
      <c r="AJ48" s="210">
        <f t="shared" si="431"/>
        <v>0</v>
      </c>
      <c r="AK48" s="210">
        <f t="shared" si="431"/>
        <v>0</v>
      </c>
      <c r="AL48" s="209"/>
      <c r="AM48" s="210">
        <f>AM19/14</f>
        <v>35.5</v>
      </c>
      <c r="AN48" s="210">
        <f t="shared" ref="AN48:AS48" si="432">AN19/14</f>
        <v>37.142857142857146</v>
      </c>
      <c r="AO48" s="210">
        <f t="shared" si="432"/>
        <v>33.571428571428569</v>
      </c>
      <c r="AP48" s="210">
        <f t="shared" si="432"/>
        <v>37.142857142857146</v>
      </c>
      <c r="AQ48" s="210">
        <f t="shared" si="432"/>
        <v>41.714285714285715</v>
      </c>
      <c r="AR48" s="210">
        <f t="shared" si="432"/>
        <v>33.857142857142854</v>
      </c>
      <c r="AS48" s="210">
        <f t="shared" si="432"/>
        <v>0</v>
      </c>
      <c r="AT48" s="209"/>
      <c r="AU48" s="210">
        <f>AU19/14</f>
        <v>31.428571428571427</v>
      </c>
      <c r="AV48" s="210">
        <f t="shared" ref="AV48:BA48" si="433">AV19/14</f>
        <v>42</v>
      </c>
      <c r="AW48" s="210">
        <f t="shared" si="433"/>
        <v>40.857142857142854</v>
      </c>
      <c r="AX48" s="210">
        <f t="shared" si="433"/>
        <v>41.214285714285715</v>
      </c>
      <c r="AY48" s="210">
        <f t="shared" si="433"/>
        <v>42.428571428571431</v>
      </c>
      <c r="AZ48" s="210">
        <f t="shared" si="433"/>
        <v>35.428571428571431</v>
      </c>
      <c r="BA48" s="210">
        <f t="shared" si="433"/>
        <v>0</v>
      </c>
      <c r="BB48" s="209"/>
      <c r="BC48" s="210" t="e">
        <f>BC16/14</f>
        <v>#VALUE!</v>
      </c>
      <c r="BD48" s="210" t="e">
        <f t="shared" ref="BD48:BI48" si="434">BD16/14</f>
        <v>#VALUE!</v>
      </c>
      <c r="BE48" s="210" t="e">
        <f t="shared" si="434"/>
        <v>#VALUE!</v>
      </c>
      <c r="BF48" s="210" t="e">
        <f t="shared" si="434"/>
        <v>#VALUE!</v>
      </c>
      <c r="BG48" s="210" t="e">
        <f t="shared" si="434"/>
        <v>#VALUE!</v>
      </c>
      <c r="BH48" s="210" t="e">
        <f t="shared" si="434"/>
        <v>#VALUE!</v>
      </c>
      <c r="BI48" s="362" t="e">
        <f t="shared" si="434"/>
        <v>#VALUE!</v>
      </c>
      <c r="BJ48" s="209"/>
      <c r="BK48" s="210" t="e">
        <f>BK16/14</f>
        <v>#VALUE!</v>
      </c>
      <c r="BL48" s="210" t="e">
        <f t="shared" ref="BL48:BQ48" si="435">BL16/14</f>
        <v>#VALUE!</v>
      </c>
      <c r="BM48" s="210" t="e">
        <f t="shared" si="435"/>
        <v>#VALUE!</v>
      </c>
      <c r="BN48" s="210" t="e">
        <f t="shared" si="435"/>
        <v>#VALUE!</v>
      </c>
      <c r="BO48" s="210" t="e">
        <f t="shared" si="435"/>
        <v>#VALUE!</v>
      </c>
      <c r="BP48" s="210" t="e">
        <f t="shared" si="435"/>
        <v>#VALUE!</v>
      </c>
      <c r="BQ48" s="362" t="e">
        <f t="shared" si="435"/>
        <v>#VALUE!</v>
      </c>
      <c r="BR48" s="209"/>
      <c r="BS48" s="210" t="e">
        <f>BS16/14</f>
        <v>#VALUE!</v>
      </c>
      <c r="BT48" s="210" t="e">
        <f t="shared" ref="BT48:BY48" si="436">BT16/14</f>
        <v>#VALUE!</v>
      </c>
      <c r="BU48" s="210" t="e">
        <f t="shared" si="436"/>
        <v>#VALUE!</v>
      </c>
      <c r="BV48" s="210" t="e">
        <f t="shared" si="436"/>
        <v>#VALUE!</v>
      </c>
      <c r="BW48" s="210" t="e">
        <f t="shared" si="436"/>
        <v>#VALUE!</v>
      </c>
      <c r="BX48" s="210" t="e">
        <f t="shared" si="436"/>
        <v>#VALUE!</v>
      </c>
      <c r="BY48" s="362" t="e">
        <f t="shared" si="436"/>
        <v>#VALUE!</v>
      </c>
      <c r="BZ48" s="209"/>
      <c r="CA48" s="210" t="e">
        <f>CA16/14</f>
        <v>#VALUE!</v>
      </c>
      <c r="CB48" s="210" t="e">
        <f t="shared" ref="CB48:CG48" si="437">CB16/14</f>
        <v>#VALUE!</v>
      </c>
      <c r="CC48" s="210" t="e">
        <f t="shared" si="437"/>
        <v>#VALUE!</v>
      </c>
      <c r="CD48" s="210" t="e">
        <f t="shared" si="437"/>
        <v>#VALUE!</v>
      </c>
      <c r="CE48" s="210" t="e">
        <f t="shared" si="437"/>
        <v>#VALUE!</v>
      </c>
      <c r="CF48" s="210" t="e">
        <f t="shared" si="437"/>
        <v>#VALUE!</v>
      </c>
      <c r="CG48" s="362" t="e">
        <f t="shared" si="437"/>
        <v>#VALUE!</v>
      </c>
    </row>
    <row r="49" spans="2:85" ht="15" thickBot="1" x14ac:dyDescent="0.35">
      <c r="B49" s="944"/>
      <c r="C49" s="946"/>
      <c r="D49" s="946"/>
      <c r="E49" s="206" t="s">
        <v>167</v>
      </c>
      <c r="F49" s="209"/>
      <c r="G49" s="210">
        <v>5</v>
      </c>
      <c r="H49" s="210">
        <v>5</v>
      </c>
      <c r="I49" s="210"/>
      <c r="J49" s="210">
        <v>5</v>
      </c>
      <c r="K49" s="210">
        <v>5</v>
      </c>
      <c r="L49" s="210">
        <v>5</v>
      </c>
      <c r="M49" s="156">
        <v>1</v>
      </c>
      <c r="N49" s="209"/>
      <c r="O49" s="210">
        <v>5</v>
      </c>
      <c r="P49" s="210">
        <v>5</v>
      </c>
      <c r="Q49" s="210">
        <v>5</v>
      </c>
      <c r="R49" s="210">
        <v>5</v>
      </c>
      <c r="S49" s="210">
        <v>5</v>
      </c>
      <c r="T49" s="210">
        <v>5</v>
      </c>
      <c r="U49" s="156">
        <v>1</v>
      </c>
      <c r="V49" s="209"/>
      <c r="W49" s="210">
        <v>5</v>
      </c>
      <c r="X49" s="210">
        <v>5</v>
      </c>
      <c r="Y49" s="210"/>
      <c r="Z49" s="210">
        <v>5</v>
      </c>
      <c r="AA49" s="210">
        <v>5</v>
      </c>
      <c r="AB49" s="210">
        <v>5</v>
      </c>
      <c r="AC49" s="156">
        <v>1</v>
      </c>
      <c r="AD49" s="211"/>
      <c r="AE49" s="212">
        <v>5</v>
      </c>
      <c r="AF49" s="212">
        <v>5</v>
      </c>
      <c r="AG49" s="212"/>
      <c r="AH49" s="212">
        <v>5</v>
      </c>
      <c r="AI49" s="212">
        <v>5</v>
      </c>
      <c r="AJ49" s="212">
        <v>5</v>
      </c>
      <c r="AK49" s="217">
        <v>1</v>
      </c>
      <c r="AL49" s="211"/>
      <c r="AM49" s="212">
        <v>5</v>
      </c>
      <c r="AN49" s="212">
        <v>5</v>
      </c>
      <c r="AO49" s="212"/>
      <c r="AP49" s="212">
        <v>5</v>
      </c>
      <c r="AQ49" s="212">
        <v>5</v>
      </c>
      <c r="AR49" s="212">
        <v>5</v>
      </c>
      <c r="AS49" s="217">
        <v>1</v>
      </c>
      <c r="AT49" s="211"/>
      <c r="AU49" s="212">
        <v>5</v>
      </c>
      <c r="AV49" s="212">
        <v>5</v>
      </c>
      <c r="AW49" s="212"/>
      <c r="AX49" s="212">
        <v>5</v>
      </c>
      <c r="AY49" s="212">
        <v>5</v>
      </c>
      <c r="AZ49" s="212">
        <v>5</v>
      </c>
      <c r="BA49" s="217">
        <v>1</v>
      </c>
      <c r="BB49" s="211"/>
      <c r="BC49" s="212">
        <v>5</v>
      </c>
      <c r="BD49" s="212">
        <v>5</v>
      </c>
      <c r="BE49" s="212"/>
      <c r="BF49" s="212">
        <v>5</v>
      </c>
      <c r="BG49" s="212">
        <v>5</v>
      </c>
      <c r="BH49" s="212">
        <v>5</v>
      </c>
      <c r="BI49" s="217">
        <v>1</v>
      </c>
      <c r="BJ49" s="211"/>
      <c r="BK49" s="212">
        <v>5</v>
      </c>
      <c r="BL49" s="212">
        <v>5</v>
      </c>
      <c r="BM49" s="212"/>
      <c r="BN49" s="212">
        <v>5</v>
      </c>
      <c r="BO49" s="212">
        <v>5</v>
      </c>
      <c r="BP49" s="212">
        <v>5</v>
      </c>
      <c r="BQ49" s="217">
        <v>1</v>
      </c>
      <c r="BR49" s="211"/>
      <c r="BS49" s="212">
        <v>5</v>
      </c>
      <c r="BT49" s="212">
        <v>5</v>
      </c>
      <c r="BU49" s="212"/>
      <c r="BV49" s="212">
        <v>5</v>
      </c>
      <c r="BW49" s="212">
        <v>5</v>
      </c>
      <c r="BX49" s="212">
        <v>5</v>
      </c>
      <c r="BY49" s="217">
        <v>1</v>
      </c>
      <c r="BZ49" s="211"/>
      <c r="CA49" s="212">
        <v>5</v>
      </c>
      <c r="CB49" s="212">
        <v>5</v>
      </c>
      <c r="CC49" s="212"/>
      <c r="CD49" s="212">
        <v>5</v>
      </c>
      <c r="CE49" s="212">
        <v>5</v>
      </c>
      <c r="CF49" s="212">
        <v>5</v>
      </c>
      <c r="CG49" s="217">
        <v>1</v>
      </c>
    </row>
    <row r="50" spans="2:85" ht="15" thickBot="1" x14ac:dyDescent="0.35">
      <c r="B50" s="944"/>
      <c r="C50" s="947" t="s">
        <v>222</v>
      </c>
      <c r="D50" s="948"/>
      <c r="E50" s="299" t="s">
        <v>230</v>
      </c>
      <c r="F50" s="300"/>
      <c r="G50" s="301">
        <v>63</v>
      </c>
      <c r="H50" s="301">
        <v>63</v>
      </c>
      <c r="I50" s="301">
        <v>63</v>
      </c>
      <c r="J50" s="301">
        <v>63</v>
      </c>
      <c r="K50" s="158">
        <v>66</v>
      </c>
      <c r="L50" s="301">
        <v>66</v>
      </c>
      <c r="M50" s="158">
        <v>22</v>
      </c>
      <c r="N50" s="300"/>
      <c r="O50" s="301"/>
      <c r="P50" s="301"/>
      <c r="Q50" s="301">
        <v>64</v>
      </c>
      <c r="R50" s="301">
        <v>64</v>
      </c>
      <c r="S50" s="301">
        <v>64</v>
      </c>
      <c r="T50" s="301">
        <v>64</v>
      </c>
      <c r="U50" s="302">
        <v>64</v>
      </c>
      <c r="V50" s="300">
        <v>64</v>
      </c>
      <c r="W50" s="301">
        <v>64</v>
      </c>
      <c r="X50" s="301">
        <v>64</v>
      </c>
      <c r="Y50" s="301">
        <v>64</v>
      </c>
      <c r="Z50" s="301">
        <v>64</v>
      </c>
      <c r="AA50" s="301">
        <v>64</v>
      </c>
      <c r="AB50" s="301">
        <v>64</v>
      </c>
      <c r="AC50" s="302">
        <v>64</v>
      </c>
      <c r="AD50" s="276"/>
      <c r="AE50" s="215"/>
      <c r="AF50" s="215"/>
      <c r="AG50" s="215"/>
      <c r="AH50" s="215"/>
      <c r="AI50" s="216"/>
      <c r="AJ50" s="215"/>
      <c r="AK50" s="218"/>
      <c r="AL50" s="276"/>
      <c r="AM50" s="215"/>
      <c r="AN50" s="215"/>
      <c r="AO50" s="215"/>
      <c r="AP50" s="215"/>
      <c r="AQ50" s="216"/>
      <c r="AR50" s="215"/>
      <c r="AS50" s="218"/>
      <c r="AT50" s="276"/>
      <c r="AU50" s="215"/>
      <c r="AV50" s="215"/>
      <c r="AW50" s="215"/>
      <c r="AX50" s="215"/>
      <c r="AY50" s="216"/>
      <c r="AZ50" s="215"/>
      <c r="BA50" s="218"/>
      <c r="BB50" s="276"/>
      <c r="BC50" s="215"/>
      <c r="BD50" s="215"/>
      <c r="BE50" s="215"/>
      <c r="BF50" s="215"/>
      <c r="BG50" s="216"/>
      <c r="BH50" s="215"/>
      <c r="BI50" s="218"/>
      <c r="BJ50" s="276"/>
      <c r="BK50" s="215"/>
      <c r="BL50" s="215"/>
      <c r="BM50" s="215"/>
      <c r="BN50" s="215"/>
      <c r="BO50" s="216"/>
      <c r="BP50" s="215"/>
      <c r="BQ50" s="218"/>
      <c r="BR50" s="276"/>
      <c r="BS50" s="215"/>
      <c r="BT50" s="215"/>
      <c r="BU50" s="215"/>
      <c r="BV50" s="215"/>
      <c r="BW50" s="216"/>
      <c r="BX50" s="215"/>
      <c r="BY50" s="218"/>
      <c r="BZ50" s="276"/>
      <c r="CA50" s="215"/>
      <c r="CB50" s="215"/>
      <c r="CC50" s="215"/>
      <c r="CD50" s="215"/>
      <c r="CE50" s="216"/>
      <c r="CF50" s="215"/>
      <c r="CG50" s="218"/>
    </row>
    <row r="51" spans="2:85" ht="15" thickBot="1" x14ac:dyDescent="0.35">
      <c r="B51" s="945"/>
      <c r="C51" s="949"/>
      <c r="D51" s="950"/>
      <c r="E51" s="213" t="s">
        <v>231</v>
      </c>
      <c r="F51" s="214"/>
      <c r="G51" s="215">
        <v>63</v>
      </c>
      <c r="H51" s="215">
        <v>63</v>
      </c>
      <c r="I51" s="215">
        <v>63</v>
      </c>
      <c r="J51" s="215">
        <v>63</v>
      </c>
      <c r="K51" s="215">
        <v>66</v>
      </c>
      <c r="L51" s="215">
        <v>66</v>
      </c>
      <c r="M51" s="216"/>
      <c r="N51" s="214"/>
      <c r="O51" s="215"/>
      <c r="P51" s="215"/>
      <c r="Q51" s="215">
        <v>64</v>
      </c>
      <c r="R51" s="215">
        <v>64</v>
      </c>
      <c r="S51" s="215">
        <v>64</v>
      </c>
      <c r="T51" s="215">
        <v>64</v>
      </c>
      <c r="U51" s="303">
        <v>64</v>
      </c>
      <c r="V51" s="276">
        <v>64</v>
      </c>
      <c r="W51" s="215">
        <v>64</v>
      </c>
      <c r="X51" s="215">
        <v>64</v>
      </c>
      <c r="Y51" s="215">
        <v>64</v>
      </c>
      <c r="Z51" s="215">
        <v>64</v>
      </c>
      <c r="AA51" s="215">
        <v>64</v>
      </c>
      <c r="AB51" s="215">
        <v>64</v>
      </c>
      <c r="AC51" s="303">
        <v>64</v>
      </c>
      <c r="AD51" s="214"/>
      <c r="AE51" s="215"/>
      <c r="AF51" s="215"/>
      <c r="AG51" s="215"/>
      <c r="AH51" s="215"/>
      <c r="AI51" s="215"/>
      <c r="AJ51" s="215"/>
      <c r="AK51" s="216"/>
      <c r="AL51" s="214"/>
      <c r="AM51" s="215"/>
      <c r="AN51" s="215"/>
      <c r="AO51" s="215"/>
      <c r="AP51" s="215"/>
      <c r="AQ51" s="215"/>
      <c r="AR51" s="215"/>
      <c r="AS51" s="216"/>
      <c r="AT51" s="214"/>
      <c r="AU51" s="215"/>
      <c r="AV51" s="215"/>
      <c r="AW51" s="215"/>
      <c r="AX51" s="215"/>
      <c r="AY51" s="215"/>
      <c r="AZ51" s="215"/>
      <c r="BA51" s="216"/>
      <c r="BB51" s="363"/>
      <c r="BC51" s="364"/>
      <c r="BD51" s="364"/>
      <c r="BE51" s="364"/>
      <c r="BF51" s="364"/>
      <c r="BG51" s="364"/>
      <c r="BH51" s="364"/>
      <c r="BI51" s="365"/>
      <c r="BJ51" s="363"/>
      <c r="BK51" s="364"/>
      <c r="BL51" s="364"/>
      <c r="BM51" s="364"/>
      <c r="BN51" s="364"/>
      <c r="BO51" s="364"/>
      <c r="BP51" s="364"/>
      <c r="BQ51" s="365"/>
      <c r="BR51" s="363"/>
      <c r="BS51" s="364"/>
      <c r="BT51" s="364"/>
      <c r="BU51" s="364"/>
      <c r="BV51" s="364"/>
      <c r="BW51" s="364"/>
      <c r="BX51" s="364"/>
      <c r="BY51" s="365"/>
      <c r="BZ51" s="363"/>
      <c r="CA51" s="364"/>
      <c r="CB51" s="364"/>
      <c r="CC51" s="364"/>
      <c r="CD51" s="364"/>
      <c r="CE51" s="364"/>
      <c r="CF51" s="364"/>
      <c r="CG51" s="365"/>
    </row>
    <row r="53" spans="2:85" x14ac:dyDescent="0.3">
      <c r="E53" s="113"/>
      <c r="F53" s="219"/>
      <c r="G53" s="219"/>
      <c r="H53" s="219"/>
      <c r="I53" s="219"/>
      <c r="J53" s="219"/>
      <c r="K53" s="219"/>
      <c r="L53" s="219"/>
      <c r="N53" s="219"/>
      <c r="O53" s="219"/>
      <c r="P53" s="219"/>
      <c r="Q53" s="219"/>
      <c r="R53" s="219"/>
      <c r="S53" s="219"/>
      <c r="T53" s="219"/>
      <c r="V53" s="219"/>
      <c r="W53" s="219"/>
      <c r="X53" s="219"/>
      <c r="Y53" s="219"/>
      <c r="Z53" s="219"/>
      <c r="AA53" s="219"/>
      <c r="AB53" s="219"/>
      <c r="AD53" s="219"/>
      <c r="AE53" s="219"/>
      <c r="AF53" s="219"/>
      <c r="AG53" s="219"/>
      <c r="AH53" s="219"/>
      <c r="AI53" s="219"/>
      <c r="AJ53" s="219"/>
      <c r="AL53" s="219"/>
      <c r="AM53" s="219"/>
      <c r="AN53" s="219"/>
      <c r="AO53" s="219"/>
      <c r="AP53" s="219"/>
      <c r="AQ53" s="219"/>
      <c r="AR53" s="219"/>
      <c r="AT53" s="219"/>
      <c r="AU53" s="219"/>
      <c r="AV53" s="219"/>
      <c r="AW53" s="219"/>
      <c r="AX53" s="219"/>
      <c r="AY53" s="219"/>
      <c r="AZ53" s="219"/>
    </row>
    <row r="54" spans="2:85" x14ac:dyDescent="0.3">
      <c r="E54" s="113"/>
      <c r="F54" s="219"/>
      <c r="G54" s="219"/>
      <c r="H54" s="219"/>
      <c r="I54" s="219"/>
      <c r="J54" s="219"/>
      <c r="K54" s="219"/>
      <c r="L54" s="219"/>
      <c r="N54" s="219"/>
      <c r="O54" s="219"/>
      <c r="P54" s="304"/>
      <c r="Q54" s="219"/>
      <c r="R54" s="219"/>
      <c r="S54" s="219"/>
      <c r="T54" s="219"/>
      <c r="V54" s="219"/>
      <c r="W54" s="219"/>
      <c r="X54" s="219"/>
      <c r="Y54" s="219"/>
      <c r="Z54" s="219"/>
      <c r="AA54" s="219"/>
      <c r="AB54" s="219"/>
      <c r="AD54" s="219"/>
      <c r="AE54" s="219"/>
      <c r="AF54" s="219"/>
      <c r="AG54" s="219"/>
      <c r="AH54" s="219"/>
      <c r="AI54" s="219"/>
      <c r="AJ54" s="219"/>
      <c r="AL54" s="219"/>
      <c r="AM54" s="219"/>
      <c r="AN54" s="219"/>
      <c r="AO54" s="219"/>
      <c r="AP54" s="219"/>
      <c r="AQ54" s="219"/>
      <c r="AR54" s="219"/>
      <c r="AT54" s="219"/>
      <c r="AU54" s="219"/>
      <c r="AV54" s="219"/>
      <c r="AW54" s="219"/>
      <c r="AX54" s="219"/>
      <c r="AY54" s="219"/>
      <c r="AZ54" s="219"/>
    </row>
    <row r="55" spans="2:85" x14ac:dyDescent="0.3">
      <c r="O55" s="166"/>
    </row>
    <row r="56" spans="2:85" x14ac:dyDescent="0.3">
      <c r="E56" s="113"/>
    </row>
    <row r="57" spans="2:85" x14ac:dyDescent="0.3">
      <c r="E57" s="113"/>
    </row>
    <row r="59" spans="2:85" x14ac:dyDescent="0.3">
      <c r="E59" s="113"/>
    </row>
    <row r="60" spans="2:85" x14ac:dyDescent="0.3">
      <c r="E60" s="113"/>
    </row>
  </sheetData>
  <mergeCells count="24">
    <mergeCell ref="B4:B32"/>
    <mergeCell ref="B47:B51"/>
    <mergeCell ref="C47:D49"/>
    <mergeCell ref="C50:D51"/>
    <mergeCell ref="D4:D6"/>
    <mergeCell ref="D7:D9"/>
    <mergeCell ref="D10:D12"/>
    <mergeCell ref="D13:D15"/>
    <mergeCell ref="D16:D18"/>
    <mergeCell ref="D19:D21"/>
    <mergeCell ref="B38:B46"/>
    <mergeCell ref="B33:B37"/>
    <mergeCell ref="C38:D42"/>
    <mergeCell ref="C43:D46"/>
    <mergeCell ref="D22:D23"/>
    <mergeCell ref="D26:D27"/>
    <mergeCell ref="D30:D31"/>
    <mergeCell ref="D28:D29"/>
    <mergeCell ref="C26:C32"/>
    <mergeCell ref="D24:D25"/>
    <mergeCell ref="C4:C9"/>
    <mergeCell ref="C10:C15"/>
    <mergeCell ref="C16:C21"/>
    <mergeCell ref="C22:C25"/>
  </mergeCells>
  <conditionalFormatting sqref="N27:U27">
    <cfRule type="cellIs" dxfId="1531" priority="127" operator="lessThan">
      <formula>0</formula>
    </cfRule>
    <cfRule type="cellIs" dxfId="1530" priority="128" operator="greaterThan">
      <formula>0</formula>
    </cfRule>
  </conditionalFormatting>
  <conditionalFormatting sqref="N26:U26">
    <cfRule type="cellIs" dxfId="1529" priority="125" operator="lessThan">
      <formula>0</formula>
    </cfRule>
    <cfRule type="cellIs" dxfId="1528" priority="126" operator="greaterThan">
      <formula>0</formula>
    </cfRule>
  </conditionalFormatting>
  <conditionalFormatting sqref="V27:AC27">
    <cfRule type="cellIs" dxfId="1527" priority="123" operator="lessThan">
      <formula>0</formula>
    </cfRule>
    <cfRule type="cellIs" dxfId="1526" priority="124" operator="greaterThan">
      <formula>0</formula>
    </cfRule>
  </conditionalFormatting>
  <conditionalFormatting sqref="AD27:AK27">
    <cfRule type="cellIs" dxfId="1525" priority="119" operator="lessThan">
      <formula>0</formula>
    </cfRule>
    <cfRule type="cellIs" dxfId="1524" priority="120" operator="greaterThan">
      <formula>0</formula>
    </cfRule>
  </conditionalFormatting>
  <conditionalFormatting sqref="F27:M27">
    <cfRule type="cellIs" dxfId="1523" priority="115" operator="lessThan">
      <formula>0</formula>
    </cfRule>
    <cfRule type="cellIs" dxfId="1522" priority="116" operator="greaterThan">
      <formula>0</formula>
    </cfRule>
  </conditionalFormatting>
  <conditionalFormatting sqref="F26:M26">
    <cfRule type="cellIs" dxfId="1521" priority="113" operator="lessThan">
      <formula>0</formula>
    </cfRule>
    <cfRule type="cellIs" dxfId="1520" priority="114" operator="greaterThan">
      <formula>0</formula>
    </cfRule>
  </conditionalFormatting>
  <conditionalFormatting sqref="AL27:AS27">
    <cfRule type="cellIs" dxfId="1519" priority="111" operator="lessThan">
      <formula>0</formula>
    </cfRule>
    <cfRule type="cellIs" dxfId="1518" priority="112" operator="greaterThan">
      <formula>0</formula>
    </cfRule>
  </conditionalFormatting>
  <conditionalFormatting sqref="AT27:BA27">
    <cfRule type="cellIs" dxfId="1517" priority="107" operator="lessThan">
      <formula>0</formula>
    </cfRule>
    <cfRule type="cellIs" dxfId="1516" priority="108" operator="greaterThan">
      <formula>0</formula>
    </cfRule>
  </conditionalFormatting>
  <conditionalFormatting sqref="N32:U32">
    <cfRule type="cellIs" dxfId="1515" priority="103" operator="lessThan">
      <formula>0</formula>
    </cfRule>
    <cfRule type="cellIs" dxfId="1514" priority="104" operator="greaterThan">
      <formula>0</formula>
    </cfRule>
  </conditionalFormatting>
  <conditionalFormatting sqref="V32:AC32">
    <cfRule type="cellIs" dxfId="1513" priority="99" operator="lessThan">
      <formula>0</formula>
    </cfRule>
    <cfRule type="cellIs" dxfId="1512" priority="100" operator="greaterThan">
      <formula>0</formula>
    </cfRule>
  </conditionalFormatting>
  <conditionalFormatting sqref="AD32:AK32">
    <cfRule type="cellIs" dxfId="1511" priority="95" operator="lessThan">
      <formula>0</formula>
    </cfRule>
    <cfRule type="cellIs" dxfId="1510" priority="96" operator="greaterThan">
      <formula>0</formula>
    </cfRule>
  </conditionalFormatting>
  <conditionalFormatting sqref="F32:M32">
    <cfRule type="cellIs" dxfId="1509" priority="91" operator="lessThan">
      <formula>0</formula>
    </cfRule>
    <cfRule type="cellIs" dxfId="1508" priority="92" operator="greaterThan">
      <formula>0</formula>
    </cfRule>
  </conditionalFormatting>
  <conditionalFormatting sqref="AL32:AS32">
    <cfRule type="cellIs" dxfId="1507" priority="87" operator="lessThan">
      <formula>0</formula>
    </cfRule>
    <cfRule type="cellIs" dxfId="1506" priority="88" operator="greaterThan">
      <formula>0</formula>
    </cfRule>
  </conditionalFormatting>
  <conditionalFormatting sqref="AT32:BA32">
    <cfRule type="cellIs" dxfId="1505" priority="83" operator="lessThan">
      <formula>0</formula>
    </cfRule>
    <cfRule type="cellIs" dxfId="1504" priority="84" operator="greaterThan">
      <formula>0</formula>
    </cfRule>
  </conditionalFormatting>
  <conditionalFormatting sqref="N31:U31">
    <cfRule type="cellIs" dxfId="1503" priority="79" operator="lessThan">
      <formula>0</formula>
    </cfRule>
    <cfRule type="cellIs" dxfId="1502" priority="80" operator="greaterThan">
      <formula>0</formula>
    </cfRule>
  </conditionalFormatting>
  <conditionalFormatting sqref="N30:U30">
    <cfRule type="cellIs" dxfId="1501" priority="77" operator="lessThan">
      <formula>0</formula>
    </cfRule>
    <cfRule type="cellIs" dxfId="1500" priority="78" operator="greaterThan">
      <formula>0</formula>
    </cfRule>
  </conditionalFormatting>
  <conditionalFormatting sqref="V31:AC31">
    <cfRule type="cellIs" dxfId="1499" priority="75" operator="lessThan">
      <formula>0</formula>
    </cfRule>
    <cfRule type="cellIs" dxfId="1498" priority="76" operator="greaterThan">
      <formula>0</formula>
    </cfRule>
  </conditionalFormatting>
  <conditionalFormatting sqref="AD31:AK31">
    <cfRule type="cellIs" dxfId="1497" priority="71" operator="lessThan">
      <formula>0</formula>
    </cfRule>
    <cfRule type="cellIs" dxfId="1496" priority="72" operator="greaterThan">
      <formula>0</formula>
    </cfRule>
  </conditionalFormatting>
  <conditionalFormatting sqref="AD30:AG30">
    <cfRule type="cellIs" dxfId="1495" priority="69" operator="lessThan">
      <formula>0</formula>
    </cfRule>
    <cfRule type="cellIs" dxfId="1494" priority="70" operator="greaterThan">
      <formula>0</formula>
    </cfRule>
  </conditionalFormatting>
  <conditionalFormatting sqref="F31:M31">
    <cfRule type="cellIs" dxfId="1493" priority="67" operator="lessThan">
      <formula>0</formula>
    </cfRule>
    <cfRule type="cellIs" dxfId="1492" priority="68" operator="greaterThan">
      <formula>0</formula>
    </cfRule>
  </conditionalFormatting>
  <conditionalFormatting sqref="F30:M30">
    <cfRule type="cellIs" dxfId="1491" priority="65" operator="lessThan">
      <formula>0</formula>
    </cfRule>
    <cfRule type="cellIs" dxfId="1490" priority="66" operator="greaterThan">
      <formula>0</formula>
    </cfRule>
  </conditionalFormatting>
  <conditionalFormatting sqref="AL31:AS31">
    <cfRule type="cellIs" dxfId="1489" priority="63" operator="lessThan">
      <formula>0</formula>
    </cfRule>
    <cfRule type="cellIs" dxfId="1488" priority="64" operator="greaterThan">
      <formula>0</formula>
    </cfRule>
  </conditionalFormatting>
  <conditionalFormatting sqref="AT31:BA31">
    <cfRule type="cellIs" dxfId="1487" priority="59" operator="lessThan">
      <formula>0</formula>
    </cfRule>
    <cfRule type="cellIs" dxfId="1486" priority="60" operator="greaterThan">
      <formula>0</formula>
    </cfRule>
  </conditionalFormatting>
  <conditionalFormatting sqref="N29:U29">
    <cfRule type="cellIs" dxfId="1485" priority="55" operator="lessThan">
      <formula>0</formula>
    </cfRule>
    <cfRule type="cellIs" dxfId="1484" priority="56" operator="greaterThan">
      <formula>0</formula>
    </cfRule>
  </conditionalFormatting>
  <conditionalFormatting sqref="V29:AC29">
    <cfRule type="cellIs" dxfId="1483" priority="51" operator="lessThan">
      <formula>0</formula>
    </cfRule>
    <cfRule type="cellIs" dxfId="1482" priority="52" operator="greaterThan">
      <formula>0</formula>
    </cfRule>
  </conditionalFormatting>
  <conditionalFormatting sqref="AD29:AK29">
    <cfRule type="cellIs" dxfId="1481" priority="47" operator="lessThan">
      <formula>0</formula>
    </cfRule>
    <cfRule type="cellIs" dxfId="1480" priority="48" operator="greaterThan">
      <formula>0</formula>
    </cfRule>
  </conditionalFormatting>
  <conditionalFormatting sqref="F29:M29">
    <cfRule type="cellIs" dxfId="1479" priority="43" operator="lessThan">
      <formula>0</formula>
    </cfRule>
    <cfRule type="cellIs" dxfId="1478" priority="44" operator="greaterThan">
      <formula>0</formula>
    </cfRule>
  </conditionalFormatting>
  <conditionalFormatting sqref="AL29:AS29">
    <cfRule type="cellIs" dxfId="1477" priority="39" operator="lessThan">
      <formula>0</formula>
    </cfRule>
    <cfRule type="cellIs" dxfId="1476" priority="40" operator="greaterThan">
      <formula>0</formula>
    </cfRule>
  </conditionalFormatting>
  <conditionalFormatting sqref="AT29:BA29">
    <cfRule type="cellIs" dxfId="1475" priority="35" operator="lessThan">
      <formula>0</formula>
    </cfRule>
    <cfRule type="cellIs" dxfId="1474" priority="36" operator="greaterThan">
      <formula>0</formula>
    </cfRule>
  </conditionalFormatting>
  <conditionalFormatting sqref="BB27:BI27">
    <cfRule type="cellIs" dxfId="1473" priority="31" operator="lessThan">
      <formula>0</formula>
    </cfRule>
    <cfRule type="cellIs" dxfId="1472" priority="32" operator="greaterThan">
      <formula>0</formula>
    </cfRule>
  </conditionalFormatting>
  <conditionalFormatting sqref="BB32:BI32">
    <cfRule type="cellIs" dxfId="1471" priority="29" operator="lessThan">
      <formula>0</formula>
    </cfRule>
    <cfRule type="cellIs" dxfId="1470" priority="30" operator="greaterThan">
      <formula>0</formula>
    </cfRule>
  </conditionalFormatting>
  <conditionalFormatting sqref="BB31:BI31">
    <cfRule type="cellIs" dxfId="1469" priority="27" operator="lessThan">
      <formula>0</formula>
    </cfRule>
    <cfRule type="cellIs" dxfId="1468" priority="28" operator="greaterThan">
      <formula>0</formula>
    </cfRule>
  </conditionalFormatting>
  <conditionalFormatting sqref="BB29:BI29">
    <cfRule type="cellIs" dxfId="1467" priority="25" operator="lessThan">
      <formula>0</formula>
    </cfRule>
    <cfRule type="cellIs" dxfId="1466" priority="26" operator="greaterThan">
      <formula>0</formula>
    </cfRule>
  </conditionalFormatting>
  <conditionalFormatting sqref="BJ27:BQ27">
    <cfRule type="cellIs" dxfId="1465" priority="23" operator="lessThan">
      <formula>0</formula>
    </cfRule>
    <cfRule type="cellIs" dxfId="1464" priority="24" operator="greaterThan">
      <formula>0</formula>
    </cfRule>
  </conditionalFormatting>
  <conditionalFormatting sqref="BJ32:BQ32">
    <cfRule type="cellIs" dxfId="1463" priority="21" operator="lessThan">
      <formula>0</formula>
    </cfRule>
    <cfRule type="cellIs" dxfId="1462" priority="22" operator="greaterThan">
      <formula>0</formula>
    </cfRule>
  </conditionalFormatting>
  <conditionalFormatting sqref="BJ31:BQ31">
    <cfRule type="cellIs" dxfId="1461" priority="19" operator="lessThan">
      <formula>0</formula>
    </cfRule>
    <cfRule type="cellIs" dxfId="1460" priority="20" operator="greaterThan">
      <formula>0</formula>
    </cfRule>
  </conditionalFormatting>
  <conditionalFormatting sqref="BJ29:BQ29">
    <cfRule type="cellIs" dxfId="1459" priority="17" operator="lessThan">
      <formula>0</formula>
    </cfRule>
    <cfRule type="cellIs" dxfId="1458" priority="18" operator="greaterThan">
      <formula>0</formula>
    </cfRule>
  </conditionalFormatting>
  <conditionalFormatting sqref="BZ29:CG29">
    <cfRule type="cellIs" dxfId="1457" priority="1" operator="lessThan">
      <formula>0</formula>
    </cfRule>
    <cfRule type="cellIs" dxfId="1456" priority="2" operator="greaterThan">
      <formula>0</formula>
    </cfRule>
  </conditionalFormatting>
  <conditionalFormatting sqref="BR27:BY27">
    <cfRule type="cellIs" dxfId="1455" priority="15" operator="lessThan">
      <formula>0</formula>
    </cfRule>
    <cfRule type="cellIs" dxfId="1454" priority="16" operator="greaterThan">
      <formula>0</formula>
    </cfRule>
  </conditionalFormatting>
  <conditionalFormatting sqref="BR32:BY32">
    <cfRule type="cellIs" dxfId="1453" priority="13" operator="lessThan">
      <formula>0</formula>
    </cfRule>
    <cfRule type="cellIs" dxfId="1452" priority="14" operator="greaterThan">
      <formula>0</formula>
    </cfRule>
  </conditionalFormatting>
  <conditionalFormatting sqref="BR31:BY31">
    <cfRule type="cellIs" dxfId="1451" priority="11" operator="lessThan">
      <formula>0</formula>
    </cfRule>
    <cfRule type="cellIs" dxfId="1450" priority="12" operator="greaterThan">
      <formula>0</formula>
    </cfRule>
  </conditionalFormatting>
  <conditionalFormatting sqref="BR29:BY29">
    <cfRule type="cellIs" dxfId="1449" priority="9" operator="lessThan">
      <formula>0</formula>
    </cfRule>
    <cfRule type="cellIs" dxfId="1448" priority="10" operator="greaterThan">
      <formula>0</formula>
    </cfRule>
  </conditionalFormatting>
  <conditionalFormatting sqref="BZ27:CG27">
    <cfRule type="cellIs" dxfId="1447" priority="7" operator="lessThan">
      <formula>0</formula>
    </cfRule>
    <cfRule type="cellIs" dxfId="1446" priority="8" operator="greaterThan">
      <formula>0</formula>
    </cfRule>
  </conditionalFormatting>
  <conditionalFormatting sqref="BZ32:CG32">
    <cfRule type="cellIs" dxfId="1445" priority="5" operator="lessThan">
      <formula>0</formula>
    </cfRule>
    <cfRule type="cellIs" dxfId="1444" priority="6" operator="greaterThan">
      <formula>0</formula>
    </cfRule>
  </conditionalFormatting>
  <conditionalFormatting sqref="BZ31:CG31">
    <cfRule type="cellIs" dxfId="1443" priority="3" operator="lessThan">
      <formula>0</formula>
    </cfRule>
    <cfRule type="cellIs" dxfId="1442" priority="4" operator="greaterThan">
      <formula>0</formula>
    </cfRule>
  </conditionalFormatting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ignoredErrors>
    <ignoredError sqref="F5:F25 V37 AD33:AD35 V5:AD6 N5:N21 V10:AD12 V7:V8 AD7 V16:AD18 V13:V14 AD13 V22:AD24 V19:V20 AD19 N42 Q47 V33:V36 X36:AD36 V43:AD43 V38:V40 N36:N40 V42 AC37:AD37 V9 AC9:AD9 AD15 V21 AD21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BD70-CA00-4FF2-9438-4222ED18957E}">
  <sheetPr codeName="Sheet6"/>
  <dimension ref="A1:PD49"/>
  <sheetViews>
    <sheetView tabSelected="1" zoomScale="96" zoomScaleNormal="96" zoomScaleSheetLayoutView="106" workbookViewId="0">
      <pane xSplit="3" ySplit="3" topLeftCell="NG4" activePane="bottomRight" state="frozen"/>
      <selection pane="topRight" activeCell="D1" sqref="D1"/>
      <selection pane="bottomLeft" activeCell="A4" sqref="A4"/>
      <selection pane="bottomRight" activeCell="P30" sqref="P30"/>
    </sheetView>
  </sheetViews>
  <sheetFormatPr defaultColWidth="4.5546875" defaultRowHeight="14.4" outlineLevelRow="1" x14ac:dyDescent="0.3"/>
  <cols>
    <col min="1" max="1" width="2" style="85" customWidth="1"/>
    <col min="2" max="2" width="17.44140625" style="85" bestFit="1" customWidth="1"/>
    <col min="3" max="3" width="21.44140625" style="85" customWidth="1"/>
    <col min="4" max="4" width="10.5546875" style="85" customWidth="1"/>
    <col min="5" max="5" width="7.5546875" style="85" customWidth="1"/>
    <col min="6" max="10" width="7.5546875" style="85" bestFit="1" customWidth="1"/>
    <col min="11" max="11" width="7.44140625" style="85" customWidth="1"/>
    <col min="12" max="17" width="8.44140625" style="85" bestFit="1" customWidth="1"/>
    <col min="18" max="18" width="8.33203125" style="85" bestFit="1" customWidth="1"/>
    <col min="19" max="19" width="8" style="85" bestFit="1" customWidth="1"/>
    <col min="20" max="26" width="7.5546875" style="85" bestFit="1" customWidth="1"/>
    <col min="27" max="27" width="7.44140625" style="85" customWidth="1"/>
    <col min="28" max="28" width="7.5546875" style="85" bestFit="1" customWidth="1"/>
    <col min="29" max="34" width="7.5546875" style="85" customWidth="1"/>
    <col min="35" max="35" width="7.44140625" style="85" customWidth="1"/>
    <col min="36" max="36" width="7.5546875" style="85" bestFit="1" customWidth="1"/>
    <col min="37" max="42" width="7.5546875" style="85" customWidth="1"/>
    <col min="43" max="43" width="7.44140625" style="85" customWidth="1"/>
    <col min="44" max="50" width="7.5546875" style="85" customWidth="1"/>
    <col min="51" max="51" width="7.44140625" style="85" customWidth="1"/>
    <col min="52" max="58" width="7.5546875" style="85" customWidth="1"/>
    <col min="59" max="59" width="7.44140625" style="85" customWidth="1"/>
    <col min="60" max="66" width="7.5546875" style="85" customWidth="1"/>
    <col min="67" max="67" width="7.44140625" style="85" customWidth="1"/>
    <col min="68" max="74" width="7.5546875" style="85" customWidth="1"/>
    <col min="75" max="75" width="7.44140625" style="85" customWidth="1"/>
    <col min="76" max="82" width="7.5546875" style="85" customWidth="1"/>
    <col min="83" max="83" width="7.44140625" style="85" customWidth="1"/>
    <col min="84" max="90" width="7.5546875" style="85" customWidth="1"/>
    <col min="91" max="91" width="7.44140625" style="85" customWidth="1"/>
    <col min="92" max="92" width="7.5546875" style="85" bestFit="1" customWidth="1"/>
    <col min="93" max="98" width="7.5546875" style="85" customWidth="1"/>
    <col min="99" max="99" width="7.44140625" style="85" customWidth="1"/>
    <col min="100" max="106" width="7.5546875" style="85" customWidth="1"/>
    <col min="107" max="107" width="7.44140625" style="85" customWidth="1"/>
    <col min="108" max="114" width="7.5546875" style="85" customWidth="1"/>
    <col min="115" max="115" width="7.44140625" style="85" customWidth="1"/>
    <col min="116" max="122" width="7.5546875" style="85" customWidth="1"/>
    <col min="123" max="123" width="7.44140625" style="85" customWidth="1"/>
    <col min="124" max="124" width="7.5546875" style="85" customWidth="1"/>
    <col min="125" max="125" width="7.44140625" style="85" customWidth="1"/>
    <col min="126" max="130" width="7.5546875" style="85" customWidth="1"/>
    <col min="131" max="131" width="7.44140625" style="85" customWidth="1"/>
    <col min="132" max="138" width="7.5546875" style="85" customWidth="1"/>
    <col min="139" max="139" width="7.44140625" style="85" customWidth="1"/>
    <col min="140" max="146" width="7.5546875" style="85" customWidth="1"/>
    <col min="147" max="147" width="7.44140625" style="85" customWidth="1"/>
    <col min="148" max="164" width="7.5546875" style="85" customWidth="1"/>
    <col min="165" max="167" width="9.5546875" style="85" customWidth="1"/>
    <col min="168" max="168" width="7.44140625" style="85" customWidth="1"/>
    <col min="169" max="169" width="7.5546875" style="85" customWidth="1"/>
    <col min="170" max="170" width="9.5546875" style="85" customWidth="1"/>
    <col min="171" max="171" width="7.44140625" style="85" customWidth="1"/>
    <col min="172" max="173" width="7.5546875" style="85" customWidth="1"/>
    <col min="174" max="174" width="10" style="85" customWidth="1"/>
    <col min="175" max="178" width="7.5546875" style="85" customWidth="1"/>
    <col min="179" max="179" width="7.44140625" style="85" customWidth="1"/>
    <col min="180" max="180" width="7.5546875" style="85" customWidth="1"/>
    <col min="181" max="187" width="9.5546875" style="85" customWidth="1"/>
    <col min="188" max="188" width="10.5546875" style="85" customWidth="1"/>
    <col min="189" max="193" width="10.44140625" style="85" customWidth="1"/>
    <col min="194" max="194" width="9.5546875" style="85" customWidth="1"/>
    <col min="195" max="195" width="10.44140625" style="85" customWidth="1"/>
    <col min="196" max="196" width="10.5546875" style="85" customWidth="1"/>
    <col min="197" max="199" width="10.44140625" style="85" customWidth="1"/>
    <col min="200" max="200" width="10" style="85" customWidth="1"/>
    <col min="201" max="201" width="10.44140625" style="85" customWidth="1"/>
    <col min="202" max="202" width="9.44140625" style="85" customWidth="1"/>
    <col min="203" max="203" width="10.44140625" style="85" customWidth="1"/>
    <col min="204" max="204" width="10.5546875" style="85" customWidth="1"/>
    <col min="205" max="209" width="10.44140625" style="85" customWidth="1"/>
    <col min="210" max="211" width="10.5546875" style="85" customWidth="1"/>
    <col min="212" max="212" width="9" style="85" customWidth="1"/>
    <col min="213" max="214" width="9.5546875" style="85" customWidth="1"/>
    <col min="215" max="215" width="10.5546875" style="85" customWidth="1"/>
    <col min="216" max="217" width="10.44140625" style="85" customWidth="1"/>
    <col min="218" max="220" width="10.5546875" style="85" customWidth="1"/>
    <col min="221" max="221" width="10.44140625" style="85" customWidth="1"/>
    <col min="222" max="222" width="10" style="85" customWidth="1"/>
    <col min="223" max="223" width="10.5546875" style="85" customWidth="1"/>
    <col min="224" max="224" width="11.44140625" style="85" customWidth="1"/>
    <col min="225" max="226" width="10.5546875" style="85" customWidth="1"/>
    <col min="227" max="227" width="11" style="85" customWidth="1"/>
    <col min="228" max="228" width="11.44140625" style="85" customWidth="1"/>
    <col min="229" max="231" width="9.5546875" style="85" customWidth="1"/>
    <col min="232" max="233" width="10.5546875" style="85" customWidth="1"/>
    <col min="234" max="234" width="9.5546875" style="85" customWidth="1"/>
    <col min="235" max="235" width="11" style="85" customWidth="1"/>
    <col min="236" max="236" width="8.44140625" style="85" bestFit="1" customWidth="1"/>
    <col min="237" max="242" width="9.5546875" style="85" bestFit="1" customWidth="1"/>
    <col min="243" max="243" width="7.5546875" style="85" bestFit="1" customWidth="1"/>
    <col min="244" max="244" width="7.5546875" style="85" customWidth="1"/>
    <col min="245" max="252" width="7.5546875" style="85" bestFit="1" customWidth="1"/>
    <col min="253" max="253" width="7.5546875" style="85" customWidth="1"/>
    <col min="254" max="258" width="7.5546875" style="85" bestFit="1" customWidth="1"/>
    <col min="259" max="259" width="7.44140625" style="85" bestFit="1" customWidth="1"/>
    <col min="260" max="260" width="8.44140625" style="85" bestFit="1" customWidth="1"/>
    <col min="261" max="267" width="9.5546875" style="85" bestFit="1" customWidth="1"/>
    <col min="268" max="268" width="8.44140625" style="85" bestFit="1" customWidth="1"/>
    <col min="269" max="275" width="9.5546875" style="85" bestFit="1" customWidth="1"/>
    <col min="276" max="276" width="9" style="85" bestFit="1" customWidth="1"/>
    <col min="277" max="283" width="9.5546875" style="85" bestFit="1" customWidth="1"/>
    <col min="284" max="284" width="9" style="85" bestFit="1" customWidth="1"/>
    <col min="285" max="286" width="9.5546875" style="85" bestFit="1" customWidth="1"/>
    <col min="287" max="287" width="12.5546875" style="85" bestFit="1" customWidth="1"/>
    <col min="288" max="291" width="9.5546875" style="85" bestFit="1" customWidth="1"/>
    <col min="292" max="302" width="8.44140625" style="85" bestFit="1" customWidth="1"/>
    <col min="303" max="307" width="9.5546875" style="85" bestFit="1" customWidth="1"/>
    <col min="308" max="308" width="8.44140625" style="85" bestFit="1" customWidth="1"/>
    <col min="309" max="315" width="9.5546875" style="85" bestFit="1" customWidth="1"/>
    <col min="316" max="316" width="8.44140625" style="85" bestFit="1" customWidth="1"/>
    <col min="317" max="323" width="9.5546875" style="85" bestFit="1" customWidth="1"/>
    <col min="324" max="324" width="8.44140625" style="85" bestFit="1" customWidth="1"/>
    <col min="325" max="331" width="9.5546875" style="85" bestFit="1" customWidth="1"/>
    <col min="332" max="332" width="8.44140625" style="85" bestFit="1" customWidth="1"/>
    <col min="333" max="339" width="9.5546875" style="85" bestFit="1" customWidth="1"/>
    <col min="340" max="340" width="7.88671875" style="85" bestFit="1" customWidth="1"/>
    <col min="341" max="347" width="8.44140625" style="85" bestFit="1" customWidth="1"/>
    <col min="348" max="348" width="7.88671875" style="85" bestFit="1" customWidth="1"/>
    <col min="349" max="349" width="7.44140625" style="85" bestFit="1" customWidth="1"/>
    <col min="350" max="350" width="7" style="85" bestFit="1" customWidth="1"/>
    <col min="351" max="351" width="9.5546875" style="85" bestFit="1" customWidth="1"/>
    <col min="352" max="354" width="7.44140625" style="85" bestFit="1" customWidth="1"/>
    <col min="355" max="355" width="7" style="85" bestFit="1" customWidth="1"/>
    <col min="356" max="356" width="7.88671875" style="85" bestFit="1" customWidth="1"/>
    <col min="357" max="360" width="7.5546875" style="85" bestFit="1" customWidth="1"/>
    <col min="361" max="361" width="7" style="85" bestFit="1" customWidth="1"/>
    <col min="362" max="362" width="7.5546875" style="85" bestFit="1" customWidth="1"/>
    <col min="363" max="363" width="7" style="85" bestFit="1" customWidth="1"/>
    <col min="364" max="364" width="10.5546875" style="85" bestFit="1" customWidth="1"/>
    <col min="365" max="371" width="9.5546875" style="85" bestFit="1" customWidth="1"/>
    <col min="372" max="372" width="9.5546875" style="85" customWidth="1"/>
    <col min="373" max="378" width="7.44140625" style="85" bestFit="1" customWidth="1"/>
    <col min="379" max="379" width="7" style="85" bestFit="1" customWidth="1"/>
    <col min="380" max="380" width="10.109375" style="85" bestFit="1" customWidth="1"/>
    <col min="381" max="384" width="7.88671875" style="85" bestFit="1" customWidth="1"/>
    <col min="385" max="386" width="7.44140625" style="85" bestFit="1" customWidth="1"/>
    <col min="387" max="387" width="7" style="85" bestFit="1" customWidth="1"/>
    <col min="388" max="388" width="16.6640625" style="85" customWidth="1"/>
    <col min="389" max="394" width="8" style="85" bestFit="1" customWidth="1"/>
    <col min="395" max="395" width="7.44140625" style="85" bestFit="1" customWidth="1"/>
    <col min="396" max="401" width="8.44140625" style="85" bestFit="1" customWidth="1"/>
    <col min="402" max="402" width="8.33203125" style="85" bestFit="1" customWidth="1"/>
    <col min="403" max="403" width="8" style="85" bestFit="1" customWidth="1"/>
    <col min="404" max="404" width="8.44140625" style="85" bestFit="1" customWidth="1"/>
    <col min="405" max="405" width="11.6640625" style="85" customWidth="1"/>
    <col min="406" max="410" width="7.6640625" style="85" bestFit="1" customWidth="1"/>
    <col min="411" max="411" width="7" style="85" bestFit="1" customWidth="1"/>
    <col min="412" max="412" width="8.88671875" style="85" bestFit="1" customWidth="1"/>
    <col min="413" max="414" width="9.44140625" style="85" customWidth="1"/>
    <col min="415" max="415" width="8.88671875" style="85" bestFit="1" customWidth="1"/>
    <col min="416" max="416" width="9.44140625" style="85" customWidth="1"/>
    <col min="417" max="419" width="8.88671875" style="85" bestFit="1" customWidth="1"/>
    <col min="420" max="420" width="5.5546875" style="85" customWidth="1"/>
    <col min="421" max="16384" width="4.5546875" style="85"/>
  </cols>
  <sheetData>
    <row r="1" spans="2:420" s="708" customFormat="1" ht="15" thickBot="1" x14ac:dyDescent="0.35">
      <c r="C1" s="709">
        <v>0.99</v>
      </c>
      <c r="D1" s="708" t="s">
        <v>232</v>
      </c>
      <c r="L1" s="708" t="str">
        <f>"wk "&amp;RIGHT(D1,2)+1</f>
        <v>wk 2</v>
      </c>
      <c r="T1" s="708" t="str">
        <f>"wk "&amp;RIGHT(L1,2)+1</f>
        <v>wk 3</v>
      </c>
      <c r="AB1" s="708" t="str">
        <f>"wk "&amp;RIGHT(T1,2)+1</f>
        <v>wk 4</v>
      </c>
      <c r="AJ1" s="708" t="str">
        <f>"wk "&amp;RIGHT(AB1,2)+1</f>
        <v>wk 5</v>
      </c>
      <c r="AR1" s="708" t="str">
        <f>"wk "&amp;RIGHT(AJ1,2)+1</f>
        <v>wk 6</v>
      </c>
      <c r="AZ1" s="708" t="str">
        <f>"wk "&amp;RIGHT(AR1,2)+1</f>
        <v>wk 7</v>
      </c>
      <c r="BH1" s="708" t="str">
        <f>"wk "&amp;RIGHT(AZ1,2)+1</f>
        <v>wk 8</v>
      </c>
      <c r="BP1" s="708" t="str">
        <f>"wk "&amp;RIGHT(BH1,2)+1</f>
        <v>wk 9</v>
      </c>
      <c r="BX1" s="708" t="str">
        <f>"wk "&amp;RIGHT(BP1,2)+1</f>
        <v>wk 10</v>
      </c>
      <c r="CF1" s="708" t="s">
        <v>233</v>
      </c>
      <c r="CN1" s="708" t="s">
        <v>234</v>
      </c>
      <c r="CV1" s="708" t="s">
        <v>235</v>
      </c>
      <c r="DD1" s="708" t="s">
        <v>236</v>
      </c>
      <c r="DL1" s="708" t="s">
        <v>237</v>
      </c>
      <c r="DT1" s="708" t="s">
        <v>238</v>
      </c>
      <c r="EB1" s="708" t="s">
        <v>239</v>
      </c>
      <c r="EJ1" s="708" t="s">
        <v>240</v>
      </c>
      <c r="ER1" s="708" t="s">
        <v>241</v>
      </c>
      <c r="EZ1" s="708" t="s">
        <v>242</v>
      </c>
      <c r="FH1" s="708" t="s">
        <v>243</v>
      </c>
      <c r="FP1" s="708" t="s">
        <v>244</v>
      </c>
      <c r="FX1" s="708" t="s">
        <v>245</v>
      </c>
      <c r="GF1" s="708" t="s">
        <v>246</v>
      </c>
      <c r="GN1" s="708" t="s">
        <v>247</v>
      </c>
      <c r="GV1" s="708" t="s">
        <v>248</v>
      </c>
      <c r="HD1" s="708" t="s">
        <v>249</v>
      </c>
      <c r="HL1" s="708" t="s">
        <v>250</v>
      </c>
      <c r="HT1" s="708" t="s">
        <v>251</v>
      </c>
      <c r="IB1" s="708" t="s">
        <v>197</v>
      </c>
      <c r="IJ1" s="708" t="s">
        <v>198</v>
      </c>
      <c r="IR1" s="708" t="s">
        <v>199</v>
      </c>
      <c r="IZ1" s="708" t="s">
        <v>200</v>
      </c>
      <c r="JH1" s="708" t="s">
        <v>201</v>
      </c>
      <c r="JP1" s="708" t="str">
        <f>"wk"&amp;RIGHT(JH1,2)+1</f>
        <v>wk35</v>
      </c>
      <c r="JX1" s="708" t="str">
        <f>"wk"&amp;RIGHT(JP1,2)+1</f>
        <v>wk36</v>
      </c>
      <c r="KF1" s="708" t="str">
        <f>"wk"&amp;RIGHT(JX1,2)+1</f>
        <v>wk37</v>
      </c>
      <c r="KN1" s="708" t="str">
        <f>"wk"&amp;RIGHT(KF1,2)+1</f>
        <v>wk38</v>
      </c>
      <c r="KV1" s="708" t="str">
        <f>"wk"&amp;RIGHT(KN1,2)+1</f>
        <v>wk39</v>
      </c>
      <c r="LD1" s="708" t="str">
        <f>"wk"&amp;RIGHT(KV1,2)+1</f>
        <v>wk40</v>
      </c>
      <c r="LL1" s="708" t="str">
        <f>"wk"&amp;RIGHT(LD1,2)+1</f>
        <v>wk41</v>
      </c>
      <c r="LT1" s="708" t="str">
        <f>"wk"&amp;RIGHT(LL1,2)+1</f>
        <v>wk42</v>
      </c>
      <c r="MB1" s="708" t="str">
        <f>"wk"&amp;RIGHT(LT1,2)+1</f>
        <v>wk43</v>
      </c>
      <c r="MJ1" s="708" t="str">
        <f>"wk"&amp;RIGHT(MB1,2)+1</f>
        <v>wk44</v>
      </c>
      <c r="MR1" s="708" t="str">
        <f>"wk"&amp;RIGHT(MJ1,2)+1</f>
        <v>wk45</v>
      </c>
      <c r="MZ1" s="708" t="str">
        <f>"wk"&amp;RIGHT(MR1,2)+1</f>
        <v>wk46</v>
      </c>
      <c r="NH1" s="708" t="str">
        <f>"wk"&amp;RIGHT(MZ1,2)+1</f>
        <v>wk47</v>
      </c>
      <c r="NP1" s="708" t="str">
        <f>"wk"&amp;RIGHT(NH1,2)+1</f>
        <v>wk48</v>
      </c>
      <c r="NX1" s="708" t="str">
        <f>"wk"&amp;RIGHT(NP1,2)+1</f>
        <v>wk49</v>
      </c>
      <c r="OF1" s="708" t="str">
        <f>"wk"&amp;RIGHT(NX1,2)+1</f>
        <v>wk50</v>
      </c>
      <c r="ON1" s="708" t="str">
        <f>"wk"&amp;RIGHT(OF1,2)+1</f>
        <v>wk51</v>
      </c>
      <c r="OV1" s="708" t="str">
        <f>"wk"&amp;RIGHT(ON1,2)+1</f>
        <v>wk52</v>
      </c>
    </row>
    <row r="2" spans="2:420" s="710" customFormat="1" x14ac:dyDescent="0.3">
      <c r="C2" s="817"/>
      <c r="D2" s="714"/>
      <c r="E2" s="715">
        <v>44564</v>
      </c>
      <c r="F2" s="703">
        <f t="shared" ref="F2" si="0">E2+1</f>
        <v>44565</v>
      </c>
      <c r="G2" s="703">
        <f t="shared" ref="G2" si="1">F2+1</f>
        <v>44566</v>
      </c>
      <c r="H2" s="703">
        <f t="shared" ref="H2" si="2">G2+1</f>
        <v>44567</v>
      </c>
      <c r="I2" s="703">
        <f t="shared" ref="I2" si="3">H2+1</f>
        <v>44568</v>
      </c>
      <c r="J2" s="703">
        <f t="shared" ref="J2" si="4">I2+1</f>
        <v>44569</v>
      </c>
      <c r="K2" s="704">
        <f t="shared" ref="K2" si="5">J2+1</f>
        <v>44570</v>
      </c>
      <c r="L2" s="714"/>
      <c r="M2" s="715">
        <f>K2+1</f>
        <v>44571</v>
      </c>
      <c r="N2" s="703">
        <f t="shared" ref="N2" si="6">M2+1</f>
        <v>44572</v>
      </c>
      <c r="O2" s="703">
        <f t="shared" ref="O2" si="7">N2+1</f>
        <v>44573</v>
      </c>
      <c r="P2" s="703">
        <f t="shared" ref="P2" si="8">O2+1</f>
        <v>44574</v>
      </c>
      <c r="Q2" s="703">
        <f t="shared" ref="Q2" si="9">P2+1</f>
        <v>44575</v>
      </c>
      <c r="R2" s="703">
        <f t="shared" ref="R2" si="10">Q2+1</f>
        <v>44576</v>
      </c>
      <c r="S2" s="704">
        <f t="shared" ref="S2" si="11">R2+1</f>
        <v>44577</v>
      </c>
      <c r="T2" s="714"/>
      <c r="U2" s="715">
        <f>S2+1</f>
        <v>44578</v>
      </c>
      <c r="V2" s="703">
        <f>U2+1</f>
        <v>44579</v>
      </c>
      <c r="W2" s="703">
        <f t="shared" ref="W2" si="12">V2+1</f>
        <v>44580</v>
      </c>
      <c r="X2" s="703">
        <f t="shared" ref="X2" si="13">W2+1</f>
        <v>44581</v>
      </c>
      <c r="Y2" s="703">
        <f t="shared" ref="Y2" si="14">X2+1</f>
        <v>44582</v>
      </c>
      <c r="Z2" s="703">
        <f t="shared" ref="Z2" si="15">Y2+1</f>
        <v>44583</v>
      </c>
      <c r="AA2" s="704">
        <f t="shared" ref="AA2" si="16">Z2+1</f>
        <v>44584</v>
      </c>
      <c r="AB2" s="714"/>
      <c r="AC2" s="715">
        <f>AA2+1</f>
        <v>44585</v>
      </c>
      <c r="AD2" s="703">
        <f>AC2+1</f>
        <v>44586</v>
      </c>
      <c r="AE2" s="703">
        <f t="shared" ref="AE2" si="17">AD2+1</f>
        <v>44587</v>
      </c>
      <c r="AF2" s="703">
        <f t="shared" ref="AF2" si="18">AE2+1</f>
        <v>44588</v>
      </c>
      <c r="AG2" s="703">
        <f t="shared" ref="AG2" si="19">AF2+1</f>
        <v>44589</v>
      </c>
      <c r="AH2" s="703">
        <f t="shared" ref="AH2" si="20">AG2+1</f>
        <v>44590</v>
      </c>
      <c r="AI2" s="704">
        <f t="shared" ref="AI2" si="21">AH2+1</f>
        <v>44591</v>
      </c>
      <c r="AJ2" s="714"/>
      <c r="AK2" s="715">
        <f>AI2+1</f>
        <v>44592</v>
      </c>
      <c r="AL2" s="703">
        <f>AK2+1</f>
        <v>44593</v>
      </c>
      <c r="AM2" s="703">
        <f t="shared" ref="AM2" si="22">AL2+1</f>
        <v>44594</v>
      </c>
      <c r="AN2" s="703">
        <f t="shared" ref="AN2" si="23">AM2+1</f>
        <v>44595</v>
      </c>
      <c r="AO2" s="703">
        <f t="shared" ref="AO2" si="24">AN2+1</f>
        <v>44596</v>
      </c>
      <c r="AP2" s="703">
        <f t="shared" ref="AP2" si="25">AO2+1</f>
        <v>44597</v>
      </c>
      <c r="AQ2" s="704">
        <f t="shared" ref="AQ2" si="26">AP2+1</f>
        <v>44598</v>
      </c>
      <c r="AR2" s="714"/>
      <c r="AS2" s="715">
        <f>AQ2+1</f>
        <v>44599</v>
      </c>
      <c r="AT2" s="703">
        <f>AS2+1</f>
        <v>44600</v>
      </c>
      <c r="AU2" s="703">
        <f t="shared" ref="AU2" si="27">AT2+1</f>
        <v>44601</v>
      </c>
      <c r="AV2" s="703">
        <f t="shared" ref="AV2" si="28">AU2+1</f>
        <v>44602</v>
      </c>
      <c r="AW2" s="703">
        <f t="shared" ref="AW2" si="29">AV2+1</f>
        <v>44603</v>
      </c>
      <c r="AX2" s="703">
        <f>AW2+1</f>
        <v>44604</v>
      </c>
      <c r="AY2" s="704">
        <f t="shared" ref="AY2" si="30">AX2+1</f>
        <v>44605</v>
      </c>
      <c r="AZ2" s="714"/>
      <c r="BA2" s="715">
        <f>AY2+1</f>
        <v>44606</v>
      </c>
      <c r="BB2" s="703">
        <f>BA2+1</f>
        <v>44607</v>
      </c>
      <c r="BC2" s="703">
        <f t="shared" ref="BC2" si="31">BB2+1</f>
        <v>44608</v>
      </c>
      <c r="BD2" s="703">
        <f t="shared" ref="BD2" si="32">BC2+1</f>
        <v>44609</v>
      </c>
      <c r="BE2" s="703">
        <f t="shared" ref="BE2" si="33">BD2+1</f>
        <v>44610</v>
      </c>
      <c r="BF2" s="703">
        <f t="shared" ref="BF2" si="34">BE2+1</f>
        <v>44611</v>
      </c>
      <c r="BG2" s="704">
        <f t="shared" ref="BG2" si="35">BF2+1</f>
        <v>44612</v>
      </c>
      <c r="BH2" s="714"/>
      <c r="BI2" s="715">
        <f>BG2+1</f>
        <v>44613</v>
      </c>
      <c r="BJ2" s="703">
        <f>BI2+1</f>
        <v>44614</v>
      </c>
      <c r="BK2" s="703">
        <f t="shared" ref="BK2" si="36">BJ2+1</f>
        <v>44615</v>
      </c>
      <c r="BL2" s="703">
        <f t="shared" ref="BL2" si="37">BK2+1</f>
        <v>44616</v>
      </c>
      <c r="BM2" s="703">
        <f t="shared" ref="BM2" si="38">BL2+1</f>
        <v>44617</v>
      </c>
      <c r="BN2" s="703">
        <f t="shared" ref="BN2" si="39">BM2+1</f>
        <v>44618</v>
      </c>
      <c r="BO2" s="704">
        <f t="shared" ref="BO2" si="40">BN2+1</f>
        <v>44619</v>
      </c>
      <c r="BP2" s="714"/>
      <c r="BQ2" s="715">
        <f>BO2+1</f>
        <v>44620</v>
      </c>
      <c r="BR2" s="703">
        <f>BQ2+1</f>
        <v>44621</v>
      </c>
      <c r="BS2" s="703">
        <f t="shared" ref="BS2" si="41">BR2+1</f>
        <v>44622</v>
      </c>
      <c r="BT2" s="703">
        <f t="shared" ref="BT2" si="42">BS2+1</f>
        <v>44623</v>
      </c>
      <c r="BU2" s="703">
        <f t="shared" ref="BU2" si="43">BT2+1</f>
        <v>44624</v>
      </c>
      <c r="BV2" s="703">
        <f t="shared" ref="BV2" si="44">BU2+1</f>
        <v>44625</v>
      </c>
      <c r="BW2" s="704">
        <f t="shared" ref="BW2" si="45">BV2+1</f>
        <v>44626</v>
      </c>
      <c r="BX2" s="714"/>
      <c r="BY2" s="715">
        <f>BW2+1</f>
        <v>44627</v>
      </c>
      <c r="BZ2" s="703">
        <f>BY2+1</f>
        <v>44628</v>
      </c>
      <c r="CA2" s="703">
        <f t="shared" ref="CA2" si="46">BZ2+1</f>
        <v>44629</v>
      </c>
      <c r="CB2" s="703">
        <f t="shared" ref="CB2" si="47">CA2+1</f>
        <v>44630</v>
      </c>
      <c r="CC2" s="703">
        <f t="shared" ref="CC2" si="48">CB2+1</f>
        <v>44631</v>
      </c>
      <c r="CD2" s="703">
        <f t="shared" ref="CD2" si="49">CC2+1</f>
        <v>44632</v>
      </c>
      <c r="CE2" s="704">
        <f t="shared" ref="CE2" si="50">CD2+1</f>
        <v>44633</v>
      </c>
      <c r="CF2" s="714"/>
      <c r="CG2" s="715">
        <f>CE2+1</f>
        <v>44634</v>
      </c>
      <c r="CH2" s="703">
        <f>CG2+1</f>
        <v>44635</v>
      </c>
      <c r="CI2" s="703">
        <f t="shared" ref="CI2" si="51">CH2+1</f>
        <v>44636</v>
      </c>
      <c r="CJ2" s="703">
        <f t="shared" ref="CJ2" si="52">CI2+1</f>
        <v>44637</v>
      </c>
      <c r="CK2" s="703">
        <f t="shared" ref="CK2" si="53">CJ2+1</f>
        <v>44638</v>
      </c>
      <c r="CL2" s="703">
        <f t="shared" ref="CL2" si="54">CK2+1</f>
        <v>44639</v>
      </c>
      <c r="CM2" s="704">
        <f t="shared" ref="CM2" si="55">CL2+1</f>
        <v>44640</v>
      </c>
      <c r="CN2" s="714"/>
      <c r="CO2" s="715">
        <f>CM2+1</f>
        <v>44641</v>
      </c>
      <c r="CP2" s="703">
        <f>CO2+1</f>
        <v>44642</v>
      </c>
      <c r="CQ2" s="703">
        <f t="shared" ref="CQ2" si="56">CP2+1</f>
        <v>44643</v>
      </c>
      <c r="CR2" s="703">
        <f t="shared" ref="CR2" si="57">CQ2+1</f>
        <v>44644</v>
      </c>
      <c r="CS2" s="703">
        <f t="shared" ref="CS2" si="58">CR2+1</f>
        <v>44645</v>
      </c>
      <c r="CT2" s="703">
        <f t="shared" ref="CT2" si="59">CS2+1</f>
        <v>44646</v>
      </c>
      <c r="CU2" s="704">
        <f t="shared" ref="CU2" si="60">CT2+1</f>
        <v>44647</v>
      </c>
      <c r="CV2" s="714"/>
      <c r="CW2" s="715">
        <f>CU2+1</f>
        <v>44648</v>
      </c>
      <c r="CX2" s="703">
        <f>CW2+1</f>
        <v>44649</v>
      </c>
      <c r="CY2" s="703">
        <f t="shared" ref="CY2" si="61">CX2+1</f>
        <v>44650</v>
      </c>
      <c r="CZ2" s="703">
        <f t="shared" ref="CZ2" si="62">CY2+1</f>
        <v>44651</v>
      </c>
      <c r="DA2" s="703">
        <f t="shared" ref="DA2" si="63">CZ2+1</f>
        <v>44652</v>
      </c>
      <c r="DB2" s="703">
        <f t="shared" ref="DB2" si="64">DA2+1</f>
        <v>44653</v>
      </c>
      <c r="DC2" s="704">
        <f t="shared" ref="DC2" si="65">DB2+1</f>
        <v>44654</v>
      </c>
      <c r="DD2" s="714"/>
      <c r="DE2" s="715">
        <f>DC2+1</f>
        <v>44655</v>
      </c>
      <c r="DF2" s="703">
        <f t="shared" ref="DF2:DK2" si="66">DE2+1</f>
        <v>44656</v>
      </c>
      <c r="DG2" s="703">
        <f t="shared" si="66"/>
        <v>44657</v>
      </c>
      <c r="DH2" s="703">
        <f t="shared" si="66"/>
        <v>44658</v>
      </c>
      <c r="DI2" s="703">
        <f t="shared" si="66"/>
        <v>44659</v>
      </c>
      <c r="DJ2" s="703">
        <f t="shared" si="66"/>
        <v>44660</v>
      </c>
      <c r="DK2" s="704">
        <f t="shared" si="66"/>
        <v>44661</v>
      </c>
      <c r="DL2" s="714"/>
      <c r="DM2" s="715">
        <f>DK2+1</f>
        <v>44662</v>
      </c>
      <c r="DN2" s="703">
        <f t="shared" ref="DN2" si="67">DM2+1</f>
        <v>44663</v>
      </c>
      <c r="DO2" s="703">
        <f t="shared" ref="DO2" si="68">DN2+1</f>
        <v>44664</v>
      </c>
      <c r="DP2" s="703">
        <f t="shared" ref="DP2" si="69">DO2+1</f>
        <v>44665</v>
      </c>
      <c r="DQ2" s="703">
        <f t="shared" ref="DQ2" si="70">DP2+1</f>
        <v>44666</v>
      </c>
      <c r="DR2" s="703">
        <f t="shared" ref="DR2" si="71">DQ2+1</f>
        <v>44667</v>
      </c>
      <c r="DS2" s="704">
        <f t="shared" ref="DS2" si="72">DR2+1</f>
        <v>44668</v>
      </c>
      <c r="DT2" s="714"/>
      <c r="DU2" s="715">
        <f>DS2+1</f>
        <v>44669</v>
      </c>
      <c r="DV2" s="703">
        <f t="shared" ref="DV2" si="73">DU2+1</f>
        <v>44670</v>
      </c>
      <c r="DW2" s="703">
        <f t="shared" ref="DW2" si="74">DV2+1</f>
        <v>44671</v>
      </c>
      <c r="DX2" s="703">
        <f t="shared" ref="DX2" si="75">DW2+1</f>
        <v>44672</v>
      </c>
      <c r="DY2" s="703">
        <f t="shared" ref="DY2" si="76">DX2+1</f>
        <v>44673</v>
      </c>
      <c r="DZ2" s="703">
        <f t="shared" ref="DZ2" si="77">DY2+1</f>
        <v>44674</v>
      </c>
      <c r="EA2" s="704">
        <f t="shared" ref="EA2" si="78">DZ2+1</f>
        <v>44675</v>
      </c>
      <c r="EB2" s="714"/>
      <c r="EC2" s="715">
        <f>EA2+1</f>
        <v>44676</v>
      </c>
      <c r="ED2" s="703">
        <f t="shared" ref="ED2" si="79">EC2+1</f>
        <v>44677</v>
      </c>
      <c r="EE2" s="703">
        <f t="shared" ref="EE2" si="80">ED2+1</f>
        <v>44678</v>
      </c>
      <c r="EF2" s="703">
        <f t="shared" ref="EF2" si="81">EE2+1</f>
        <v>44679</v>
      </c>
      <c r="EG2" s="703">
        <f t="shared" ref="EG2" si="82">EF2+1</f>
        <v>44680</v>
      </c>
      <c r="EH2" s="703">
        <f t="shared" ref="EH2" si="83">EG2+1</f>
        <v>44681</v>
      </c>
      <c r="EI2" s="704">
        <f t="shared" ref="EI2" si="84">EH2+1</f>
        <v>44682</v>
      </c>
      <c r="EJ2" s="714"/>
      <c r="EK2" s="715">
        <f>EI2+1</f>
        <v>44683</v>
      </c>
      <c r="EL2" s="703">
        <f t="shared" ref="EL2" si="85">EK2+1</f>
        <v>44684</v>
      </c>
      <c r="EM2" s="703">
        <f t="shared" ref="EM2" si="86">EL2+1</f>
        <v>44685</v>
      </c>
      <c r="EN2" s="703">
        <f t="shared" ref="EN2" si="87">EM2+1</f>
        <v>44686</v>
      </c>
      <c r="EO2" s="703">
        <f t="shared" ref="EO2" si="88">EN2+1</f>
        <v>44687</v>
      </c>
      <c r="EP2" s="703">
        <f t="shared" ref="EP2" si="89">EO2+1</f>
        <v>44688</v>
      </c>
      <c r="EQ2" s="704">
        <f t="shared" ref="EQ2" si="90">EP2+1</f>
        <v>44689</v>
      </c>
      <c r="ER2" s="714"/>
      <c r="ES2" s="715">
        <f>EQ2+1</f>
        <v>44690</v>
      </c>
      <c r="ET2" s="703">
        <f t="shared" ref="ET2" si="91">ES2+1</f>
        <v>44691</v>
      </c>
      <c r="EU2" s="703">
        <f t="shared" ref="EU2" si="92">ET2+1</f>
        <v>44692</v>
      </c>
      <c r="EV2" s="703">
        <f t="shared" ref="EV2" si="93">EU2+1</f>
        <v>44693</v>
      </c>
      <c r="EW2" s="703">
        <f t="shared" ref="EW2" si="94">EV2+1</f>
        <v>44694</v>
      </c>
      <c r="EX2" s="703">
        <f t="shared" ref="EX2" si="95">EW2+1</f>
        <v>44695</v>
      </c>
      <c r="EY2" s="704">
        <f t="shared" ref="EY2" si="96">EX2+1</f>
        <v>44696</v>
      </c>
      <c r="EZ2" s="714"/>
      <c r="FA2" s="715">
        <f>EY2+1</f>
        <v>44697</v>
      </c>
      <c r="FB2" s="703">
        <f t="shared" ref="FB2" si="97">FA2+1</f>
        <v>44698</v>
      </c>
      <c r="FC2" s="703">
        <f t="shared" ref="FC2" si="98">FB2+1</f>
        <v>44699</v>
      </c>
      <c r="FD2" s="703">
        <f t="shared" ref="FD2" si="99">FC2+1</f>
        <v>44700</v>
      </c>
      <c r="FE2" s="703">
        <f t="shared" ref="FE2" si="100">FD2+1</f>
        <v>44701</v>
      </c>
      <c r="FF2" s="703">
        <f t="shared" ref="FF2" si="101">FE2+1</f>
        <v>44702</v>
      </c>
      <c r="FG2" s="704">
        <f t="shared" ref="FG2" si="102">FF2+1</f>
        <v>44703</v>
      </c>
      <c r="FH2" s="714"/>
      <c r="FI2" s="715">
        <f>FG2+1</f>
        <v>44704</v>
      </c>
      <c r="FJ2" s="703">
        <f t="shared" ref="FJ2:FO2" si="103">FI2+1</f>
        <v>44705</v>
      </c>
      <c r="FK2" s="703">
        <f t="shared" si="103"/>
        <v>44706</v>
      </c>
      <c r="FL2" s="703">
        <f t="shared" si="103"/>
        <v>44707</v>
      </c>
      <c r="FM2" s="703">
        <f t="shared" si="103"/>
        <v>44708</v>
      </c>
      <c r="FN2" s="703">
        <f t="shared" si="103"/>
        <v>44709</v>
      </c>
      <c r="FO2" s="704">
        <f t="shared" si="103"/>
        <v>44710</v>
      </c>
      <c r="FP2" s="714"/>
      <c r="FQ2" s="715">
        <f>FO2+1</f>
        <v>44711</v>
      </c>
      <c r="FR2" s="703">
        <f t="shared" ref="FR2:FW2" si="104">FQ2+1</f>
        <v>44712</v>
      </c>
      <c r="FS2" s="703">
        <f t="shared" si="104"/>
        <v>44713</v>
      </c>
      <c r="FT2" s="703">
        <f t="shared" si="104"/>
        <v>44714</v>
      </c>
      <c r="FU2" s="703">
        <f t="shared" si="104"/>
        <v>44715</v>
      </c>
      <c r="FV2" s="703">
        <f t="shared" si="104"/>
        <v>44716</v>
      </c>
      <c r="FW2" s="704">
        <f t="shared" si="104"/>
        <v>44717</v>
      </c>
      <c r="FX2" s="714"/>
      <c r="FY2" s="715">
        <f>FW2+1</f>
        <v>44718</v>
      </c>
      <c r="FZ2" s="703">
        <f t="shared" ref="FZ2" si="105">FY2+1</f>
        <v>44719</v>
      </c>
      <c r="GA2" s="703">
        <f t="shared" ref="GA2" si="106">FZ2+1</f>
        <v>44720</v>
      </c>
      <c r="GB2" s="703">
        <f t="shared" ref="GB2" si="107">GA2+1</f>
        <v>44721</v>
      </c>
      <c r="GC2" s="703">
        <f t="shared" ref="GC2" si="108">GB2+1</f>
        <v>44722</v>
      </c>
      <c r="GD2" s="703">
        <f t="shared" ref="GD2" si="109">GC2+1</f>
        <v>44723</v>
      </c>
      <c r="GE2" s="704">
        <f t="shared" ref="GE2" si="110">GD2+1</f>
        <v>44724</v>
      </c>
      <c r="GF2" s="714"/>
      <c r="GG2" s="715">
        <f>GE2+1</f>
        <v>44725</v>
      </c>
      <c r="GH2" s="703">
        <f t="shared" ref="GH2" si="111">GG2+1</f>
        <v>44726</v>
      </c>
      <c r="GI2" s="703">
        <f t="shared" ref="GI2" si="112">GH2+1</f>
        <v>44727</v>
      </c>
      <c r="GJ2" s="703">
        <f t="shared" ref="GJ2" si="113">GI2+1</f>
        <v>44728</v>
      </c>
      <c r="GK2" s="703">
        <f t="shared" ref="GK2" si="114">GJ2+1</f>
        <v>44729</v>
      </c>
      <c r="GL2" s="703">
        <f t="shared" ref="GL2" si="115">GK2+1</f>
        <v>44730</v>
      </c>
      <c r="GM2" s="704">
        <f t="shared" ref="GM2" si="116">GL2+1</f>
        <v>44731</v>
      </c>
      <c r="GN2" s="714"/>
      <c r="GO2" s="715">
        <f>GM2+1</f>
        <v>44732</v>
      </c>
      <c r="GP2" s="703">
        <f t="shared" ref="GP2" si="117">GO2+1</f>
        <v>44733</v>
      </c>
      <c r="GQ2" s="703">
        <f t="shared" ref="GQ2" si="118">GP2+1</f>
        <v>44734</v>
      </c>
      <c r="GR2" s="703">
        <f t="shared" ref="GR2" si="119">GQ2+1</f>
        <v>44735</v>
      </c>
      <c r="GS2" s="703">
        <f t="shared" ref="GS2" si="120">GR2+1</f>
        <v>44736</v>
      </c>
      <c r="GT2" s="703">
        <f t="shared" ref="GT2" si="121">GS2+1</f>
        <v>44737</v>
      </c>
      <c r="GU2" s="704">
        <f t="shared" ref="GU2" si="122">GT2+1</f>
        <v>44738</v>
      </c>
      <c r="GV2" s="714"/>
      <c r="GW2" s="715">
        <f>GU2+1</f>
        <v>44739</v>
      </c>
      <c r="GX2" s="703">
        <f t="shared" ref="GX2" si="123">GW2+1</f>
        <v>44740</v>
      </c>
      <c r="GY2" s="703">
        <f t="shared" ref="GY2" si="124">GX2+1</f>
        <v>44741</v>
      </c>
      <c r="GZ2" s="703">
        <f t="shared" ref="GZ2" si="125">GY2+1</f>
        <v>44742</v>
      </c>
      <c r="HA2" s="703">
        <f t="shared" ref="HA2" si="126">GZ2+1</f>
        <v>44743</v>
      </c>
      <c r="HB2" s="703">
        <f t="shared" ref="HB2" si="127">HA2+1</f>
        <v>44744</v>
      </c>
      <c r="HC2" s="704">
        <f t="shared" ref="HC2" si="128">HB2+1</f>
        <v>44745</v>
      </c>
      <c r="HD2" s="714"/>
      <c r="HE2" s="715">
        <f>HC2+1</f>
        <v>44746</v>
      </c>
      <c r="HF2" s="703">
        <f t="shared" ref="HF2" si="129">HE2+1</f>
        <v>44747</v>
      </c>
      <c r="HG2" s="703">
        <f t="shared" ref="HG2" si="130">HF2+1</f>
        <v>44748</v>
      </c>
      <c r="HH2" s="703">
        <f t="shared" ref="HH2" si="131">HG2+1</f>
        <v>44749</v>
      </c>
      <c r="HI2" s="703">
        <f t="shared" ref="HI2" si="132">HH2+1</f>
        <v>44750</v>
      </c>
      <c r="HJ2" s="703">
        <f t="shared" ref="HJ2" si="133">HI2+1</f>
        <v>44751</v>
      </c>
      <c r="HK2" s="704">
        <f t="shared" ref="HK2" si="134">HJ2+1</f>
        <v>44752</v>
      </c>
      <c r="HL2" s="714"/>
      <c r="HM2" s="715">
        <f>HK2+1</f>
        <v>44753</v>
      </c>
      <c r="HN2" s="703">
        <f t="shared" ref="HN2" si="135">HM2+1</f>
        <v>44754</v>
      </c>
      <c r="HO2" s="703">
        <f t="shared" ref="HO2" si="136">HN2+1</f>
        <v>44755</v>
      </c>
      <c r="HP2" s="703">
        <f t="shared" ref="HP2" si="137">HO2+1</f>
        <v>44756</v>
      </c>
      <c r="HQ2" s="703">
        <f t="shared" ref="HQ2" si="138">HP2+1</f>
        <v>44757</v>
      </c>
      <c r="HR2" s="703">
        <f t="shared" ref="HR2" si="139">HQ2+1</f>
        <v>44758</v>
      </c>
      <c r="HS2" s="704">
        <f t="shared" ref="HS2" si="140">HR2+1</f>
        <v>44759</v>
      </c>
      <c r="HT2" s="714"/>
      <c r="HU2" s="715">
        <f>HS2+1</f>
        <v>44760</v>
      </c>
      <c r="HV2" s="703">
        <f t="shared" ref="HV2" si="141">HU2+1</f>
        <v>44761</v>
      </c>
      <c r="HW2" s="703">
        <f t="shared" ref="HW2" si="142">HV2+1</f>
        <v>44762</v>
      </c>
      <c r="HX2" s="703">
        <f t="shared" ref="HX2" si="143">HW2+1</f>
        <v>44763</v>
      </c>
      <c r="HY2" s="703">
        <f t="shared" ref="HY2" si="144">HX2+1</f>
        <v>44764</v>
      </c>
      <c r="HZ2" s="703">
        <f t="shared" ref="HZ2" si="145">HY2+1</f>
        <v>44765</v>
      </c>
      <c r="IA2" s="704">
        <f t="shared" ref="IA2" si="146">HZ2+1</f>
        <v>44766</v>
      </c>
      <c r="IB2" s="714"/>
      <c r="IC2" s="715">
        <f>IA2+1</f>
        <v>44767</v>
      </c>
      <c r="ID2" s="703">
        <f t="shared" ref="ID2" si="147">IC2+1</f>
        <v>44768</v>
      </c>
      <c r="IE2" s="703">
        <f t="shared" ref="IE2" si="148">ID2+1</f>
        <v>44769</v>
      </c>
      <c r="IF2" s="703">
        <f t="shared" ref="IF2" si="149">IE2+1</f>
        <v>44770</v>
      </c>
      <c r="IG2" s="703">
        <f t="shared" ref="IG2" si="150">IF2+1</f>
        <v>44771</v>
      </c>
      <c r="IH2" s="703">
        <f t="shared" ref="IH2" si="151">IG2+1</f>
        <v>44772</v>
      </c>
      <c r="II2" s="704">
        <f t="shared" ref="II2" si="152">IH2+1</f>
        <v>44773</v>
      </c>
      <c r="IJ2" s="714"/>
      <c r="IK2" s="715">
        <f>II2+1</f>
        <v>44774</v>
      </c>
      <c r="IL2" s="703">
        <f t="shared" ref="IL2" si="153">IK2+1</f>
        <v>44775</v>
      </c>
      <c r="IM2" s="703">
        <f t="shared" ref="IM2" si="154">IL2+1</f>
        <v>44776</v>
      </c>
      <c r="IN2" s="703">
        <f t="shared" ref="IN2" si="155">IM2+1</f>
        <v>44777</v>
      </c>
      <c r="IO2" s="703">
        <f t="shared" ref="IO2" si="156">IN2+1</f>
        <v>44778</v>
      </c>
      <c r="IP2" s="703">
        <f t="shared" ref="IP2" si="157">IO2+1</f>
        <v>44779</v>
      </c>
      <c r="IQ2" s="704">
        <f t="shared" ref="IQ2" si="158">IP2+1</f>
        <v>44780</v>
      </c>
      <c r="IR2" s="714"/>
      <c r="IS2" s="715">
        <f>IQ2+1</f>
        <v>44781</v>
      </c>
      <c r="IT2" s="703">
        <f t="shared" ref="IT2" si="159">IS2+1</f>
        <v>44782</v>
      </c>
      <c r="IU2" s="703">
        <f t="shared" ref="IU2" si="160">IT2+1</f>
        <v>44783</v>
      </c>
      <c r="IV2" s="703">
        <f t="shared" ref="IV2" si="161">IU2+1</f>
        <v>44784</v>
      </c>
      <c r="IW2" s="703">
        <f t="shared" ref="IW2" si="162">IV2+1</f>
        <v>44785</v>
      </c>
      <c r="IX2" s="703">
        <f t="shared" ref="IX2" si="163">IW2+1</f>
        <v>44786</v>
      </c>
      <c r="IY2" s="704">
        <f t="shared" ref="IY2" si="164">IX2+1</f>
        <v>44787</v>
      </c>
      <c r="IZ2" s="714"/>
      <c r="JA2" s="715">
        <f>IY2+1</f>
        <v>44788</v>
      </c>
      <c r="JB2" s="703">
        <f t="shared" ref="JB2" si="165">JA2+1</f>
        <v>44789</v>
      </c>
      <c r="JC2" s="703">
        <f t="shared" ref="JC2" si="166">JB2+1</f>
        <v>44790</v>
      </c>
      <c r="JD2" s="703">
        <f t="shared" ref="JD2" si="167">JC2+1</f>
        <v>44791</v>
      </c>
      <c r="JE2" s="703">
        <f t="shared" ref="JE2" si="168">JD2+1</f>
        <v>44792</v>
      </c>
      <c r="JF2" s="703">
        <f t="shared" ref="JF2" si="169">JE2+1</f>
        <v>44793</v>
      </c>
      <c r="JG2" s="704">
        <f t="shared" ref="JG2" si="170">JF2+1</f>
        <v>44794</v>
      </c>
      <c r="JH2" s="714"/>
      <c r="JI2" s="715">
        <f>JG2+1</f>
        <v>44795</v>
      </c>
      <c r="JJ2" s="703">
        <f t="shared" ref="JJ2" si="171">JI2+1</f>
        <v>44796</v>
      </c>
      <c r="JK2" s="703">
        <f t="shared" ref="JK2" si="172">JJ2+1</f>
        <v>44797</v>
      </c>
      <c r="JL2" s="703">
        <f t="shared" ref="JL2" si="173">JK2+1</f>
        <v>44798</v>
      </c>
      <c r="JM2" s="703">
        <f t="shared" ref="JM2" si="174">JL2+1</f>
        <v>44799</v>
      </c>
      <c r="JN2" s="703">
        <f t="shared" ref="JN2" si="175">JM2+1</f>
        <v>44800</v>
      </c>
      <c r="JO2" s="704">
        <f t="shared" ref="JO2" si="176">JN2+1</f>
        <v>44801</v>
      </c>
      <c r="JP2" s="714"/>
      <c r="JQ2" s="870">
        <f>JO2+1</f>
        <v>44802</v>
      </c>
      <c r="JR2" s="871">
        <f>JQ2+1</f>
        <v>44803</v>
      </c>
      <c r="JS2" s="871">
        <f>JR2+1</f>
        <v>44804</v>
      </c>
      <c r="JT2" s="703">
        <f>JS2+1</f>
        <v>44805</v>
      </c>
      <c r="JU2" s="871">
        <f t="shared" ref="JU2" si="177">JT2+1</f>
        <v>44806</v>
      </c>
      <c r="JV2" s="703">
        <f t="shared" ref="JV2" si="178">JU2+1</f>
        <v>44807</v>
      </c>
      <c r="JW2" s="704">
        <f t="shared" ref="JW2" si="179">JV2+1</f>
        <v>44808</v>
      </c>
      <c r="JX2" s="714"/>
      <c r="JY2" s="715">
        <f>JW2+1</f>
        <v>44809</v>
      </c>
      <c r="JZ2" s="703">
        <f t="shared" ref="JZ2" si="180">JY2+1</f>
        <v>44810</v>
      </c>
      <c r="KA2" s="703">
        <f t="shared" ref="KA2" si="181">JZ2+1</f>
        <v>44811</v>
      </c>
      <c r="KB2" s="703">
        <f t="shared" ref="KB2" si="182">KA2+1</f>
        <v>44812</v>
      </c>
      <c r="KC2" s="703">
        <f t="shared" ref="KC2" si="183">KB2+1</f>
        <v>44813</v>
      </c>
      <c r="KD2" s="703">
        <f t="shared" ref="KD2" si="184">KC2+1</f>
        <v>44814</v>
      </c>
      <c r="KE2" s="704">
        <f t="shared" ref="KE2" si="185">KD2+1</f>
        <v>44815</v>
      </c>
      <c r="KF2" s="714"/>
      <c r="KG2" s="715">
        <f>KE2+1</f>
        <v>44816</v>
      </c>
      <c r="KH2" s="703">
        <f t="shared" ref="KH2" si="186">KG2+1</f>
        <v>44817</v>
      </c>
      <c r="KI2" s="703">
        <f t="shared" ref="KI2" si="187">KH2+1</f>
        <v>44818</v>
      </c>
      <c r="KJ2" s="703">
        <f t="shared" ref="KJ2" si="188">KI2+1</f>
        <v>44819</v>
      </c>
      <c r="KK2" s="703">
        <f t="shared" ref="KK2" si="189">KJ2+1</f>
        <v>44820</v>
      </c>
      <c r="KL2" s="703">
        <f t="shared" ref="KL2" si="190">KK2+1</f>
        <v>44821</v>
      </c>
      <c r="KM2" s="704">
        <f t="shared" ref="KM2" si="191">KL2+1</f>
        <v>44822</v>
      </c>
      <c r="KN2" s="714"/>
      <c r="KO2" s="715">
        <f>KM2+1</f>
        <v>44823</v>
      </c>
      <c r="KP2" s="703">
        <f t="shared" ref="KP2" si="192">KO2+1</f>
        <v>44824</v>
      </c>
      <c r="KQ2" s="703">
        <f t="shared" ref="KQ2" si="193">KP2+1</f>
        <v>44825</v>
      </c>
      <c r="KR2" s="703">
        <f t="shared" ref="KR2" si="194">KQ2+1</f>
        <v>44826</v>
      </c>
      <c r="KS2" s="703">
        <f t="shared" ref="KS2" si="195">KR2+1</f>
        <v>44827</v>
      </c>
      <c r="KT2" s="703">
        <f t="shared" ref="KT2" si="196">KS2+1</f>
        <v>44828</v>
      </c>
      <c r="KU2" s="704">
        <f t="shared" ref="KU2" si="197">KT2+1</f>
        <v>44829</v>
      </c>
      <c r="KV2" s="714"/>
      <c r="KW2" s="715">
        <f>KU2+1</f>
        <v>44830</v>
      </c>
      <c r="KX2" s="703">
        <f t="shared" ref="KX2" si="198">KW2+1</f>
        <v>44831</v>
      </c>
      <c r="KY2" s="703">
        <f t="shared" ref="KY2" si="199">KX2+1</f>
        <v>44832</v>
      </c>
      <c r="KZ2" s="703">
        <f t="shared" ref="KZ2" si="200">KY2+1</f>
        <v>44833</v>
      </c>
      <c r="LA2" s="703">
        <f t="shared" ref="LA2" si="201">KZ2+1</f>
        <v>44834</v>
      </c>
      <c r="LB2" s="703">
        <f t="shared" ref="LB2" si="202">LA2+1</f>
        <v>44835</v>
      </c>
      <c r="LC2" s="704">
        <f t="shared" ref="LC2" si="203">LB2+1</f>
        <v>44836</v>
      </c>
      <c r="LD2" s="714"/>
      <c r="LE2" s="715">
        <f>LC2+1</f>
        <v>44837</v>
      </c>
      <c r="LF2" s="703">
        <f t="shared" ref="LF2" si="204">LE2+1</f>
        <v>44838</v>
      </c>
      <c r="LG2" s="703">
        <f t="shared" ref="LG2" si="205">LF2+1</f>
        <v>44839</v>
      </c>
      <c r="LH2" s="703">
        <f t="shared" ref="LH2" si="206">LG2+1</f>
        <v>44840</v>
      </c>
      <c r="LI2" s="703">
        <f t="shared" ref="LI2" si="207">LH2+1</f>
        <v>44841</v>
      </c>
      <c r="LJ2" s="703">
        <f t="shared" ref="LJ2" si="208">LI2+1</f>
        <v>44842</v>
      </c>
      <c r="LK2" s="704">
        <f t="shared" ref="LK2" si="209">LJ2+1</f>
        <v>44843</v>
      </c>
      <c r="LL2" s="714"/>
      <c r="LM2" s="715">
        <f>LK2+1</f>
        <v>44844</v>
      </c>
      <c r="LN2" s="703">
        <f t="shared" ref="LN2:LS2" si="210">LM2+1</f>
        <v>44845</v>
      </c>
      <c r="LO2" s="703">
        <f t="shared" si="210"/>
        <v>44846</v>
      </c>
      <c r="LP2" s="703">
        <f t="shared" si="210"/>
        <v>44847</v>
      </c>
      <c r="LQ2" s="703">
        <f t="shared" si="210"/>
        <v>44848</v>
      </c>
      <c r="LR2" s="703">
        <f t="shared" si="210"/>
        <v>44849</v>
      </c>
      <c r="LS2" s="704">
        <f t="shared" si="210"/>
        <v>44850</v>
      </c>
      <c r="LT2" s="714"/>
      <c r="LU2" s="715">
        <f>LS2+1</f>
        <v>44851</v>
      </c>
      <c r="LV2" s="703">
        <f t="shared" ref="LV2" si="211">LU2+1</f>
        <v>44852</v>
      </c>
      <c r="LW2" s="703">
        <f t="shared" ref="LW2" si="212">LV2+1</f>
        <v>44853</v>
      </c>
      <c r="LX2" s="703">
        <f t="shared" ref="LX2" si="213">LW2+1</f>
        <v>44854</v>
      </c>
      <c r="LY2" s="703">
        <f t="shared" ref="LY2" si="214">LX2+1</f>
        <v>44855</v>
      </c>
      <c r="LZ2" s="703">
        <f t="shared" ref="LZ2" si="215">LY2+1</f>
        <v>44856</v>
      </c>
      <c r="MA2" s="704">
        <f t="shared" ref="MA2" si="216">LZ2+1</f>
        <v>44857</v>
      </c>
      <c r="MB2" s="714"/>
      <c r="MC2" s="715">
        <f>MA2+1</f>
        <v>44858</v>
      </c>
      <c r="MD2" s="703">
        <f t="shared" ref="MD2" si="217">MC2+1</f>
        <v>44859</v>
      </c>
      <c r="ME2" s="703">
        <f t="shared" ref="ME2" si="218">MD2+1</f>
        <v>44860</v>
      </c>
      <c r="MF2" s="703">
        <f t="shared" ref="MF2" si="219">ME2+1</f>
        <v>44861</v>
      </c>
      <c r="MG2" s="703">
        <f t="shared" ref="MG2" si="220">MF2+1</f>
        <v>44862</v>
      </c>
      <c r="MH2" s="703">
        <f t="shared" ref="MH2" si="221">MG2+1</f>
        <v>44863</v>
      </c>
      <c r="MI2" s="704">
        <f t="shared" ref="MI2" si="222">MH2+1</f>
        <v>44864</v>
      </c>
      <c r="MJ2" s="714"/>
      <c r="MK2" s="715">
        <f>MI2+1</f>
        <v>44865</v>
      </c>
      <c r="ML2" s="703">
        <f t="shared" ref="ML2" si="223">MK2+1</f>
        <v>44866</v>
      </c>
      <c r="MM2" s="703">
        <f t="shared" ref="MM2" si="224">ML2+1</f>
        <v>44867</v>
      </c>
      <c r="MN2" s="703">
        <f t="shared" ref="MN2" si="225">MM2+1</f>
        <v>44868</v>
      </c>
      <c r="MO2" s="703">
        <f t="shared" ref="MO2" si="226">MN2+1</f>
        <v>44869</v>
      </c>
      <c r="MP2" s="703">
        <f t="shared" ref="MP2" si="227">MO2+1</f>
        <v>44870</v>
      </c>
      <c r="MQ2" s="704">
        <f t="shared" ref="MQ2" si="228">MP2+1</f>
        <v>44871</v>
      </c>
      <c r="MR2" s="714"/>
      <c r="MS2" s="715">
        <f>MQ2+1</f>
        <v>44872</v>
      </c>
      <c r="MT2" s="703">
        <f t="shared" ref="MT2" si="229">MS2+1</f>
        <v>44873</v>
      </c>
      <c r="MU2" s="703">
        <f t="shared" ref="MU2" si="230">MT2+1</f>
        <v>44874</v>
      </c>
      <c r="MV2" s="703">
        <f t="shared" ref="MV2" si="231">MU2+1</f>
        <v>44875</v>
      </c>
      <c r="MW2" s="703">
        <f t="shared" ref="MW2" si="232">MV2+1</f>
        <v>44876</v>
      </c>
      <c r="MX2" s="703">
        <f t="shared" ref="MX2" si="233">MW2+1</f>
        <v>44877</v>
      </c>
      <c r="MY2" s="704">
        <f t="shared" ref="MY2" si="234">MX2+1</f>
        <v>44878</v>
      </c>
      <c r="MZ2" s="714"/>
      <c r="NA2" s="715">
        <f>MY2+1</f>
        <v>44879</v>
      </c>
      <c r="NB2" s="703">
        <f t="shared" ref="NB2" si="235">NA2+1</f>
        <v>44880</v>
      </c>
      <c r="NC2" s="703">
        <f t="shared" ref="NC2" si="236">NB2+1</f>
        <v>44881</v>
      </c>
      <c r="ND2" s="703">
        <f t="shared" ref="ND2" si="237">NC2+1</f>
        <v>44882</v>
      </c>
      <c r="NE2" s="703">
        <f t="shared" ref="NE2" si="238">ND2+1</f>
        <v>44883</v>
      </c>
      <c r="NF2" s="703">
        <f t="shared" ref="NF2" si="239">NE2+1</f>
        <v>44884</v>
      </c>
      <c r="NG2" s="704">
        <f t="shared" ref="NG2" si="240">NF2+1</f>
        <v>44885</v>
      </c>
      <c r="NH2" s="714"/>
      <c r="NI2" s="715">
        <f>NG2+1</f>
        <v>44886</v>
      </c>
      <c r="NJ2" s="703">
        <f t="shared" ref="NJ2" si="241">NI2+1</f>
        <v>44887</v>
      </c>
      <c r="NK2" s="703">
        <f t="shared" ref="NK2" si="242">NJ2+1</f>
        <v>44888</v>
      </c>
      <c r="NL2" s="703">
        <f t="shared" ref="NL2" si="243">NK2+1</f>
        <v>44889</v>
      </c>
      <c r="NM2" s="703">
        <f t="shared" ref="NM2" si="244">NL2+1</f>
        <v>44890</v>
      </c>
      <c r="NN2" s="703">
        <f t="shared" ref="NN2" si="245">NM2+1</f>
        <v>44891</v>
      </c>
      <c r="NO2" s="704">
        <f t="shared" ref="NO2" si="246">NN2+1</f>
        <v>44892</v>
      </c>
      <c r="NP2" s="714"/>
      <c r="NQ2" s="715">
        <f>NO2+1</f>
        <v>44893</v>
      </c>
      <c r="NR2" s="703">
        <f t="shared" ref="NR2" si="247">NQ2+1</f>
        <v>44894</v>
      </c>
      <c r="NS2" s="703">
        <f t="shared" ref="NS2" si="248">NR2+1</f>
        <v>44895</v>
      </c>
      <c r="NT2" s="703">
        <f t="shared" ref="NT2" si="249">NS2+1</f>
        <v>44896</v>
      </c>
      <c r="NU2" s="703">
        <f t="shared" ref="NU2" si="250">NT2+1</f>
        <v>44897</v>
      </c>
      <c r="NV2" s="703">
        <f t="shared" ref="NV2" si="251">NU2+1</f>
        <v>44898</v>
      </c>
      <c r="NW2" s="704">
        <f t="shared" ref="NW2" si="252">NV2+1</f>
        <v>44899</v>
      </c>
      <c r="NX2" s="714"/>
      <c r="NY2" s="715">
        <f>NW2+1</f>
        <v>44900</v>
      </c>
      <c r="NZ2" s="703">
        <f t="shared" ref="NZ2" si="253">NY2+1</f>
        <v>44901</v>
      </c>
      <c r="OA2" s="703">
        <f t="shared" ref="OA2" si="254">NZ2+1</f>
        <v>44902</v>
      </c>
      <c r="OB2" s="703">
        <f t="shared" ref="OB2" si="255">OA2+1</f>
        <v>44903</v>
      </c>
      <c r="OC2" s="703">
        <f t="shared" ref="OC2" si="256">OB2+1</f>
        <v>44904</v>
      </c>
      <c r="OD2" s="703">
        <f t="shared" ref="OD2" si="257">OC2+1</f>
        <v>44905</v>
      </c>
      <c r="OE2" s="704">
        <f t="shared" ref="OE2" si="258">OD2+1</f>
        <v>44906</v>
      </c>
      <c r="OF2" s="714"/>
      <c r="OG2" s="715">
        <f>OE2+1</f>
        <v>44907</v>
      </c>
      <c r="OH2" s="703">
        <f t="shared" ref="OH2" si="259">OG2+1</f>
        <v>44908</v>
      </c>
      <c r="OI2" s="703">
        <f t="shared" ref="OI2" si="260">OH2+1</f>
        <v>44909</v>
      </c>
      <c r="OJ2" s="703">
        <f t="shared" ref="OJ2" si="261">OI2+1</f>
        <v>44910</v>
      </c>
      <c r="OK2" s="703">
        <f t="shared" ref="OK2" si="262">OJ2+1</f>
        <v>44911</v>
      </c>
      <c r="OL2" s="703">
        <f t="shared" ref="OL2" si="263">OK2+1</f>
        <v>44912</v>
      </c>
      <c r="OM2" s="704">
        <f t="shared" ref="OM2" si="264">OL2+1</f>
        <v>44913</v>
      </c>
      <c r="ON2" s="714"/>
      <c r="OO2" s="715">
        <f>OM2+1</f>
        <v>44914</v>
      </c>
      <c r="OP2" s="703">
        <f t="shared" ref="OP2" si="265">OO2+1</f>
        <v>44915</v>
      </c>
      <c r="OQ2" s="703">
        <f t="shared" ref="OQ2" si="266">OP2+1</f>
        <v>44916</v>
      </c>
      <c r="OR2" s="703">
        <f t="shared" ref="OR2" si="267">OQ2+1</f>
        <v>44917</v>
      </c>
      <c r="OS2" s="703">
        <f t="shared" ref="OS2" si="268">OR2+1</f>
        <v>44918</v>
      </c>
      <c r="OT2" s="703">
        <f t="shared" ref="OT2" si="269">OS2+1</f>
        <v>44919</v>
      </c>
      <c r="OU2" s="704">
        <f t="shared" ref="OU2" si="270">OT2+1</f>
        <v>44920</v>
      </c>
      <c r="OV2" s="714"/>
      <c r="OW2" s="715">
        <f>OU2+1</f>
        <v>44921</v>
      </c>
      <c r="OX2" s="703">
        <f t="shared" ref="OX2" si="271">OW2+1</f>
        <v>44922</v>
      </c>
      <c r="OY2" s="703">
        <f t="shared" ref="OY2" si="272">OX2+1</f>
        <v>44923</v>
      </c>
      <c r="OZ2" s="703">
        <f t="shared" ref="OZ2" si="273">OY2+1</f>
        <v>44924</v>
      </c>
      <c r="PA2" s="703">
        <f t="shared" ref="PA2" si="274">OZ2+1</f>
        <v>44925</v>
      </c>
      <c r="PB2" s="703">
        <f t="shared" ref="PB2" si="275">PA2+1</f>
        <v>44926</v>
      </c>
      <c r="PC2" s="704">
        <f t="shared" ref="PC2" si="276">PB2+1</f>
        <v>44927</v>
      </c>
    </row>
    <row r="3" spans="2:420" s="710" customFormat="1" ht="15" thickBot="1" x14ac:dyDescent="0.35">
      <c r="C3" s="85"/>
      <c r="D3" s="705"/>
      <c r="E3" s="706" t="s">
        <v>113</v>
      </c>
      <c r="F3" s="706" t="s">
        <v>114</v>
      </c>
      <c r="G3" s="706" t="s">
        <v>115</v>
      </c>
      <c r="H3" s="706" t="s">
        <v>116</v>
      </c>
      <c r="I3" s="706" t="s">
        <v>117</v>
      </c>
      <c r="J3" s="706" t="s">
        <v>118</v>
      </c>
      <c r="K3" s="707" t="s">
        <v>119</v>
      </c>
      <c r="L3" s="705"/>
      <c r="M3" s="706" t="s">
        <v>113</v>
      </c>
      <c r="N3" s="706" t="s">
        <v>114</v>
      </c>
      <c r="O3" s="706" t="s">
        <v>115</v>
      </c>
      <c r="P3" s="706" t="s">
        <v>116</v>
      </c>
      <c r="Q3" s="706" t="s">
        <v>117</v>
      </c>
      <c r="R3" s="706" t="s">
        <v>118</v>
      </c>
      <c r="S3" s="707" t="s">
        <v>119</v>
      </c>
      <c r="T3" s="705"/>
      <c r="U3" s="706" t="s">
        <v>113</v>
      </c>
      <c r="V3" s="706" t="s">
        <v>114</v>
      </c>
      <c r="W3" s="706" t="s">
        <v>115</v>
      </c>
      <c r="X3" s="706" t="s">
        <v>116</v>
      </c>
      <c r="Y3" s="706" t="s">
        <v>117</v>
      </c>
      <c r="Z3" s="706" t="s">
        <v>118</v>
      </c>
      <c r="AA3" s="707" t="s">
        <v>119</v>
      </c>
      <c r="AB3" s="705"/>
      <c r="AC3" s="706" t="s">
        <v>113</v>
      </c>
      <c r="AD3" s="706" t="s">
        <v>114</v>
      </c>
      <c r="AE3" s="706" t="s">
        <v>115</v>
      </c>
      <c r="AF3" s="706" t="s">
        <v>116</v>
      </c>
      <c r="AG3" s="706" t="s">
        <v>117</v>
      </c>
      <c r="AH3" s="706" t="s">
        <v>118</v>
      </c>
      <c r="AI3" s="707" t="s">
        <v>119</v>
      </c>
      <c r="AJ3" s="705"/>
      <c r="AK3" s="706" t="s">
        <v>113</v>
      </c>
      <c r="AL3" s="706" t="s">
        <v>114</v>
      </c>
      <c r="AM3" s="706" t="s">
        <v>115</v>
      </c>
      <c r="AN3" s="706" t="s">
        <v>116</v>
      </c>
      <c r="AO3" s="706" t="s">
        <v>117</v>
      </c>
      <c r="AP3" s="706" t="s">
        <v>118</v>
      </c>
      <c r="AQ3" s="707" t="s">
        <v>119</v>
      </c>
      <c r="AR3" s="705"/>
      <c r="AS3" s="706" t="s">
        <v>113</v>
      </c>
      <c r="AT3" s="706" t="s">
        <v>114</v>
      </c>
      <c r="AU3" s="706" t="s">
        <v>115</v>
      </c>
      <c r="AV3" s="706" t="s">
        <v>116</v>
      </c>
      <c r="AW3" s="706" t="s">
        <v>117</v>
      </c>
      <c r="AX3" s="706" t="s">
        <v>118</v>
      </c>
      <c r="AY3" s="707" t="s">
        <v>119</v>
      </c>
      <c r="AZ3" s="705"/>
      <c r="BA3" s="706" t="s">
        <v>113</v>
      </c>
      <c r="BB3" s="706" t="s">
        <v>114</v>
      </c>
      <c r="BC3" s="706" t="s">
        <v>115</v>
      </c>
      <c r="BD3" s="706" t="s">
        <v>116</v>
      </c>
      <c r="BE3" s="706" t="s">
        <v>117</v>
      </c>
      <c r="BF3" s="706" t="s">
        <v>118</v>
      </c>
      <c r="BG3" s="707" t="s">
        <v>119</v>
      </c>
      <c r="BH3" s="705"/>
      <c r="BI3" s="706" t="s">
        <v>113</v>
      </c>
      <c r="BJ3" s="706" t="s">
        <v>114</v>
      </c>
      <c r="BK3" s="706" t="s">
        <v>115</v>
      </c>
      <c r="BL3" s="706" t="s">
        <v>116</v>
      </c>
      <c r="BM3" s="706" t="s">
        <v>117</v>
      </c>
      <c r="BN3" s="706" t="s">
        <v>118</v>
      </c>
      <c r="BO3" s="707" t="s">
        <v>119</v>
      </c>
      <c r="BP3" s="705"/>
      <c r="BQ3" s="706" t="s">
        <v>113</v>
      </c>
      <c r="BR3" s="706" t="s">
        <v>114</v>
      </c>
      <c r="BS3" s="706" t="s">
        <v>115</v>
      </c>
      <c r="BT3" s="706" t="s">
        <v>116</v>
      </c>
      <c r="BU3" s="706" t="s">
        <v>117</v>
      </c>
      <c r="BV3" s="706" t="s">
        <v>118</v>
      </c>
      <c r="BW3" s="707" t="s">
        <v>119</v>
      </c>
      <c r="BX3" s="705"/>
      <c r="BY3" s="706" t="s">
        <v>113</v>
      </c>
      <c r="BZ3" s="706" t="s">
        <v>114</v>
      </c>
      <c r="CA3" s="706" t="s">
        <v>115</v>
      </c>
      <c r="CB3" s="706" t="s">
        <v>116</v>
      </c>
      <c r="CC3" s="706" t="s">
        <v>117</v>
      </c>
      <c r="CD3" s="706" t="s">
        <v>118</v>
      </c>
      <c r="CE3" s="707" t="s">
        <v>119</v>
      </c>
      <c r="CF3" s="705"/>
      <c r="CG3" s="706" t="s">
        <v>113</v>
      </c>
      <c r="CH3" s="706" t="s">
        <v>114</v>
      </c>
      <c r="CI3" s="706" t="s">
        <v>115</v>
      </c>
      <c r="CJ3" s="706" t="s">
        <v>116</v>
      </c>
      <c r="CK3" s="706" t="s">
        <v>117</v>
      </c>
      <c r="CL3" s="706" t="s">
        <v>118</v>
      </c>
      <c r="CM3" s="707" t="s">
        <v>119</v>
      </c>
      <c r="CN3" s="705"/>
      <c r="CO3" s="706" t="s">
        <v>113</v>
      </c>
      <c r="CP3" s="706" t="s">
        <v>114</v>
      </c>
      <c r="CQ3" s="706" t="s">
        <v>115</v>
      </c>
      <c r="CR3" s="706" t="s">
        <v>116</v>
      </c>
      <c r="CS3" s="706" t="s">
        <v>117</v>
      </c>
      <c r="CT3" s="706" t="s">
        <v>118</v>
      </c>
      <c r="CU3" s="707" t="s">
        <v>119</v>
      </c>
      <c r="CV3" s="705"/>
      <c r="CW3" s="706" t="s">
        <v>113</v>
      </c>
      <c r="CX3" s="706" t="s">
        <v>114</v>
      </c>
      <c r="CY3" s="706" t="s">
        <v>115</v>
      </c>
      <c r="CZ3" s="706" t="s">
        <v>116</v>
      </c>
      <c r="DA3" s="706" t="s">
        <v>117</v>
      </c>
      <c r="DB3" s="706" t="s">
        <v>118</v>
      </c>
      <c r="DC3" s="707" t="s">
        <v>119</v>
      </c>
      <c r="DD3" s="705"/>
      <c r="DE3" s="706" t="s">
        <v>113</v>
      </c>
      <c r="DF3" s="706" t="s">
        <v>114</v>
      </c>
      <c r="DG3" s="706" t="s">
        <v>115</v>
      </c>
      <c r="DH3" s="706" t="s">
        <v>116</v>
      </c>
      <c r="DI3" s="706" t="s">
        <v>117</v>
      </c>
      <c r="DJ3" s="706" t="s">
        <v>118</v>
      </c>
      <c r="DK3" s="707" t="s">
        <v>119</v>
      </c>
      <c r="DL3" s="705"/>
      <c r="DM3" s="706" t="s">
        <v>113</v>
      </c>
      <c r="DN3" s="706" t="s">
        <v>114</v>
      </c>
      <c r="DO3" s="706" t="s">
        <v>115</v>
      </c>
      <c r="DP3" s="706" t="s">
        <v>116</v>
      </c>
      <c r="DQ3" s="706" t="s">
        <v>117</v>
      </c>
      <c r="DR3" s="706" t="s">
        <v>118</v>
      </c>
      <c r="DS3" s="707" t="s">
        <v>119</v>
      </c>
      <c r="DT3" s="705"/>
      <c r="DU3" s="706" t="s">
        <v>113</v>
      </c>
      <c r="DV3" s="706" t="s">
        <v>114</v>
      </c>
      <c r="DW3" s="706" t="s">
        <v>115</v>
      </c>
      <c r="DX3" s="706" t="s">
        <v>116</v>
      </c>
      <c r="DY3" s="706" t="s">
        <v>117</v>
      </c>
      <c r="DZ3" s="706" t="s">
        <v>118</v>
      </c>
      <c r="EA3" s="707" t="s">
        <v>119</v>
      </c>
      <c r="EB3" s="705"/>
      <c r="EC3" s="706" t="s">
        <v>113</v>
      </c>
      <c r="ED3" s="706" t="s">
        <v>114</v>
      </c>
      <c r="EE3" s="706" t="s">
        <v>115</v>
      </c>
      <c r="EF3" s="706" t="s">
        <v>116</v>
      </c>
      <c r="EG3" s="706" t="s">
        <v>117</v>
      </c>
      <c r="EH3" s="706" t="s">
        <v>118</v>
      </c>
      <c r="EI3" s="707" t="s">
        <v>119</v>
      </c>
      <c r="EJ3" s="705"/>
      <c r="EK3" s="706" t="s">
        <v>113</v>
      </c>
      <c r="EL3" s="706" t="s">
        <v>114</v>
      </c>
      <c r="EM3" s="706" t="s">
        <v>115</v>
      </c>
      <c r="EN3" s="706" t="s">
        <v>116</v>
      </c>
      <c r="EO3" s="706" t="s">
        <v>117</v>
      </c>
      <c r="EP3" s="706" t="s">
        <v>118</v>
      </c>
      <c r="EQ3" s="707" t="s">
        <v>119</v>
      </c>
      <c r="ER3" s="705"/>
      <c r="ES3" s="706" t="s">
        <v>113</v>
      </c>
      <c r="ET3" s="706" t="s">
        <v>114</v>
      </c>
      <c r="EU3" s="706" t="s">
        <v>115</v>
      </c>
      <c r="EV3" s="706" t="s">
        <v>116</v>
      </c>
      <c r="EW3" s="706" t="s">
        <v>117</v>
      </c>
      <c r="EX3" s="706" t="s">
        <v>118</v>
      </c>
      <c r="EY3" s="707" t="s">
        <v>119</v>
      </c>
      <c r="EZ3" s="705"/>
      <c r="FA3" s="706" t="s">
        <v>113</v>
      </c>
      <c r="FB3" s="706" t="s">
        <v>114</v>
      </c>
      <c r="FC3" s="706" t="s">
        <v>115</v>
      </c>
      <c r="FD3" s="706" t="s">
        <v>116</v>
      </c>
      <c r="FE3" s="706" t="s">
        <v>117</v>
      </c>
      <c r="FF3" s="706" t="s">
        <v>118</v>
      </c>
      <c r="FG3" s="707" t="s">
        <v>119</v>
      </c>
      <c r="FH3" s="705"/>
      <c r="FI3" s="706" t="s">
        <v>113</v>
      </c>
      <c r="FJ3" s="706" t="s">
        <v>114</v>
      </c>
      <c r="FK3" s="706" t="s">
        <v>115</v>
      </c>
      <c r="FL3" s="706" t="s">
        <v>116</v>
      </c>
      <c r="FM3" s="706" t="s">
        <v>117</v>
      </c>
      <c r="FN3" s="706" t="s">
        <v>118</v>
      </c>
      <c r="FO3" s="707" t="s">
        <v>119</v>
      </c>
      <c r="FP3" s="705"/>
      <c r="FQ3" s="706" t="s">
        <v>113</v>
      </c>
      <c r="FR3" s="706" t="s">
        <v>114</v>
      </c>
      <c r="FS3" s="706" t="s">
        <v>115</v>
      </c>
      <c r="FT3" s="706" t="s">
        <v>116</v>
      </c>
      <c r="FU3" s="706" t="s">
        <v>117</v>
      </c>
      <c r="FV3" s="706" t="s">
        <v>118</v>
      </c>
      <c r="FW3" s="707" t="s">
        <v>119</v>
      </c>
      <c r="FX3" s="705"/>
      <c r="FY3" s="706" t="s">
        <v>113</v>
      </c>
      <c r="FZ3" s="706" t="s">
        <v>114</v>
      </c>
      <c r="GA3" s="706" t="s">
        <v>115</v>
      </c>
      <c r="GB3" s="706" t="s">
        <v>116</v>
      </c>
      <c r="GC3" s="706" t="s">
        <v>117</v>
      </c>
      <c r="GD3" s="706" t="s">
        <v>118</v>
      </c>
      <c r="GE3" s="707" t="s">
        <v>119</v>
      </c>
      <c r="GF3" s="705"/>
      <c r="GG3" s="706" t="s">
        <v>113</v>
      </c>
      <c r="GH3" s="706" t="s">
        <v>114</v>
      </c>
      <c r="GI3" s="706" t="s">
        <v>115</v>
      </c>
      <c r="GJ3" s="706" t="s">
        <v>116</v>
      </c>
      <c r="GK3" s="706" t="s">
        <v>117</v>
      </c>
      <c r="GL3" s="706" t="s">
        <v>118</v>
      </c>
      <c r="GM3" s="707" t="s">
        <v>119</v>
      </c>
      <c r="GN3" s="705"/>
      <c r="GO3" s="706" t="s">
        <v>113</v>
      </c>
      <c r="GP3" s="706" t="s">
        <v>114</v>
      </c>
      <c r="GQ3" s="706" t="s">
        <v>115</v>
      </c>
      <c r="GR3" s="706" t="s">
        <v>116</v>
      </c>
      <c r="GS3" s="706" t="s">
        <v>117</v>
      </c>
      <c r="GT3" s="706" t="s">
        <v>118</v>
      </c>
      <c r="GU3" s="707" t="s">
        <v>119</v>
      </c>
      <c r="GV3" s="705"/>
      <c r="GW3" s="706" t="s">
        <v>113</v>
      </c>
      <c r="GX3" s="706" t="s">
        <v>114</v>
      </c>
      <c r="GY3" s="706" t="s">
        <v>115</v>
      </c>
      <c r="GZ3" s="706" t="s">
        <v>116</v>
      </c>
      <c r="HA3" s="706" t="s">
        <v>117</v>
      </c>
      <c r="HB3" s="706" t="s">
        <v>118</v>
      </c>
      <c r="HC3" s="707" t="s">
        <v>119</v>
      </c>
      <c r="HD3" s="705"/>
      <c r="HE3" s="706" t="s">
        <v>113</v>
      </c>
      <c r="HF3" s="706" t="s">
        <v>114</v>
      </c>
      <c r="HG3" s="706" t="s">
        <v>115</v>
      </c>
      <c r="HH3" s="706" t="s">
        <v>116</v>
      </c>
      <c r="HI3" s="706" t="s">
        <v>117</v>
      </c>
      <c r="HJ3" s="706" t="s">
        <v>118</v>
      </c>
      <c r="HK3" s="707" t="s">
        <v>119</v>
      </c>
      <c r="HL3" s="705"/>
      <c r="HM3" s="706" t="s">
        <v>113</v>
      </c>
      <c r="HN3" s="706" t="s">
        <v>114</v>
      </c>
      <c r="HO3" s="706" t="s">
        <v>115</v>
      </c>
      <c r="HP3" s="706" t="s">
        <v>116</v>
      </c>
      <c r="HQ3" s="706" t="s">
        <v>117</v>
      </c>
      <c r="HR3" s="706" t="s">
        <v>118</v>
      </c>
      <c r="HS3" s="707" t="s">
        <v>119</v>
      </c>
      <c r="HT3" s="705"/>
      <c r="HU3" s="706" t="s">
        <v>113</v>
      </c>
      <c r="HV3" s="706" t="s">
        <v>114</v>
      </c>
      <c r="HW3" s="706" t="s">
        <v>115</v>
      </c>
      <c r="HX3" s="706" t="s">
        <v>116</v>
      </c>
      <c r="HY3" s="706" t="s">
        <v>117</v>
      </c>
      <c r="HZ3" s="706" t="s">
        <v>118</v>
      </c>
      <c r="IA3" s="707" t="s">
        <v>119</v>
      </c>
      <c r="IB3" s="705"/>
      <c r="IC3" s="706" t="s">
        <v>113</v>
      </c>
      <c r="ID3" s="706" t="s">
        <v>114</v>
      </c>
      <c r="IE3" s="706" t="s">
        <v>115</v>
      </c>
      <c r="IF3" s="706" t="s">
        <v>116</v>
      </c>
      <c r="IG3" s="706" t="s">
        <v>117</v>
      </c>
      <c r="IH3" s="706" t="s">
        <v>118</v>
      </c>
      <c r="II3" s="707" t="s">
        <v>119</v>
      </c>
      <c r="IJ3" s="705"/>
      <c r="IK3" s="706" t="s">
        <v>113</v>
      </c>
      <c r="IL3" s="706" t="s">
        <v>114</v>
      </c>
      <c r="IM3" s="706" t="s">
        <v>115</v>
      </c>
      <c r="IN3" s="706" t="s">
        <v>116</v>
      </c>
      <c r="IO3" s="706" t="s">
        <v>117</v>
      </c>
      <c r="IP3" s="706" t="s">
        <v>118</v>
      </c>
      <c r="IQ3" s="707" t="s">
        <v>119</v>
      </c>
      <c r="IR3" s="705"/>
      <c r="IS3" s="706" t="s">
        <v>113</v>
      </c>
      <c r="IT3" s="706" t="s">
        <v>114</v>
      </c>
      <c r="IU3" s="706" t="s">
        <v>115</v>
      </c>
      <c r="IV3" s="706" t="s">
        <v>116</v>
      </c>
      <c r="IW3" s="706" t="s">
        <v>117</v>
      </c>
      <c r="IX3" s="706" t="s">
        <v>118</v>
      </c>
      <c r="IY3" s="707" t="s">
        <v>119</v>
      </c>
      <c r="IZ3" s="705"/>
      <c r="JA3" s="706" t="s">
        <v>113</v>
      </c>
      <c r="JB3" s="706" t="s">
        <v>114</v>
      </c>
      <c r="JC3" s="706" t="s">
        <v>115</v>
      </c>
      <c r="JD3" s="706" t="s">
        <v>116</v>
      </c>
      <c r="JE3" s="706" t="s">
        <v>117</v>
      </c>
      <c r="JF3" s="706" t="s">
        <v>118</v>
      </c>
      <c r="JG3" s="707" t="s">
        <v>119</v>
      </c>
      <c r="JH3" s="705"/>
      <c r="JI3" s="706" t="s">
        <v>113</v>
      </c>
      <c r="JJ3" s="706" t="s">
        <v>114</v>
      </c>
      <c r="JK3" s="706" t="s">
        <v>115</v>
      </c>
      <c r="JL3" s="706" t="s">
        <v>116</v>
      </c>
      <c r="JM3" s="706" t="s">
        <v>117</v>
      </c>
      <c r="JN3" s="706" t="s">
        <v>118</v>
      </c>
      <c r="JO3" s="707" t="s">
        <v>119</v>
      </c>
      <c r="JP3" s="705"/>
      <c r="JQ3" s="706" t="s">
        <v>113</v>
      </c>
      <c r="JR3" s="706" t="s">
        <v>114</v>
      </c>
      <c r="JS3" s="706" t="s">
        <v>115</v>
      </c>
      <c r="JT3" s="706" t="s">
        <v>116</v>
      </c>
      <c r="JU3" s="706" t="s">
        <v>117</v>
      </c>
      <c r="JV3" s="706" t="s">
        <v>118</v>
      </c>
      <c r="JW3" s="707" t="s">
        <v>119</v>
      </c>
      <c r="JX3" s="705"/>
      <c r="JY3" s="706" t="s">
        <v>113</v>
      </c>
      <c r="JZ3" s="706" t="s">
        <v>114</v>
      </c>
      <c r="KA3" s="706" t="s">
        <v>115</v>
      </c>
      <c r="KB3" s="706" t="s">
        <v>116</v>
      </c>
      <c r="KC3" s="706" t="s">
        <v>117</v>
      </c>
      <c r="KD3" s="706" t="s">
        <v>118</v>
      </c>
      <c r="KE3" s="707" t="s">
        <v>119</v>
      </c>
      <c r="KF3" s="705"/>
      <c r="KG3" s="706" t="s">
        <v>113</v>
      </c>
      <c r="KH3" s="706" t="s">
        <v>114</v>
      </c>
      <c r="KI3" s="706" t="s">
        <v>115</v>
      </c>
      <c r="KJ3" s="706" t="s">
        <v>116</v>
      </c>
      <c r="KK3" s="706" t="s">
        <v>117</v>
      </c>
      <c r="KL3" s="706" t="s">
        <v>118</v>
      </c>
      <c r="KM3" s="707" t="s">
        <v>119</v>
      </c>
      <c r="KN3" s="705"/>
      <c r="KO3" s="706" t="s">
        <v>113</v>
      </c>
      <c r="KP3" s="706" t="s">
        <v>114</v>
      </c>
      <c r="KQ3" s="706" t="s">
        <v>115</v>
      </c>
      <c r="KR3" s="706" t="s">
        <v>116</v>
      </c>
      <c r="KS3" s="706" t="s">
        <v>117</v>
      </c>
      <c r="KT3" s="706" t="s">
        <v>118</v>
      </c>
      <c r="KU3" s="707" t="s">
        <v>119</v>
      </c>
      <c r="KV3" s="705"/>
      <c r="KW3" s="706" t="s">
        <v>113</v>
      </c>
      <c r="KX3" s="706" t="s">
        <v>114</v>
      </c>
      <c r="KY3" s="706" t="s">
        <v>115</v>
      </c>
      <c r="KZ3" s="706" t="s">
        <v>116</v>
      </c>
      <c r="LA3" s="706" t="s">
        <v>117</v>
      </c>
      <c r="LB3" s="706" t="s">
        <v>118</v>
      </c>
      <c r="LC3" s="707" t="s">
        <v>119</v>
      </c>
      <c r="LD3" s="705"/>
      <c r="LE3" s="706" t="s">
        <v>113</v>
      </c>
      <c r="LF3" s="706" t="s">
        <v>114</v>
      </c>
      <c r="LG3" s="706" t="s">
        <v>115</v>
      </c>
      <c r="LH3" s="706" t="s">
        <v>116</v>
      </c>
      <c r="LI3" s="706" t="s">
        <v>117</v>
      </c>
      <c r="LJ3" s="706" t="s">
        <v>118</v>
      </c>
      <c r="LK3" s="707" t="s">
        <v>119</v>
      </c>
      <c r="LL3" s="705"/>
      <c r="LM3" s="706" t="s">
        <v>113</v>
      </c>
      <c r="LN3" s="706" t="s">
        <v>114</v>
      </c>
      <c r="LO3" s="706" t="s">
        <v>115</v>
      </c>
      <c r="LP3" s="706" t="s">
        <v>116</v>
      </c>
      <c r="LQ3" s="706" t="s">
        <v>117</v>
      </c>
      <c r="LR3" s="706" t="s">
        <v>118</v>
      </c>
      <c r="LS3" s="707" t="s">
        <v>119</v>
      </c>
      <c r="LT3" s="705"/>
      <c r="LU3" s="706" t="s">
        <v>113</v>
      </c>
      <c r="LV3" s="706" t="s">
        <v>114</v>
      </c>
      <c r="LW3" s="706" t="s">
        <v>115</v>
      </c>
      <c r="LX3" s="706" t="s">
        <v>116</v>
      </c>
      <c r="LY3" s="706" t="s">
        <v>117</v>
      </c>
      <c r="LZ3" s="706" t="s">
        <v>118</v>
      </c>
      <c r="MA3" s="707" t="s">
        <v>119</v>
      </c>
      <c r="MB3" s="705"/>
      <c r="MC3" s="706" t="s">
        <v>113</v>
      </c>
      <c r="MD3" s="706" t="s">
        <v>114</v>
      </c>
      <c r="ME3" s="706" t="s">
        <v>115</v>
      </c>
      <c r="MF3" s="706" t="s">
        <v>116</v>
      </c>
      <c r="MG3" s="706" t="s">
        <v>117</v>
      </c>
      <c r="MH3" s="706" t="s">
        <v>118</v>
      </c>
      <c r="MI3" s="707" t="s">
        <v>119</v>
      </c>
      <c r="MJ3" s="705"/>
      <c r="MK3" s="706" t="s">
        <v>113</v>
      </c>
      <c r="ML3" s="706" t="s">
        <v>114</v>
      </c>
      <c r="MM3" s="706" t="s">
        <v>115</v>
      </c>
      <c r="MN3" s="706" t="s">
        <v>116</v>
      </c>
      <c r="MO3" s="706" t="s">
        <v>117</v>
      </c>
      <c r="MP3" s="706" t="s">
        <v>118</v>
      </c>
      <c r="MQ3" s="707" t="s">
        <v>119</v>
      </c>
      <c r="MR3" s="705"/>
      <c r="MS3" s="706" t="s">
        <v>113</v>
      </c>
      <c r="MT3" s="706" t="s">
        <v>114</v>
      </c>
      <c r="MU3" s="706" t="s">
        <v>115</v>
      </c>
      <c r="MV3" s="706" t="s">
        <v>116</v>
      </c>
      <c r="MW3" s="706" t="s">
        <v>117</v>
      </c>
      <c r="MX3" s="706" t="s">
        <v>118</v>
      </c>
      <c r="MY3" s="707" t="s">
        <v>119</v>
      </c>
      <c r="MZ3" s="705"/>
      <c r="NA3" s="706" t="s">
        <v>113</v>
      </c>
      <c r="NB3" s="706" t="s">
        <v>114</v>
      </c>
      <c r="NC3" s="706" t="s">
        <v>115</v>
      </c>
      <c r="ND3" s="706" t="s">
        <v>116</v>
      </c>
      <c r="NE3" s="706" t="s">
        <v>117</v>
      </c>
      <c r="NF3" s="706" t="s">
        <v>118</v>
      </c>
      <c r="NG3" s="707" t="s">
        <v>119</v>
      </c>
      <c r="NH3" s="705"/>
      <c r="NI3" s="706" t="s">
        <v>113</v>
      </c>
      <c r="NJ3" s="706" t="s">
        <v>114</v>
      </c>
      <c r="NK3" s="706" t="s">
        <v>115</v>
      </c>
      <c r="NL3" s="706" t="s">
        <v>116</v>
      </c>
      <c r="NM3" s="706" t="s">
        <v>117</v>
      </c>
      <c r="NN3" s="706" t="s">
        <v>118</v>
      </c>
      <c r="NO3" s="707" t="s">
        <v>119</v>
      </c>
      <c r="NP3" s="705"/>
      <c r="NQ3" s="706" t="s">
        <v>113</v>
      </c>
      <c r="NR3" s="706" t="s">
        <v>114</v>
      </c>
      <c r="NS3" s="706" t="s">
        <v>115</v>
      </c>
      <c r="NT3" s="706" t="s">
        <v>116</v>
      </c>
      <c r="NU3" s="706" t="s">
        <v>117</v>
      </c>
      <c r="NV3" s="706" t="s">
        <v>118</v>
      </c>
      <c r="NW3" s="707" t="s">
        <v>119</v>
      </c>
      <c r="NX3" s="705"/>
      <c r="NY3" s="706" t="s">
        <v>113</v>
      </c>
      <c r="NZ3" s="706" t="s">
        <v>114</v>
      </c>
      <c r="OA3" s="706" t="s">
        <v>115</v>
      </c>
      <c r="OB3" s="706" t="s">
        <v>116</v>
      </c>
      <c r="OC3" s="706" t="s">
        <v>117</v>
      </c>
      <c r="OD3" s="706" t="s">
        <v>118</v>
      </c>
      <c r="OE3" s="707" t="s">
        <v>119</v>
      </c>
      <c r="OF3" s="705"/>
      <c r="OG3" s="706" t="s">
        <v>113</v>
      </c>
      <c r="OH3" s="706" t="s">
        <v>114</v>
      </c>
      <c r="OI3" s="706" t="s">
        <v>115</v>
      </c>
      <c r="OJ3" s="706" t="s">
        <v>116</v>
      </c>
      <c r="OK3" s="706" t="s">
        <v>117</v>
      </c>
      <c r="OL3" s="706" t="s">
        <v>118</v>
      </c>
      <c r="OM3" s="707" t="s">
        <v>119</v>
      </c>
      <c r="ON3" s="705"/>
      <c r="OO3" s="706" t="s">
        <v>113</v>
      </c>
      <c r="OP3" s="706" t="s">
        <v>114</v>
      </c>
      <c r="OQ3" s="706" t="s">
        <v>115</v>
      </c>
      <c r="OR3" s="706" t="s">
        <v>116</v>
      </c>
      <c r="OS3" s="706" t="s">
        <v>117</v>
      </c>
      <c r="OT3" s="706" t="s">
        <v>118</v>
      </c>
      <c r="OU3" s="707" t="s">
        <v>119</v>
      </c>
      <c r="OV3" s="705"/>
      <c r="OW3" s="706" t="s">
        <v>113</v>
      </c>
      <c r="OX3" s="706" t="s">
        <v>114</v>
      </c>
      <c r="OY3" s="706" t="s">
        <v>115</v>
      </c>
      <c r="OZ3" s="706" t="s">
        <v>116</v>
      </c>
      <c r="PA3" s="706" t="s">
        <v>117</v>
      </c>
      <c r="PB3" s="706" t="s">
        <v>118</v>
      </c>
      <c r="PC3" s="707" t="s">
        <v>119</v>
      </c>
    </row>
    <row r="4" spans="2:420" ht="15" thickBot="1" x14ac:dyDescent="0.35">
      <c r="B4" s="978" t="s">
        <v>208</v>
      </c>
      <c r="C4" s="673" t="s">
        <v>252</v>
      </c>
      <c r="D4" s="688">
        <f>SUM(E4:K4)</f>
        <v>4400</v>
      </c>
      <c r="E4" s="667">
        <f>INDEX(DB!$3:$367,MATCH(E$2,DB!$D$3:$D$367),15)</f>
        <v>700</v>
      </c>
      <c r="F4" s="667">
        <f>INDEX(DB!$3:$367,MATCH(F$2,DB!$D$3:$D$367),15)</f>
        <v>750</v>
      </c>
      <c r="G4" s="667">
        <f>INDEX(DB!$3:$367,MATCH(G$2,DB!$D$3:$D$367),15)</f>
        <v>650</v>
      </c>
      <c r="H4" s="667">
        <f>INDEX(DB!$3:$367,MATCH(H$2,DB!$D$3:$D$367),15)</f>
        <v>500</v>
      </c>
      <c r="I4" s="667">
        <f>INDEX(DB!$3:$367,MATCH(I$2,DB!$D$3:$D$367),15)</f>
        <v>900</v>
      </c>
      <c r="J4" s="667">
        <f>INDEX(DB!$3:$367,MATCH(J$2,DB!$D$3:$D$367),15)</f>
        <v>900</v>
      </c>
      <c r="K4" s="660">
        <f>INDEX(DB!$3:$367,MATCH(K$2,DB!$D$3:$D$367),15)</f>
        <v>0</v>
      </c>
      <c r="L4" s="688">
        <f>SUM(M4:S4)</f>
        <v>4050</v>
      </c>
      <c r="M4" s="667">
        <f>INDEX(DB!$3:$367,MATCH(M$2,DB!$D$3:$D$367),15)</f>
        <v>650</v>
      </c>
      <c r="N4" s="667">
        <f>INDEX(DB!$3:$367,MATCH(N$2,DB!$D$3:$D$367),15)</f>
        <v>550</v>
      </c>
      <c r="O4" s="667">
        <f>INDEX(DB!$3:$367,MATCH(O$2,DB!$D$3:$D$367),15)</f>
        <v>550</v>
      </c>
      <c r="P4" s="667">
        <v>500</v>
      </c>
      <c r="Q4" s="667">
        <f>INDEX(DB!$3:$367,MATCH(Q$2,DB!$D$3:$D$367),15)</f>
        <v>900</v>
      </c>
      <c r="R4" s="667">
        <f>INDEX(DB!$3:$367,MATCH(R$2,DB!$D$3:$D$367),15)</f>
        <v>900</v>
      </c>
      <c r="S4" s="660">
        <f>INDEX(DB!$3:$367,MATCH(S$2,DB!$D$3:$D$367),15)</f>
        <v>0</v>
      </c>
      <c r="T4" s="688">
        <f>SUM(U4:AA4)</f>
        <v>4450</v>
      </c>
      <c r="U4" s="667">
        <f>INDEX(DB!$3:$367,MATCH(U$2,DB!$D$3:$D$367),15)</f>
        <v>700</v>
      </c>
      <c r="V4" s="667">
        <f>INDEX(DB!$3:$367,MATCH(V$2,DB!$D$3:$D$367),15)</f>
        <v>600</v>
      </c>
      <c r="W4" s="667">
        <f>INDEX(DB!$3:$367,MATCH(W$2,DB!$D$3:$D$367),15)</f>
        <v>650</v>
      </c>
      <c r="X4" s="667">
        <f>INDEX(DB!$3:$367,MATCH(X$2,DB!$D$3:$D$367),15)</f>
        <v>600</v>
      </c>
      <c r="Y4" s="667">
        <f>INDEX(DB!$3:$367,MATCH(Y$2,DB!$D$3:$D$367),15)</f>
        <v>950</v>
      </c>
      <c r="Z4" s="667">
        <f>INDEX(DB!$3:$367,MATCH(Z$2,DB!$D$3:$D$367),15)</f>
        <v>950</v>
      </c>
      <c r="AA4" s="660">
        <f>INDEX(DB!$3:$367,MATCH(AA$2,DB!$D$3:$D$367),15)</f>
        <v>0</v>
      </c>
      <c r="AB4" s="688">
        <f>SUM(AC4:AI4)</f>
        <v>4500</v>
      </c>
      <c r="AC4" s="667">
        <f>INDEX(DB!$3:$367,MATCH(AC$2,DB!$D$3:$D$367),15)</f>
        <v>650</v>
      </c>
      <c r="AD4" s="667">
        <f>INDEX(DB!$3:$367,MATCH(AD$2,DB!$D$3:$D$367),15)</f>
        <v>600</v>
      </c>
      <c r="AE4" s="667">
        <f>INDEX(DB!$3:$367,MATCH(AE$2,DB!$D$3:$D$367),15)</f>
        <v>600</v>
      </c>
      <c r="AF4" s="667">
        <v>600</v>
      </c>
      <c r="AG4" s="667">
        <v>1000</v>
      </c>
      <c r="AH4" s="667">
        <f>INDEX(DB!$3:$367,MATCH(AH$2,DB!$D$3:$D$367),15)</f>
        <v>1050</v>
      </c>
      <c r="AI4" s="660">
        <f>INDEX(DB!$3:$367,MATCH(AI$2,DB!$D$3:$D$367),15)</f>
        <v>0</v>
      </c>
      <c r="AJ4" s="688">
        <f>SUM(AK4:AQ4)</f>
        <v>4650</v>
      </c>
      <c r="AK4" s="667">
        <f>INDEX(DB!$3:$367,MATCH(AK$2,DB!$D$3:$D$367),15)</f>
        <v>750</v>
      </c>
      <c r="AL4" s="667">
        <f>INDEX(DB!$3:$367,MATCH(AL$2,DB!$D$3:$D$367),15)</f>
        <v>600</v>
      </c>
      <c r="AM4" s="667">
        <f>INDEX(DB!$3:$367,MATCH(AM$2,DB!$D$3:$D$367),15)</f>
        <v>600</v>
      </c>
      <c r="AN4" s="667">
        <v>600</v>
      </c>
      <c r="AO4" s="667">
        <v>1050</v>
      </c>
      <c r="AP4" s="667">
        <f>INDEX(DB!$3:$367,MATCH(AP$2,DB!$D$3:$D$367),15)</f>
        <v>1050</v>
      </c>
      <c r="AQ4" s="660">
        <f>INDEX(DB!$3:$367,MATCH(AQ$2,DB!$D$3:$D$367),15)</f>
        <v>0</v>
      </c>
      <c r="AR4" s="688">
        <f>SUM(AS4:AY4)</f>
        <v>4450</v>
      </c>
      <c r="AS4" s="667">
        <f>INDEX(DB!$3:$367,MATCH(AS$2,DB!$D$3:$D$367),15)</f>
        <v>750</v>
      </c>
      <c r="AT4" s="667">
        <f>INDEX(DB!$3:$367,MATCH(AT$2,DB!$D$3:$D$367),15)</f>
        <v>550</v>
      </c>
      <c r="AU4" s="667">
        <f>INDEX(DB!$3:$367,MATCH(AU$2,DB!$D$3:$D$367),15)</f>
        <v>600</v>
      </c>
      <c r="AV4" s="667">
        <v>550</v>
      </c>
      <c r="AW4" s="667">
        <f>INDEX(DB!$3:$367,MATCH(AW$2,DB!$D$3:$D$367),15)</f>
        <v>1000</v>
      </c>
      <c r="AX4" s="667">
        <f>INDEX(DB!$3:$367,MATCH(AX$2,DB!$D$3:$D$367),15)</f>
        <v>1000</v>
      </c>
      <c r="AY4" s="660">
        <f>INDEX(DB!$3:$367,MATCH(AY$2,DB!$D$3:$D$367),15)</f>
        <v>0</v>
      </c>
      <c r="AZ4" s="688">
        <f>SUM(BA4:BG4)</f>
        <v>4250</v>
      </c>
      <c r="BA4" s="667">
        <f>INDEX(DB!$3:$367,MATCH(BA$2,DB!$D$3:$D$367),15)</f>
        <v>750</v>
      </c>
      <c r="BB4" s="667">
        <f>INDEX(DB!$3:$367,MATCH(BB$2,DB!$D$3:$D$367),15)</f>
        <v>500</v>
      </c>
      <c r="BC4" s="667">
        <f>INDEX(DB!$3:$367,MATCH(BC$2,DB!$D$3:$D$367),15)</f>
        <v>500</v>
      </c>
      <c r="BD4" s="667">
        <f>INDEX(DB!$3:$367,MATCH(BD$2,DB!$D$3:$D$367),15)</f>
        <v>500</v>
      </c>
      <c r="BE4" s="667">
        <f>INDEX(DB!$3:$367,MATCH(BE$2,DB!$D$3:$D$367),15)</f>
        <v>1000</v>
      </c>
      <c r="BF4" s="667">
        <f>INDEX(DB!$3:$367,MATCH(BF$2,DB!$D$3:$D$367),15)</f>
        <v>1000</v>
      </c>
      <c r="BG4" s="660">
        <f>INDEX(DB!$3:$367,MATCH(BG$2,DB!$D$3:$D$367),15)</f>
        <v>0</v>
      </c>
      <c r="BH4" s="688">
        <f>SUM(BI4:BO4)</f>
        <v>4250</v>
      </c>
      <c r="BI4" s="667">
        <f>INDEX(DB!$3:$367,MATCH(BI$2,DB!$D$3:$D$367),15)</f>
        <v>700</v>
      </c>
      <c r="BJ4" s="667">
        <f>INDEX(DB!$3:$367,MATCH(BJ$2,DB!$D$3:$D$367),15)</f>
        <v>550</v>
      </c>
      <c r="BK4" s="667">
        <f>INDEX(DB!$3:$367,MATCH(BK$2,DB!$D$3:$D$367),15)</f>
        <v>500</v>
      </c>
      <c r="BL4" s="667">
        <f>INDEX(DB!$3:$367,MATCH(BL$2,DB!$D$3:$D$367),15)</f>
        <v>500</v>
      </c>
      <c r="BM4" s="667">
        <f>INDEX(DB!$3:$367,MATCH(BM$2,DB!$D$3:$D$367),15)</f>
        <v>1000</v>
      </c>
      <c r="BN4" s="667">
        <f>INDEX(DB!$3:$367,MATCH(BN$2,DB!$D$3:$D$367),15)</f>
        <v>1000</v>
      </c>
      <c r="BO4" s="660">
        <f>INDEX(DB!$3:$367,MATCH(BO$2,DB!$D$3:$D$367),15)</f>
        <v>0</v>
      </c>
      <c r="BP4" s="688">
        <f>SUM(BQ4:BW4)</f>
        <v>4350</v>
      </c>
      <c r="BQ4" s="667">
        <f>INDEX(DB!$3:$367,MATCH(BQ$2,DB!$D$3:$D$367),15)</f>
        <v>800</v>
      </c>
      <c r="BR4" s="667">
        <f>INDEX(DB!$3:$367,MATCH(BR$2,DB!$D$3:$D$367),15)</f>
        <v>500</v>
      </c>
      <c r="BS4" s="667">
        <f>INDEX(DB!$3:$367,MATCH(BS$2,DB!$D$3:$D$367),15)</f>
        <v>500</v>
      </c>
      <c r="BT4" s="667">
        <f>INDEX(DB!$3:$367,MATCH(BT$2,DB!$D$3:$D$367),15)</f>
        <v>450</v>
      </c>
      <c r="BU4" s="667">
        <f>INDEX(DB!$3:$367,MATCH(BU$2,DB!$D$3:$D$367),15)</f>
        <v>1100</v>
      </c>
      <c r="BV4" s="667">
        <f>INDEX(DB!$3:$367,MATCH(BV$2,DB!$D$3:$D$367),15)</f>
        <v>1000</v>
      </c>
      <c r="BW4" s="660">
        <f>INDEX(DB!$3:$367,MATCH(BW$2,DB!$D$3:$D$367),15)</f>
        <v>0</v>
      </c>
      <c r="BX4" s="688">
        <f>SUM(BY4:CE4)</f>
        <v>4300</v>
      </c>
      <c r="BY4" s="667">
        <f>INDEX(DB!$3:$367,MATCH(BY$2,DB!$D$3:$D$367),15)</f>
        <v>750</v>
      </c>
      <c r="BZ4" s="667">
        <f>INDEX(DB!$3:$367,MATCH(BZ$2,DB!$D$3:$D$367),15)</f>
        <v>500</v>
      </c>
      <c r="CA4" s="667">
        <f>INDEX(DB!$3:$367,MATCH(CA$2,DB!$D$3:$D$367),15)</f>
        <v>500</v>
      </c>
      <c r="CB4" s="667">
        <f>INDEX(DB!$3:$367,MATCH(CB$2,DB!$D$3:$D$367),15)</f>
        <v>450</v>
      </c>
      <c r="CC4" s="667">
        <f>INDEX(DB!$3:$367,MATCH(CC$2,DB!$D$3:$D$367),15)</f>
        <v>1050</v>
      </c>
      <c r="CD4" s="667">
        <f>INDEX(DB!$3:$367,MATCH(CD$2,DB!$D$3:$D$367),15)</f>
        <v>1050</v>
      </c>
      <c r="CE4" s="660">
        <f>INDEX(DB!$3:$367,MATCH(CE$2,DB!$D$3:$D$367),15)</f>
        <v>0</v>
      </c>
      <c r="CF4" s="688">
        <f>SUM(CG4:CM4)</f>
        <v>4110</v>
      </c>
      <c r="CG4" s="667">
        <v>750</v>
      </c>
      <c r="CH4" s="667">
        <v>450</v>
      </c>
      <c r="CI4" s="667">
        <v>450</v>
      </c>
      <c r="CJ4" s="667">
        <v>410</v>
      </c>
      <c r="CK4" s="667">
        <v>1000</v>
      </c>
      <c r="CL4" s="667">
        <v>1050</v>
      </c>
      <c r="CM4" s="660">
        <f>INDEX(DB!$3:$367,MATCH(CM$2,DB!$D$3:$D$367),15)</f>
        <v>0</v>
      </c>
      <c r="CN4" s="688">
        <f>SUM(CO4:CU4)</f>
        <v>4250</v>
      </c>
      <c r="CO4" s="667">
        <v>750</v>
      </c>
      <c r="CP4" s="667">
        <v>500</v>
      </c>
      <c r="CQ4" s="667">
        <v>500</v>
      </c>
      <c r="CR4" s="667">
        <v>450</v>
      </c>
      <c r="CS4" s="667">
        <v>1000</v>
      </c>
      <c r="CT4" s="667">
        <v>1050</v>
      </c>
      <c r="CU4" s="660">
        <f>INDEX(DB!$3:$367,MATCH(CU$2,DB!$D$3:$D$367),15)</f>
        <v>0</v>
      </c>
      <c r="CV4" s="688">
        <f>SUM(CW4:DC4)</f>
        <v>4050</v>
      </c>
      <c r="CW4" s="667">
        <v>700</v>
      </c>
      <c r="CX4" s="667">
        <v>500</v>
      </c>
      <c r="CY4" s="667">
        <v>450</v>
      </c>
      <c r="CZ4" s="667">
        <v>450</v>
      </c>
      <c r="DA4" s="667">
        <v>1000</v>
      </c>
      <c r="DB4" s="667">
        <v>950</v>
      </c>
      <c r="DC4" s="660">
        <f>INDEX(DB!$3:$367,MATCH(DC$2,DB!$D$3:$D$367),15)</f>
        <v>0</v>
      </c>
      <c r="DD4" s="688">
        <f>SUM(DE4:DK4)</f>
        <v>4300</v>
      </c>
      <c r="DE4" s="667">
        <f>INDEX(DB!$3:$367,MATCH(DE$2,DB!$D$3:$D$367),15)</f>
        <v>700</v>
      </c>
      <c r="DF4" s="667">
        <f>INDEX(DB!$3:$367,MATCH(DF$2,DB!$D$3:$D$367),15)</f>
        <v>500</v>
      </c>
      <c r="DG4" s="667">
        <f>INDEX(DB!$3:$367,MATCH(DG$2,DB!$D$3:$D$367),15)</f>
        <v>500</v>
      </c>
      <c r="DH4" s="667">
        <f>INDEX(DB!$3:$367,MATCH(DH$2,DB!$D$3:$D$367),15)</f>
        <v>500</v>
      </c>
      <c r="DI4" s="667">
        <f>INDEX(DB!$3:$367,MATCH(DI$2,DB!$D$3:$D$367),15)</f>
        <v>1100</v>
      </c>
      <c r="DJ4" s="667">
        <f>INDEX(DB!$3:$367,MATCH(DJ$2,DB!$D$3:$D$367),15)</f>
        <v>1000</v>
      </c>
      <c r="DK4" s="660">
        <f>INDEX(DB!$3:$367,MATCH(DK$2,DB!$D$3:$D$367),15)</f>
        <v>0</v>
      </c>
      <c r="DL4" s="688">
        <f>SUM(DM4:DS4)</f>
        <v>4500</v>
      </c>
      <c r="DM4" s="667">
        <v>750</v>
      </c>
      <c r="DN4" s="667">
        <v>550</v>
      </c>
      <c r="DO4" s="667">
        <v>550</v>
      </c>
      <c r="DP4" s="667">
        <v>550</v>
      </c>
      <c r="DQ4" s="667">
        <v>1100</v>
      </c>
      <c r="DR4" s="667">
        <v>1000</v>
      </c>
      <c r="DS4" s="660">
        <f>INDEX(DB!$3:$367,MATCH(DS$2,DB!$D$3:$D$367),15)</f>
        <v>0</v>
      </c>
      <c r="DT4" s="688">
        <f>SUM(DU4:EA4)</f>
        <v>3800</v>
      </c>
      <c r="DU4" s="667">
        <v>0</v>
      </c>
      <c r="DV4" s="667">
        <v>800</v>
      </c>
      <c r="DW4" s="667">
        <v>550</v>
      </c>
      <c r="DX4" s="667">
        <v>550</v>
      </c>
      <c r="DY4" s="667">
        <v>1000</v>
      </c>
      <c r="DZ4" s="667">
        <v>900</v>
      </c>
      <c r="EA4" s="660">
        <f>INDEX(DB!$3:$367,MATCH(EA$2,DB!$D$3:$D$367),15)</f>
        <v>0</v>
      </c>
      <c r="EB4" s="688">
        <f>SUM(EC4:EI4)</f>
        <v>4100</v>
      </c>
      <c r="EC4" s="667">
        <f>INDEX(DB!$3:$367,MATCH(EC$2,DB!$D$3:$D$367),15)</f>
        <v>700</v>
      </c>
      <c r="ED4" s="667">
        <f>INDEX(DB!$3:$367,MATCH(ED$2,DB!$D$3:$D$367),15)</f>
        <v>500</v>
      </c>
      <c r="EE4" s="667">
        <f>INDEX(DB!$3:$367,MATCH(EE$2,DB!$D$3:$D$367),15)</f>
        <v>500</v>
      </c>
      <c r="EF4" s="667">
        <f>INDEX(DB!$3:$367,MATCH(EF$2,DB!$D$3:$D$367),15)</f>
        <v>500</v>
      </c>
      <c r="EG4" s="667">
        <f>INDEX(DB!$3:$367,MATCH(EG$2,DB!$D$3:$D$367),15)</f>
        <v>1000</v>
      </c>
      <c r="EH4" s="667">
        <f>INDEX(DB!$3:$367,MATCH(EH$2,DB!$D$3:$D$367),15)</f>
        <v>900</v>
      </c>
      <c r="EI4" s="660">
        <f>INDEX(DB!$3:$367,MATCH(EI$2,DB!$D$3:$D$367),15)</f>
        <v>0</v>
      </c>
      <c r="EJ4" s="688">
        <f>SUM(EK4:EQ4)</f>
        <v>4350</v>
      </c>
      <c r="EK4" s="667">
        <f>INDEX(DB!$3:$367,MATCH(EK$2,DB!$D$3:$D$367),15)</f>
        <v>700</v>
      </c>
      <c r="EL4" s="667">
        <f>INDEX(DB!$3:$367,MATCH(EL$2,DB!$D$3:$D$367),15)</f>
        <v>500</v>
      </c>
      <c r="EM4" s="667">
        <f>INDEX(DB!$3:$367,MATCH(EM$2,DB!$D$3:$D$367),15)</f>
        <v>550</v>
      </c>
      <c r="EN4" s="667">
        <f>INDEX(DB!$3:$367,MATCH(EN$2,DB!$D$3:$D$367),15)</f>
        <v>500</v>
      </c>
      <c r="EO4" s="667">
        <f>INDEX(DB!$3:$367,MATCH(EO$2,DB!$D$3:$D$367),15)</f>
        <v>1100</v>
      </c>
      <c r="EP4" s="667">
        <f>INDEX(DB!$3:$367,MATCH(EP$2,DB!$D$3:$D$367),15)</f>
        <v>1000</v>
      </c>
      <c r="EQ4" s="660">
        <f>INDEX(DB!$3:$367,MATCH(EQ$2,DB!$D$3:$D$367),15)</f>
        <v>0</v>
      </c>
      <c r="ER4" s="688">
        <f>SUM(ES4:EY4)</f>
        <v>4550</v>
      </c>
      <c r="ES4" s="667">
        <v>750</v>
      </c>
      <c r="ET4" s="667">
        <v>600</v>
      </c>
      <c r="EU4" s="667">
        <v>600</v>
      </c>
      <c r="EV4" s="667">
        <v>550</v>
      </c>
      <c r="EW4" s="667">
        <v>1100</v>
      </c>
      <c r="EX4" s="667">
        <v>950</v>
      </c>
      <c r="EY4" s="660">
        <f>INDEX(DB!$3:$367,MATCH(EY$2,DB!$D$3:$D$367),15)</f>
        <v>0</v>
      </c>
      <c r="EZ4" s="688">
        <f>SUM(FA4:FG4)</f>
        <v>4900</v>
      </c>
      <c r="FA4" s="667">
        <v>800</v>
      </c>
      <c r="FB4" s="667">
        <v>650</v>
      </c>
      <c r="FC4" s="667">
        <v>650</v>
      </c>
      <c r="FD4" s="667">
        <v>650</v>
      </c>
      <c r="FE4" s="667">
        <v>1100</v>
      </c>
      <c r="FF4" s="667">
        <v>1050</v>
      </c>
      <c r="FG4" s="660">
        <f>INDEX(DB!$3:$367,MATCH(FG$2,DB!$D$3:$D$367),15)</f>
        <v>0</v>
      </c>
      <c r="FH4" s="688">
        <f>SUM(FI4:FO4)</f>
        <v>3800</v>
      </c>
      <c r="FI4" s="667">
        <v>700</v>
      </c>
      <c r="FJ4" s="667">
        <v>550</v>
      </c>
      <c r="FK4" s="667">
        <v>600</v>
      </c>
      <c r="FL4" s="667">
        <v>0</v>
      </c>
      <c r="FM4" s="667">
        <v>850</v>
      </c>
      <c r="FN4" s="667">
        <v>1100</v>
      </c>
      <c r="FO4" s="660">
        <f>INDEX(DB!$3:$367,MATCH(FO$2,DB!$D$3:$D$367),15)</f>
        <v>0</v>
      </c>
      <c r="FP4" s="688">
        <f>SUM(FQ4:FW4)</f>
        <v>4650</v>
      </c>
      <c r="FQ4" s="667">
        <v>800</v>
      </c>
      <c r="FR4" s="667">
        <v>650</v>
      </c>
      <c r="FS4" s="667">
        <v>650</v>
      </c>
      <c r="FT4" s="667">
        <v>600</v>
      </c>
      <c r="FU4" s="667">
        <v>1000</v>
      </c>
      <c r="FV4" s="667">
        <v>950</v>
      </c>
      <c r="FW4" s="660">
        <f>INDEX(DB!$3:$367,MATCH(FW$2,DB!$D$3:$D$367),15)</f>
        <v>0</v>
      </c>
      <c r="FX4" s="688">
        <f>SUM(FY4:GE4)</f>
        <v>4450</v>
      </c>
      <c r="FY4" s="667">
        <v>0</v>
      </c>
      <c r="FZ4" s="667">
        <v>800</v>
      </c>
      <c r="GA4" s="667">
        <v>800</v>
      </c>
      <c r="GB4" s="667">
        <v>600</v>
      </c>
      <c r="GC4" s="667">
        <v>1150</v>
      </c>
      <c r="GD4" s="667">
        <v>1100</v>
      </c>
      <c r="GE4" s="660">
        <f>INDEX(DB!$3:$367,MATCH(GE$2,DB!$D$3:$D$367),15)</f>
        <v>0</v>
      </c>
      <c r="GF4" s="688">
        <f>SUM(GG4:GM4)</f>
        <v>4800</v>
      </c>
      <c r="GG4" s="667">
        <v>750</v>
      </c>
      <c r="GH4" s="667">
        <v>650</v>
      </c>
      <c r="GI4" s="667">
        <v>650</v>
      </c>
      <c r="GJ4" s="667">
        <v>600</v>
      </c>
      <c r="GK4" s="667">
        <v>1100</v>
      </c>
      <c r="GL4" s="667">
        <v>1050</v>
      </c>
      <c r="GM4" s="660">
        <f>INDEX(DB!$3:$367,MATCH(GM$2,DB!$D$3:$D$367),15)</f>
        <v>0</v>
      </c>
      <c r="GN4" s="688">
        <f>SUM(GO4:GU4)</f>
        <v>4525</v>
      </c>
      <c r="GO4" s="667">
        <v>500</v>
      </c>
      <c r="GP4" s="667">
        <v>750</v>
      </c>
      <c r="GQ4" s="667">
        <v>600</v>
      </c>
      <c r="GR4" s="667">
        <v>600</v>
      </c>
      <c r="GS4" s="667">
        <v>1075</v>
      </c>
      <c r="GT4" s="667">
        <v>1000</v>
      </c>
      <c r="GU4" s="660">
        <f>INDEX(DB!$3:$367,MATCH(GU$2,DB!$D$3:$D$367),15)</f>
        <v>0</v>
      </c>
      <c r="GV4" s="688">
        <f>SUM(GW4:HC4)</f>
        <v>4475</v>
      </c>
      <c r="GW4" s="667">
        <f>INDEX(DB!$3:$367,MATCH(GW$2,DB!$D$3:$D$367),15)</f>
        <v>675</v>
      </c>
      <c r="GX4" s="667">
        <f>INDEX(DB!$3:$367,MATCH(GX$2,DB!$D$3:$D$367),15)</f>
        <v>600</v>
      </c>
      <c r="GY4" s="667">
        <f>INDEX(DB!$3:$367,MATCH(GY$2,DB!$D$3:$D$367),15)</f>
        <v>600</v>
      </c>
      <c r="GZ4" s="667">
        <f>INDEX(DB!$3:$367,MATCH(GZ$2,DB!$D$3:$D$367),15)</f>
        <v>600</v>
      </c>
      <c r="HA4" s="667">
        <f>INDEX(DB!$3:$367,MATCH(HA$2,DB!$D$3:$D$367),15)</f>
        <v>1050</v>
      </c>
      <c r="HB4" s="667">
        <f>INDEX(DB!$3:$367,MATCH(HB$2,DB!$D$3:$D$367),15)</f>
        <v>950</v>
      </c>
      <c r="HC4" s="660">
        <f>INDEX(DB!$3:$367,MATCH(HC$2,DB!$D$3:$D$367),15)</f>
        <v>0</v>
      </c>
      <c r="HD4" s="688">
        <v>3600</v>
      </c>
      <c r="HE4" s="667">
        <v>550</v>
      </c>
      <c r="HF4" s="667">
        <v>500</v>
      </c>
      <c r="HG4" s="667">
        <v>500</v>
      </c>
      <c r="HH4" s="667">
        <v>450</v>
      </c>
      <c r="HI4" s="667">
        <v>850</v>
      </c>
      <c r="HJ4" s="667">
        <v>750</v>
      </c>
      <c r="HK4" s="660">
        <f>INDEX(DB!$3:$367,MATCH(HK$2,DB!$D$3:$D$367),15)</f>
        <v>0</v>
      </c>
      <c r="HL4" s="688">
        <f>SUM(HM4:HS4)</f>
        <v>3350</v>
      </c>
      <c r="HM4" s="667">
        <f>INDEX(DB!$3:$367,MATCH(HM$2,DB!$D$3:$D$367),15)</f>
        <v>500</v>
      </c>
      <c r="HN4" s="667">
        <f>INDEX(DB!$3:$367,MATCH(HN$2,DB!$D$3:$D$367),15)</f>
        <v>500</v>
      </c>
      <c r="HO4" s="667">
        <f>INDEX(DB!$3:$367,MATCH(HO$2,DB!$D$3:$D$367),15)</f>
        <v>450</v>
      </c>
      <c r="HP4" s="667">
        <f>INDEX(DB!$3:$367,MATCH(HP$2,DB!$D$3:$D$367),15)</f>
        <v>450</v>
      </c>
      <c r="HQ4" s="667">
        <f>INDEX(DB!$3:$367,MATCH(HQ$2,DB!$D$3:$D$367),15)</f>
        <v>750</v>
      </c>
      <c r="HR4" s="667">
        <f>INDEX(DB!$3:$367,MATCH(HR$2,DB!$D$3:$D$367),15)</f>
        <v>700</v>
      </c>
      <c r="HS4" s="660">
        <f>INDEX(DB!$3:$367,MATCH(HS$2,DB!$D$3:$D$367),15)</f>
        <v>0</v>
      </c>
      <c r="HT4" s="688">
        <f>SUM(HU4:IA4)</f>
        <v>3050</v>
      </c>
      <c r="HU4" s="667">
        <v>450</v>
      </c>
      <c r="HV4" s="667">
        <v>450</v>
      </c>
      <c r="HW4" s="667">
        <v>500</v>
      </c>
      <c r="HX4" s="667">
        <v>0</v>
      </c>
      <c r="HY4" s="667">
        <v>900</v>
      </c>
      <c r="HZ4" s="667">
        <v>750</v>
      </c>
      <c r="IA4" s="660">
        <f>INDEX(DB!$3:$367,MATCH(IA$2,DB!$D$3:$D$367),15)</f>
        <v>0</v>
      </c>
      <c r="IB4" s="688">
        <f>SUM(IC4:II4)</f>
        <v>3150</v>
      </c>
      <c r="IC4" s="667">
        <f>INDEX(DB!$3:$367,MATCH(IC$2,DB!$D$3:$D$367),15)</f>
        <v>450</v>
      </c>
      <c r="ID4" s="667">
        <f>INDEX(DB!$3:$367,MATCH(ID$2,DB!$D$3:$D$367),15)</f>
        <v>450</v>
      </c>
      <c r="IE4" s="667">
        <f>INDEX(DB!$3:$367,MATCH(IE$2,DB!$D$3:$D$367),15)</f>
        <v>450</v>
      </c>
      <c r="IF4" s="667">
        <f>INDEX(DB!$3:$367,MATCH(IF$2,DB!$D$3:$D$367),15)</f>
        <v>450</v>
      </c>
      <c r="IG4" s="667">
        <f>INDEX(DB!$3:$367,MATCH(IG$2,DB!$D$3:$D$367),15)</f>
        <v>700</v>
      </c>
      <c r="IH4" s="667">
        <f>INDEX(DB!$3:$367,MATCH(IH$2,DB!$D$3:$D$367),15)</f>
        <v>650</v>
      </c>
      <c r="II4" s="660">
        <f>INDEX(DB!$3:$367,MATCH(II$2,DB!$D$3:$D$367),15)</f>
        <v>0</v>
      </c>
      <c r="IJ4" s="688">
        <f>SUM(IK4:IQ4)</f>
        <v>3300</v>
      </c>
      <c r="IK4" s="667">
        <v>500</v>
      </c>
      <c r="IL4" s="667">
        <v>450</v>
      </c>
      <c r="IM4" s="667">
        <v>450</v>
      </c>
      <c r="IN4" s="667">
        <v>450</v>
      </c>
      <c r="IO4" s="667">
        <v>750</v>
      </c>
      <c r="IP4" s="667">
        <v>700</v>
      </c>
      <c r="IQ4" s="660">
        <f>INDEX(DB!$3:$367,MATCH(IQ$2,DB!$D$3:$D$367),15)</f>
        <v>0</v>
      </c>
      <c r="IR4" s="688">
        <f>SUM(IS4:IY4)</f>
        <v>3375</v>
      </c>
      <c r="IS4" s="667">
        <v>525</v>
      </c>
      <c r="IT4" s="667">
        <v>475</v>
      </c>
      <c r="IU4" s="667">
        <v>475</v>
      </c>
      <c r="IV4" s="667">
        <v>450</v>
      </c>
      <c r="IW4" s="667">
        <v>750</v>
      </c>
      <c r="IX4" s="667">
        <v>700</v>
      </c>
      <c r="IY4" s="660">
        <f>INDEX(DB!$3:$367,MATCH(IY$2,DB!$D$3:$D$367),15)</f>
        <v>0</v>
      </c>
      <c r="IZ4" s="688">
        <f>SUM(JA4:JG4)</f>
        <v>3425</v>
      </c>
      <c r="JA4" s="667">
        <f>INDEX(DB!$3:$367,MATCH(JA$2,DB!$D$3:$D$367),15)</f>
        <v>0</v>
      </c>
      <c r="JB4" s="667">
        <f>INDEX(DB!$3:$367,MATCH(JB$2,DB!$D$3:$D$367),15)</f>
        <v>800</v>
      </c>
      <c r="JC4" s="667">
        <f>INDEX(DB!$3:$367,MATCH(JC$2,DB!$D$3:$D$367),15)</f>
        <v>550</v>
      </c>
      <c r="JD4" s="667">
        <f>INDEX(DB!$3:$367,MATCH(JD$2,DB!$D$3:$D$367),15)</f>
        <v>475</v>
      </c>
      <c r="JE4" s="667">
        <f>INDEX(DB!$3:$367,MATCH(JE$2,DB!$D$3:$D$367),15)</f>
        <v>825</v>
      </c>
      <c r="JF4" s="667">
        <f>INDEX(DB!$3:$367,MATCH(JF$2,DB!$D$3:$D$367),15)</f>
        <v>775</v>
      </c>
      <c r="JG4" s="660">
        <f>INDEX(DB!$3:$367,MATCH(JG$2,DB!$D$3:$D$367),15)</f>
        <v>0</v>
      </c>
      <c r="JH4" s="688">
        <f>SUM(JI4:JO4)</f>
        <v>4450</v>
      </c>
      <c r="JI4" s="667">
        <v>650</v>
      </c>
      <c r="JJ4" s="667">
        <v>550</v>
      </c>
      <c r="JK4" s="667">
        <v>550</v>
      </c>
      <c r="JL4" s="667">
        <v>550</v>
      </c>
      <c r="JM4" s="667">
        <v>1100</v>
      </c>
      <c r="JN4" s="667">
        <v>1050</v>
      </c>
      <c r="JO4" s="660">
        <f>INDEX(DB!$3:$367,MATCH(JO$2,DB!$D$3:$D$367),15)</f>
        <v>0</v>
      </c>
      <c r="JP4" s="688">
        <f>SUM(JQ4:JW4)</f>
        <v>4750</v>
      </c>
      <c r="JQ4" s="667">
        <f>INDEX(DB!$3:$367,MATCH(JQ$2,DB!$D$3:$D$367),15)</f>
        <v>700</v>
      </c>
      <c r="JR4" s="667">
        <f>INDEX(DB!$3:$367,MATCH(JR$2,DB!$D$3:$D$367),15)</f>
        <v>650</v>
      </c>
      <c r="JS4" s="667">
        <f>INDEX(DB!$3:$367,MATCH(JS$2,DB!$D$3:$D$367),15)</f>
        <v>650</v>
      </c>
      <c r="JT4" s="667">
        <f>INDEX(DB!$3:$367,MATCH(JT$2,DB!$D$3:$D$367),15)</f>
        <v>650</v>
      </c>
      <c r="JU4" s="667">
        <f>INDEX(DB!$3:$367,MATCH(JU$2,DB!$D$3:$D$367),15)</f>
        <v>1100</v>
      </c>
      <c r="JV4" s="667">
        <f>INDEX(DB!$3:$367,MATCH(JV$2,DB!$D$3:$D$367),15)</f>
        <v>1000</v>
      </c>
      <c r="JW4" s="660">
        <f>INDEX(DB!$3:$367,MATCH(JW$2,DB!$D$3:$D$367),15)</f>
        <v>0</v>
      </c>
      <c r="JX4" s="688">
        <f>SUM(JY4:KE4)</f>
        <v>4975</v>
      </c>
      <c r="JY4" s="667">
        <f>INDEX(DB!$3:$367,MATCH(JY$2,DB!$D$3:$D$367),15)</f>
        <v>750</v>
      </c>
      <c r="JZ4" s="667">
        <f>INDEX(DB!$3:$367,MATCH(JZ$2,DB!$D$3:$D$367),15)</f>
        <v>675</v>
      </c>
      <c r="KA4" s="667">
        <f>INDEX(DB!$3:$367,MATCH(KA$2,DB!$D$3:$D$367),15)</f>
        <v>700</v>
      </c>
      <c r="KB4" s="667">
        <f>INDEX(DB!$3:$367,MATCH(KB$2,DB!$D$3:$D$367),15)</f>
        <v>650</v>
      </c>
      <c r="KC4" s="667">
        <f>INDEX(DB!$3:$367,MATCH(KC$2,DB!$D$3:$D$367),15)</f>
        <v>1150</v>
      </c>
      <c r="KD4" s="667">
        <f>INDEX(DB!$3:$367,MATCH(KD$2,DB!$D$3:$D$367),15)</f>
        <v>1050</v>
      </c>
      <c r="KE4" s="660">
        <f>INDEX(DB!$3:$367,MATCH(KE$2,DB!$D$3:$D$367),15)</f>
        <v>0</v>
      </c>
      <c r="KF4" s="688">
        <f>SUM(KG4:KM4)</f>
        <v>4850</v>
      </c>
      <c r="KG4" s="667">
        <f>INDEX(DB!$3:$367,MATCH(KG$2,DB!$D$3:$D$367),15)</f>
        <v>750</v>
      </c>
      <c r="KH4" s="667">
        <f>INDEX(DB!$3:$367,MATCH(KH$2,DB!$D$3:$D$367),15)</f>
        <v>700</v>
      </c>
      <c r="KI4" s="667">
        <f>INDEX(DB!$3:$367,MATCH(KI$2,DB!$D$3:$D$367),15)</f>
        <v>700</v>
      </c>
      <c r="KJ4" s="667">
        <f>INDEX(DB!$3:$367,MATCH(KJ$2,DB!$D$3:$D$367),15)</f>
        <v>650</v>
      </c>
      <c r="KK4" s="667">
        <f>INDEX(DB!$3:$367,MATCH(KK$2,DB!$D$3:$D$367),15)</f>
        <v>1050</v>
      </c>
      <c r="KL4" s="667">
        <f>INDEX(DB!$3:$367,MATCH(KL$2,DB!$D$3:$D$367),15)</f>
        <v>1000</v>
      </c>
      <c r="KM4" s="660">
        <f>INDEX(DB!$3:$367,MATCH(KM$2,DB!$D$3:$D$367),15)</f>
        <v>0</v>
      </c>
      <c r="KN4" s="688">
        <f>SUM(KO4:KU4)</f>
        <v>4650</v>
      </c>
      <c r="KO4" s="667">
        <v>750</v>
      </c>
      <c r="KP4" s="667">
        <v>600</v>
      </c>
      <c r="KQ4" s="667">
        <v>650</v>
      </c>
      <c r="KR4" s="667">
        <v>700</v>
      </c>
      <c r="KS4" s="667">
        <v>950</v>
      </c>
      <c r="KT4" s="667">
        <v>1000</v>
      </c>
      <c r="KU4" s="660">
        <f>INDEX(DB!$3:$367,MATCH(KU$2,DB!$D$3:$D$367),15)</f>
        <v>0</v>
      </c>
      <c r="KV4" s="688">
        <f>SUM(KW4:LC4)</f>
        <v>4450</v>
      </c>
      <c r="KW4" s="667">
        <v>700</v>
      </c>
      <c r="KX4" s="667">
        <v>550</v>
      </c>
      <c r="KY4" s="667">
        <v>600</v>
      </c>
      <c r="KZ4" s="667">
        <v>650</v>
      </c>
      <c r="LA4" s="667">
        <v>950</v>
      </c>
      <c r="LB4" s="667">
        <v>1000</v>
      </c>
      <c r="LC4" s="660">
        <f>INDEX(DB!$3:$367,MATCH(LC$2,DB!$D$3:$D$367),15)</f>
        <v>0</v>
      </c>
      <c r="LD4" s="688">
        <f>SUM(LE4:LK4)</f>
        <v>4700</v>
      </c>
      <c r="LE4" s="667">
        <v>750</v>
      </c>
      <c r="LF4" s="667">
        <v>625</v>
      </c>
      <c r="LG4" s="667">
        <v>725</v>
      </c>
      <c r="LH4" s="667">
        <v>650</v>
      </c>
      <c r="LI4" s="667">
        <v>1025</v>
      </c>
      <c r="LJ4" s="667">
        <v>925</v>
      </c>
      <c r="LK4" s="660">
        <f>INDEX(DB!$3:$367,MATCH(LK$2,DB!$D$3:$D$367),15)</f>
        <v>0</v>
      </c>
      <c r="LL4" s="688">
        <f>SUM(LM4:LS4)</f>
        <v>4850</v>
      </c>
      <c r="LM4" s="667">
        <v>750</v>
      </c>
      <c r="LN4" s="667">
        <v>650</v>
      </c>
      <c r="LO4" s="667">
        <v>750</v>
      </c>
      <c r="LP4" s="667">
        <v>700</v>
      </c>
      <c r="LQ4" s="667">
        <v>1050</v>
      </c>
      <c r="LR4" s="667">
        <v>950</v>
      </c>
      <c r="LS4" s="660">
        <f>INDEX(DB!$3:$367,MATCH(LS$2,DB!$D$3:$D$367),15)</f>
        <v>0</v>
      </c>
      <c r="LT4" s="688">
        <f>SUM(LU4:MA4)</f>
        <v>4575</v>
      </c>
      <c r="LU4" s="667">
        <v>700</v>
      </c>
      <c r="LV4" s="667">
        <v>600</v>
      </c>
      <c r="LW4" s="667">
        <v>600</v>
      </c>
      <c r="LX4" s="667">
        <v>575</v>
      </c>
      <c r="LY4" s="667">
        <v>1100</v>
      </c>
      <c r="LZ4" s="667">
        <v>1000</v>
      </c>
      <c r="MA4" s="660">
        <f>INDEX(DB!$3:$367,MATCH(MA$2,DB!$D$3:$D$367),15)</f>
        <v>0</v>
      </c>
      <c r="MB4" s="688">
        <f>SUM(MC4:MI4)</f>
        <v>4600</v>
      </c>
      <c r="MC4" s="667">
        <f>INDEX(DB!$3:$367,MATCH(MC$2,DB!$D$3:$D$367),15)</f>
        <v>800</v>
      </c>
      <c r="MD4" s="667">
        <f>INDEX(DB!$3:$367,MATCH(MD$2,DB!$D$3:$D$367),15)</f>
        <v>700</v>
      </c>
      <c r="ME4" s="667">
        <f>INDEX(DB!$3:$367,MATCH(ME$2,DB!$D$3:$D$367),15)</f>
        <v>650</v>
      </c>
      <c r="MF4" s="667">
        <f>INDEX(DB!$3:$367,MATCH(MF$2,DB!$D$3:$D$367),15)</f>
        <v>600</v>
      </c>
      <c r="MG4" s="667">
        <f>INDEX(DB!$3:$367,MATCH(MG$2,DB!$D$3:$D$367),15)</f>
        <v>950</v>
      </c>
      <c r="MH4" s="667">
        <f>INDEX(DB!$3:$367,MATCH(MH$2,DB!$D$3:$D$367),15)</f>
        <v>900</v>
      </c>
      <c r="MI4" s="660">
        <f>INDEX(DB!$3:$367,MATCH(MI$2,DB!$D$3:$D$367),15)</f>
        <v>0</v>
      </c>
      <c r="MJ4" s="688">
        <f>SUM(MK4:MQ4)</f>
        <v>4350</v>
      </c>
      <c r="MK4" s="667">
        <v>800</v>
      </c>
      <c r="ML4" s="667">
        <v>0</v>
      </c>
      <c r="MM4" s="667">
        <v>800</v>
      </c>
      <c r="MN4" s="667">
        <v>650</v>
      </c>
      <c r="MO4" s="667">
        <v>1100</v>
      </c>
      <c r="MP4" s="667">
        <v>1000</v>
      </c>
      <c r="MQ4" s="660">
        <f>INDEX(DB!$3:$367,MATCH(MQ$2,DB!$D$3:$D$367),15)</f>
        <v>0</v>
      </c>
      <c r="MR4" s="688">
        <f>SUM(MS4:MY4)</f>
        <v>3900</v>
      </c>
      <c r="MS4" s="667">
        <v>800</v>
      </c>
      <c r="MT4" s="667">
        <v>800</v>
      </c>
      <c r="MU4" s="667">
        <v>400</v>
      </c>
      <c r="MV4" s="667">
        <v>900</v>
      </c>
      <c r="MW4" s="667">
        <v>0</v>
      </c>
      <c r="MX4" s="667">
        <v>1000</v>
      </c>
      <c r="MY4" s="660">
        <f>INDEX(DB!$3:$367,MATCH(MY$2,DB!$D$3:$D$367),15)</f>
        <v>0</v>
      </c>
      <c r="MZ4" s="688">
        <f>SUM(NA4:NG4)</f>
        <v>4500</v>
      </c>
      <c r="NA4" s="667">
        <v>700</v>
      </c>
      <c r="NB4" s="667">
        <v>650</v>
      </c>
      <c r="NC4" s="667">
        <v>650</v>
      </c>
      <c r="ND4" s="667">
        <v>600</v>
      </c>
      <c r="NE4" s="667">
        <v>1000</v>
      </c>
      <c r="NF4" s="667">
        <v>900</v>
      </c>
      <c r="NG4" s="660">
        <f>INDEX(DB!$3:$367,MATCH(NG$2,DB!$D$3:$D$367),15)</f>
        <v>0</v>
      </c>
      <c r="NH4" s="688">
        <f>SUM(NI4:NO4)</f>
        <v>6150</v>
      </c>
      <c r="NI4" s="667">
        <v>750</v>
      </c>
      <c r="NJ4" s="667">
        <v>1000</v>
      </c>
      <c r="NK4" s="667">
        <v>1000</v>
      </c>
      <c r="NL4" s="667">
        <v>1000</v>
      </c>
      <c r="NM4" s="667">
        <v>1250</v>
      </c>
      <c r="NN4" s="667">
        <v>1150</v>
      </c>
      <c r="NO4" s="660">
        <f>INDEX(DB!$3:$367,MATCH(NO$2,DB!$D$3:$D$367),15)</f>
        <v>0</v>
      </c>
      <c r="NP4" s="688">
        <f>SUM(NQ4:NW4)</f>
        <v>6300</v>
      </c>
      <c r="NQ4" s="667">
        <v>1000</v>
      </c>
      <c r="NR4" s="667">
        <v>1150</v>
      </c>
      <c r="NS4" s="667">
        <v>1050</v>
      </c>
      <c r="NT4" s="667">
        <v>1000</v>
      </c>
      <c r="NU4" s="667">
        <v>1100</v>
      </c>
      <c r="NV4" s="667">
        <v>1000</v>
      </c>
      <c r="NW4" s="660">
        <f>INDEX(DB!$3:$367,MATCH(NW$2,DB!$D$3:$D$367),15)</f>
        <v>0</v>
      </c>
      <c r="NX4" s="688">
        <f>SUM(NY4:OE4)</f>
        <v>4800</v>
      </c>
      <c r="NY4" s="667">
        <f>INDEX(DB!$3:$367,MATCH(NY$2,DB!$D$3:$D$367),15)</f>
        <v>750</v>
      </c>
      <c r="NZ4" s="667">
        <f>INDEX(DB!$3:$367,MATCH(NZ$2,DB!$D$3:$D$367),15)</f>
        <v>750</v>
      </c>
      <c r="OA4" s="667">
        <f>INDEX(DB!$3:$367,MATCH(OA$2,DB!$D$3:$D$367),15)</f>
        <v>725</v>
      </c>
      <c r="OB4" s="667">
        <f>INDEX(DB!$3:$367,MATCH(OB$2,DB!$D$3:$D$367),15)</f>
        <v>625</v>
      </c>
      <c r="OC4" s="667">
        <f>INDEX(DB!$3:$367,MATCH(OC$2,DB!$D$3:$D$367),15)</f>
        <v>1000</v>
      </c>
      <c r="OD4" s="667">
        <f>INDEX(DB!$3:$367,MATCH(OD$2,DB!$D$3:$D$367),15)</f>
        <v>950</v>
      </c>
      <c r="OE4" s="660">
        <f>INDEX(DB!$3:$367,MATCH(OE$2,DB!$D$3:$D$367),15)</f>
        <v>0</v>
      </c>
      <c r="OF4" s="688">
        <f>SUM(OG4:OM4)</f>
        <v>4825</v>
      </c>
      <c r="OG4" s="667">
        <v>750</v>
      </c>
      <c r="OH4" s="667">
        <v>700</v>
      </c>
      <c r="OI4" s="667">
        <v>650</v>
      </c>
      <c r="OJ4" s="667">
        <v>575</v>
      </c>
      <c r="OK4" s="667">
        <v>1150</v>
      </c>
      <c r="OL4" s="667">
        <v>1000</v>
      </c>
      <c r="OM4" s="660">
        <f>INDEX(DB!$3:$367,MATCH(OM$2,DB!$D$3:$D$367),15)</f>
        <v>0</v>
      </c>
      <c r="ON4" s="688">
        <f>SUM(OO4:OU4)</f>
        <v>8000</v>
      </c>
      <c r="OO4" s="667">
        <f>INDEX(DB!$3:$367,MATCH(OO$2,DB!$D$3:$D$367),15)</f>
        <v>750</v>
      </c>
      <c r="OP4" s="667">
        <f>INDEX(DB!$3:$367,MATCH(OP$2,DB!$D$3:$D$367),15)</f>
        <v>900</v>
      </c>
      <c r="OQ4" s="667">
        <f>INDEX(DB!$3:$367,MATCH(OQ$2,DB!$D$3:$D$367),15)</f>
        <v>900</v>
      </c>
      <c r="OR4" s="667">
        <f>INDEX(DB!$3:$367,MATCH(OR$2,DB!$D$3:$D$367),15)</f>
        <v>1550</v>
      </c>
      <c r="OS4" s="667">
        <f>INDEX(DB!$3:$367,MATCH(OS$2,DB!$D$3:$D$367),15)</f>
        <v>1925</v>
      </c>
      <c r="OT4" s="667">
        <f>INDEX(DB!$3:$367,MATCH(OT$2,DB!$D$3:$D$367),15)</f>
        <v>1975</v>
      </c>
      <c r="OU4" s="660">
        <f>INDEX(DB!$3:$367,MATCH(OU$2,DB!$D$3:$D$367),15)</f>
        <v>0</v>
      </c>
      <c r="OV4" s="688">
        <f>SUM(OW4:PC4)</f>
        <v>9700</v>
      </c>
      <c r="OW4" s="667">
        <f>INDEX(DB!$3:$367,MATCH(OW$2,DB!$D$3:$D$367),15)</f>
        <v>800</v>
      </c>
      <c r="OX4" s="667">
        <f>INDEX(DB!$3:$367,MATCH(OX$2,DB!$D$3:$D$367),15)</f>
        <v>900</v>
      </c>
      <c r="OY4" s="667">
        <f>INDEX(DB!$3:$367,MATCH(OY$2,DB!$D$3:$D$367),15)</f>
        <v>950</v>
      </c>
      <c r="OZ4" s="667">
        <f>INDEX(DB!$3:$367,MATCH(OZ$2,DB!$D$3:$D$367),15)</f>
        <v>1400</v>
      </c>
      <c r="PA4" s="667">
        <f>INDEX(DB!$3:$367,MATCH(PA$2,DB!$D$3:$D$367),15)</f>
        <v>1950</v>
      </c>
      <c r="PB4" s="667">
        <f>INDEX(DB!$3:$367,MATCH(PB$2,DB!$D$3:$D$367),15)</f>
        <v>1850</v>
      </c>
      <c r="PC4" s="660">
        <f>INDEX(DB!$3:$367,MATCH(PC$2,DB!$D$3:$D$367),15)</f>
        <v>1850</v>
      </c>
    </row>
    <row r="5" spans="2:420" ht="15" thickBot="1" x14ac:dyDescent="0.35">
      <c r="B5" s="978"/>
      <c r="C5" s="674" t="s">
        <v>253</v>
      </c>
      <c r="D5" s="688"/>
      <c r="E5" s="667">
        <f>INDEX(DB!$3:$367,MATCH(E$2,DB!$D$3:$D$367),8)</f>
        <v>43.656842866525146</v>
      </c>
      <c r="F5" s="667">
        <f>INDEX(DB!$3:$367,MATCH(F$2,DB!$D$3:$D$367),8)</f>
        <v>41.534592037673136</v>
      </c>
      <c r="G5" s="667">
        <f>INDEX(DB!$3:$367,MATCH(G$2,DB!$D$3:$D$367),8)</f>
        <v>44.275547038122347</v>
      </c>
      <c r="H5" s="667">
        <v>48.7</v>
      </c>
      <c r="I5" s="667">
        <v>51.5</v>
      </c>
      <c r="J5" s="667">
        <v>50.8</v>
      </c>
      <c r="K5" s="658">
        <f>INDEX(DB!$3:$367,MATCH(K$2,DB!$D$3:$D$367),8)</f>
        <v>0</v>
      </c>
      <c r="L5" s="688"/>
      <c r="M5" s="667">
        <f>INDEX(DB!$3:$367,MATCH(M$2,DB!$D$3:$D$367),8)</f>
        <v>46.14149263250934</v>
      </c>
      <c r="N5" s="667">
        <f>INDEX(DB!$3:$367,MATCH(N$2,DB!$D$3:$D$367),8)</f>
        <v>46.282425776354415</v>
      </c>
      <c r="O5" s="667">
        <f>INDEX(DB!$3:$367,MATCH(O$2,DB!$D$3:$D$367),8)</f>
        <v>46.623011865462168</v>
      </c>
      <c r="P5" s="667">
        <v>49.8</v>
      </c>
      <c r="Q5" s="667">
        <v>53</v>
      </c>
      <c r="R5" s="667">
        <v>52</v>
      </c>
      <c r="S5" s="658">
        <f>INDEX(DB!$3:$367,MATCH(S$2,DB!$D$3:$D$367),8)</f>
        <v>0</v>
      </c>
      <c r="T5" s="688"/>
      <c r="U5" s="667">
        <f>INDEX(DB!$3:$367,MATCH(U$2,DB!$D$3:$D$367),8)</f>
        <v>47.174250863939186</v>
      </c>
      <c r="V5" s="667">
        <f>INDEX(DB!$3:$367,MATCH(V$2,DB!$D$3:$D$367),8)</f>
        <v>45.470676054522073</v>
      </c>
      <c r="W5" s="667">
        <f>INDEX(DB!$3:$367,MATCH(W$2,DB!$D$3:$D$367),8)</f>
        <v>47.452303161863135</v>
      </c>
      <c r="X5" s="667">
        <v>50.4</v>
      </c>
      <c r="Y5" s="667">
        <v>51.4</v>
      </c>
      <c r="Z5" s="667">
        <v>52.4</v>
      </c>
      <c r="AA5" s="658">
        <f>INDEX(DB!$3:$367,MATCH(AA$2,DB!$D$3:$D$367),8)</f>
        <v>0</v>
      </c>
      <c r="AB5" s="688"/>
      <c r="AC5" s="667">
        <f>INDEX(DB!$3:$367,MATCH(AC$2,DB!$D$3:$D$367),8)</f>
        <v>47.429850746268656</v>
      </c>
      <c r="AD5" s="667">
        <f>INDEX(DB!$3:$367,MATCH(AD$2,DB!$D$3:$D$367),8)</f>
        <v>44.639534883720934</v>
      </c>
      <c r="AE5" s="667">
        <f>INDEX(DB!$3:$367,MATCH(AE$2,DB!$D$3:$D$367),8)</f>
        <v>48.000000000000007</v>
      </c>
      <c r="AF5" s="667">
        <v>50</v>
      </c>
      <c r="AG5" s="667">
        <v>51</v>
      </c>
      <c r="AH5" s="667">
        <v>52</v>
      </c>
      <c r="AI5" s="658">
        <f>INDEX(DB!$3:$367,MATCH(AI$2,DB!$D$3:$D$367),8)</f>
        <v>0</v>
      </c>
      <c r="AJ5" s="688"/>
      <c r="AK5" s="667">
        <f>INDEX(DB!$3:$367,MATCH(AK$2,DB!$D$3:$D$367),8)</f>
        <v>47.268702387492368</v>
      </c>
      <c r="AL5" s="667">
        <f>INDEX(DB!$3:$367,MATCH(AL$2,DB!$D$3:$D$367),8)</f>
        <v>44.711875188364395</v>
      </c>
      <c r="AM5" s="667">
        <f>INDEX(DB!$3:$367,MATCH(AM$2,DB!$D$3:$D$367),8)</f>
        <v>46.137204238530686</v>
      </c>
      <c r="AN5" s="667">
        <v>47</v>
      </c>
      <c r="AO5" s="667">
        <v>49</v>
      </c>
      <c r="AP5" s="667">
        <v>49.4</v>
      </c>
      <c r="AQ5" s="658">
        <f>INDEX(DB!$3:$367,MATCH(AQ$2,DB!$D$3:$D$367),8)</f>
        <v>0</v>
      </c>
      <c r="AR5" s="688"/>
      <c r="AS5" s="667">
        <f>INDEX(DB!$3:$367,MATCH(AS$2,DB!$D$3:$D$367),8)</f>
        <v>47.986398881341046</v>
      </c>
      <c r="AT5" s="667">
        <f>INDEX(DB!$3:$367,MATCH(AT$2,DB!$D$3:$D$367),8)</f>
        <v>45.968880828393679</v>
      </c>
      <c r="AU5" s="667">
        <f>INDEX(DB!$3:$367,MATCH(AU$2,DB!$D$3:$D$367),8)</f>
        <v>47.366626495783322</v>
      </c>
      <c r="AV5" s="667">
        <f>INDEX(DB!$3:$367,MATCH(AV$2,DB!$D$3:$D$367),8)</f>
        <v>47.963250099108983</v>
      </c>
      <c r="AW5" s="667">
        <v>50.6</v>
      </c>
      <c r="AX5" s="667">
        <v>49.9</v>
      </c>
      <c r="AY5" s="658">
        <f>INDEX(DB!$3:$367,MATCH(AY$2,DB!$D$3:$D$367),8)</f>
        <v>0</v>
      </c>
      <c r="AZ5" s="688"/>
      <c r="BA5" s="667">
        <f>INDEX(DB!$3:$367,MATCH(BA$2,DB!$D$3:$D$367),8)</f>
        <v>47.804943632674814</v>
      </c>
      <c r="BB5" s="667">
        <f>INDEX(DB!$3:$367,MATCH(BB$2,DB!$D$3:$D$367),8)</f>
        <v>49.412713909918601</v>
      </c>
      <c r="BC5" s="667">
        <f>INDEX(DB!$3:$367,MATCH(BC$2,DB!$D$3:$D$367),8)</f>
        <v>50.656071559667367</v>
      </c>
      <c r="BD5" s="667">
        <f>INDEX(DB!$3:$367,MATCH(BD$2,DB!$D$3:$D$367),8)</f>
        <v>49.60583546338934</v>
      </c>
      <c r="BE5" s="667">
        <f>INDEX(DB!$3:$367,MATCH(BE$2,DB!$D$3:$D$367),8)</f>
        <v>52.296486312906282</v>
      </c>
      <c r="BF5" s="667">
        <f>INDEX(DB!$3:$367,MATCH(BF$2,DB!$D$3:$D$367),8)</f>
        <v>50.873471249806904</v>
      </c>
      <c r="BG5" s="658">
        <f>INDEX(DB!$3:$367,MATCH(BG$2,DB!$D$3:$D$367),8)</f>
        <v>0</v>
      </c>
      <c r="BH5" s="688"/>
      <c r="BI5" s="667">
        <f>INDEX(DB!$3:$367,MATCH(BI$2,DB!$D$3:$D$367),8)</f>
        <v>48.627944905628581</v>
      </c>
      <c r="BJ5" s="667">
        <f>INDEX(DB!$3:$367,MATCH(BJ$2,DB!$D$3:$D$367),8)</f>
        <v>45.749039422813475</v>
      </c>
      <c r="BK5" s="667">
        <f>INDEX(DB!$3:$367,MATCH(BK$2,DB!$D$3:$D$367),8)</f>
        <v>47.958344728403056</v>
      </c>
      <c r="BL5" s="667">
        <f>INDEX(DB!$3:$367,MATCH(BL$2,DB!$D$3:$D$367),8)</f>
        <v>49.228120184975303</v>
      </c>
      <c r="BM5" s="667">
        <f>INDEX(DB!$3:$367,MATCH(BM$2,DB!$D$3:$D$367),8)</f>
        <v>51.589574892283395</v>
      </c>
      <c r="BN5" s="667">
        <f>INDEX(DB!$3:$367,MATCH(BN$2,DB!$D$3:$D$367),8)</f>
        <v>49.835195994840348</v>
      </c>
      <c r="BO5" s="658">
        <f>INDEX(DB!$3:$367,MATCH(BO$2,DB!$D$3:$D$367),8)</f>
        <v>0</v>
      </c>
      <c r="BP5" s="688"/>
      <c r="BQ5" s="667">
        <f>INDEX(DB!$3:$367,MATCH(BQ$2,DB!$D$3:$D$367),8)</f>
        <v>47.451199931484496</v>
      </c>
      <c r="BR5" s="667">
        <f>INDEX(DB!$3:$367,MATCH(BR$2,DB!$D$3:$D$367),8)</f>
        <v>45.284946988980224</v>
      </c>
      <c r="BS5" s="667">
        <f>INDEX(DB!$3:$367,MATCH(BS$2,DB!$D$3:$D$367),8)</f>
        <v>47.460910003845655</v>
      </c>
      <c r="BT5" s="667">
        <f>INDEX(DB!$3:$367,MATCH(BT$2,DB!$D$3:$D$367),8)</f>
        <v>48.968819177924793</v>
      </c>
      <c r="BU5" s="667">
        <f>INDEX(DB!$3:$367,MATCH(BU$2,DB!$D$3:$D$367),8)</f>
        <v>50.619953014848441</v>
      </c>
      <c r="BV5" s="667">
        <f>INDEX(DB!$3:$367,MATCH(BV$2,DB!$D$3:$D$367),8)</f>
        <v>49.083264211340556</v>
      </c>
      <c r="BW5" s="658">
        <f>INDEX(DB!$3:$367,MATCH(BW$2,DB!$D$3:$D$367),8)</f>
        <v>0</v>
      </c>
      <c r="BX5" s="688"/>
      <c r="BY5" s="667">
        <f>INDEX(DB!$3:$367,MATCH(BY$2,DB!$D$3:$D$367),8)</f>
        <v>47.506718726138502</v>
      </c>
      <c r="BZ5" s="667">
        <f>INDEX(DB!$3:$367,MATCH(BZ$2,DB!$D$3:$D$367),8)</f>
        <v>48.05691816081567</v>
      </c>
      <c r="CA5" s="667">
        <f>INDEX(DB!$3:$367,MATCH(CA$2,DB!$D$3:$D$367),8)</f>
        <v>48.622742470437608</v>
      </c>
      <c r="CB5" s="667">
        <f>INDEX(DB!$3:$367,MATCH(CB$2,DB!$D$3:$D$367),8)</f>
        <v>49.090899756043285</v>
      </c>
      <c r="CC5" s="667">
        <f>INDEX(DB!$3:$367,MATCH(CC$2,DB!$D$3:$D$367),8)</f>
        <v>50.74614991385738</v>
      </c>
      <c r="CD5" s="667">
        <f>INDEX(DB!$3:$367,MATCH(CD$2,DB!$D$3:$D$367),8)</f>
        <v>49.205630103993414</v>
      </c>
      <c r="CE5" s="658">
        <f>INDEX(DB!$3:$367,MATCH(CE$2,DB!$D$3:$D$367),8)</f>
        <v>0</v>
      </c>
      <c r="CF5" s="688"/>
      <c r="CG5" s="667">
        <v>47.625154248660017</v>
      </c>
      <c r="CH5" s="667">
        <v>45.909179356188965</v>
      </c>
      <c r="CI5" s="667">
        <v>48.335649558515634</v>
      </c>
      <c r="CJ5" s="667">
        <v>47.582425992349663</v>
      </c>
      <c r="CK5" s="667">
        <v>48.716428359018387</v>
      </c>
      <c r="CL5" s="667">
        <v>47.719188143339551</v>
      </c>
      <c r="CM5" s="658">
        <f>INDEX(DB!$3:$367,MATCH(CM$2,DB!$D$3:$D$367),8)</f>
        <v>0</v>
      </c>
      <c r="CN5" s="688"/>
      <c r="CO5" s="667">
        <v>46.098674052065682</v>
      </c>
      <c r="CP5" s="667">
        <v>46.251971336955144</v>
      </c>
      <c r="CQ5" s="667">
        <v>48.701872754330687</v>
      </c>
      <c r="CR5" s="667">
        <v>49.230956343097546</v>
      </c>
      <c r="CS5" s="667">
        <v>50.404247108377426</v>
      </c>
      <c r="CT5" s="667">
        <v>49.372456725735731</v>
      </c>
      <c r="CU5" s="658">
        <f>INDEX(DB!$3:$367,MATCH(CU$2,DB!$D$3:$D$367),8)</f>
        <v>0</v>
      </c>
      <c r="CV5" s="688"/>
      <c r="CW5" s="667">
        <v>48.850490554155932</v>
      </c>
      <c r="CX5" s="667">
        <v>46.954696741216466</v>
      </c>
      <c r="CY5" s="667">
        <v>48.900640879253473</v>
      </c>
      <c r="CZ5" s="667">
        <v>53.55540032310742</v>
      </c>
      <c r="DA5" s="667">
        <v>50.991754806326625</v>
      </c>
      <c r="DB5" s="667">
        <v>49.698249085834583</v>
      </c>
      <c r="DC5" s="658">
        <f>INDEX(DB!$3:$367,MATCH(DC$2,DB!$D$3:$D$367),8)</f>
        <v>0</v>
      </c>
      <c r="DD5" s="688"/>
      <c r="DE5" s="667">
        <f>INDEX(DB!$3:$367,MATCH(DE$2,DB!$D$3:$D$367),8)</f>
        <v>47.922117739570062</v>
      </c>
      <c r="DF5" s="667">
        <f>INDEX(DB!$3:$367,MATCH(DF$2,DB!$D$3:$D$367),8)</f>
        <v>44.377559187729155</v>
      </c>
      <c r="DG5" s="667">
        <f>INDEX(DB!$3:$367,MATCH(DG$2,DB!$D$3:$D$367),8)</f>
        <v>46.956559912291532</v>
      </c>
      <c r="DH5" s="667">
        <f>INDEX(DB!$3:$367,MATCH(DH$2,DB!$D$3:$D$367),8)</f>
        <v>49.789157175242181</v>
      </c>
      <c r="DI5" s="667">
        <f>INDEX(DB!$3:$367,MATCH(DI$2,DB!$D$3:$D$367),8)</f>
        <v>47.528797631846118</v>
      </c>
      <c r="DJ5" s="667">
        <f>INDEX(DB!$3:$367,MATCH(DJ$2,DB!$D$3:$D$367),8)</f>
        <v>48.206219301887813</v>
      </c>
      <c r="DK5" s="658">
        <f>INDEX(DB!$3:$367,MATCH(DK$2,DB!$D$3:$D$367),8)</f>
        <v>0</v>
      </c>
      <c r="DL5" s="688"/>
      <c r="DM5" s="667">
        <v>47.90727897553591</v>
      </c>
      <c r="DN5" s="667">
        <v>44.354465822171633</v>
      </c>
      <c r="DO5" s="667">
        <v>46.710081296435689</v>
      </c>
      <c r="DP5" s="667">
        <v>49.789157175242181</v>
      </c>
      <c r="DQ5" s="667">
        <v>49.395633655211704</v>
      </c>
      <c r="DR5" s="667">
        <v>49.690244027563011</v>
      </c>
      <c r="DS5" s="658">
        <f>INDEX(DB!$3:$367,MATCH(DS$2,DB!$D$3:$D$367),8)</f>
        <v>0</v>
      </c>
      <c r="DT5" s="688"/>
      <c r="DU5" s="667">
        <v>0</v>
      </c>
      <c r="DV5" s="667">
        <v>46.581612829877272</v>
      </c>
      <c r="DW5" s="667">
        <v>46.67344527768541</v>
      </c>
      <c r="DX5" s="667">
        <v>47.238228759238439</v>
      </c>
      <c r="DY5" s="667">
        <v>49.468560385758749</v>
      </c>
      <c r="DZ5" s="667">
        <v>50.07016602042151</v>
      </c>
      <c r="EA5" s="658">
        <f>INDEX(DB!$3:$367,MATCH(EA$2,DB!$D$3:$D$367),8)</f>
        <v>0</v>
      </c>
      <c r="EB5" s="688"/>
      <c r="EC5" s="667">
        <f>INDEX(DB!$3:$367,MATCH(EC$2,DB!$D$3:$D$367),8)</f>
        <v>43.67133027456947</v>
      </c>
      <c r="ED5" s="667">
        <f>INDEX(DB!$3:$367,MATCH(ED$2,DB!$D$3:$D$367),8)</f>
        <v>43.2911570065015</v>
      </c>
      <c r="EE5" s="667">
        <f>INDEX(DB!$3:$367,MATCH(EE$2,DB!$D$3:$D$367),8)</f>
        <v>42.321718957512992</v>
      </c>
      <c r="EF5" s="667">
        <f>INDEX(DB!$3:$367,MATCH(EF$2,DB!$D$3:$D$367),8)</f>
        <v>43.975975562652401</v>
      </c>
      <c r="EG5" s="667">
        <f>INDEX(DB!$3:$367,MATCH(EG$2,DB!$D$3:$D$367),8)</f>
        <v>48.820583350306954</v>
      </c>
      <c r="EH5" s="667">
        <f>INDEX(DB!$3:$367,MATCH(EH$2,DB!$D$3:$D$367),8)</f>
        <v>48.214692395544446</v>
      </c>
      <c r="EI5" s="658">
        <f>INDEX(DB!$3:$367,MATCH(EI$2,DB!$D$3:$D$367),8)</f>
        <v>0</v>
      </c>
      <c r="EJ5" s="688"/>
      <c r="EK5" s="667">
        <f>INDEX(DB!$3:$367,MATCH(EK$2,DB!$D$3:$D$367),8)</f>
        <v>46.292888639587737</v>
      </c>
      <c r="EL5" s="667">
        <f>INDEX(DB!$3:$367,MATCH(EL$2,DB!$D$3:$D$367),8)</f>
        <v>44.053628944800096</v>
      </c>
      <c r="EM5" s="667">
        <f>INDEX(DB!$3:$367,MATCH(EM$2,DB!$D$3:$D$367),8)</f>
        <v>43.702353788872877</v>
      </c>
      <c r="EN5" s="667">
        <f>INDEX(DB!$3:$367,MATCH(EN$2,DB!$D$3:$D$367),8)</f>
        <v>45.407163214718942</v>
      </c>
      <c r="EO5" s="667">
        <f>INDEX(DB!$3:$367,MATCH(EO$2,DB!$D$3:$D$367),8)</f>
        <v>53.212223501816112</v>
      </c>
      <c r="EP5" s="667">
        <f>INDEX(DB!$3:$367,MATCH(EP$2,DB!$D$3:$D$367),8)</f>
        <v>52.245101128905709</v>
      </c>
      <c r="EQ5" s="658">
        <f>INDEX(DB!$3:$367,MATCH(EQ$2,DB!$D$3:$D$367),8)</f>
        <v>0</v>
      </c>
      <c r="ER5" s="688"/>
      <c r="ES5" s="667">
        <v>49.979842246608499</v>
      </c>
      <c r="ET5" s="667">
        <v>46.91041871841535</v>
      </c>
      <c r="EU5" s="667">
        <v>47.80715560545606</v>
      </c>
      <c r="EV5" s="667">
        <v>48.001657372890946</v>
      </c>
      <c r="EW5" s="667">
        <v>52.669241629348598</v>
      </c>
      <c r="EX5" s="667">
        <v>51.711987852080128</v>
      </c>
      <c r="EY5" s="658">
        <f>INDEX(DB!$3:$367,MATCH(EY$2,DB!$D$3:$D$367),8)</f>
        <v>0</v>
      </c>
      <c r="EZ5" s="688"/>
      <c r="FA5" s="667">
        <v>49.260059107617707</v>
      </c>
      <c r="FB5" s="667">
        <v>46.457358826095223</v>
      </c>
      <c r="FC5" s="667">
        <v>46.753026479484454</v>
      </c>
      <c r="FD5" s="667">
        <v>48.60600344000796</v>
      </c>
      <c r="FE5" s="667">
        <v>50.641800785086161</v>
      </c>
      <c r="FF5" s="667">
        <v>49.921742344203146</v>
      </c>
      <c r="FG5" s="658">
        <f>INDEX(DB!$3:$367,MATCH(FG$2,DB!$D$3:$D$367),8)</f>
        <v>0</v>
      </c>
      <c r="FH5" s="688"/>
      <c r="FI5" s="667">
        <v>47.927321055158174</v>
      </c>
      <c r="FJ5" s="667">
        <v>43.808758596704443</v>
      </c>
      <c r="FK5" s="667">
        <v>45.830678953212043</v>
      </c>
      <c r="FL5" s="667">
        <v>0</v>
      </c>
      <c r="FM5" s="667">
        <v>54.076316564806532</v>
      </c>
      <c r="FN5" s="667">
        <v>54.144617897670749</v>
      </c>
      <c r="FO5" s="658">
        <f>INDEX(DB!$3:$367,MATCH(FO$2,DB!$D$3:$D$367),8)</f>
        <v>0</v>
      </c>
      <c r="FP5" s="688"/>
      <c r="FQ5" s="667">
        <v>49.731801262164637</v>
      </c>
      <c r="FR5" s="667">
        <v>45.456816486982042</v>
      </c>
      <c r="FS5" s="667">
        <v>47.615552205801009</v>
      </c>
      <c r="FT5" s="667">
        <v>51.059208294026313</v>
      </c>
      <c r="FU5" s="667">
        <v>50.106868888912786</v>
      </c>
      <c r="FV5" s="667">
        <v>49.906985294013715</v>
      </c>
      <c r="FW5" s="658">
        <f>INDEX(DB!$3:$367,MATCH(FW$2,DB!$D$3:$D$367),8)</f>
        <v>0</v>
      </c>
      <c r="FX5" s="688"/>
      <c r="FY5" s="667">
        <v>0</v>
      </c>
      <c r="FZ5" s="667">
        <v>41.996897046257224</v>
      </c>
      <c r="GA5" s="667">
        <v>41.723045885249348</v>
      </c>
      <c r="GB5" s="667">
        <v>47.387702518125586</v>
      </c>
      <c r="GC5" s="667">
        <v>48.128957993454016</v>
      </c>
      <c r="GD5" s="667">
        <v>47.933052539022974</v>
      </c>
      <c r="GE5" s="658">
        <f>INDEX(DB!$3:$367,MATCH(GE$2,DB!$D$3:$D$367),8)</f>
        <v>0</v>
      </c>
      <c r="GF5" s="688"/>
      <c r="GG5" s="667">
        <v>46.968830000977356</v>
      </c>
      <c r="GH5" s="667">
        <v>45.546059506614817</v>
      </c>
      <c r="GI5" s="667">
        <v>45.691574043389409</v>
      </c>
      <c r="GJ5" s="667">
        <v>46.875300491188668</v>
      </c>
      <c r="GK5" s="667">
        <v>48.711437637624385</v>
      </c>
      <c r="GL5" s="667">
        <v>49.394583688460422</v>
      </c>
      <c r="GM5" s="658">
        <f>INDEX(DB!$3:$367,MATCH(GM$2,DB!$D$3:$D$367),8)</f>
        <v>0</v>
      </c>
      <c r="GN5" s="688"/>
      <c r="GO5" s="667">
        <v>48.102404544368646</v>
      </c>
      <c r="GP5" s="667">
        <v>46.575615536126001</v>
      </c>
      <c r="GQ5" s="667">
        <v>45.522349069678981</v>
      </c>
      <c r="GR5" s="667">
        <v>47.44768316544446</v>
      </c>
      <c r="GS5" s="667">
        <v>50.713977679024147</v>
      </c>
      <c r="GT5" s="667">
        <v>50.86335190141984</v>
      </c>
      <c r="GU5" s="658">
        <f>INDEX(DB!$3:$367,MATCH(GU$2,DB!$D$3:$D$367),8)</f>
        <v>0</v>
      </c>
      <c r="GV5" s="688"/>
      <c r="GW5" s="667">
        <f>INDEX(DB!$3:$367,MATCH(GW$2,DB!$D$3:$D$367),8)</f>
        <v>46.580090771610067</v>
      </c>
      <c r="GX5" s="667">
        <f>INDEX(DB!$3:$367,MATCH(GX$2,DB!$D$3:$D$367),8)</f>
        <v>45.101620593940645</v>
      </c>
      <c r="GY5" s="667">
        <f>INDEX(DB!$3:$367,MATCH(GY$2,DB!$D$3:$D$367),8)</f>
        <v>44.08168722307262</v>
      </c>
      <c r="GZ5" s="667">
        <f>INDEX(DB!$3:$367,MATCH(GZ$2,DB!$D$3:$D$367),8)</f>
        <v>45.310992465385787</v>
      </c>
      <c r="HA5" s="667">
        <f>INDEX(DB!$3:$367,MATCH(HA$2,DB!$D$3:$D$367),8)</f>
        <v>51.237509277053853</v>
      </c>
      <c r="HB5" s="667">
        <f>INDEX(DB!$3:$367,MATCH(HB$2,DB!$D$3:$D$367),8)</f>
        <v>51.449404487228136</v>
      </c>
      <c r="HC5" s="658">
        <f>INDEX(DB!$3:$367,MATCH(HC$2,DB!$D$3:$D$367),8)</f>
        <v>0</v>
      </c>
      <c r="HD5" s="688"/>
      <c r="HE5" s="667">
        <v>47.825040804827289</v>
      </c>
      <c r="HF5" s="667">
        <v>44.30043568609716</v>
      </c>
      <c r="HG5" s="667">
        <v>42.816714267823592</v>
      </c>
      <c r="HH5" s="667">
        <v>45.19767739453399</v>
      </c>
      <c r="HI5" s="667">
        <v>51.560885960479737</v>
      </c>
      <c r="HJ5" s="667">
        <v>51.774118510647071</v>
      </c>
      <c r="HK5" s="658">
        <f>INDEX(DB!$3:$367,MATCH(HK$2,DB!$D$3:$D$367),8)</f>
        <v>0</v>
      </c>
      <c r="HL5" s="688"/>
      <c r="HM5" s="667">
        <f>INDEX(DB!$3:$367,MATCH(HM$2,DB!$D$3:$D$367),8)</f>
        <v>46.301115023414333</v>
      </c>
      <c r="HN5" s="667">
        <f>INDEX(DB!$3:$367,MATCH(HN$2,DB!$D$3:$D$367),8)</f>
        <v>44.357838881316333</v>
      </c>
      <c r="HO5" s="667">
        <f>INDEX(DB!$3:$367,MATCH(HO$2,DB!$D$3:$D$367),8)</f>
        <v>43.158484303529335</v>
      </c>
      <c r="HP5" s="667">
        <f>INDEX(DB!$3:$367,MATCH(HP$2,DB!$D$3:$D$367),8)</f>
        <v>44.907845696996233</v>
      </c>
      <c r="HQ5" s="667">
        <f>INDEX(DB!$3:$367,MATCH(HQ$2,DB!$D$3:$D$367),8)</f>
        <v>50.013079590584638</v>
      </c>
      <c r="HR5" s="667">
        <f>INDEX(DB!$3:$367,MATCH(HR$2,DB!$D$3:$D$367),8)</f>
        <v>49.658863675812583</v>
      </c>
      <c r="HS5" s="658">
        <f>INDEX(DB!$3:$367,MATCH(HS$2,DB!$D$3:$D$367),8)</f>
        <v>0</v>
      </c>
      <c r="HT5" s="688"/>
      <c r="HU5" s="667">
        <v>45.694577795163966</v>
      </c>
      <c r="HV5" s="667">
        <v>43.144007344419606</v>
      </c>
      <c r="HW5" s="667">
        <v>42.192942715635802</v>
      </c>
      <c r="HX5" s="667">
        <v>0</v>
      </c>
      <c r="HY5" s="667">
        <v>50.427587270540009</v>
      </c>
      <c r="HZ5" s="667">
        <v>50.070435619391844</v>
      </c>
      <c r="IA5" s="658">
        <f>INDEX(DB!$3:$367,MATCH(IA$2,DB!$D$3:$D$367),8)</f>
        <v>0</v>
      </c>
      <c r="IB5" s="688"/>
      <c r="IC5" s="667">
        <f>INDEX(DB!$3:$367,MATCH(IC$2,DB!$D$3:$D$367),8)</f>
        <v>46.073293794727803</v>
      </c>
      <c r="ID5" s="667">
        <f>INDEX(DB!$3:$367,MATCH(ID$2,DB!$D$3:$D$367),8)</f>
        <v>43.52310185254435</v>
      </c>
      <c r="IE5" s="667">
        <f>INDEX(DB!$3:$367,MATCH(IE$2,DB!$D$3:$D$367),8)</f>
        <v>42.835730829075956</v>
      </c>
      <c r="IF5" s="667">
        <f>INDEX(DB!$3:$367,MATCH(IF$2,DB!$D$3:$D$367),8)</f>
        <v>44.7619390114873</v>
      </c>
      <c r="IG5" s="667">
        <f>INDEX(DB!$3:$367,MATCH(IG$2,DB!$D$3:$D$367),8)</f>
        <v>48.436586179036183</v>
      </c>
      <c r="IH5" s="667">
        <f>INDEX(DB!$3:$367,MATCH(IH$2,DB!$D$3:$D$367),8)</f>
        <v>47.990728904862479</v>
      </c>
      <c r="II5" s="658">
        <f>INDEX(DB!$3:$367,MATCH(II$2,DB!$D$3:$D$367),8)</f>
        <v>0</v>
      </c>
      <c r="IJ5" s="688"/>
      <c r="IK5" s="667">
        <v>47.07014344184055</v>
      </c>
      <c r="IL5" s="667">
        <v>44.119171069087365</v>
      </c>
      <c r="IM5" s="667">
        <v>42.825251974106237</v>
      </c>
      <c r="IN5" s="667">
        <v>44.584322067068008</v>
      </c>
      <c r="IO5" s="667">
        <v>48.244388105735247</v>
      </c>
      <c r="IP5" s="667">
        <v>47.80030000886785</v>
      </c>
      <c r="IQ5" s="658">
        <f>INDEX(DB!$3:$367,MATCH(IQ$2,DB!$D$3:$D$367),8)</f>
        <v>0</v>
      </c>
      <c r="IR5" s="688"/>
      <c r="IS5" s="667">
        <v>45.51536107094509</v>
      </c>
      <c r="IT5" s="667">
        <v>42.487421138009921</v>
      </c>
      <c r="IU5" s="667">
        <v>42.108473337933788</v>
      </c>
      <c r="IV5" s="667">
        <v>42.857559241846459</v>
      </c>
      <c r="IW5" s="667">
        <v>47.175200894595044</v>
      </c>
      <c r="IX5" s="667">
        <v>46.578869358857318</v>
      </c>
      <c r="IY5" s="658">
        <f>INDEX(DB!$3:$367,MATCH(IY$2,DB!$D$3:$D$367),8)</f>
        <v>0</v>
      </c>
      <c r="IZ5" s="688"/>
      <c r="JA5" s="667">
        <f>INDEX(DB!$3:$367,MATCH(JA$2,DB!$D$3:$D$367),8)</f>
        <v>0</v>
      </c>
      <c r="JB5" s="667">
        <f>INDEX(DB!$3:$367,MATCH(JB$2,DB!$D$3:$D$367),8)</f>
        <v>42.18893386327801</v>
      </c>
      <c r="JC5" s="667">
        <f>INDEX(DB!$3:$367,MATCH(JC$2,DB!$D$3:$D$367),8)</f>
        <v>41.269604475623503</v>
      </c>
      <c r="JD5" s="667">
        <f>INDEX(DB!$3:$367,MATCH(JD$2,DB!$D$3:$D$367),8)</f>
        <v>41.615846988449839</v>
      </c>
      <c r="JE5" s="667">
        <f>INDEX(DB!$3:$367,MATCH(JE$2,DB!$D$3:$D$367),8)</f>
        <v>46.194306703883264</v>
      </c>
      <c r="JF5" s="667">
        <f>INDEX(DB!$3:$367,MATCH(JF$2,DB!$D$3:$D$367),8)</f>
        <v>46.474141758454927</v>
      </c>
      <c r="JG5" s="658">
        <f>INDEX(DB!$3:$367,MATCH(JG$2,DB!$D$3:$D$367),8)</f>
        <v>0</v>
      </c>
      <c r="JH5" s="688"/>
      <c r="JI5" s="667">
        <v>45.144653258443938</v>
      </c>
      <c r="JJ5" s="667">
        <v>42.293376886430394</v>
      </c>
      <c r="JK5" s="667">
        <v>41.371771604797836</v>
      </c>
      <c r="JL5" s="667">
        <v>43.197208446933907</v>
      </c>
      <c r="JM5" s="667">
        <v>47.949645150874069</v>
      </c>
      <c r="JN5" s="667">
        <v>48.240113663660708</v>
      </c>
      <c r="JO5" s="658">
        <f>INDEX(DB!$3:$367,MATCH(JO$2,DB!$D$3:$D$367),8)</f>
        <v>0</v>
      </c>
      <c r="JP5" s="688"/>
      <c r="JQ5" s="667">
        <f>INDEX(DB!$3:$367,MATCH(JQ$2,DB!$D$3:$D$367),8)</f>
        <v>48.474993246704202</v>
      </c>
      <c r="JR5" s="667">
        <f>INDEX(DB!$3:$367,MATCH(JR$2,DB!$D$3:$D$367),8)</f>
        <v>44.61182328580594</v>
      </c>
      <c r="JS5" s="667">
        <f>INDEX(DB!$3:$367,MATCH(JS$2,DB!$D$3:$D$367),8)</f>
        <v>43.907376429388748</v>
      </c>
      <c r="JT5" s="667">
        <f>INDEX(DB!$3:$367,MATCH(JT$2,DB!$D$3:$D$367),8)</f>
        <v>45.319213073743406</v>
      </c>
      <c r="JU5" s="667">
        <f>INDEX(DB!$3:$367,MATCH(JU$2,DB!$D$3:$D$367),8)</f>
        <v>52.090323961205783</v>
      </c>
      <c r="JV5" s="667">
        <f>INDEX(DB!$3:$367,MATCH(JV$2,DB!$D$3:$D$367),8)</f>
        <v>52.177561449133094</v>
      </c>
      <c r="JW5" s="658">
        <f>INDEX(DB!$3:$367,MATCH(JW$2,DB!$D$3:$D$367),8)</f>
        <v>0</v>
      </c>
      <c r="JX5" s="688"/>
      <c r="JY5" s="667">
        <f>INDEX(DB!$3:$367,MATCH(JY$2,DB!$D$3:$D$367),8)</f>
        <v>51.220922874916837</v>
      </c>
      <c r="JZ5" s="667">
        <f>INDEX(DB!$3:$367,MATCH(JZ$2,DB!$D$3:$D$367),8)</f>
        <v>44.824313440474896</v>
      </c>
      <c r="KA5" s="667">
        <f>INDEX(DB!$3:$367,MATCH(KA$2,DB!$D$3:$D$367),8)</f>
        <v>45.171220975847596</v>
      </c>
      <c r="KB5" s="667">
        <v>44</v>
      </c>
      <c r="KC5" s="667">
        <v>51.5</v>
      </c>
      <c r="KD5" s="667">
        <f>INDEX(DB!$3:$367,MATCH(KD$2,DB!$D$3:$D$367),8)</f>
        <v>50.827329793489994</v>
      </c>
      <c r="KE5" s="658">
        <f>INDEX(DB!$3:$367,MATCH(KE$2,DB!$D$3:$D$367),8)</f>
        <v>0</v>
      </c>
      <c r="KF5" s="688"/>
      <c r="KG5" s="667">
        <f>INDEX(DB!$3:$367,MATCH(KG$2,DB!$D$3:$D$367),8)</f>
        <v>50.468576614269494</v>
      </c>
      <c r="KH5" s="667">
        <f>INDEX(DB!$3:$367,MATCH(KH$2,DB!$D$3:$D$367),8)</f>
        <v>44</v>
      </c>
      <c r="KI5" s="667">
        <f>INDEX(DB!$3:$367,MATCH(KI$2,DB!$D$3:$D$367),8)</f>
        <v>44.903279810756096</v>
      </c>
      <c r="KJ5" s="667">
        <f>INDEX(DB!$3:$367,MATCH(KJ$2,DB!$D$3:$D$367),8)</f>
        <v>44</v>
      </c>
      <c r="KK5" s="667">
        <f>INDEX(DB!$3:$367,MATCH(KK$2,DB!$D$3:$D$367),8)</f>
        <v>51.228737112652702</v>
      </c>
      <c r="KL5" s="667">
        <v>51</v>
      </c>
      <c r="KM5" s="658">
        <f>INDEX(DB!$3:$367,MATCH(KM$2,DB!$D$3:$D$367),8)</f>
        <v>0</v>
      </c>
      <c r="KN5" s="688"/>
      <c r="KO5" s="667">
        <v>46.814432989690722</v>
      </c>
      <c r="KP5" s="667">
        <v>39.4</v>
      </c>
      <c r="KQ5" s="667">
        <v>40.1</v>
      </c>
      <c r="KR5" s="667">
        <v>43.593156561884058</v>
      </c>
      <c r="KS5" s="667">
        <v>51.017668151143326</v>
      </c>
      <c r="KT5" s="667">
        <v>51.018771579244586</v>
      </c>
      <c r="KU5" s="658">
        <f>INDEX(DB!$3:$367,MATCH(KU$2,DB!$D$3:$D$367),8)</f>
        <v>0</v>
      </c>
      <c r="KV5" s="688"/>
      <c r="KW5" s="667">
        <v>48.906415180855291</v>
      </c>
      <c r="KX5" s="667">
        <v>43.599032038943051</v>
      </c>
      <c r="KY5" s="667">
        <v>41.522412441421395</v>
      </c>
      <c r="KZ5" s="667">
        <v>44.801095121715157</v>
      </c>
      <c r="LA5" s="667">
        <v>52.023054362825555</v>
      </c>
      <c r="LB5" s="667">
        <v>52.001425679903633</v>
      </c>
      <c r="LC5" s="658">
        <f>INDEX(DB!$3:$367,MATCH(LC$2,DB!$D$3:$D$367),8)</f>
        <v>0</v>
      </c>
      <c r="LD5" s="688"/>
      <c r="LE5" s="667">
        <v>44.673177326333089</v>
      </c>
      <c r="LF5" s="667">
        <v>39.249937232813259</v>
      </c>
      <c r="LG5" s="667">
        <v>37.884995323506921</v>
      </c>
      <c r="LH5" s="667">
        <v>41.763158980844189</v>
      </c>
      <c r="LI5" s="667">
        <v>50.307261023860192</v>
      </c>
      <c r="LJ5" s="667">
        <v>48.860278307582639</v>
      </c>
      <c r="LK5" s="658">
        <f>INDEX(DB!$3:$367,MATCH(LK$2,DB!$D$3:$D$367),8)</f>
        <v>0</v>
      </c>
      <c r="LL5" s="688"/>
      <c r="LM5" s="667">
        <v>48.110059587769335</v>
      </c>
      <c r="LN5" s="667">
        <v>41.389452378513631</v>
      </c>
      <c r="LO5" s="667">
        <v>39.946705574553164</v>
      </c>
      <c r="LP5" s="667">
        <v>42.662725114661406</v>
      </c>
      <c r="LQ5" s="667">
        <v>51.125652502707943</v>
      </c>
      <c r="LR5" s="667">
        <v>50.219928104538525</v>
      </c>
      <c r="LS5" s="658">
        <f>INDEX(DB!$3:$367,MATCH(LS$2,DB!$D$3:$D$367),8)</f>
        <v>0</v>
      </c>
      <c r="LT5" s="688"/>
      <c r="LU5" s="667">
        <v>48.665359724130212</v>
      </c>
      <c r="LV5" s="667">
        <v>42.644030436027933</v>
      </c>
      <c r="LW5" s="667">
        <v>43.375738453558739</v>
      </c>
      <c r="LX5" s="667">
        <v>44.377521222287932</v>
      </c>
      <c r="LY5" s="667">
        <v>49.422358267272308</v>
      </c>
      <c r="LZ5" s="667">
        <v>49.07734021294327</v>
      </c>
      <c r="MA5" s="658">
        <f>INDEX(DB!$3:$367,MATCH(MA$2,DB!$D$3:$D$367),8)</f>
        <v>0</v>
      </c>
      <c r="MB5" s="688"/>
      <c r="MC5" s="667">
        <f>INDEX(DB!$3:$367,MATCH(MC$2,DB!$D$3:$D$367),8)</f>
        <v>46.538583432407052</v>
      </c>
      <c r="MD5" s="667">
        <f>INDEX(DB!$3:$367,MATCH(MD$2,DB!$D$3:$D$367),8)</f>
        <v>40.909487575644114</v>
      </c>
      <c r="ME5" s="667">
        <f>INDEX(DB!$3:$367,MATCH(ME$2,DB!$D$3:$D$367),8)</f>
        <v>41.531765400053118</v>
      </c>
      <c r="MF5" s="667">
        <f>INDEX(DB!$3:$367,MATCH(MF$2,DB!$D$3:$D$367),8)</f>
        <v>43.631967861485002</v>
      </c>
      <c r="MG5" s="667">
        <f>INDEX(DB!$3:$367,MATCH(MG$2,DB!$D$3:$D$367),8)</f>
        <v>52.284124568198159</v>
      </c>
      <c r="MH5" s="667">
        <f>INDEX(DB!$3:$367,MATCH(MH$2,DB!$D$3:$D$367),8)</f>
        <v>50.903590649888258</v>
      </c>
      <c r="MI5" s="658">
        <f>INDEX(DB!$3:$367,MATCH(MI$2,DB!$D$3:$D$367),8)</f>
        <v>0</v>
      </c>
      <c r="MJ5" s="688"/>
      <c r="MK5" s="667">
        <v>47.137825862313619</v>
      </c>
      <c r="ML5" s="667">
        <v>0</v>
      </c>
      <c r="MM5" s="667">
        <v>42.720562683239464</v>
      </c>
      <c r="MN5" s="667">
        <v>45.192516549830685</v>
      </c>
      <c r="MO5" s="667">
        <v>54.31132923824569</v>
      </c>
      <c r="MP5" s="667">
        <v>52.877268081419899</v>
      </c>
      <c r="MQ5" s="658">
        <f>INDEX(DB!$3:$367,MATCH(MQ$2,DB!$D$3:$D$367),8)</f>
        <v>0</v>
      </c>
      <c r="MR5" s="688"/>
      <c r="MS5" s="667">
        <v>48.965493849741158</v>
      </c>
      <c r="MT5" s="667">
        <v>43.114570377617241</v>
      </c>
      <c r="MU5" s="667">
        <v>44.376960775275187</v>
      </c>
      <c r="MV5" s="667">
        <v>46.944759345471603</v>
      </c>
      <c r="MW5" s="667">
        <v>0</v>
      </c>
      <c r="MX5" s="667">
        <v>51.77963367770446</v>
      </c>
      <c r="MY5" s="658">
        <f>INDEX(DB!$3:$367,MATCH(MY$2,DB!$D$3:$D$367),8)</f>
        <v>0</v>
      </c>
      <c r="MZ5" s="688"/>
      <c r="NA5" s="667">
        <v>48.798119696549577</v>
      </c>
      <c r="NB5" s="667">
        <v>47.999071592183206</v>
      </c>
      <c r="NC5" s="667">
        <v>47.024592825537276</v>
      </c>
      <c r="ND5" s="667">
        <v>45.970272863825294</v>
      </c>
      <c r="NE5" s="667">
        <v>51.737313007972752</v>
      </c>
      <c r="NF5" s="667">
        <v>51.514405201814434</v>
      </c>
      <c r="NG5" s="658">
        <f>INDEX(DB!$3:$367,MATCH(NG$2,DB!$D$3:$D$367),8)</f>
        <v>0</v>
      </c>
      <c r="NH5" s="688"/>
      <c r="NI5" s="667">
        <v>49.047557796087879</v>
      </c>
      <c r="NJ5" s="667">
        <v>49.472312182461366</v>
      </c>
      <c r="NK5" s="667">
        <v>49.960585388135613</v>
      </c>
      <c r="NL5" s="667">
        <v>50.627842014407008</v>
      </c>
      <c r="NM5" s="667">
        <v>53.14068187559171</v>
      </c>
      <c r="NN5" s="667">
        <v>53.171875780616709</v>
      </c>
      <c r="NO5" s="658">
        <f>INDEX(DB!$3:$367,MATCH(NO$2,DB!$D$3:$D$367),8)</f>
        <v>0</v>
      </c>
      <c r="NP5" s="688"/>
      <c r="NQ5" s="667">
        <v>48.785462492122043</v>
      </c>
      <c r="NR5" s="667">
        <v>56.155002306905345</v>
      </c>
      <c r="NS5" s="667">
        <v>50.147977395439199</v>
      </c>
      <c r="NT5" s="667">
        <v>50.627842014407001</v>
      </c>
      <c r="NU5" s="667">
        <v>51.520878428968132</v>
      </c>
      <c r="NV5" s="667">
        <v>51.572017983800016</v>
      </c>
      <c r="NW5" s="658">
        <f>INDEX(DB!$3:$367,MATCH(NW$2,DB!$D$3:$D$367),8)</f>
        <v>0</v>
      </c>
      <c r="NX5" s="688"/>
      <c r="NY5" s="667">
        <f>INDEX(DB!$3:$367,MATCH(NY$2,DB!$D$3:$D$367),8)</f>
        <v>48.496803230514942</v>
      </c>
      <c r="NZ5" s="667">
        <f>INDEX(DB!$3:$367,MATCH(NZ$2,DB!$D$3:$D$367),8)</f>
        <v>43.422563254430216</v>
      </c>
      <c r="OA5" s="667">
        <f>INDEX(DB!$3:$367,MATCH(OA$2,DB!$D$3:$D$367),8)</f>
        <v>44.053031208971916</v>
      </c>
      <c r="OB5" s="667">
        <f>INDEX(DB!$3:$367,MATCH(OB$2,DB!$D$3:$D$367),8)</f>
        <v>41.340876081131235</v>
      </c>
      <c r="OC5" s="667">
        <f>INDEX(DB!$3:$367,MATCH(OC$2,DB!$D$3:$D$367),8)</f>
        <v>47.857228818962689</v>
      </c>
      <c r="OD5" s="667">
        <f>INDEX(DB!$3:$367,MATCH(OD$2,DB!$D$3:$D$367),8)</f>
        <v>47.833988429279927</v>
      </c>
      <c r="OE5" s="658">
        <f>INDEX(DB!$3:$367,MATCH(OE$2,DB!$D$3:$D$367),8)</f>
        <v>0</v>
      </c>
      <c r="OF5" s="688"/>
      <c r="OG5" s="667">
        <v>44.908657780783749</v>
      </c>
      <c r="OH5" s="667">
        <v>42.269814580550147</v>
      </c>
      <c r="OI5" s="667">
        <v>41.806874001157375</v>
      </c>
      <c r="OJ5" s="667">
        <v>40.471523770087217</v>
      </c>
      <c r="OK5" s="667">
        <v>48.719440158670572</v>
      </c>
      <c r="OL5" s="667">
        <v>50.157712874022856</v>
      </c>
      <c r="OM5" s="658">
        <f>INDEX(DB!$3:$367,MATCH(OM$2,DB!$D$3:$D$367),8)</f>
        <v>0</v>
      </c>
      <c r="ON5" s="688"/>
      <c r="OO5" s="667">
        <f>INDEX(DB!$3:$367,MATCH(OO$2,DB!$D$3:$D$367),8)</f>
        <v>47.769999999999996</v>
      </c>
      <c r="OP5" s="667">
        <f>INDEX(DB!$3:$367,MATCH(OP$2,DB!$D$3:$D$367),8)</f>
        <v>45.47</v>
      </c>
      <c r="OQ5" s="667">
        <f>INDEX(DB!$3:$367,MATCH(OQ$2,DB!$D$3:$D$367),8)</f>
        <v>41.73</v>
      </c>
      <c r="OR5" s="667">
        <f>INDEX(DB!$3:$367,MATCH(OR$2,DB!$D$3:$D$367),8)</f>
        <v>43.099999999999994</v>
      </c>
      <c r="OS5" s="667">
        <f>INDEX(DB!$3:$367,MATCH(OS$2,DB!$D$3:$D$367),8)</f>
        <v>41.7</v>
      </c>
      <c r="OT5" s="667">
        <f>INDEX(DB!$3:$367,MATCH(OT$2,DB!$D$3:$D$367),8)</f>
        <v>36.61</v>
      </c>
      <c r="OU5" s="658">
        <f>INDEX(DB!$3:$367,MATCH(OU$2,DB!$D$3:$D$367),8)</f>
        <v>0</v>
      </c>
      <c r="OV5" s="688"/>
      <c r="OW5" s="667">
        <f>INDEX(DB!$3:$367,MATCH(OW$2,DB!$D$3:$D$367),8)</f>
        <v>41.71</v>
      </c>
      <c r="OX5" s="667">
        <f>INDEX(DB!$3:$367,MATCH(OX$2,DB!$D$3:$D$367),8)</f>
        <v>42.59</v>
      </c>
      <c r="OY5" s="921">
        <f>INDEX(DB!$3:$367,MATCH(OY$2,DB!$D$3:$D$367),8)</f>
        <v>41.52</v>
      </c>
      <c r="OZ5" s="667">
        <f>INDEX(DB!$3:$367,MATCH(OZ$2,DB!$D$3:$D$367),8)</f>
        <v>40.799999999999997</v>
      </c>
      <c r="PA5" s="667">
        <f>INDEX(DB!$3:$367,MATCH(PA$2,DB!$D$3:$D$367),8)</f>
        <v>40.35</v>
      </c>
      <c r="PB5" s="667">
        <f>INDEX(DB!$3:$367,MATCH(PB$2,DB!$D$3:$D$367),8)</f>
        <v>35.340000000000003</v>
      </c>
      <c r="PC5" s="658">
        <f>INDEX(DB!$3:$367,MATCH(PC$2,DB!$D$3:$D$367),8)</f>
        <v>35.340000000000003</v>
      </c>
    </row>
    <row r="6" spans="2:420" ht="15" thickBot="1" x14ac:dyDescent="0.35">
      <c r="B6" s="978"/>
      <c r="C6" s="675" t="s">
        <v>254</v>
      </c>
      <c r="D6" s="689">
        <f>SUM(E6:K6)</f>
        <v>204840.74121350597</v>
      </c>
      <c r="E6" s="668">
        <f>E4*E5*$C$1</f>
        <v>30254.192106501927</v>
      </c>
      <c r="F6" s="668">
        <f t="shared" ref="F6:J6" si="277">F4*F5*$C$1</f>
        <v>30839.434587972304</v>
      </c>
      <c r="G6" s="668">
        <f t="shared" si="277"/>
        <v>28491.31451903173</v>
      </c>
      <c r="H6" s="668">
        <f t="shared" si="277"/>
        <v>24106.5</v>
      </c>
      <c r="I6" s="668">
        <f t="shared" si="277"/>
        <v>45886.5</v>
      </c>
      <c r="J6" s="668">
        <f t="shared" si="277"/>
        <v>45262.8</v>
      </c>
      <c r="K6" s="659"/>
      <c r="L6" s="689">
        <f>SUM(M6:S6)</f>
        <v>198485.06130498889</v>
      </c>
      <c r="M6" s="668">
        <f>M4*M5*$C$1</f>
        <v>29692.050509019762</v>
      </c>
      <c r="N6" s="668">
        <f t="shared" ref="N6:R6" si="278">N4*N5*$C$1</f>
        <v>25200.780835224981</v>
      </c>
      <c r="O6" s="668">
        <f t="shared" si="278"/>
        <v>25386.229960744153</v>
      </c>
      <c r="P6" s="668">
        <f t="shared" si="278"/>
        <v>24651</v>
      </c>
      <c r="Q6" s="668">
        <f t="shared" si="278"/>
        <v>47223</v>
      </c>
      <c r="R6" s="668">
        <f t="shared" si="278"/>
        <v>46332</v>
      </c>
      <c r="S6" s="659"/>
      <c r="T6" s="689">
        <f>SUM(U6:AA6)</f>
        <v>217798.3945097549</v>
      </c>
      <c r="U6" s="668">
        <f>U4*U5*$C$1</f>
        <v>32691.75584870985</v>
      </c>
      <c r="V6" s="668">
        <f t="shared" ref="V6:Z6" si="279">V4*V5*$C$1</f>
        <v>27009.58157638611</v>
      </c>
      <c r="W6" s="668">
        <f t="shared" si="279"/>
        <v>30535.557084658929</v>
      </c>
      <c r="X6" s="668">
        <f t="shared" si="279"/>
        <v>29937.599999999999</v>
      </c>
      <c r="Y6" s="668">
        <f t="shared" si="279"/>
        <v>48341.7</v>
      </c>
      <c r="Z6" s="668">
        <f t="shared" si="279"/>
        <v>49282.2</v>
      </c>
      <c r="AA6" s="659"/>
      <c r="AB6" s="689">
        <f>SUM(AC6:AI6)</f>
        <v>219792.99267615413</v>
      </c>
      <c r="AC6" s="668">
        <f>AC4*AC5*$C$1</f>
        <v>30521.108955223881</v>
      </c>
      <c r="AD6" s="668">
        <f t="shared" ref="AD6:AH6" si="280">AD4*AD5*$C$1</f>
        <v>26515.883720930236</v>
      </c>
      <c r="AE6" s="668">
        <f t="shared" si="280"/>
        <v>28512.000000000004</v>
      </c>
      <c r="AF6" s="668">
        <f t="shared" si="280"/>
        <v>29700</v>
      </c>
      <c r="AG6" s="668">
        <f t="shared" si="280"/>
        <v>50490</v>
      </c>
      <c r="AH6" s="668">
        <f t="shared" si="280"/>
        <v>54054</v>
      </c>
      <c r="AI6" s="659"/>
      <c r="AJ6" s="689">
        <f>SUM(AK6:AQ6)</f>
        <v>219266.16470228875</v>
      </c>
      <c r="AK6" s="668">
        <f>AK4*AK5*$C$1</f>
        <v>35097.011522713081</v>
      </c>
      <c r="AL6" s="668">
        <f t="shared" ref="AL6:AP6" si="281">AL4*AL5*$C$1</f>
        <v>26558.853861888449</v>
      </c>
      <c r="AM6" s="668">
        <f t="shared" si="281"/>
        <v>27405.499317687227</v>
      </c>
      <c r="AN6" s="668">
        <f t="shared" si="281"/>
        <v>27918</v>
      </c>
      <c r="AO6" s="668">
        <f t="shared" si="281"/>
        <v>50935.5</v>
      </c>
      <c r="AP6" s="668">
        <f t="shared" si="281"/>
        <v>51351.3</v>
      </c>
      <c r="AQ6" s="659"/>
      <c r="AR6" s="689">
        <f>SUM(AS6:AY6)</f>
        <v>214406.72259791623</v>
      </c>
      <c r="AS6" s="668">
        <f>AS4*AS5*$C$1</f>
        <v>35629.901169395729</v>
      </c>
      <c r="AT6" s="668">
        <f t="shared" ref="AT6:AX6" si="282">AT4*AT5*$C$1</f>
        <v>25030.055611060357</v>
      </c>
      <c r="AU6" s="668">
        <f t="shared" si="282"/>
        <v>28135.776138495294</v>
      </c>
      <c r="AV6" s="668">
        <f t="shared" si="282"/>
        <v>26115.989678964841</v>
      </c>
      <c r="AW6" s="668">
        <f t="shared" si="282"/>
        <v>50094</v>
      </c>
      <c r="AX6" s="668">
        <f t="shared" si="282"/>
        <v>49401</v>
      </c>
      <c r="AY6" s="659"/>
      <c r="AZ6" s="689">
        <f>SUM(BA6:BG6)</f>
        <v>211722.36599616986</v>
      </c>
      <c r="BA6" s="668">
        <f>BA4*BA5*$C$1</f>
        <v>35495.170647261046</v>
      </c>
      <c r="BB6" s="668">
        <f t="shared" ref="BB6:BF6" si="283">BB4*BB5*$C$1</f>
        <v>24459.293385409706</v>
      </c>
      <c r="BC6" s="668">
        <f t="shared" si="283"/>
        <v>25074.755422035349</v>
      </c>
      <c r="BD6" s="668">
        <f t="shared" si="283"/>
        <v>24554.888554377721</v>
      </c>
      <c r="BE6" s="668">
        <f t="shared" si="283"/>
        <v>51773.521449777218</v>
      </c>
      <c r="BF6" s="668">
        <f t="shared" si="283"/>
        <v>50364.73653730884</v>
      </c>
      <c r="BG6" s="659"/>
      <c r="BH6" s="689">
        <f>SUM(BI6:BO6)</f>
        <v>207127.34109569731</v>
      </c>
      <c r="BI6" s="668">
        <f>BI4*BI5*$C$1</f>
        <v>33699.165819600603</v>
      </c>
      <c r="BJ6" s="668">
        <f t="shared" ref="BJ6:BN6" si="284">BJ4*BJ5*$C$1</f>
        <v>24910.351965721937</v>
      </c>
      <c r="BK6" s="668">
        <f t="shared" si="284"/>
        <v>23739.380640559513</v>
      </c>
      <c r="BL6" s="668">
        <f t="shared" si="284"/>
        <v>24367.919491562774</v>
      </c>
      <c r="BM6" s="668">
        <f t="shared" si="284"/>
        <v>51073.679143360561</v>
      </c>
      <c r="BN6" s="668">
        <f t="shared" si="284"/>
        <v>49336.844034891939</v>
      </c>
      <c r="BO6" s="659"/>
      <c r="BP6" s="689">
        <f>SUM(BQ6:BW6)</f>
        <v>209023.71890334715</v>
      </c>
      <c r="BQ6" s="668">
        <f>BQ4*BQ5*$C$1</f>
        <v>37581.350345735722</v>
      </c>
      <c r="BR6" s="668">
        <f t="shared" ref="BR6:BV6" si="285">BR4*BR5*$C$1</f>
        <v>22416.04875954521</v>
      </c>
      <c r="BS6" s="668">
        <f t="shared" si="285"/>
        <v>23493.150451903599</v>
      </c>
      <c r="BT6" s="668">
        <f t="shared" si="285"/>
        <v>21815.608943765495</v>
      </c>
      <c r="BU6" s="668">
        <f t="shared" si="285"/>
        <v>55125.128833169954</v>
      </c>
      <c r="BV6" s="668">
        <f t="shared" si="285"/>
        <v>48592.431569227148</v>
      </c>
      <c r="BW6" s="659"/>
      <c r="BX6" s="689">
        <f>SUM(BY6:CE6)</f>
        <v>208900.04183650136</v>
      </c>
      <c r="BY6" s="668">
        <f>BY4*BY5*$C$1</f>
        <v>35273.738654157831</v>
      </c>
      <c r="BZ6" s="668">
        <f t="shared" ref="BZ6:CD6" si="286">BZ4*BZ5*$C$1</f>
        <v>23788.174489603756</v>
      </c>
      <c r="CA6" s="668">
        <f t="shared" si="286"/>
        <v>24068.257522866617</v>
      </c>
      <c r="CB6" s="668">
        <f t="shared" si="286"/>
        <v>21869.995841317283</v>
      </c>
      <c r="CC6" s="668">
        <f t="shared" si="286"/>
        <v>52750.622835454742</v>
      </c>
      <c r="CD6" s="668">
        <f t="shared" si="286"/>
        <v>51149.25249310115</v>
      </c>
      <c r="CE6" s="659"/>
      <c r="CF6" s="689">
        <f>SUM(CG6:CM6)</f>
        <v>194494.81517185536</v>
      </c>
      <c r="CG6" s="668">
        <v>35361.67702963006</v>
      </c>
      <c r="CH6" s="668">
        <v>20452.539403182182</v>
      </c>
      <c r="CI6" s="668">
        <v>21533.531878318714</v>
      </c>
      <c r="CJ6" s="668">
        <v>19313.706710294729</v>
      </c>
      <c r="CK6" s="668">
        <v>48229.264075428197</v>
      </c>
      <c r="CL6" s="668">
        <v>49604.096075001464</v>
      </c>
      <c r="CM6" s="659"/>
      <c r="CN6" s="689">
        <f>SUM(CO6:CU6)</f>
        <v>204385.68276339115</v>
      </c>
      <c r="CO6" s="668">
        <v>34228.265483658768</v>
      </c>
      <c r="CP6" s="668">
        <v>22894.725811792796</v>
      </c>
      <c r="CQ6" s="668">
        <v>24107.427013393692</v>
      </c>
      <c r="CR6" s="668">
        <v>21932.391050849958</v>
      </c>
      <c r="CS6" s="668">
        <v>49900.204637293653</v>
      </c>
      <c r="CT6" s="668">
        <v>51322.66876640229</v>
      </c>
      <c r="CU6" s="659"/>
      <c r="CV6" s="689">
        <f>SUM(CW6:DC6)</f>
        <v>199963.17172007478</v>
      </c>
      <c r="CW6" s="668">
        <v>33853.389954030063</v>
      </c>
      <c r="CX6" s="668">
        <v>23242.574886902152</v>
      </c>
      <c r="CY6" s="668">
        <v>21785.235511707422</v>
      </c>
      <c r="CZ6" s="668">
        <v>23858.930843944356</v>
      </c>
      <c r="DA6" s="668">
        <v>50481.837258263353</v>
      </c>
      <c r="DB6" s="668">
        <v>46741.203265227421</v>
      </c>
      <c r="DC6" s="659"/>
      <c r="DD6" s="689">
        <f>SUM(DE6:DK6)</f>
        <v>202549.06707972655</v>
      </c>
      <c r="DE6" s="668">
        <f>DE4*DE5*$C$1</f>
        <v>33210.027593522056</v>
      </c>
      <c r="DF6" s="668">
        <f t="shared" ref="DF6:DJ6" si="287">DF4*DF5*$C$1</f>
        <v>21966.891797925931</v>
      </c>
      <c r="DG6" s="668">
        <f t="shared" si="287"/>
        <v>23243.497156584308</v>
      </c>
      <c r="DH6" s="668">
        <f t="shared" si="287"/>
        <v>24645.63280174488</v>
      </c>
      <c r="DI6" s="668">
        <f t="shared" si="287"/>
        <v>51758.860621080428</v>
      </c>
      <c r="DJ6" s="668">
        <f t="shared" si="287"/>
        <v>47724.157108868938</v>
      </c>
      <c r="DK6" s="659"/>
      <c r="DL6" s="689">
        <f>SUM(DM6:DS6)</f>
        <v>215251.18326514936</v>
      </c>
      <c r="DM6" s="668">
        <v>35571.154639335415</v>
      </c>
      <c r="DN6" s="668">
        <v>24151.006640172451</v>
      </c>
      <c r="DO6" s="668">
        <v>25433.639265909231</v>
      </c>
      <c r="DP6" s="668">
        <v>27110.19608191937</v>
      </c>
      <c r="DQ6" s="668">
        <v>53791.845050525539</v>
      </c>
      <c r="DR6" s="668">
        <v>49193.341587287381</v>
      </c>
      <c r="DS6" s="659"/>
      <c r="DT6" s="689">
        <f>SUM(DU6:EA6)</f>
        <v>181613.93658046456</v>
      </c>
      <c r="DU6" s="668">
        <v>0</v>
      </c>
      <c r="DV6" s="668">
        <v>36892.637361262801</v>
      </c>
      <c r="DW6" s="668">
        <v>25413.690953699705</v>
      </c>
      <c r="DX6" s="668">
        <v>25721.215559405329</v>
      </c>
      <c r="DY6" s="668">
        <v>48973.874781901162</v>
      </c>
      <c r="DZ6" s="668">
        <v>44612.51792419557</v>
      </c>
      <c r="EA6" s="659"/>
      <c r="EB6" s="689">
        <f>SUM(EC6:EI6)</f>
        <v>185702.38182721075</v>
      </c>
      <c r="EC6" s="668">
        <f>EC4*EC5*$C$1</f>
        <v>30264.231880276642</v>
      </c>
      <c r="ED6" s="668">
        <f t="shared" ref="ED6:EH6" si="288">ED4*ED5*$C$1</f>
        <v>21429.122718218241</v>
      </c>
      <c r="EE6" s="668">
        <f t="shared" si="288"/>
        <v>20949.250883968929</v>
      </c>
      <c r="EF6" s="668">
        <f t="shared" si="288"/>
        <v>21768.107903512937</v>
      </c>
      <c r="EG6" s="668">
        <f t="shared" si="288"/>
        <v>48332.377516803885</v>
      </c>
      <c r="EH6" s="668">
        <f t="shared" si="288"/>
        <v>42959.290924430104</v>
      </c>
      <c r="EI6" s="659"/>
      <c r="EJ6" s="689">
        <f>SUM(EK6:EQ6)</f>
        <v>209830.75709533191</v>
      </c>
      <c r="EK6" s="668">
        <f>EK4*EK5*$C$1</f>
        <v>32080.971827234302</v>
      </c>
      <c r="EL6" s="668">
        <f t="shared" ref="EL6:EP6" si="289">EL4*EL5*$C$1</f>
        <v>21806.546327676049</v>
      </c>
      <c r="EM6" s="668">
        <f t="shared" si="289"/>
        <v>23795.931638041278</v>
      </c>
      <c r="EN6" s="668">
        <f t="shared" si="289"/>
        <v>22476.545791285876</v>
      </c>
      <c r="EO6" s="668">
        <f t="shared" si="289"/>
        <v>57948.111393477739</v>
      </c>
      <c r="EP6" s="668">
        <f t="shared" si="289"/>
        <v>51722.650117616649</v>
      </c>
      <c r="EQ6" s="659"/>
      <c r="ER6" s="689">
        <f>SUM(ES6:EY6)</f>
        <v>225501.10316526753</v>
      </c>
      <c r="ES6" s="668">
        <f>ES4*ES5*$C$1</f>
        <v>37110.032868106813</v>
      </c>
      <c r="ET6" s="668">
        <f t="shared" ref="ET6:EX6" si="290">ET4*ET5*$C$1</f>
        <v>27864.788718738717</v>
      </c>
      <c r="EU6" s="668">
        <f t="shared" si="290"/>
        <v>28397.4504296409</v>
      </c>
      <c r="EV6" s="668">
        <f t="shared" si="290"/>
        <v>26136.902439539121</v>
      </c>
      <c r="EW6" s="668">
        <f t="shared" si="290"/>
        <v>57356.804134360624</v>
      </c>
      <c r="EX6" s="668">
        <f t="shared" si="290"/>
        <v>48635.12457488136</v>
      </c>
      <c r="EY6" s="659"/>
      <c r="EZ6" s="689">
        <f>SUM(FA6:FG6)</f>
        <v>237315.38519277686</v>
      </c>
      <c r="FA6" s="668">
        <f>FA4*FA5*$C$1</f>
        <v>39013.966813233223</v>
      </c>
      <c r="FB6" s="668">
        <f t="shared" ref="FB6:FF6" si="291">FB4*FB5*$C$1</f>
        <v>29895.310404592277</v>
      </c>
      <c r="FC6" s="668">
        <f t="shared" si="291"/>
        <v>30085.572539548244</v>
      </c>
      <c r="FD6" s="668">
        <f t="shared" si="291"/>
        <v>31277.963213645122</v>
      </c>
      <c r="FE6" s="668">
        <f t="shared" si="291"/>
        <v>55148.921054958832</v>
      </c>
      <c r="FF6" s="668">
        <f t="shared" si="291"/>
        <v>51893.651166799173</v>
      </c>
      <c r="FG6" s="659"/>
      <c r="FH6" s="689">
        <f>SUM(FI6:FO6)</f>
        <v>188759.63512518629</v>
      </c>
      <c r="FI6" s="668">
        <v>33213.633491224617</v>
      </c>
      <c r="FJ6" s="668">
        <v>23853.869055905569</v>
      </c>
      <c r="FK6" s="668">
        <v>27223.423298207956</v>
      </c>
      <c r="FL6" s="668">
        <v>0</v>
      </c>
      <c r="FM6" s="668">
        <v>45505.220389284696</v>
      </c>
      <c r="FN6" s="668">
        <v>58963.488890563443</v>
      </c>
      <c r="FO6" s="659"/>
      <c r="FP6" s="689">
        <f>SUM(FQ6:FW6)</f>
        <v>226152.14544913545</v>
      </c>
      <c r="FQ6" s="668">
        <v>39387.586599634393</v>
      </c>
      <c r="FR6" s="668">
        <v>29251.461409372947</v>
      </c>
      <c r="FS6" s="668">
        <v>30640.607844432947</v>
      </c>
      <c r="FT6" s="668">
        <v>30329.169726651631</v>
      </c>
      <c r="FU6" s="668">
        <v>49605.800200023659</v>
      </c>
      <c r="FV6" s="668">
        <v>46937.519669019894</v>
      </c>
      <c r="FW6" s="659"/>
      <c r="FX6" s="689">
        <f>SUM(FY6:GE6)</f>
        <v>201448.40298806323</v>
      </c>
      <c r="FY6" s="668">
        <v>0</v>
      </c>
      <c r="FZ6" s="668">
        <v>33261.542460635726</v>
      </c>
      <c r="GA6" s="668">
        <v>33044.652341117486</v>
      </c>
      <c r="GB6" s="668">
        <v>28148.295295766598</v>
      </c>
      <c r="GC6" s="668">
        <v>54794.818675547394</v>
      </c>
      <c r="GD6" s="668">
        <v>52199.094214996017</v>
      </c>
      <c r="GE6" s="659"/>
      <c r="GF6" s="689">
        <f>SUM(GG6:GM6)</f>
        <v>225822.12728844702</v>
      </c>
      <c r="GG6" s="668">
        <v>34874.35627572568</v>
      </c>
      <c r="GH6" s="668">
        <v>29308.889292506632</v>
      </c>
      <c r="GI6" s="668">
        <v>29402.527896921085</v>
      </c>
      <c r="GJ6" s="668">
        <v>27843.92849176607</v>
      </c>
      <c r="GK6" s="668">
        <v>53046.755587372951</v>
      </c>
      <c r="GL6" s="668">
        <v>51345.669744154606</v>
      </c>
      <c r="GM6" s="659"/>
      <c r="GN6" s="689">
        <f>SUM(GO6:GU6)</f>
        <v>217944.35306000646</v>
      </c>
      <c r="GO6" s="668">
        <v>23810.690249462481</v>
      </c>
      <c r="GP6" s="668">
        <v>34582.394535573556</v>
      </c>
      <c r="GQ6" s="668">
        <v>27040.275347389314</v>
      </c>
      <c r="GR6" s="668">
        <v>28183.923800274006</v>
      </c>
      <c r="GS6" s="668">
        <v>53972.350744901451</v>
      </c>
      <c r="GT6" s="668">
        <v>50354.718382405641</v>
      </c>
      <c r="GU6" s="659"/>
      <c r="GV6" s="689">
        <f>SUM(GW6:HC6)</f>
        <v>212666.31583960901</v>
      </c>
      <c r="GW6" s="668">
        <f>GW4*GW5*$C$1</f>
        <v>31127.145658128426</v>
      </c>
      <c r="GX6" s="668">
        <f t="shared" ref="GX6:HB6" si="292">GX4*GX5*$C$1</f>
        <v>26790.362632800741</v>
      </c>
      <c r="GY6" s="668">
        <f t="shared" si="292"/>
        <v>26184.522210505136</v>
      </c>
      <c r="GZ6" s="668">
        <f t="shared" si="292"/>
        <v>26914.729524439157</v>
      </c>
      <c r="HA6" s="668">
        <f t="shared" si="292"/>
        <v>53261.390893497475</v>
      </c>
      <c r="HB6" s="668">
        <f t="shared" si="292"/>
        <v>48388.164920238065</v>
      </c>
      <c r="HC6" s="659"/>
      <c r="HD6" s="689">
        <v>171130.05775458328</v>
      </c>
      <c r="HE6" s="668">
        <v>26040.734718228457</v>
      </c>
      <c r="HF6" s="668">
        <v>21928.715664618096</v>
      </c>
      <c r="HG6" s="668">
        <v>21194.273562572678</v>
      </c>
      <c r="HH6" s="668">
        <v>20135.565279264894</v>
      </c>
      <c r="HI6" s="668">
        <v>43388.485535743697</v>
      </c>
      <c r="HJ6" s="668">
        <v>38442.282994155452</v>
      </c>
      <c r="HK6" s="659"/>
      <c r="HL6" s="689">
        <f>SUM(HM6:HS6)</f>
        <v>155658.03632142305</v>
      </c>
      <c r="HM6" s="668">
        <f>HM4*HM5*$C$1</f>
        <v>22919.051936590095</v>
      </c>
      <c r="HN6" s="668">
        <f t="shared" ref="HN6:HR6" si="293">HN4*HN5*$C$1</f>
        <v>21957.130246251585</v>
      </c>
      <c r="HO6" s="668">
        <f t="shared" si="293"/>
        <v>19227.104757222318</v>
      </c>
      <c r="HP6" s="668">
        <f t="shared" si="293"/>
        <v>20006.445258011823</v>
      </c>
      <c r="HQ6" s="668">
        <f t="shared" si="293"/>
        <v>37134.711596009089</v>
      </c>
      <c r="HR6" s="668">
        <f t="shared" si="293"/>
        <v>34413.592527338122</v>
      </c>
      <c r="HS6" s="659"/>
      <c r="HT6" s="689">
        <f>SUM(HU6:IA6)</f>
        <v>142571.3750293738</v>
      </c>
      <c r="HU6" s="668">
        <v>20356.934407745546</v>
      </c>
      <c r="HV6" s="668">
        <v>19220.655271938933</v>
      </c>
      <c r="HW6" s="668">
        <v>20885.506644239722</v>
      </c>
      <c r="HX6" s="668">
        <v>0</v>
      </c>
      <c r="HY6" s="668">
        <v>44930.980258051146</v>
      </c>
      <c r="HZ6" s="668">
        <v>37177.29844739844</v>
      </c>
      <c r="IA6" s="659"/>
      <c r="IB6" s="689">
        <f>SUM(IC6:II6)</f>
        <v>143388.54444718175</v>
      </c>
      <c r="IC6" s="668">
        <f>IC4*IC5*$C$1</f>
        <v>20525.652385551239</v>
      </c>
      <c r="ID6" s="668">
        <f t="shared" ref="ID6:IH6" si="294">ID4*ID5*$C$1</f>
        <v>19389.541875308507</v>
      </c>
      <c r="IE6" s="668">
        <f t="shared" si="294"/>
        <v>19083.318084353341</v>
      </c>
      <c r="IF6" s="668">
        <f t="shared" si="294"/>
        <v>19941.44382961759</v>
      </c>
      <c r="IG6" s="668">
        <f t="shared" si="294"/>
        <v>33566.554222072074</v>
      </c>
      <c r="IH6" s="668">
        <f t="shared" si="294"/>
        <v>30882.034050279006</v>
      </c>
      <c r="II6" s="659"/>
      <c r="IJ6" s="689">
        <f>SUM(IK6:IQ6)</f>
        <v>150842.84302498645</v>
      </c>
      <c r="IK6" s="668">
        <v>23299.721003711071</v>
      </c>
      <c r="IL6" s="668">
        <v>19655.090711278419</v>
      </c>
      <c r="IM6" s="668">
        <v>19078.649754464328</v>
      </c>
      <c r="IN6" s="668">
        <v>19862.315480878799</v>
      </c>
      <c r="IO6" s="668">
        <v>35821.458168508427</v>
      </c>
      <c r="IP6" s="668">
        <v>33125.607906145422</v>
      </c>
      <c r="IQ6" s="659"/>
      <c r="IR6" s="689">
        <f>SUM(IS6:IY6)</f>
        <v>149837.61406610376</v>
      </c>
      <c r="IS6" s="668">
        <v>23656.608916623707</v>
      </c>
      <c r="IT6" s="668">
        <v>19979.709790149165</v>
      </c>
      <c r="IU6" s="668">
        <v>19801.509587163364</v>
      </c>
      <c r="IV6" s="668">
        <v>19093.042642242595</v>
      </c>
      <c r="IW6" s="668">
        <v>35027.58666423682</v>
      </c>
      <c r="IX6" s="668">
        <v>32279.15646568812</v>
      </c>
      <c r="IY6" s="659"/>
      <c r="IZ6" s="689">
        <f>SUM(JA6:JG6)</f>
        <v>148841.2725675829</v>
      </c>
      <c r="JA6" s="668">
        <f>JA4*JA5*$C$1</f>
        <v>0</v>
      </c>
      <c r="JB6" s="668">
        <f t="shared" ref="JB6:JF6" si="295">JB4*JB5*$C$1</f>
        <v>33413.63561971618</v>
      </c>
      <c r="JC6" s="668">
        <f t="shared" si="295"/>
        <v>22471.299636976997</v>
      </c>
      <c r="JD6" s="668">
        <f t="shared" si="295"/>
        <v>19569.852046318534</v>
      </c>
      <c r="JE6" s="668">
        <f t="shared" si="295"/>
        <v>37729.200000396653</v>
      </c>
      <c r="JF6" s="668">
        <f t="shared" si="295"/>
        <v>35657.285264174541</v>
      </c>
      <c r="JG6" s="659"/>
      <c r="JH6" s="689">
        <f>SUM(JI6:JO6)</f>
        <v>200489.89944731511</v>
      </c>
      <c r="JI6" s="668">
        <v>29050.584371808673</v>
      </c>
      <c r="JJ6" s="668">
        <v>23028.743714661348</v>
      </c>
      <c r="JK6" s="668">
        <v>22526.929638812424</v>
      </c>
      <c r="JL6" s="668">
        <v>23520.879999355511</v>
      </c>
      <c r="JM6" s="668">
        <v>52217.163569301862</v>
      </c>
      <c r="JN6" s="668">
        <v>50145.5981533753</v>
      </c>
      <c r="JO6" s="659"/>
      <c r="JP6" s="689">
        <f>SUM(JQ6:JW6)</f>
        <v>228100.33757804253</v>
      </c>
      <c r="JQ6" s="668">
        <f>JQ4*JQ5*$C$1</f>
        <v>33593.170319966011</v>
      </c>
      <c r="JR6" s="668">
        <f>JR4*JR5*$C$1</f>
        <v>28707.70828441612</v>
      </c>
      <c r="JS6" s="668">
        <f>JS4*JS5*$C$1</f>
        <v>28254.396732311656</v>
      </c>
      <c r="JT6" s="668">
        <f t="shared" ref="JT6:JV6" si="296">JT4*JT5*$C$1</f>
        <v>29162.913612953882</v>
      </c>
      <c r="JU6" s="668">
        <f t="shared" si="296"/>
        <v>56726.362793753098</v>
      </c>
      <c r="JV6" s="668">
        <f t="shared" si="296"/>
        <v>51655.785834641763</v>
      </c>
      <c r="JW6" s="659"/>
      <c r="JX6" s="689">
        <f>SUM(JY6:KE6)</f>
        <v>239070.79814781834</v>
      </c>
      <c r="JY6" s="668">
        <f>JY4*JY5*$C$1</f>
        <v>38031.53523462575</v>
      </c>
      <c r="JZ6" s="668">
        <f t="shared" ref="JZ6:KD6" si="297">JZ4*JZ5*$C$1</f>
        <v>29953.847456597348</v>
      </c>
      <c r="KA6" s="668">
        <f t="shared" si="297"/>
        <v>31303.656136262387</v>
      </c>
      <c r="KB6" s="668">
        <f t="shared" si="297"/>
        <v>28314</v>
      </c>
      <c r="KC6" s="668">
        <f t="shared" si="297"/>
        <v>58632.75</v>
      </c>
      <c r="KD6" s="668">
        <f t="shared" si="297"/>
        <v>52835.009320332843</v>
      </c>
      <c r="KE6" s="659"/>
      <c r="KF6" s="689">
        <f>SUM(KG6:KM6)</f>
        <v>231139.16327355156</v>
      </c>
      <c r="KG6" s="668">
        <f>KG4*KG5*$C$1</f>
        <v>37472.918136095097</v>
      </c>
      <c r="KH6" s="668">
        <f t="shared" ref="KH6:KL6" si="298">KH4*KH5*$C$1</f>
        <v>30492</v>
      </c>
      <c r="KI6" s="668">
        <f t="shared" si="298"/>
        <v>31117.972908853975</v>
      </c>
      <c r="KJ6" s="668">
        <f t="shared" si="298"/>
        <v>28314</v>
      </c>
      <c r="KK6" s="668">
        <f t="shared" si="298"/>
        <v>53252.27222860248</v>
      </c>
      <c r="KL6" s="668">
        <f t="shared" si="298"/>
        <v>50490</v>
      </c>
      <c r="KM6" s="659"/>
      <c r="KN6" s="689">
        <f>SUM(KO6:KU6)</f>
        <v>212668.42475183343</v>
      </c>
      <c r="KO6" s="668">
        <v>34759.716494845365</v>
      </c>
      <c r="KP6" s="668">
        <v>23403.599999999999</v>
      </c>
      <c r="KQ6" s="668">
        <v>25804.35</v>
      </c>
      <c r="KR6" s="668">
        <v>30210.057497385649</v>
      </c>
      <c r="KS6" s="668">
        <v>47982.116896150299</v>
      </c>
      <c r="KT6" s="668">
        <v>50508.583863452142</v>
      </c>
      <c r="KU6" s="659"/>
      <c r="KV6" s="689">
        <f>SUM(KW6:LC6)</f>
        <v>211534.73041790724</v>
      </c>
      <c r="KW6" s="668">
        <v>33892.145720332715</v>
      </c>
      <c r="KX6" s="668">
        <v>23739.672945204489</v>
      </c>
      <c r="KY6" s="668">
        <v>24664.312990204307</v>
      </c>
      <c r="KZ6" s="668">
        <v>28829.504710823701</v>
      </c>
      <c r="LA6" s="668">
        <v>48927.682628237439</v>
      </c>
      <c r="LB6" s="668">
        <v>51481.411423104597</v>
      </c>
      <c r="LC6" s="659"/>
      <c r="LD6" s="689">
        <f>SUM(LE6:LK6)</f>
        <v>207315.37400935678</v>
      </c>
      <c r="LE6" s="668">
        <v>33169.83416480232</v>
      </c>
      <c r="LF6" s="668">
        <v>24285.898662803203</v>
      </c>
      <c r="LG6" s="668">
        <v>27191.955393447093</v>
      </c>
      <c r="LH6" s="668">
        <v>26874.592804173233</v>
      </c>
      <c r="LI6" s="668">
        <v>51049.293123962132</v>
      </c>
      <c r="LJ6" s="668">
        <v>44743.799860168801</v>
      </c>
      <c r="LK6" s="659"/>
      <c r="LL6" s="689">
        <f>SUM(LM6:LS6)</f>
        <v>221958.48740194173</v>
      </c>
      <c r="LM6" s="668">
        <v>35721.719243918735</v>
      </c>
      <c r="LN6" s="668">
        <v>26634.112605573522</v>
      </c>
      <c r="LO6" s="668">
        <v>29660.428889105722</v>
      </c>
      <c r="LP6" s="668">
        <v>29565.268504460353</v>
      </c>
      <c r="LQ6" s="668">
        <v>53145.115776564904</v>
      </c>
      <c r="LR6" s="668">
        <v>47231.842382318486</v>
      </c>
      <c r="LS6" s="659"/>
      <c r="LT6" s="689">
        <f>SUM(LU6:MA6)</f>
        <v>212490.2559288975</v>
      </c>
      <c r="LU6" s="668">
        <v>33725.094288822234</v>
      </c>
      <c r="LV6" s="668">
        <v>25330.554079000591</v>
      </c>
      <c r="LW6" s="668">
        <v>25765.18864141389</v>
      </c>
      <c r="LX6" s="668">
        <v>25261.903955787406</v>
      </c>
      <c r="LY6" s="668">
        <v>53820.948153059544</v>
      </c>
      <c r="LZ6" s="668">
        <v>48586.566810813842</v>
      </c>
      <c r="MA6" s="659"/>
      <c r="MB6" s="689">
        <f>SUM(MC6:MI6)</f>
        <v>212380.23133848482</v>
      </c>
      <c r="MC6" s="668">
        <f>MC4*MC5*$C$1</f>
        <v>36858.558078466383</v>
      </c>
      <c r="MD6" s="668">
        <f t="shared" ref="MD6:MH6" si="299">MD4*MD5*$C$1</f>
        <v>28350.274889921373</v>
      </c>
      <c r="ME6" s="668">
        <f t="shared" si="299"/>
        <v>26725.691034934182</v>
      </c>
      <c r="MF6" s="668">
        <f t="shared" si="299"/>
        <v>25917.388909722093</v>
      </c>
      <c r="MG6" s="668">
        <f t="shared" si="299"/>
        <v>49173.219156390369</v>
      </c>
      <c r="MH6" s="668">
        <f t="shared" si="299"/>
        <v>45355.099269050435</v>
      </c>
      <c r="MI6" s="659"/>
      <c r="MJ6" s="689">
        <f>SUM(MK6:MQ6)</f>
        <v>211742.76106894933</v>
      </c>
      <c r="MK6" s="668">
        <v>37333.158082952388</v>
      </c>
      <c r="ML6" s="668">
        <v>0</v>
      </c>
      <c r="MM6" s="668">
        <v>33834.685645125661</v>
      </c>
      <c r="MN6" s="668">
        <v>29081.384399816045</v>
      </c>
      <c r="MO6" s="668">
        <v>59145.037540449557</v>
      </c>
      <c r="MP6" s="668">
        <v>52348.495400605701</v>
      </c>
      <c r="MQ6" s="659"/>
      <c r="MR6" s="689">
        <f>SUM(MS6:MY6)</f>
        <v>183590.30525281944</v>
      </c>
      <c r="MS6" s="668">
        <v>38780.671128994996</v>
      </c>
      <c r="MT6" s="668">
        <v>34146.739739072851</v>
      </c>
      <c r="MU6" s="668">
        <v>17573.276467008971</v>
      </c>
      <c r="MV6" s="668">
        <v>41827.780576815196</v>
      </c>
      <c r="MW6" s="668">
        <v>0</v>
      </c>
      <c r="MX6" s="668">
        <v>51261.837340927421</v>
      </c>
      <c r="MY6" s="659"/>
      <c r="MZ6" s="689">
        <f>SUM(NA6:NG6)</f>
        <v>217174.37692566385</v>
      </c>
      <c r="NA6" s="668">
        <v>33475.510111833013</v>
      </c>
      <c r="NB6" s="668">
        <v>30575.408604220702</v>
      </c>
      <c r="NC6" s="668">
        <v>29954.665629867246</v>
      </c>
      <c r="ND6" s="668">
        <v>27030.520443929272</v>
      </c>
      <c r="NE6" s="668">
        <v>50702.566747813296</v>
      </c>
      <c r="NF6" s="668">
        <v>45435.70538800033</v>
      </c>
      <c r="NG6" s="659"/>
      <c r="NH6" s="689">
        <f>SUM(NI6:NO6)</f>
        <v>308131.51907578338</v>
      </c>
      <c r="NI6" s="668">
        <v>36049.954980124596</v>
      </c>
      <c r="NJ6" s="668">
        <v>48482.865938812138</v>
      </c>
      <c r="NK6" s="668">
        <v>48961.373680372904</v>
      </c>
      <c r="NL6" s="668">
        <v>49615.285174118872</v>
      </c>
      <c r="NM6" s="668">
        <v>65097.33529759985</v>
      </c>
      <c r="NN6" s="668">
        <v>59924.704004755033</v>
      </c>
      <c r="NO6" s="659"/>
      <c r="NP6" s="689">
        <f>SUM(NQ6:NW6)</f>
        <v>318394.07932673936</v>
      </c>
      <c r="NQ6" s="668">
        <v>47809.753242279607</v>
      </c>
      <c r="NR6" s="668">
        <v>63286.687599882323</v>
      </c>
      <c r="NS6" s="668">
        <v>51602.26873990694</v>
      </c>
      <c r="NT6" s="668">
        <v>49615.285174118864</v>
      </c>
      <c r="NU6" s="668">
        <v>55539.506946427638</v>
      </c>
      <c r="NV6" s="668">
        <v>50540.577624124016</v>
      </c>
      <c r="NW6" s="659"/>
      <c r="NX6" s="689">
        <f>SUM(NY6:OE6)</f>
        <v>217815.38248902216</v>
      </c>
      <c r="NY6" s="668">
        <f>NY4*NY5*$C$1</f>
        <v>36008.876398657347</v>
      </c>
      <c r="NZ6" s="668">
        <f t="shared" ref="NZ6:OD6" si="300">NZ4*NZ5*$C$1</f>
        <v>32241.253216414436</v>
      </c>
      <c r="OA6" s="668">
        <f t="shared" si="300"/>
        <v>31619.063150239592</v>
      </c>
      <c r="OB6" s="668">
        <f t="shared" si="300"/>
        <v>25579.667075199952</v>
      </c>
      <c r="OC6" s="668">
        <f t="shared" si="300"/>
        <v>47378.656530773063</v>
      </c>
      <c r="OD6" s="668">
        <f t="shared" si="300"/>
        <v>44987.866117737773</v>
      </c>
      <c r="OE6" s="659"/>
      <c r="OF6" s="689">
        <f>SUM(OG6:OM6)</f>
        <v>217702.01659834918</v>
      </c>
      <c r="OG6" s="668">
        <v>33344.678402231933</v>
      </c>
      <c r="OH6" s="668">
        <v>29292.981504321251</v>
      </c>
      <c r="OI6" s="668">
        <v>26902.723419744769</v>
      </c>
      <c r="OJ6" s="668">
        <v>23038.414906122147</v>
      </c>
      <c r="OK6" s="668">
        <v>55467.082620646448</v>
      </c>
      <c r="OL6" s="668">
        <v>49656.135745282627</v>
      </c>
      <c r="OM6" s="659"/>
      <c r="ON6" s="689">
        <f>SUM(OO6:OU6)</f>
        <v>330352.85249999998</v>
      </c>
      <c r="OO6" s="668">
        <f>OO4*OO5*$C$1</f>
        <v>35469.224999999999</v>
      </c>
      <c r="OP6" s="668">
        <f t="shared" ref="OP6:OT6" si="301">OP4*OP5*$C$1</f>
        <v>40513.769999999997</v>
      </c>
      <c r="OQ6" s="668">
        <f t="shared" si="301"/>
        <v>37181.43</v>
      </c>
      <c r="OR6" s="668">
        <f t="shared" si="301"/>
        <v>66136.949999999983</v>
      </c>
      <c r="OS6" s="668">
        <f t="shared" si="301"/>
        <v>79469.774999999994</v>
      </c>
      <c r="OT6" s="668">
        <f t="shared" si="301"/>
        <v>71581.702499999999</v>
      </c>
      <c r="OU6" s="659"/>
      <c r="OV6" s="689">
        <f>SUM(OW6:PC6)</f>
        <v>309201.255</v>
      </c>
      <c r="OW6" s="668">
        <f>OW4*OW5*$C$1</f>
        <v>33034.32</v>
      </c>
      <c r="OX6" s="668">
        <f t="shared" ref="OX6:PB6" si="302">OX4*OX5*$C$1</f>
        <v>37947.69</v>
      </c>
      <c r="OY6" s="668">
        <f t="shared" si="302"/>
        <v>39049.56</v>
      </c>
      <c r="OZ6" s="668">
        <f t="shared" si="302"/>
        <v>56548.799999999996</v>
      </c>
      <c r="PA6" s="668">
        <f t="shared" si="302"/>
        <v>77895.675000000003</v>
      </c>
      <c r="PB6" s="668">
        <f t="shared" si="302"/>
        <v>64725.210000000006</v>
      </c>
      <c r="PC6" s="659"/>
    </row>
    <row r="7" spans="2:420" ht="15" thickBot="1" x14ac:dyDescent="0.35">
      <c r="B7" s="978"/>
      <c r="C7" s="698" t="s">
        <v>255</v>
      </c>
      <c r="D7" s="189">
        <f>SUM(E7:K7)</f>
        <v>4323</v>
      </c>
      <c r="E7" s="166">
        <v>615</v>
      </c>
      <c r="F7" s="166">
        <v>676</v>
      </c>
      <c r="G7" s="312">
        <v>577</v>
      </c>
      <c r="H7" s="166">
        <v>515</v>
      </c>
      <c r="I7" s="166">
        <v>900</v>
      </c>
      <c r="J7" s="825">
        <v>1040</v>
      </c>
      <c r="K7" s="659"/>
      <c r="L7" s="189">
        <f>SUM(M7:S7)</f>
        <v>4331</v>
      </c>
      <c r="M7" s="166">
        <v>650</v>
      </c>
      <c r="N7" s="312">
        <v>400</v>
      </c>
      <c r="O7" s="312">
        <v>660</v>
      </c>
      <c r="P7" s="166">
        <v>600</v>
      </c>
      <c r="Q7" s="166">
        <v>1011</v>
      </c>
      <c r="R7" s="166">
        <v>1010</v>
      </c>
      <c r="S7" s="659"/>
      <c r="T7" s="189">
        <f>SUM(U7:AA7)</f>
        <v>4430</v>
      </c>
      <c r="U7" s="166">
        <v>675</v>
      </c>
      <c r="V7" s="166">
        <v>615</v>
      </c>
      <c r="W7" s="312">
        <v>585</v>
      </c>
      <c r="X7" s="166">
        <v>505</v>
      </c>
      <c r="Y7" s="312">
        <v>1060</v>
      </c>
      <c r="Z7" s="312">
        <v>990</v>
      </c>
      <c r="AA7" s="659"/>
      <c r="AB7" s="189">
        <f>SUM(AC7:AI7)</f>
        <v>4480</v>
      </c>
      <c r="AC7" s="166">
        <v>750</v>
      </c>
      <c r="AD7" s="312">
        <v>545</v>
      </c>
      <c r="AE7" s="312">
        <v>610</v>
      </c>
      <c r="AF7" s="166">
        <v>515</v>
      </c>
      <c r="AG7" s="312">
        <v>1010</v>
      </c>
      <c r="AH7" s="733">
        <v>1050</v>
      </c>
      <c r="AI7" s="659"/>
      <c r="AJ7" s="189">
        <f>SUM(AK7:AQ7)</f>
        <v>4610</v>
      </c>
      <c r="AK7" s="166">
        <v>760</v>
      </c>
      <c r="AL7" s="312">
        <v>647</v>
      </c>
      <c r="AM7" s="312">
        <v>610</v>
      </c>
      <c r="AN7" s="312">
        <v>510</v>
      </c>
      <c r="AO7" s="312">
        <v>1023</v>
      </c>
      <c r="AP7" s="312">
        <v>1060</v>
      </c>
      <c r="AQ7" s="659"/>
      <c r="AR7" s="189">
        <f>SUM(AS7:AY7)</f>
        <v>4240</v>
      </c>
      <c r="AS7" s="312">
        <v>755</v>
      </c>
      <c r="AT7" s="733">
        <v>475</v>
      </c>
      <c r="AU7" s="733">
        <v>465</v>
      </c>
      <c r="AV7" s="733">
        <v>460</v>
      </c>
      <c r="AW7" s="166">
        <v>1125</v>
      </c>
      <c r="AX7" s="733">
        <v>960</v>
      </c>
      <c r="AY7" s="659"/>
      <c r="AZ7" s="189">
        <f>SUM(BA7:BG7)</f>
        <v>4275</v>
      </c>
      <c r="BA7" s="166">
        <v>755</v>
      </c>
      <c r="BB7" s="166">
        <v>500</v>
      </c>
      <c r="BC7" s="166">
        <v>450</v>
      </c>
      <c r="BD7" s="166">
        <v>480</v>
      </c>
      <c r="BE7" s="166">
        <v>1120</v>
      </c>
      <c r="BF7" s="166">
        <v>970</v>
      </c>
      <c r="BG7" s="659"/>
      <c r="BH7" s="189">
        <f>SUM(BI7:BO7)</f>
        <v>4375</v>
      </c>
      <c r="BI7" s="166">
        <v>800</v>
      </c>
      <c r="BJ7" s="166">
        <v>475</v>
      </c>
      <c r="BK7" s="166">
        <v>500</v>
      </c>
      <c r="BL7" s="166">
        <v>460</v>
      </c>
      <c r="BM7" s="733">
        <v>1090</v>
      </c>
      <c r="BN7" s="733">
        <v>1050</v>
      </c>
      <c r="BO7" s="659"/>
      <c r="BP7" s="189">
        <f>SUM(BQ7:BW7)</f>
        <v>4055</v>
      </c>
      <c r="BQ7" s="166">
        <v>765</v>
      </c>
      <c r="BR7" s="825">
        <v>475</v>
      </c>
      <c r="BS7" s="825">
        <v>450</v>
      </c>
      <c r="BT7" s="166">
        <v>505</v>
      </c>
      <c r="BU7" s="166">
        <v>960</v>
      </c>
      <c r="BV7" s="166">
        <v>900</v>
      </c>
      <c r="BW7" s="659"/>
      <c r="BX7" s="189">
        <f>SUM(BY7:CE7)</f>
        <v>4027</v>
      </c>
      <c r="BY7" s="166">
        <v>750</v>
      </c>
      <c r="BZ7" s="166">
        <v>520</v>
      </c>
      <c r="CA7" s="166">
        <v>477</v>
      </c>
      <c r="CB7" s="166">
        <v>425</v>
      </c>
      <c r="CC7" s="166">
        <f t="shared" ref="CC7" si="303">CC4</f>
        <v>1050</v>
      </c>
      <c r="CD7" s="166">
        <v>805</v>
      </c>
      <c r="CE7" s="659"/>
      <c r="CF7" s="189">
        <f>SUM(CG7:CM7)</f>
        <v>3892</v>
      </c>
      <c r="CG7" s="166">
        <v>730</v>
      </c>
      <c r="CH7" s="166">
        <v>450</v>
      </c>
      <c r="CI7" s="166">
        <v>450</v>
      </c>
      <c r="CJ7" s="166">
        <v>415</v>
      </c>
      <c r="CK7" s="166">
        <v>980</v>
      </c>
      <c r="CL7" s="166">
        <v>867</v>
      </c>
      <c r="CM7" s="659"/>
      <c r="CN7" s="189">
        <f>SUM(CO7:CU7)</f>
        <v>3940</v>
      </c>
      <c r="CO7" s="166">
        <v>700</v>
      </c>
      <c r="CP7" s="166">
        <v>500</v>
      </c>
      <c r="CQ7" s="166">
        <v>400</v>
      </c>
      <c r="CR7" s="166">
        <v>415</v>
      </c>
      <c r="CS7" s="166">
        <v>1030</v>
      </c>
      <c r="CT7" s="166">
        <v>895</v>
      </c>
      <c r="CU7" s="659"/>
      <c r="CV7" s="189">
        <f>SUM(CW7:DC7)</f>
        <v>4047</v>
      </c>
      <c r="CW7" s="166">
        <v>690</v>
      </c>
      <c r="CX7" s="166">
        <v>450</v>
      </c>
      <c r="CY7" s="166">
        <v>520</v>
      </c>
      <c r="CZ7" s="166">
        <v>480</v>
      </c>
      <c r="DA7" s="166">
        <v>1020</v>
      </c>
      <c r="DB7" s="166">
        <v>887</v>
      </c>
      <c r="DC7" s="659"/>
      <c r="DD7" s="189">
        <f>SUM(DE7:DK7)</f>
        <v>3851</v>
      </c>
      <c r="DE7" s="166">
        <v>663</v>
      </c>
      <c r="DF7" s="166">
        <v>420</v>
      </c>
      <c r="DG7" s="166">
        <v>510</v>
      </c>
      <c r="DH7" s="166">
        <v>509</v>
      </c>
      <c r="DI7" s="166">
        <v>896</v>
      </c>
      <c r="DJ7" s="166">
        <v>853</v>
      </c>
      <c r="DK7" s="659"/>
      <c r="DL7" s="189">
        <f>SUM(DM7:DS7)</f>
        <v>4225</v>
      </c>
      <c r="DM7" s="166">
        <v>650</v>
      </c>
      <c r="DN7" s="166">
        <v>517</v>
      </c>
      <c r="DO7" s="166">
        <v>496</v>
      </c>
      <c r="DP7" s="166">
        <v>485</v>
      </c>
      <c r="DQ7" s="166">
        <v>1063</v>
      </c>
      <c r="DR7" s="166">
        <v>1014</v>
      </c>
      <c r="DS7" s="659"/>
      <c r="DT7" s="189">
        <f>SUM(DU7:EA7)</f>
        <v>4013</v>
      </c>
      <c r="DU7" s="166">
        <f t="shared" ref="DU7" si="304">DU4</f>
        <v>0</v>
      </c>
      <c r="DV7" s="166">
        <v>882</v>
      </c>
      <c r="DW7" s="166">
        <v>600</v>
      </c>
      <c r="DX7" s="166">
        <v>551</v>
      </c>
      <c r="DY7" s="166">
        <v>1080</v>
      </c>
      <c r="DZ7" s="166">
        <v>900</v>
      </c>
      <c r="EA7" s="659"/>
      <c r="EB7" s="189">
        <f>SUM(EC7:EI7)</f>
        <v>4087</v>
      </c>
      <c r="EC7" s="166">
        <v>681</v>
      </c>
      <c r="ED7" s="166">
        <v>510</v>
      </c>
      <c r="EE7" s="166">
        <v>512</v>
      </c>
      <c r="EF7" s="166">
        <v>500</v>
      </c>
      <c r="EG7" s="166">
        <v>988</v>
      </c>
      <c r="EH7" s="166">
        <v>896</v>
      </c>
      <c r="EI7" s="659"/>
      <c r="EJ7" s="189">
        <f>SUM(EK7:EQ7)</f>
        <v>4478</v>
      </c>
      <c r="EK7" s="166">
        <v>683</v>
      </c>
      <c r="EL7" s="166">
        <v>575</v>
      </c>
      <c r="EM7" s="166">
        <v>500</v>
      </c>
      <c r="EN7" s="166">
        <v>490</v>
      </c>
      <c r="EO7" s="166">
        <v>1180</v>
      </c>
      <c r="EP7" s="166">
        <v>1050</v>
      </c>
      <c r="EQ7" s="659"/>
      <c r="ER7" s="189">
        <f>SUM(ES7:EY7)</f>
        <v>4669</v>
      </c>
      <c r="ES7" s="166">
        <v>800</v>
      </c>
      <c r="ET7" s="166">
        <v>592</v>
      </c>
      <c r="EU7" s="166">
        <v>590</v>
      </c>
      <c r="EV7" s="166">
        <v>590</v>
      </c>
      <c r="EW7" s="166">
        <v>1175</v>
      </c>
      <c r="EX7" s="166">
        <v>922</v>
      </c>
      <c r="EY7" s="659"/>
      <c r="EZ7" s="189">
        <f>SUM(FA7:FG7)</f>
        <v>4210</v>
      </c>
      <c r="FA7" s="166">
        <v>700</v>
      </c>
      <c r="FB7" s="166">
        <v>545</v>
      </c>
      <c r="FC7" s="166">
        <v>575</v>
      </c>
      <c r="FD7" s="166">
        <v>550</v>
      </c>
      <c r="FE7" s="166">
        <v>1015</v>
      </c>
      <c r="FF7" s="166">
        <v>825</v>
      </c>
      <c r="FG7" s="659"/>
      <c r="FH7" s="189">
        <f>SUM(FI7:FO7)</f>
        <v>3685</v>
      </c>
      <c r="FI7" s="166">
        <v>592</v>
      </c>
      <c r="FJ7" s="166">
        <f t="shared" ref="FJ7:FL7" si="305">FJ4</f>
        <v>550</v>
      </c>
      <c r="FK7" s="166">
        <v>568</v>
      </c>
      <c r="FL7" s="166">
        <f t="shared" si="305"/>
        <v>0</v>
      </c>
      <c r="FM7" s="166">
        <v>895</v>
      </c>
      <c r="FN7" s="166">
        <v>1080</v>
      </c>
      <c r="FO7" s="659"/>
      <c r="FP7" s="189">
        <f>SUM(FQ7:FW7)</f>
        <v>4747</v>
      </c>
      <c r="FQ7" s="166">
        <v>870</v>
      </c>
      <c r="FR7" s="166">
        <f t="shared" ref="FR7" si="306">FR4</f>
        <v>650</v>
      </c>
      <c r="FS7" s="166">
        <v>715</v>
      </c>
      <c r="FT7" s="166">
        <v>600</v>
      </c>
      <c r="FU7" s="166">
        <v>992</v>
      </c>
      <c r="FV7" s="166">
        <v>920</v>
      </c>
      <c r="FW7" s="659"/>
      <c r="FX7" s="189">
        <f>SUM(FY7:GE7)</f>
        <v>3992</v>
      </c>
      <c r="FY7" s="166">
        <f t="shared" ref="FY7" si="307">FY4</f>
        <v>0</v>
      </c>
      <c r="FZ7" s="166">
        <v>785</v>
      </c>
      <c r="GA7" s="166">
        <v>647</v>
      </c>
      <c r="GB7" s="166">
        <v>520</v>
      </c>
      <c r="GC7" s="166">
        <v>1020</v>
      </c>
      <c r="GD7" s="166">
        <v>1020</v>
      </c>
      <c r="GE7" s="659"/>
      <c r="GF7" s="189">
        <f>SUM(GG7:GM7)</f>
        <v>4179</v>
      </c>
      <c r="GG7" s="166">
        <v>683</v>
      </c>
      <c r="GH7" s="166">
        <v>575</v>
      </c>
      <c r="GI7" s="166">
        <v>560</v>
      </c>
      <c r="GJ7" s="166">
        <v>500</v>
      </c>
      <c r="GK7" s="166">
        <v>911</v>
      </c>
      <c r="GL7" s="166">
        <v>950</v>
      </c>
      <c r="GM7" s="659"/>
      <c r="GN7" s="189">
        <f>SUM(GO7:GU7)</f>
        <v>4244</v>
      </c>
      <c r="GO7" s="166">
        <v>480</v>
      </c>
      <c r="GP7" s="166">
        <v>733</v>
      </c>
      <c r="GQ7" s="166">
        <v>611</v>
      </c>
      <c r="GR7" s="166">
        <v>590</v>
      </c>
      <c r="GS7" s="166">
        <v>950</v>
      </c>
      <c r="GT7" s="166">
        <v>880</v>
      </c>
      <c r="GU7" s="659"/>
      <c r="GV7" s="189">
        <f>SUM(GW7:HC7)</f>
        <v>3823</v>
      </c>
      <c r="GW7" s="166">
        <v>600</v>
      </c>
      <c r="GX7" s="166">
        <v>553</v>
      </c>
      <c r="GY7" s="166">
        <v>570</v>
      </c>
      <c r="GZ7" s="166">
        <v>562</v>
      </c>
      <c r="HA7" s="166">
        <v>838</v>
      </c>
      <c r="HB7" s="166">
        <v>700</v>
      </c>
      <c r="HC7" s="659"/>
      <c r="HD7" s="189">
        <f>SUM(HE7:HK7)</f>
        <v>3463</v>
      </c>
      <c r="HE7" s="166">
        <v>530</v>
      </c>
      <c r="HF7" s="166">
        <v>515</v>
      </c>
      <c r="HG7" s="166">
        <v>421</v>
      </c>
      <c r="HH7" s="166">
        <v>442</v>
      </c>
      <c r="HI7" s="166">
        <v>809</v>
      </c>
      <c r="HJ7" s="166">
        <v>746</v>
      </c>
      <c r="HK7" s="659"/>
      <c r="HL7" s="189">
        <f>SUM(HM7:HS7)</f>
        <v>3388</v>
      </c>
      <c r="HM7" s="166">
        <v>496</v>
      </c>
      <c r="HN7" s="166">
        <v>510</v>
      </c>
      <c r="HO7" s="166">
        <v>495</v>
      </c>
      <c r="HP7" s="166">
        <v>440</v>
      </c>
      <c r="HQ7" s="166">
        <v>749</v>
      </c>
      <c r="HR7" s="166">
        <v>698</v>
      </c>
      <c r="HS7" s="659"/>
      <c r="HT7" s="189">
        <f>SUM(HU7:IA7)</f>
        <v>2865</v>
      </c>
      <c r="HU7" s="166">
        <v>446</v>
      </c>
      <c r="HV7" s="166">
        <v>457</v>
      </c>
      <c r="HW7" s="166">
        <v>518</v>
      </c>
      <c r="HX7" s="166">
        <f t="shared" ref="HX7" si="308">HX4</f>
        <v>0</v>
      </c>
      <c r="HY7" s="166">
        <v>797</v>
      </c>
      <c r="HZ7" s="166">
        <v>647</v>
      </c>
      <c r="IA7" s="659"/>
      <c r="IB7" s="189">
        <f>SUM(IC7:II7)</f>
        <v>3448</v>
      </c>
      <c r="IC7" s="166">
        <v>514</v>
      </c>
      <c r="ID7" s="166">
        <v>474</v>
      </c>
      <c r="IE7" s="166">
        <v>435</v>
      </c>
      <c r="IF7" s="166">
        <v>451</v>
      </c>
      <c r="IG7" s="166">
        <v>824</v>
      </c>
      <c r="IH7" s="166">
        <v>750</v>
      </c>
      <c r="II7" s="659"/>
      <c r="IJ7" s="189">
        <f>SUM(IK7:IQ7)</f>
        <v>3722</v>
      </c>
      <c r="IK7" s="166">
        <v>575</v>
      </c>
      <c r="IL7" s="166">
        <v>522</v>
      </c>
      <c r="IM7" s="166">
        <v>518</v>
      </c>
      <c r="IN7" s="166">
        <v>555</v>
      </c>
      <c r="IO7" s="166">
        <v>807</v>
      </c>
      <c r="IP7" s="166">
        <v>745</v>
      </c>
      <c r="IQ7" s="659"/>
      <c r="IR7" s="189">
        <f>SUM(IS7:IY7)</f>
        <v>3512</v>
      </c>
      <c r="IS7" s="166">
        <v>634</v>
      </c>
      <c r="IT7" s="166">
        <v>500</v>
      </c>
      <c r="IU7" s="166">
        <v>482</v>
      </c>
      <c r="IV7" s="166">
        <v>508</v>
      </c>
      <c r="IW7" s="166">
        <v>713</v>
      </c>
      <c r="IX7" s="166">
        <v>675</v>
      </c>
      <c r="IY7" s="659"/>
      <c r="IZ7" s="189">
        <f>SUM(JA7:JG7)</f>
        <v>3142</v>
      </c>
      <c r="JA7" s="166">
        <f t="shared" ref="JA7" si="309">JA4</f>
        <v>0</v>
      </c>
      <c r="JB7" s="166">
        <v>691</v>
      </c>
      <c r="JC7" s="166">
        <v>590</v>
      </c>
      <c r="JD7" s="166">
        <v>417</v>
      </c>
      <c r="JE7" s="166">
        <v>724</v>
      </c>
      <c r="JF7" s="166">
        <v>720</v>
      </c>
      <c r="JG7" s="659"/>
      <c r="JH7" s="189">
        <f>SUM(JI7:JO7)</f>
        <v>3954</v>
      </c>
      <c r="JI7" s="166">
        <v>590</v>
      </c>
      <c r="JJ7" s="166">
        <v>475</v>
      </c>
      <c r="JK7" s="166">
        <v>489</v>
      </c>
      <c r="JL7" s="166">
        <v>500</v>
      </c>
      <c r="JM7" s="166">
        <v>1000</v>
      </c>
      <c r="JN7" s="166">
        <v>900</v>
      </c>
      <c r="JO7" s="659"/>
      <c r="JP7" s="189">
        <f>SUM(JQ7:JW7)</f>
        <v>4640</v>
      </c>
      <c r="JQ7" s="166">
        <v>600</v>
      </c>
      <c r="JR7" s="166">
        <v>625</v>
      </c>
      <c r="JS7" s="166">
        <v>600</v>
      </c>
      <c r="JT7" s="166">
        <v>730</v>
      </c>
      <c r="JU7" s="166">
        <v>1090</v>
      </c>
      <c r="JV7" s="166">
        <v>995</v>
      </c>
      <c r="JW7" s="659"/>
      <c r="JX7" s="189">
        <f>SUM(JY7:KE7)</f>
        <v>4897</v>
      </c>
      <c r="JY7" s="166">
        <v>765</v>
      </c>
      <c r="JZ7" s="166">
        <v>761</v>
      </c>
      <c r="KA7" s="166">
        <v>780</v>
      </c>
      <c r="KB7" s="166">
        <v>660</v>
      </c>
      <c r="KC7" s="166">
        <v>930</v>
      </c>
      <c r="KD7" s="166">
        <v>1001</v>
      </c>
      <c r="KE7" s="659"/>
      <c r="KF7" s="189">
        <f>SUM(KG7:KM7)</f>
        <v>4331</v>
      </c>
      <c r="KG7" s="166">
        <v>730</v>
      </c>
      <c r="KH7" s="166">
        <v>590</v>
      </c>
      <c r="KI7" s="166">
        <v>615</v>
      </c>
      <c r="KJ7" s="166">
        <v>565</v>
      </c>
      <c r="KK7" s="166">
        <v>950</v>
      </c>
      <c r="KL7" s="166">
        <v>881</v>
      </c>
      <c r="KM7" s="659"/>
      <c r="KN7" s="189">
        <f>SUM(KO7:KU7)</f>
        <v>4270</v>
      </c>
      <c r="KO7" s="166">
        <v>734</v>
      </c>
      <c r="KP7" s="166">
        <v>566</v>
      </c>
      <c r="KQ7" s="166">
        <v>584</v>
      </c>
      <c r="KR7" s="166">
        <v>531</v>
      </c>
      <c r="KS7" s="166">
        <v>936</v>
      </c>
      <c r="KT7" s="166">
        <v>919</v>
      </c>
      <c r="KU7" s="659"/>
      <c r="KV7" s="189">
        <f>SUM(KW7:LC7)</f>
        <v>4522</v>
      </c>
      <c r="KW7" s="166">
        <v>728</v>
      </c>
      <c r="KX7" s="166">
        <v>619</v>
      </c>
      <c r="KY7" s="166">
        <v>704</v>
      </c>
      <c r="KZ7" s="166">
        <v>585</v>
      </c>
      <c r="LA7" s="166">
        <v>890</v>
      </c>
      <c r="LB7" s="166">
        <v>996</v>
      </c>
      <c r="LC7" s="659"/>
      <c r="LD7" s="189">
        <f>SUM(LE7:LK7)</f>
        <v>4345</v>
      </c>
      <c r="LE7" s="166">
        <v>740</v>
      </c>
      <c r="LF7" s="166">
        <v>595</v>
      </c>
      <c r="LG7" s="166">
        <v>607</v>
      </c>
      <c r="LH7" s="166">
        <v>557</v>
      </c>
      <c r="LI7" s="166">
        <v>966</v>
      </c>
      <c r="LJ7" s="166">
        <v>880</v>
      </c>
      <c r="LK7" s="659"/>
      <c r="LL7" s="189">
        <f>SUM(LM7:LS7)</f>
        <v>4378</v>
      </c>
      <c r="LM7" s="166">
        <v>683</v>
      </c>
      <c r="LN7" s="166">
        <v>590</v>
      </c>
      <c r="LO7" s="166">
        <v>575</v>
      </c>
      <c r="LP7" s="166">
        <v>536</v>
      </c>
      <c r="LQ7" s="166">
        <v>1003</v>
      </c>
      <c r="LR7" s="166">
        <v>991</v>
      </c>
      <c r="LS7" s="659"/>
      <c r="LT7" s="189">
        <f>SUM(LU7:MA7)</f>
        <v>4906</v>
      </c>
      <c r="LU7" s="166">
        <v>723</v>
      </c>
      <c r="LV7" s="166">
        <v>603</v>
      </c>
      <c r="LW7" s="166">
        <v>585</v>
      </c>
      <c r="LX7" s="166">
        <v>571</v>
      </c>
      <c r="LY7" s="166">
        <v>1224</v>
      </c>
      <c r="LZ7" s="166">
        <v>1200</v>
      </c>
      <c r="MA7" s="659"/>
      <c r="MB7" s="189">
        <f>SUM(MC7:MI7)</f>
        <v>4865</v>
      </c>
      <c r="MC7" s="166">
        <v>1010</v>
      </c>
      <c r="MD7" s="166">
        <v>800</v>
      </c>
      <c r="ME7" s="166">
        <v>775</v>
      </c>
      <c r="MF7" s="166">
        <v>560</v>
      </c>
      <c r="MG7" s="166">
        <v>870</v>
      </c>
      <c r="MH7" s="166">
        <v>850</v>
      </c>
      <c r="MI7" s="659"/>
      <c r="MJ7" s="189">
        <f>SUM(MK7:MQ7)</f>
        <v>3603</v>
      </c>
      <c r="MK7" s="166">
        <v>665</v>
      </c>
      <c r="ML7" s="166">
        <f t="shared" ref="ML7" si="310">ML4</f>
        <v>0</v>
      </c>
      <c r="MM7" s="166">
        <v>550</v>
      </c>
      <c r="MN7" s="166">
        <v>500</v>
      </c>
      <c r="MO7" s="166">
        <v>918</v>
      </c>
      <c r="MP7" s="166">
        <v>970</v>
      </c>
      <c r="MQ7" s="659"/>
      <c r="MR7" s="189">
        <f>SUM(MS7:MY7)</f>
        <v>3898</v>
      </c>
      <c r="MS7" s="166">
        <v>727</v>
      </c>
      <c r="MT7" s="166">
        <v>809</v>
      </c>
      <c r="MU7" s="166">
        <v>341</v>
      </c>
      <c r="MV7" s="166">
        <v>975</v>
      </c>
      <c r="MW7" s="166">
        <f t="shared" ref="MW7" si="311">MW4</f>
        <v>0</v>
      </c>
      <c r="MX7" s="166">
        <v>1046</v>
      </c>
      <c r="MY7" s="659"/>
      <c r="MZ7" s="189">
        <f>SUM(NA7:NG7)</f>
        <v>4249</v>
      </c>
      <c r="NA7" s="166">
        <v>715</v>
      </c>
      <c r="NB7" s="166">
        <v>580</v>
      </c>
      <c r="NC7" s="166">
        <v>525</v>
      </c>
      <c r="ND7" s="166">
        <v>513</v>
      </c>
      <c r="NE7" s="166">
        <v>923</v>
      </c>
      <c r="NF7" s="166">
        <v>993</v>
      </c>
      <c r="NG7" s="659"/>
      <c r="NH7" s="189">
        <f>SUM(NI7:NO7)</f>
        <v>5583</v>
      </c>
      <c r="NI7" s="166">
        <v>755</v>
      </c>
      <c r="NJ7" s="166">
        <v>688</v>
      </c>
      <c r="NK7" s="166">
        <v>670</v>
      </c>
      <c r="NL7" s="166">
        <v>720</v>
      </c>
      <c r="NM7" s="166">
        <v>1300</v>
      </c>
      <c r="NN7" s="166">
        <v>1450</v>
      </c>
      <c r="NO7" s="659"/>
      <c r="NP7" s="189">
        <f>SUM(NQ7:NW7)</f>
        <v>6414</v>
      </c>
      <c r="NQ7" s="166">
        <v>1170</v>
      </c>
      <c r="NR7" s="166">
        <v>1050</v>
      </c>
      <c r="NS7" s="166">
        <v>1090</v>
      </c>
      <c r="NT7" s="166">
        <v>942</v>
      </c>
      <c r="NU7" s="166">
        <v>1155</v>
      </c>
      <c r="NV7" s="166">
        <v>1007</v>
      </c>
      <c r="NW7" s="659"/>
      <c r="NX7" s="189">
        <f>SUM(NY7:OE7)</f>
        <v>4494</v>
      </c>
      <c r="NY7" s="166">
        <v>775</v>
      </c>
      <c r="NZ7" s="166">
        <v>621</v>
      </c>
      <c r="OA7" s="166">
        <v>580</v>
      </c>
      <c r="OB7" s="166">
        <v>550</v>
      </c>
      <c r="OC7" s="166">
        <v>980</v>
      </c>
      <c r="OD7" s="166">
        <v>988</v>
      </c>
      <c r="OE7" s="659"/>
      <c r="OF7" s="189">
        <f>SUM(OG7:OM7)</f>
        <v>4597</v>
      </c>
      <c r="OG7" s="166">
        <v>770</v>
      </c>
      <c r="OH7" s="166">
        <v>700</v>
      </c>
      <c r="OI7" s="166">
        <v>610</v>
      </c>
      <c r="OJ7" s="166">
        <v>587</v>
      </c>
      <c r="OK7" s="166">
        <v>958</v>
      </c>
      <c r="OL7" s="166">
        <v>972</v>
      </c>
      <c r="OM7" s="659"/>
      <c r="ON7" s="189">
        <f>SUM(OO7:OU7)</f>
        <v>7635</v>
      </c>
      <c r="OO7" s="166">
        <v>775</v>
      </c>
      <c r="OP7" s="166">
        <v>780</v>
      </c>
      <c r="OQ7" s="166">
        <v>1070</v>
      </c>
      <c r="OR7" s="166">
        <v>1480</v>
      </c>
      <c r="OS7" s="166">
        <v>2005</v>
      </c>
      <c r="OT7" s="166">
        <v>1525</v>
      </c>
      <c r="OU7" s="659"/>
      <c r="OV7" s="189">
        <f>SUM(OW7:PC7)</f>
        <v>5384</v>
      </c>
      <c r="OW7" s="166">
        <v>420</v>
      </c>
      <c r="OX7" s="166">
        <v>505</v>
      </c>
      <c r="OY7" s="166">
        <v>725</v>
      </c>
      <c r="OZ7" s="166">
        <v>895</v>
      </c>
      <c r="PA7" s="166">
        <v>1539</v>
      </c>
      <c r="PB7" s="166">
        <v>1300</v>
      </c>
      <c r="PC7" s="659"/>
    </row>
    <row r="8" spans="2:420" ht="15" thickBot="1" x14ac:dyDescent="0.35">
      <c r="B8" s="978"/>
      <c r="C8" s="698" t="s">
        <v>256</v>
      </c>
      <c r="D8" s="189"/>
      <c r="E8" s="166">
        <v>44.3</v>
      </c>
      <c r="F8" s="166">
        <v>43.5</v>
      </c>
      <c r="G8" s="826">
        <v>44.6</v>
      </c>
      <c r="H8" s="166">
        <v>47.7</v>
      </c>
      <c r="I8" s="166">
        <v>49.1</v>
      </c>
      <c r="J8" s="166">
        <v>49.3</v>
      </c>
      <c r="K8" s="755"/>
      <c r="L8" s="189"/>
      <c r="M8" s="166">
        <v>47.8</v>
      </c>
      <c r="N8" s="166">
        <v>44.9</v>
      </c>
      <c r="O8" s="166">
        <v>47.3</v>
      </c>
      <c r="P8" s="166">
        <v>48.2</v>
      </c>
      <c r="Q8" s="166">
        <v>52.1</v>
      </c>
      <c r="R8" s="166">
        <v>50.7</v>
      </c>
      <c r="S8" s="755"/>
      <c r="T8" s="189"/>
      <c r="U8" s="166">
        <v>46.8</v>
      </c>
      <c r="V8" s="166">
        <v>44</v>
      </c>
      <c r="W8" s="166">
        <v>47.9</v>
      </c>
      <c r="X8" s="166">
        <v>46.6</v>
      </c>
      <c r="Y8" s="166">
        <v>50</v>
      </c>
      <c r="Z8" s="166">
        <v>49.4</v>
      </c>
      <c r="AA8" s="755"/>
      <c r="AB8" s="189"/>
      <c r="AC8" s="166">
        <v>46.9</v>
      </c>
      <c r="AD8" s="166">
        <v>44.9</v>
      </c>
      <c r="AE8" s="166">
        <v>46.4</v>
      </c>
      <c r="AF8" s="166">
        <v>47.5</v>
      </c>
      <c r="AG8" s="166">
        <v>51.3</v>
      </c>
      <c r="AH8" s="166">
        <v>50.9</v>
      </c>
      <c r="AI8" s="755"/>
      <c r="AJ8" s="189"/>
      <c r="AK8" s="166">
        <v>46.4</v>
      </c>
      <c r="AL8" s="166">
        <v>44.9</v>
      </c>
      <c r="AM8" s="166">
        <v>48.2</v>
      </c>
      <c r="AN8" s="166">
        <v>48.4</v>
      </c>
      <c r="AO8" s="166">
        <v>50.9</v>
      </c>
      <c r="AP8" s="166">
        <v>50.2</v>
      </c>
      <c r="AQ8" s="755"/>
      <c r="AR8" s="189"/>
      <c r="AS8" s="166">
        <v>47.2</v>
      </c>
      <c r="AT8" s="166">
        <v>46.1</v>
      </c>
      <c r="AU8" s="166">
        <v>50.8</v>
      </c>
      <c r="AV8" s="166">
        <v>50.2</v>
      </c>
      <c r="AW8" s="166">
        <v>50.5</v>
      </c>
      <c r="AX8" s="166">
        <v>49.8</v>
      </c>
      <c r="AY8" s="755"/>
      <c r="AZ8" s="189"/>
      <c r="BA8" s="166">
        <v>46.9</v>
      </c>
      <c r="BB8" s="166">
        <v>47</v>
      </c>
      <c r="BC8" s="166">
        <v>48.1</v>
      </c>
      <c r="BD8" s="166">
        <v>47.6</v>
      </c>
      <c r="BE8" s="166">
        <v>49.4</v>
      </c>
      <c r="BF8" s="166">
        <v>47.6</v>
      </c>
      <c r="BG8" s="755"/>
      <c r="BH8" s="189"/>
      <c r="BI8" s="166">
        <v>44.2</v>
      </c>
      <c r="BJ8" s="166">
        <v>42.1</v>
      </c>
      <c r="BK8" s="166">
        <v>45.4</v>
      </c>
      <c r="BL8" s="166">
        <v>49.4</v>
      </c>
      <c r="BM8" s="166">
        <v>51</v>
      </c>
      <c r="BN8" s="166">
        <v>50.2</v>
      </c>
      <c r="BO8" s="755"/>
      <c r="BP8" s="189"/>
      <c r="BQ8" s="166">
        <v>48.6</v>
      </c>
      <c r="BR8" s="166">
        <v>48.2</v>
      </c>
      <c r="BS8" s="166">
        <v>51</v>
      </c>
      <c r="BT8" s="166">
        <v>49.1</v>
      </c>
      <c r="BU8" s="166">
        <v>50.7</v>
      </c>
      <c r="BV8" s="166">
        <v>48.5</v>
      </c>
      <c r="BW8" s="755"/>
      <c r="BX8" s="189"/>
      <c r="BY8" s="166">
        <v>48.5</v>
      </c>
      <c r="BZ8" s="166">
        <v>47.8</v>
      </c>
      <c r="CA8" s="166">
        <v>49</v>
      </c>
      <c r="CB8" s="166">
        <v>54</v>
      </c>
      <c r="CC8" s="166">
        <v>50.4</v>
      </c>
      <c r="CD8" s="166">
        <v>53.2</v>
      </c>
      <c r="CE8" s="755"/>
      <c r="CF8" s="189"/>
      <c r="CG8" s="166">
        <v>48.4</v>
      </c>
      <c r="CH8" s="166">
        <v>44</v>
      </c>
      <c r="CI8" s="166">
        <v>46</v>
      </c>
      <c r="CJ8" s="166">
        <v>48.5</v>
      </c>
      <c r="CK8" s="166">
        <v>52</v>
      </c>
      <c r="CL8" s="166">
        <v>50.9</v>
      </c>
      <c r="CM8" s="755"/>
      <c r="CN8" s="189"/>
      <c r="CO8" s="166">
        <v>47.4</v>
      </c>
      <c r="CP8" s="166">
        <v>47.7</v>
      </c>
      <c r="CQ8" s="166">
        <v>47.9</v>
      </c>
      <c r="CR8" s="166">
        <v>51.7</v>
      </c>
      <c r="CS8" s="166">
        <v>51.4</v>
      </c>
      <c r="CT8" s="166">
        <v>50.4</v>
      </c>
      <c r="CU8" s="755"/>
      <c r="CV8" s="189"/>
      <c r="CW8" s="166">
        <v>45.9</v>
      </c>
      <c r="CX8" s="166">
        <v>47.6</v>
      </c>
      <c r="CY8" s="166">
        <v>48.1</v>
      </c>
      <c r="CZ8" s="166">
        <v>48.7</v>
      </c>
      <c r="DA8" s="166">
        <v>50.9</v>
      </c>
      <c r="DB8" s="166">
        <v>50.7</v>
      </c>
      <c r="DC8" s="755"/>
      <c r="DD8" s="189"/>
      <c r="DE8" s="166">
        <v>47.1</v>
      </c>
      <c r="DF8" s="166">
        <v>47.5</v>
      </c>
      <c r="DG8" s="166">
        <v>44.8</v>
      </c>
      <c r="DH8" s="166">
        <v>46.3</v>
      </c>
      <c r="DI8" s="166">
        <v>48.8</v>
      </c>
      <c r="DJ8" s="166">
        <v>47.2</v>
      </c>
      <c r="DK8" s="755"/>
      <c r="DL8" s="189"/>
      <c r="DM8" s="166">
        <v>46.3</v>
      </c>
      <c r="DN8" s="166">
        <v>43.3</v>
      </c>
      <c r="DO8" s="166">
        <v>42.4</v>
      </c>
      <c r="DP8" s="166">
        <v>42.9</v>
      </c>
      <c r="DQ8" s="166">
        <v>49.6</v>
      </c>
      <c r="DR8" s="166">
        <v>48.6</v>
      </c>
      <c r="DS8" s="755"/>
      <c r="DT8" s="189"/>
      <c r="DU8" s="166">
        <f t="shared" ref="DU8" si="312">DU5</f>
        <v>0</v>
      </c>
      <c r="DV8" s="166">
        <v>45.7</v>
      </c>
      <c r="DW8" s="166">
        <v>45</v>
      </c>
      <c r="DX8" s="166">
        <v>45.2</v>
      </c>
      <c r="DY8" s="166">
        <v>50.2</v>
      </c>
      <c r="DZ8" s="166">
        <v>52.1</v>
      </c>
      <c r="EA8" s="755"/>
      <c r="EB8" s="189"/>
      <c r="EC8" s="166">
        <v>50.7</v>
      </c>
      <c r="ED8" s="166">
        <v>44.5</v>
      </c>
      <c r="EE8" s="166">
        <v>47.6</v>
      </c>
      <c r="EF8" s="166">
        <v>47.2</v>
      </c>
      <c r="EG8" s="166">
        <v>52.3</v>
      </c>
      <c r="EH8" s="166">
        <v>51.4</v>
      </c>
      <c r="EI8" s="755"/>
      <c r="EJ8" s="189"/>
      <c r="EK8" s="166">
        <v>48.1</v>
      </c>
      <c r="EL8" s="166">
        <v>43</v>
      </c>
      <c r="EM8" s="166">
        <v>47.9</v>
      </c>
      <c r="EN8" s="166">
        <v>47.7</v>
      </c>
      <c r="EO8" s="166">
        <v>50.8</v>
      </c>
      <c r="EP8" s="166">
        <v>50.3</v>
      </c>
      <c r="EQ8" s="755"/>
      <c r="ER8" s="189"/>
      <c r="ES8" s="166">
        <v>44.2</v>
      </c>
      <c r="ET8" s="166">
        <v>43.1</v>
      </c>
      <c r="EU8" s="166">
        <v>43.9</v>
      </c>
      <c r="EV8" s="166">
        <v>47.3</v>
      </c>
      <c r="EW8" s="166">
        <v>49.9</v>
      </c>
      <c r="EX8" s="166">
        <v>51.1</v>
      </c>
      <c r="EY8" s="755"/>
      <c r="EZ8" s="189"/>
      <c r="FA8" s="166">
        <v>47.4</v>
      </c>
      <c r="FB8" s="166">
        <v>42.1</v>
      </c>
      <c r="FC8" s="166">
        <v>44.1</v>
      </c>
      <c r="FD8" s="166">
        <v>47.4</v>
      </c>
      <c r="FE8" s="166">
        <v>50.2</v>
      </c>
      <c r="FF8" s="166">
        <v>52.7</v>
      </c>
      <c r="FG8" s="755"/>
      <c r="FH8" s="189"/>
      <c r="FI8" s="166">
        <v>48.3</v>
      </c>
      <c r="FJ8" s="166">
        <v>42.3</v>
      </c>
      <c r="FK8" s="166">
        <v>47.1</v>
      </c>
      <c r="FL8" s="166">
        <f t="shared" ref="FL8" si="313">FL5</f>
        <v>0</v>
      </c>
      <c r="FM8" s="166">
        <v>49.4</v>
      </c>
      <c r="FN8" s="166">
        <v>48.6</v>
      </c>
      <c r="FO8" s="755"/>
      <c r="FP8" s="189"/>
      <c r="FQ8" s="166">
        <v>43.3</v>
      </c>
      <c r="FR8" s="166">
        <v>43.2</v>
      </c>
      <c r="FS8" s="166">
        <v>40.299999999999997</v>
      </c>
      <c r="FT8" s="166">
        <v>41.5</v>
      </c>
      <c r="FU8" s="166">
        <v>50.9</v>
      </c>
      <c r="FV8" s="166">
        <v>53.9</v>
      </c>
      <c r="FW8" s="755"/>
      <c r="FX8" s="189"/>
      <c r="FY8" s="166">
        <f t="shared" ref="FY8" si="314">FY5</f>
        <v>0</v>
      </c>
      <c r="FZ8" s="166">
        <v>49.5</v>
      </c>
      <c r="GA8" s="166">
        <v>50.6</v>
      </c>
      <c r="GB8" s="166">
        <v>49.6</v>
      </c>
      <c r="GC8" s="166">
        <v>53.2</v>
      </c>
      <c r="GD8" s="166">
        <v>52.4</v>
      </c>
      <c r="GE8" s="755"/>
      <c r="GF8" s="189"/>
      <c r="GG8" s="166">
        <v>47.9</v>
      </c>
      <c r="GH8" s="166">
        <v>46.6</v>
      </c>
      <c r="GI8" s="166">
        <v>47.3</v>
      </c>
      <c r="GJ8" s="166">
        <v>46.6</v>
      </c>
      <c r="GK8" s="166">
        <v>54.1</v>
      </c>
      <c r="GL8" s="166">
        <v>53.3</v>
      </c>
      <c r="GM8" s="755"/>
      <c r="GN8" s="189"/>
      <c r="GO8" s="166">
        <v>49.3</v>
      </c>
      <c r="GP8" s="166">
        <v>44.2</v>
      </c>
      <c r="GQ8" s="166">
        <v>43.6</v>
      </c>
      <c r="GR8" s="166">
        <v>46.8</v>
      </c>
      <c r="GS8" s="166">
        <v>51.1</v>
      </c>
      <c r="GT8" s="166">
        <v>51.8</v>
      </c>
      <c r="GU8" s="755"/>
      <c r="GV8" s="189"/>
      <c r="GW8" s="166">
        <v>49.2</v>
      </c>
      <c r="GX8" s="166">
        <v>44.6</v>
      </c>
      <c r="GY8" s="166">
        <v>46.2</v>
      </c>
      <c r="GZ8" s="166">
        <v>44.9</v>
      </c>
      <c r="HA8" s="166">
        <v>51.4</v>
      </c>
      <c r="HB8" s="166">
        <v>51.4</v>
      </c>
      <c r="HC8" s="755"/>
      <c r="HD8" s="189"/>
      <c r="HE8" s="166">
        <v>46</v>
      </c>
      <c r="HF8" s="166">
        <v>43.5</v>
      </c>
      <c r="HG8" s="166">
        <v>44.6</v>
      </c>
      <c r="HH8" s="166">
        <v>42.7</v>
      </c>
      <c r="HI8" s="166">
        <v>49</v>
      </c>
      <c r="HJ8" s="166">
        <v>48.7</v>
      </c>
      <c r="HK8" s="755"/>
      <c r="HL8" s="189"/>
      <c r="HM8" s="166">
        <v>46.9</v>
      </c>
      <c r="HN8" s="166">
        <v>46</v>
      </c>
      <c r="HO8" s="166">
        <v>44.1</v>
      </c>
      <c r="HP8" s="166">
        <v>44.9</v>
      </c>
      <c r="HQ8" s="166">
        <v>46.8</v>
      </c>
      <c r="HR8" s="166">
        <v>49</v>
      </c>
      <c r="HS8" s="755"/>
      <c r="HT8" s="189"/>
      <c r="HU8" s="166">
        <v>44.7</v>
      </c>
      <c r="HV8" s="166">
        <v>42.8</v>
      </c>
      <c r="HW8" s="166">
        <v>43.7</v>
      </c>
      <c r="HX8" s="166">
        <f t="shared" ref="HX8" si="315">HX5</f>
        <v>0</v>
      </c>
      <c r="HY8" s="166">
        <v>45.9</v>
      </c>
      <c r="HZ8" s="166">
        <v>46.4</v>
      </c>
      <c r="IA8" s="755"/>
      <c r="IB8" s="189"/>
      <c r="IC8" s="166">
        <v>46.6</v>
      </c>
      <c r="ID8" s="166">
        <v>41.5</v>
      </c>
      <c r="IE8" s="166">
        <v>40.6</v>
      </c>
      <c r="IF8" s="166">
        <v>42</v>
      </c>
      <c r="IG8" s="166">
        <v>47.7</v>
      </c>
      <c r="IH8" s="166">
        <v>46.4</v>
      </c>
      <c r="II8" s="755"/>
      <c r="IJ8" s="189"/>
      <c r="IK8" s="166">
        <v>45.6</v>
      </c>
      <c r="IL8" s="166">
        <v>41.7</v>
      </c>
      <c r="IM8" s="166">
        <v>40</v>
      </c>
      <c r="IN8" s="166">
        <v>38.200000000000003</v>
      </c>
      <c r="IO8" s="166">
        <v>44.4</v>
      </c>
      <c r="IP8" s="166">
        <v>46.9</v>
      </c>
      <c r="IQ8" s="755"/>
      <c r="IR8" s="189"/>
      <c r="IS8" s="166">
        <v>43.4</v>
      </c>
      <c r="IT8" s="166">
        <v>40.700000000000003</v>
      </c>
      <c r="IU8" s="166">
        <v>40.200000000000003</v>
      </c>
      <c r="IV8" s="166">
        <v>39.4</v>
      </c>
      <c r="IW8" s="166">
        <v>48.5</v>
      </c>
      <c r="IX8" s="166">
        <v>49.6</v>
      </c>
      <c r="IY8" s="755"/>
      <c r="IZ8" s="189"/>
      <c r="JA8" s="166">
        <f t="shared" ref="JA8" si="316">JA5</f>
        <v>0</v>
      </c>
      <c r="JB8" s="166">
        <v>43.9</v>
      </c>
      <c r="JC8" s="166">
        <v>42.7</v>
      </c>
      <c r="JD8" s="166">
        <v>44.3</v>
      </c>
      <c r="JE8" s="166">
        <v>49.8</v>
      </c>
      <c r="JF8" s="166">
        <v>47.8</v>
      </c>
      <c r="JG8" s="755"/>
      <c r="JH8" s="189"/>
      <c r="JI8" s="166">
        <v>47.3</v>
      </c>
      <c r="JJ8" s="166">
        <v>40.9</v>
      </c>
      <c r="JK8" s="166">
        <v>42.1</v>
      </c>
      <c r="JL8" s="166">
        <v>42.2</v>
      </c>
      <c r="JM8" s="166">
        <v>52.4</v>
      </c>
      <c r="JN8" s="166">
        <v>53.5</v>
      </c>
      <c r="JO8" s="755"/>
      <c r="JP8" s="189"/>
      <c r="JQ8" s="166">
        <v>52.9</v>
      </c>
      <c r="JR8" s="166">
        <v>44.6</v>
      </c>
      <c r="JS8" s="166">
        <v>46.9</v>
      </c>
      <c r="JT8" s="166">
        <v>43.5</v>
      </c>
      <c r="JU8" s="166">
        <v>51.9</v>
      </c>
      <c r="JV8" s="166">
        <v>52</v>
      </c>
      <c r="JW8" s="755"/>
      <c r="JX8" s="189"/>
      <c r="JY8" s="166">
        <v>51.5</v>
      </c>
      <c r="JZ8" s="166">
        <v>52.2</v>
      </c>
      <c r="KA8" s="166">
        <v>46.6</v>
      </c>
      <c r="KB8" s="166">
        <v>44.6</v>
      </c>
      <c r="KC8" s="166">
        <v>52</v>
      </c>
      <c r="KD8" s="166">
        <v>49.8</v>
      </c>
      <c r="KE8" s="755"/>
      <c r="KF8" s="189"/>
      <c r="KG8" s="166">
        <v>46</v>
      </c>
      <c r="KH8" s="166">
        <v>39.4</v>
      </c>
      <c r="KI8" s="166">
        <v>39.9</v>
      </c>
      <c r="KJ8" s="166">
        <v>41.6</v>
      </c>
      <c r="KK8" s="166">
        <v>48.5</v>
      </c>
      <c r="KL8" s="166">
        <v>49.1</v>
      </c>
      <c r="KM8" s="755"/>
      <c r="KN8" s="189"/>
      <c r="KO8" s="166">
        <v>43.3</v>
      </c>
      <c r="KP8" s="166">
        <v>40.299999999999997</v>
      </c>
      <c r="KQ8" s="166">
        <v>37.9</v>
      </c>
      <c r="KR8" s="166">
        <v>43.7</v>
      </c>
      <c r="KS8" s="166">
        <v>48.7</v>
      </c>
      <c r="KT8" s="166">
        <v>47.3</v>
      </c>
      <c r="KU8" s="755"/>
      <c r="KV8" s="189"/>
      <c r="KW8" s="166">
        <v>44.6</v>
      </c>
      <c r="KX8" s="166">
        <v>37.1</v>
      </c>
      <c r="KY8" s="166">
        <v>37.9</v>
      </c>
      <c r="KZ8" s="166">
        <v>41.6</v>
      </c>
      <c r="LA8" s="166">
        <v>49.7</v>
      </c>
      <c r="LB8" s="166">
        <v>50.7</v>
      </c>
      <c r="LC8" s="755"/>
      <c r="LD8" s="189"/>
      <c r="LE8" s="166">
        <v>48</v>
      </c>
      <c r="LF8" s="166">
        <v>41.6</v>
      </c>
      <c r="LG8" s="166">
        <v>42</v>
      </c>
      <c r="LH8" s="166">
        <v>43.7</v>
      </c>
      <c r="LI8" s="166">
        <v>52.3</v>
      </c>
      <c r="LJ8" s="166">
        <v>52.7</v>
      </c>
      <c r="LK8" s="755"/>
      <c r="LL8" s="189"/>
      <c r="LM8" s="166">
        <v>49</v>
      </c>
      <c r="LN8" s="166">
        <v>43.4</v>
      </c>
      <c r="LO8" s="166">
        <v>46.7</v>
      </c>
      <c r="LP8" s="166">
        <v>45.6</v>
      </c>
      <c r="LQ8" s="166">
        <v>52.9</v>
      </c>
      <c r="LR8" s="166">
        <v>49.9</v>
      </c>
      <c r="LS8" s="755"/>
      <c r="LT8" s="189"/>
      <c r="LU8" s="166">
        <v>44</v>
      </c>
      <c r="LV8" s="166">
        <v>38.799999999999997</v>
      </c>
      <c r="LW8" s="166">
        <v>40</v>
      </c>
      <c r="LX8" s="166">
        <v>40.5</v>
      </c>
      <c r="LY8" s="166">
        <v>38.6</v>
      </c>
      <c r="LZ8" s="166">
        <v>38.799999999999997</v>
      </c>
      <c r="MA8" s="755"/>
      <c r="MB8" s="189"/>
      <c r="MC8" s="166">
        <v>33.1</v>
      </c>
      <c r="MD8" s="166">
        <v>32</v>
      </c>
      <c r="ME8" s="166">
        <v>29.5</v>
      </c>
      <c r="MF8" s="166">
        <v>35.4</v>
      </c>
      <c r="MG8" s="166">
        <v>48.8</v>
      </c>
      <c r="MH8" s="166">
        <v>50.7</v>
      </c>
      <c r="MI8" s="755"/>
      <c r="MJ8" s="189"/>
      <c r="MK8" s="166">
        <v>47.9</v>
      </c>
      <c r="ML8" s="166">
        <f t="shared" ref="ML8" si="317">ML5</f>
        <v>0</v>
      </c>
      <c r="MM8" s="166">
        <v>45.5</v>
      </c>
      <c r="MN8" s="166">
        <v>45.6</v>
      </c>
      <c r="MO8" s="166">
        <v>53.8</v>
      </c>
      <c r="MP8" s="166">
        <v>51.9</v>
      </c>
      <c r="MQ8" s="755"/>
      <c r="MR8" s="189"/>
      <c r="MS8" s="166">
        <v>50.8</v>
      </c>
      <c r="MT8" s="166">
        <v>47</v>
      </c>
      <c r="MU8" s="166">
        <v>48.4</v>
      </c>
      <c r="MV8" s="166">
        <v>48.8</v>
      </c>
      <c r="MW8" s="166">
        <f t="shared" ref="MW8" si="318">MW5</f>
        <v>0</v>
      </c>
      <c r="MX8" s="166">
        <v>53</v>
      </c>
      <c r="MY8" s="755"/>
      <c r="MZ8" s="189"/>
      <c r="NA8" s="166">
        <f t="shared" ref="NA8" si="319">NA5</f>
        <v>48.798119696549577</v>
      </c>
      <c r="NB8" s="166">
        <v>44</v>
      </c>
      <c r="NC8" s="166">
        <v>44.8</v>
      </c>
      <c r="ND8" s="166">
        <v>45.1</v>
      </c>
      <c r="NE8" s="166">
        <v>51.9</v>
      </c>
      <c r="NF8" s="166">
        <v>51</v>
      </c>
      <c r="NG8" s="755"/>
      <c r="NH8" s="189"/>
      <c r="NI8" s="166">
        <v>46</v>
      </c>
      <c r="NJ8" s="166">
        <v>41.6</v>
      </c>
      <c r="NK8" s="166">
        <v>42.1</v>
      </c>
      <c r="NL8" s="166">
        <v>39.5</v>
      </c>
      <c r="NM8" s="166">
        <v>47.2</v>
      </c>
      <c r="NN8" s="166">
        <v>46.6</v>
      </c>
      <c r="NO8" s="755"/>
      <c r="NP8" s="189"/>
      <c r="NQ8" s="166">
        <v>43</v>
      </c>
      <c r="NR8" s="166">
        <v>42.5</v>
      </c>
      <c r="NS8" s="166">
        <v>42.6</v>
      </c>
      <c r="NT8" s="166">
        <v>41.4</v>
      </c>
      <c r="NU8" s="166">
        <v>49.2</v>
      </c>
      <c r="NV8" s="166">
        <v>49.8</v>
      </c>
      <c r="NW8" s="755"/>
      <c r="NX8" s="189"/>
      <c r="NY8" s="166">
        <v>46.8</v>
      </c>
      <c r="NZ8" s="166">
        <v>42</v>
      </c>
      <c r="OA8" s="166">
        <v>43.8</v>
      </c>
      <c r="OB8" s="166">
        <v>42.1</v>
      </c>
      <c r="OC8" s="166">
        <v>48.5</v>
      </c>
      <c r="OD8" s="166">
        <v>49.1</v>
      </c>
      <c r="OE8" s="755"/>
      <c r="OF8" s="189"/>
      <c r="OG8" s="166">
        <v>46.6</v>
      </c>
      <c r="OH8" s="166">
        <v>42.6</v>
      </c>
      <c r="OI8" s="166">
        <v>40.9</v>
      </c>
      <c r="OJ8" s="166">
        <v>42.1</v>
      </c>
      <c r="OK8" s="166">
        <v>47</v>
      </c>
      <c r="OL8" s="166">
        <v>47.1</v>
      </c>
      <c r="OM8" s="755"/>
      <c r="ON8" s="189"/>
      <c r="OO8" s="166">
        <v>43.6</v>
      </c>
      <c r="OP8" s="166">
        <v>39.299999999999997</v>
      </c>
      <c r="OQ8" s="166">
        <v>41.2</v>
      </c>
      <c r="OR8" s="166">
        <v>38.799999999999997</v>
      </c>
      <c r="OS8" s="166">
        <v>40.799999999999997</v>
      </c>
      <c r="OT8" s="166">
        <v>34.1</v>
      </c>
      <c r="OU8" s="755"/>
      <c r="OV8" s="189"/>
      <c r="OW8" s="166">
        <v>40</v>
      </c>
      <c r="OX8" s="166">
        <v>39.9</v>
      </c>
      <c r="OY8" s="166">
        <v>41</v>
      </c>
      <c r="OZ8" s="166">
        <v>39.1</v>
      </c>
      <c r="PA8" s="166">
        <v>41.4</v>
      </c>
      <c r="PB8" s="166">
        <v>32.799999999999997</v>
      </c>
      <c r="PC8" s="755"/>
    </row>
    <row r="9" spans="2:420" ht="15" thickBot="1" x14ac:dyDescent="0.35">
      <c r="B9" s="978"/>
      <c r="C9" s="699" t="s">
        <v>257</v>
      </c>
      <c r="D9" s="696">
        <f>SUM(E9:K9)</f>
        <v>200388.07800000001</v>
      </c>
      <c r="E9" s="166">
        <f t="shared" ref="E9:J9" si="320">E7*E8*$C$1</f>
        <v>26972.055</v>
      </c>
      <c r="F9" s="166">
        <f t="shared" si="320"/>
        <v>29111.94</v>
      </c>
      <c r="G9" s="166">
        <f t="shared" si="320"/>
        <v>25476.858</v>
      </c>
      <c r="H9" s="166">
        <f t="shared" si="320"/>
        <v>24319.845000000001</v>
      </c>
      <c r="I9" s="166">
        <f t="shared" si="320"/>
        <v>43748.1</v>
      </c>
      <c r="J9" s="166">
        <f t="shared" si="320"/>
        <v>50759.28</v>
      </c>
      <c r="K9" s="683"/>
      <c r="L9" s="696">
        <f>SUM(M9:S9)</f>
        <v>210917.61899999998</v>
      </c>
      <c r="M9" s="166">
        <f t="shared" ref="M9:R9" si="321">M7*M8*$C$1</f>
        <v>30759.299999999996</v>
      </c>
      <c r="N9" s="166">
        <f t="shared" si="321"/>
        <v>17780.400000000001</v>
      </c>
      <c r="O9" s="166">
        <f t="shared" si="321"/>
        <v>30905.819999999996</v>
      </c>
      <c r="P9" s="166">
        <f t="shared" si="321"/>
        <v>28630.799999999999</v>
      </c>
      <c r="Q9" s="166">
        <f t="shared" si="321"/>
        <v>52146.368999999999</v>
      </c>
      <c r="R9" s="166">
        <f t="shared" si="321"/>
        <v>50694.93</v>
      </c>
      <c r="S9" s="683"/>
      <c r="T9" s="696">
        <f>SUM(U9:AA9)</f>
        <v>209989.39500000002</v>
      </c>
      <c r="U9" s="166">
        <f t="shared" ref="U9:Z9" si="322">U7*U8*$C$1</f>
        <v>31274.099999999995</v>
      </c>
      <c r="V9" s="166">
        <f t="shared" si="322"/>
        <v>26789.4</v>
      </c>
      <c r="W9" s="166">
        <f t="shared" si="322"/>
        <v>27741.285</v>
      </c>
      <c r="X9" s="166">
        <f t="shared" si="322"/>
        <v>23297.67</v>
      </c>
      <c r="Y9" s="166">
        <f>Y7*Y8*$C$1</f>
        <v>52470</v>
      </c>
      <c r="Z9" s="166">
        <f t="shared" si="322"/>
        <v>48416.94</v>
      </c>
      <c r="AA9" s="683"/>
      <c r="AB9" s="696">
        <f>SUM(AC9:AI9)</f>
        <v>215493.3</v>
      </c>
      <c r="AC9" s="166">
        <f>AC7*AC8*$C$1</f>
        <v>34823.25</v>
      </c>
      <c r="AD9" s="166">
        <f t="shared" ref="AD9:AH9" si="323">AD7*AD8*$C$1</f>
        <v>24225.794999999998</v>
      </c>
      <c r="AE9" s="166">
        <f>AE7*AE8*$C$1</f>
        <v>28020.959999999999</v>
      </c>
      <c r="AF9" s="166">
        <f t="shared" si="323"/>
        <v>24217.875</v>
      </c>
      <c r="AG9" s="166">
        <f t="shared" si="323"/>
        <v>51294.87</v>
      </c>
      <c r="AH9" s="166">
        <f t="shared" si="323"/>
        <v>52910.55</v>
      </c>
      <c r="AI9" s="683"/>
      <c r="AJ9" s="696">
        <f>SUM(AK9:AQ9)</f>
        <v>221446.17</v>
      </c>
      <c r="AK9" s="166">
        <f t="shared" ref="AK9:AP9" si="324">AK7*AK8*$C$1</f>
        <v>34911.360000000001</v>
      </c>
      <c r="AL9" s="166">
        <f t="shared" si="324"/>
        <v>28759.796999999999</v>
      </c>
      <c r="AM9" s="166">
        <f t="shared" si="324"/>
        <v>29107.98</v>
      </c>
      <c r="AN9" s="166">
        <f t="shared" si="324"/>
        <v>24437.16</v>
      </c>
      <c r="AO9" s="166">
        <f t="shared" si="324"/>
        <v>51549.992999999995</v>
      </c>
      <c r="AP9" s="166">
        <f t="shared" si="324"/>
        <v>52679.88</v>
      </c>
      <c r="AQ9" s="683"/>
      <c r="AR9" s="696">
        <f>SUM(AS9:AY9)</f>
        <v>206779.32</v>
      </c>
      <c r="AS9" s="166">
        <f t="shared" ref="AS9:AX9" si="325">AS7*AS8*$C$1</f>
        <v>35279.64</v>
      </c>
      <c r="AT9" s="166">
        <f>AT7*AT8*$C$1</f>
        <v>21678.525000000001</v>
      </c>
      <c r="AU9" s="166">
        <f t="shared" si="325"/>
        <v>23385.78</v>
      </c>
      <c r="AV9" s="166">
        <f t="shared" si="325"/>
        <v>22861.079999999998</v>
      </c>
      <c r="AW9" s="166">
        <f t="shared" si="325"/>
        <v>56244.375</v>
      </c>
      <c r="AX9" s="166">
        <f t="shared" si="325"/>
        <v>47329.919999999998</v>
      </c>
      <c r="AY9" s="683"/>
      <c r="AZ9" s="696">
        <f>SUM(BA9:BG9)</f>
        <v>202853.47500000001</v>
      </c>
      <c r="BA9" s="166">
        <f t="shared" ref="BA9:BF9" si="326">BA7*BA8*$C$1</f>
        <v>35055.404999999999</v>
      </c>
      <c r="BB9" s="166">
        <f t="shared" si="326"/>
        <v>23265</v>
      </c>
      <c r="BC9" s="166">
        <f t="shared" si="326"/>
        <v>21428.55</v>
      </c>
      <c r="BD9" s="166">
        <f t="shared" si="326"/>
        <v>22619.52</v>
      </c>
      <c r="BE9" s="166">
        <f t="shared" si="326"/>
        <v>54774.720000000001</v>
      </c>
      <c r="BF9" s="166">
        <f t="shared" si="326"/>
        <v>45710.28</v>
      </c>
      <c r="BG9" s="683"/>
      <c r="BH9" s="696">
        <f>SUM(BI9:BO9)</f>
        <v>206990.685</v>
      </c>
      <c r="BI9" s="166">
        <f t="shared" ref="BI9:BN9" si="327">BI7*BI8*$C$1</f>
        <v>35006.400000000001</v>
      </c>
      <c r="BJ9" s="166">
        <f t="shared" si="327"/>
        <v>19797.525000000001</v>
      </c>
      <c r="BK9" s="166">
        <f t="shared" si="327"/>
        <v>22473</v>
      </c>
      <c r="BL9" s="166">
        <f t="shared" si="327"/>
        <v>22496.76</v>
      </c>
      <c r="BM9" s="166">
        <f t="shared" si="327"/>
        <v>55034.1</v>
      </c>
      <c r="BN9" s="166">
        <f t="shared" si="327"/>
        <v>52182.9</v>
      </c>
      <c r="BO9" s="683"/>
      <c r="BP9" s="696">
        <f>SUM(BQ9:BW9)</f>
        <v>198140.08499999999</v>
      </c>
      <c r="BQ9" s="166">
        <f t="shared" ref="BQ9:BV9" si="328">BQ7*BQ8*$C$1</f>
        <v>36807.21</v>
      </c>
      <c r="BR9" s="166">
        <f t="shared" si="328"/>
        <v>22666.05</v>
      </c>
      <c r="BS9" s="166">
        <f t="shared" si="328"/>
        <v>22720.5</v>
      </c>
      <c r="BT9" s="166">
        <f t="shared" si="328"/>
        <v>24547.544999999998</v>
      </c>
      <c r="BU9" s="166">
        <f t="shared" si="328"/>
        <v>48185.279999999999</v>
      </c>
      <c r="BV9" s="166">
        <f t="shared" si="328"/>
        <v>43213.5</v>
      </c>
      <c r="BW9" s="683"/>
      <c r="BX9" s="696">
        <f>SUM(BY9:CE9)</f>
        <v>201267</v>
      </c>
      <c r="BY9" s="166">
        <f t="shared" ref="BY9:CD9" si="329">BY7*BY8*$C$1</f>
        <v>36011.25</v>
      </c>
      <c r="BZ9" s="166">
        <f t="shared" si="329"/>
        <v>24607.439999999999</v>
      </c>
      <c r="CA9" s="166">
        <f t="shared" si="329"/>
        <v>23139.27</v>
      </c>
      <c r="CB9" s="166">
        <f t="shared" si="329"/>
        <v>22720.5</v>
      </c>
      <c r="CC9" s="166">
        <f t="shared" si="329"/>
        <v>52390.8</v>
      </c>
      <c r="CD9" s="166">
        <f t="shared" si="329"/>
        <v>42397.74</v>
      </c>
      <c r="CE9" s="683"/>
      <c r="CF9" s="696">
        <f>SUM(CG9:CM9)</f>
        <v>189139.302</v>
      </c>
      <c r="CG9" s="166">
        <f t="shared" ref="CG9:CL9" si="330">CG7*CG8*$C$1</f>
        <v>34978.68</v>
      </c>
      <c r="CH9" s="166">
        <f t="shared" si="330"/>
        <v>19602</v>
      </c>
      <c r="CI9" s="166">
        <f t="shared" si="330"/>
        <v>20493</v>
      </c>
      <c r="CJ9" s="166">
        <f t="shared" si="330"/>
        <v>19926.224999999999</v>
      </c>
      <c r="CK9" s="166">
        <f t="shared" si="330"/>
        <v>50450.400000000001</v>
      </c>
      <c r="CL9" s="166">
        <f t="shared" si="330"/>
        <v>43688.996999999996</v>
      </c>
      <c r="CM9" s="683"/>
      <c r="CN9" s="696">
        <f>SUM(CO9:CU9)</f>
        <v>193738.54499999998</v>
      </c>
      <c r="CO9" s="166">
        <f t="shared" ref="CO9:CT9" si="331">CO7*CO8*$C$1</f>
        <v>32848.199999999997</v>
      </c>
      <c r="CP9" s="166">
        <f t="shared" si="331"/>
        <v>23611.5</v>
      </c>
      <c r="CQ9" s="166">
        <f t="shared" si="331"/>
        <v>18968.400000000001</v>
      </c>
      <c r="CR9" s="166">
        <f t="shared" si="331"/>
        <v>21240.945</v>
      </c>
      <c r="CS9" s="166">
        <f t="shared" si="331"/>
        <v>52412.58</v>
      </c>
      <c r="CT9" s="166">
        <f t="shared" si="331"/>
        <v>44656.92</v>
      </c>
      <c r="CU9" s="683"/>
      <c r="CV9" s="696">
        <f>SUM(CW9:DC9)</f>
        <v>196384.22099999999</v>
      </c>
      <c r="CW9" s="166">
        <f t="shared" ref="CW9:DD9" si="332">CW7*CW8*$C$1</f>
        <v>31354.29</v>
      </c>
      <c r="CX9" s="166">
        <f t="shared" si="332"/>
        <v>21205.8</v>
      </c>
      <c r="CY9" s="166">
        <f t="shared" si="332"/>
        <v>24761.88</v>
      </c>
      <c r="CZ9" s="166">
        <f t="shared" si="332"/>
        <v>23142.240000000002</v>
      </c>
      <c r="DA9" s="166">
        <f t="shared" si="332"/>
        <v>51398.82</v>
      </c>
      <c r="DB9" s="166">
        <f t="shared" si="332"/>
        <v>44521.190999999999</v>
      </c>
      <c r="DC9" s="166">
        <f t="shared" si="332"/>
        <v>0</v>
      </c>
      <c r="DD9" s="166">
        <f t="shared" si="332"/>
        <v>0</v>
      </c>
      <c r="DE9" s="166">
        <f t="shared" ref="DE9:DJ9" si="333">DE7*DE8*$C$1</f>
        <v>30915.026999999998</v>
      </c>
      <c r="DF9" s="166">
        <f t="shared" si="333"/>
        <v>19750.5</v>
      </c>
      <c r="DG9" s="166">
        <f t="shared" si="333"/>
        <v>22619.52</v>
      </c>
      <c r="DH9" s="166">
        <f t="shared" si="333"/>
        <v>23331.032999999996</v>
      </c>
      <c r="DI9" s="166">
        <f t="shared" si="333"/>
        <v>43287.551999999996</v>
      </c>
      <c r="DJ9" s="166">
        <f t="shared" si="333"/>
        <v>39858.984000000004</v>
      </c>
      <c r="DK9" s="683"/>
      <c r="DL9" s="696">
        <f>SUM(DM9:DS9)</f>
        <v>194359.96799999996</v>
      </c>
      <c r="DM9" s="166">
        <f t="shared" ref="DM9:DR9" si="334">DM7*DM8*$C$1</f>
        <v>29794.049999999996</v>
      </c>
      <c r="DN9" s="166">
        <f t="shared" si="334"/>
        <v>22162.238999999998</v>
      </c>
      <c r="DO9" s="166">
        <f t="shared" si="334"/>
        <v>20820.095999999998</v>
      </c>
      <c r="DP9" s="166">
        <f t="shared" si="334"/>
        <v>20598.435000000001</v>
      </c>
      <c r="DQ9" s="166">
        <f t="shared" si="334"/>
        <v>52197.552000000003</v>
      </c>
      <c r="DR9" s="166">
        <f t="shared" si="334"/>
        <v>48787.595999999998</v>
      </c>
      <c r="DS9" s="683"/>
      <c r="DT9" s="696">
        <f>SUM(DU9:EA9)</f>
        <v>191385.41400000002</v>
      </c>
      <c r="DU9" s="166">
        <f t="shared" ref="DU9:EH9" si="335">DU7*DU8*$C$1</f>
        <v>0</v>
      </c>
      <c r="DV9" s="166">
        <f t="shared" si="335"/>
        <v>39904.326000000001</v>
      </c>
      <c r="DW9" s="166">
        <f t="shared" si="335"/>
        <v>26730</v>
      </c>
      <c r="DX9" s="166">
        <f t="shared" si="335"/>
        <v>24656.148000000001</v>
      </c>
      <c r="DY9" s="166">
        <f t="shared" si="335"/>
        <v>53673.84</v>
      </c>
      <c r="DZ9" s="166">
        <f t="shared" si="335"/>
        <v>46421.1</v>
      </c>
      <c r="EA9" s="166">
        <f t="shared" si="335"/>
        <v>0</v>
      </c>
      <c r="EB9" s="166">
        <f t="shared" si="335"/>
        <v>0</v>
      </c>
      <c r="EC9" s="166">
        <f t="shared" si="335"/>
        <v>34181.433000000005</v>
      </c>
      <c r="ED9" s="166">
        <f t="shared" si="335"/>
        <v>22468.05</v>
      </c>
      <c r="EE9" s="166">
        <f t="shared" si="335"/>
        <v>24127.488000000001</v>
      </c>
      <c r="EF9" s="166">
        <f t="shared" si="335"/>
        <v>23364</v>
      </c>
      <c r="EG9" s="166">
        <f t="shared" si="335"/>
        <v>51155.675999999992</v>
      </c>
      <c r="EH9" s="166">
        <f t="shared" si="335"/>
        <v>45593.856</v>
      </c>
      <c r="EI9" s="683"/>
      <c r="EJ9" s="696">
        <f>SUM(EK9:EQ9)</f>
        <v>215482.70700000002</v>
      </c>
      <c r="EK9" s="166">
        <f t="shared" ref="EK9:EP9" si="336">EK7*EK8*$C$1</f>
        <v>32523.777000000002</v>
      </c>
      <c r="EL9" s="166">
        <f t="shared" si="336"/>
        <v>24477.75</v>
      </c>
      <c r="EM9" s="166">
        <f t="shared" si="336"/>
        <v>23710.5</v>
      </c>
      <c r="EN9" s="166">
        <f t="shared" si="336"/>
        <v>23139.27</v>
      </c>
      <c r="EO9" s="166">
        <f t="shared" si="336"/>
        <v>59344.56</v>
      </c>
      <c r="EP9" s="166">
        <f t="shared" si="336"/>
        <v>52286.85</v>
      </c>
      <c r="EQ9" s="683"/>
      <c r="ER9" s="696">
        <f>SUM(ES9:EY9)</f>
        <v>218225.60100000002</v>
      </c>
      <c r="ES9" s="166">
        <f t="shared" ref="ES9:EX9" si="337">ES7*ES8*$C$1</f>
        <v>35006.400000000001</v>
      </c>
      <c r="ET9" s="166">
        <f t="shared" si="337"/>
        <v>25260.047999999999</v>
      </c>
      <c r="EU9" s="166">
        <f t="shared" si="337"/>
        <v>25641.989999999998</v>
      </c>
      <c r="EV9" s="166">
        <f t="shared" si="337"/>
        <v>27627.93</v>
      </c>
      <c r="EW9" s="166">
        <f t="shared" si="337"/>
        <v>58046.175000000003</v>
      </c>
      <c r="EX9" s="166">
        <f t="shared" si="337"/>
        <v>46643.058000000005</v>
      </c>
      <c r="EY9" s="683"/>
      <c r="EZ9" s="696">
        <f>SUM(FA9:FG9)</f>
        <v>199962.67500000002</v>
      </c>
      <c r="FA9" s="166">
        <f t="shared" ref="FA9:FF9" si="338">FA7*FA8*$C$1</f>
        <v>32848.199999999997</v>
      </c>
      <c r="FB9" s="166">
        <f t="shared" si="338"/>
        <v>22715.055</v>
      </c>
      <c r="FC9" s="166">
        <f t="shared" si="338"/>
        <v>25103.924999999999</v>
      </c>
      <c r="FD9" s="166">
        <f t="shared" si="338"/>
        <v>25809.3</v>
      </c>
      <c r="FE9" s="166">
        <f t="shared" si="338"/>
        <v>50443.47</v>
      </c>
      <c r="FF9" s="166">
        <f t="shared" si="338"/>
        <v>43042.724999999999</v>
      </c>
      <c r="FG9" s="683"/>
      <c r="FH9" s="696">
        <f>SUM(FI9:FO9)</f>
        <v>173559.27599999998</v>
      </c>
      <c r="FI9" s="166">
        <f t="shared" ref="FI9:FN9" si="339">FI7*FI8*$C$1</f>
        <v>28307.663999999997</v>
      </c>
      <c r="FJ9" s="166">
        <f t="shared" si="339"/>
        <v>23032.35</v>
      </c>
      <c r="FK9" s="166">
        <f t="shared" si="339"/>
        <v>26485.272000000001</v>
      </c>
      <c r="FL9" s="166">
        <f t="shared" si="339"/>
        <v>0</v>
      </c>
      <c r="FM9" s="166">
        <f t="shared" si="339"/>
        <v>43770.87</v>
      </c>
      <c r="FN9" s="166">
        <f t="shared" si="339"/>
        <v>51963.12</v>
      </c>
      <c r="FO9" s="683"/>
      <c r="FP9" s="696">
        <f>SUM(FQ9:FW9)</f>
        <v>217350.837</v>
      </c>
      <c r="FQ9" s="166">
        <f t="shared" ref="FQ9:FV9" si="340">FQ7*FQ8*$C$1</f>
        <v>37294.29</v>
      </c>
      <c r="FR9" s="166">
        <f t="shared" si="340"/>
        <v>27799.200000000004</v>
      </c>
      <c r="FS9" s="166">
        <f t="shared" si="340"/>
        <v>28526.354999999996</v>
      </c>
      <c r="FT9" s="166">
        <f t="shared" si="340"/>
        <v>24651</v>
      </c>
      <c r="FU9" s="166">
        <f t="shared" si="340"/>
        <v>49987.871999999996</v>
      </c>
      <c r="FV9" s="166">
        <f t="shared" si="340"/>
        <v>49092.12</v>
      </c>
      <c r="FW9" s="683"/>
      <c r="FX9" s="696">
        <f>SUM(FY9:GE9)</f>
        <v>203048.70300000001</v>
      </c>
      <c r="FY9" s="166">
        <f t="shared" ref="FY9:GD9" si="341">FY7*FY8*$C$1</f>
        <v>0</v>
      </c>
      <c r="FZ9" s="166">
        <f t="shared" si="341"/>
        <v>38468.925000000003</v>
      </c>
      <c r="GA9" s="166">
        <f t="shared" si="341"/>
        <v>32410.817999999999</v>
      </c>
      <c r="GB9" s="166">
        <f t="shared" si="341"/>
        <v>25534.079999999998</v>
      </c>
      <c r="GC9" s="166">
        <f t="shared" si="341"/>
        <v>53721.36</v>
      </c>
      <c r="GD9" s="166">
        <f t="shared" si="341"/>
        <v>52913.52</v>
      </c>
      <c r="GE9" s="683"/>
      <c r="GF9" s="696">
        <f>SUM(GG9:GM9)</f>
        <v>207126.61199999999</v>
      </c>
      <c r="GG9" s="166">
        <f t="shared" ref="GG9:GL9" si="342">GG7*GG8*$C$1</f>
        <v>32388.543000000001</v>
      </c>
      <c r="GH9" s="166">
        <f t="shared" si="342"/>
        <v>26527.05</v>
      </c>
      <c r="GI9" s="166">
        <f t="shared" si="342"/>
        <v>26223.119999999999</v>
      </c>
      <c r="GJ9" s="166">
        <f t="shared" si="342"/>
        <v>23067</v>
      </c>
      <c r="GK9" s="166">
        <f t="shared" si="342"/>
        <v>48792.248999999996</v>
      </c>
      <c r="GL9" s="166">
        <f t="shared" si="342"/>
        <v>50128.65</v>
      </c>
      <c r="GM9" s="683"/>
      <c r="GN9" s="696">
        <f>SUM(GO9:GU9)</f>
        <v>202398.76800000001</v>
      </c>
      <c r="GO9" s="166">
        <f t="shared" ref="GO9:GT9" si="343">GO7*GO8*$C$1</f>
        <v>23427.360000000001</v>
      </c>
      <c r="GP9" s="166">
        <f t="shared" si="343"/>
        <v>32074.614000000001</v>
      </c>
      <c r="GQ9" s="166">
        <f t="shared" si="343"/>
        <v>26373.204000000002</v>
      </c>
      <c r="GR9" s="166">
        <f t="shared" si="343"/>
        <v>27335.88</v>
      </c>
      <c r="GS9" s="166">
        <f t="shared" si="343"/>
        <v>48059.55</v>
      </c>
      <c r="GT9" s="166">
        <f t="shared" si="343"/>
        <v>45128.159999999996</v>
      </c>
      <c r="GU9" s="683"/>
      <c r="GV9" s="696">
        <f>SUM(GW9:HC9)</f>
        <v>182956.75199999998</v>
      </c>
      <c r="GW9" s="166">
        <f>GW7*GW8*C1</f>
        <v>29224.799999999999</v>
      </c>
      <c r="GX9" s="166">
        <f t="shared" ref="GX9:HB9" si="344">GX7*GX8*$C$1</f>
        <v>24417.162</v>
      </c>
      <c r="GY9" s="166">
        <f t="shared" si="344"/>
        <v>26070.66</v>
      </c>
      <c r="GZ9" s="166">
        <f t="shared" si="344"/>
        <v>24981.462</v>
      </c>
      <c r="HA9" s="166">
        <f t="shared" si="344"/>
        <v>42642.467999999993</v>
      </c>
      <c r="HB9" s="166">
        <f t="shared" si="344"/>
        <v>35620.199999999997</v>
      </c>
      <c r="HC9" s="683"/>
      <c r="HD9" s="696">
        <f>SUM(HE9:HK9)</f>
        <v>158799.663</v>
      </c>
      <c r="HE9" s="166">
        <f t="shared" ref="HE9:HJ9" si="345">HE7*HE8*$C$1</f>
        <v>24136.2</v>
      </c>
      <c r="HF9" s="166">
        <f t="shared" si="345"/>
        <v>22178.474999999999</v>
      </c>
      <c r="HG9" s="166">
        <f t="shared" si="345"/>
        <v>18588.834000000003</v>
      </c>
      <c r="HH9" s="166">
        <f t="shared" si="345"/>
        <v>18684.666000000001</v>
      </c>
      <c r="HI9" s="166">
        <f t="shared" si="345"/>
        <v>39244.589999999997</v>
      </c>
      <c r="HJ9" s="166">
        <f t="shared" si="345"/>
        <v>35966.898000000001</v>
      </c>
      <c r="HK9" s="683"/>
      <c r="HL9" s="696">
        <f>SUM(HM9:HS9)</f>
        <v>155987.46900000001</v>
      </c>
      <c r="HM9" s="166">
        <f t="shared" ref="HM9:HR9" si="346">HM7*HM8*$C$1</f>
        <v>23029.775999999998</v>
      </c>
      <c r="HN9" s="166">
        <f t="shared" si="346"/>
        <v>23225.4</v>
      </c>
      <c r="HO9" s="166">
        <f t="shared" si="346"/>
        <v>21611.204999999998</v>
      </c>
      <c r="HP9" s="166">
        <f t="shared" si="346"/>
        <v>19558.439999999999</v>
      </c>
      <c r="HQ9" s="166">
        <f t="shared" si="346"/>
        <v>34702.667999999998</v>
      </c>
      <c r="HR9" s="166">
        <f t="shared" si="346"/>
        <v>33859.980000000003</v>
      </c>
      <c r="HS9" s="683"/>
      <c r="HT9" s="696">
        <f>SUM(HU9:IA9)</f>
        <v>127448.145</v>
      </c>
      <c r="HU9" s="166">
        <f t="shared" ref="HU9:HZ9" si="347">HU7*HU8*$C$1</f>
        <v>19736.838</v>
      </c>
      <c r="HV9" s="166">
        <f t="shared" si="347"/>
        <v>19364.003999999997</v>
      </c>
      <c r="HW9" s="166">
        <f t="shared" si="347"/>
        <v>22410.234</v>
      </c>
      <c r="HX9" s="166">
        <f t="shared" si="347"/>
        <v>0</v>
      </c>
      <c r="HY9" s="166">
        <f t="shared" si="347"/>
        <v>36216.476999999999</v>
      </c>
      <c r="HZ9" s="166">
        <f t="shared" si="347"/>
        <v>29720.592000000001</v>
      </c>
      <c r="IA9" s="683"/>
      <c r="IB9" s="696">
        <f>SUM(IC9:II9)</f>
        <v>152787.88800000001</v>
      </c>
      <c r="IC9" s="166">
        <f>IC7*IC8*$C$1</f>
        <v>23712.876</v>
      </c>
      <c r="ID9" s="166">
        <f t="shared" ref="ID9:IH9" si="348">ID7*ID8*$C$1</f>
        <v>19474.29</v>
      </c>
      <c r="IE9" s="166">
        <f t="shared" si="348"/>
        <v>17484.39</v>
      </c>
      <c r="IF9" s="166">
        <f t="shared" si="348"/>
        <v>18752.579999999998</v>
      </c>
      <c r="IG9" s="166">
        <f t="shared" si="348"/>
        <v>38911.752</v>
      </c>
      <c r="IH9" s="166">
        <f t="shared" si="348"/>
        <v>34452</v>
      </c>
      <c r="II9" s="683"/>
      <c r="IJ9" s="696">
        <f>SUM(IK9:IQ9)</f>
        <v>159992.62599999999</v>
      </c>
      <c r="IK9" s="166">
        <v>25957.8</v>
      </c>
      <c r="IL9" s="166">
        <v>21549.726000000002</v>
      </c>
      <c r="IM9" s="166">
        <v>20512.8</v>
      </c>
      <c r="IN9" s="166">
        <f>IN7*IN8</f>
        <v>21201</v>
      </c>
      <c r="IO9" s="166">
        <f>IO7*IO8</f>
        <v>35830.799999999996</v>
      </c>
      <c r="IP9" s="166">
        <f>IP7*IP8</f>
        <v>34940.5</v>
      </c>
      <c r="IQ9" s="683"/>
      <c r="IR9" s="696">
        <f>SUM(IS9:IY9)</f>
        <v>153764.52299999999</v>
      </c>
      <c r="IS9" s="166">
        <f t="shared" ref="IS9:IX9" si="349">IS7*IS8*$C$1</f>
        <v>27240.444</v>
      </c>
      <c r="IT9" s="166">
        <f t="shared" si="349"/>
        <v>20146.5</v>
      </c>
      <c r="IU9" s="166">
        <f t="shared" si="349"/>
        <v>19182.636000000002</v>
      </c>
      <c r="IV9" s="166">
        <f t="shared" si="349"/>
        <v>19815.047999999999</v>
      </c>
      <c r="IW9" s="166">
        <f t="shared" si="349"/>
        <v>34234.695</v>
      </c>
      <c r="IX9" s="166">
        <f t="shared" si="349"/>
        <v>33145.199999999997</v>
      </c>
      <c r="IY9" s="683"/>
      <c r="IZ9" s="696">
        <f>SUM(JA9:JG9)</f>
        <v>143027.47799999997</v>
      </c>
      <c r="JA9" s="166">
        <f t="shared" ref="JA9:JF9" si="350">JA7*JA8*$C$1</f>
        <v>0</v>
      </c>
      <c r="JB9" s="166">
        <f t="shared" si="350"/>
        <v>30031.550999999996</v>
      </c>
      <c r="JC9" s="166">
        <f t="shared" si="350"/>
        <v>24941.07</v>
      </c>
      <c r="JD9" s="166">
        <f t="shared" si="350"/>
        <v>18288.368999999999</v>
      </c>
      <c r="JE9" s="166">
        <f t="shared" si="350"/>
        <v>35694.647999999994</v>
      </c>
      <c r="JF9" s="166">
        <f t="shared" si="350"/>
        <v>34071.839999999997</v>
      </c>
      <c r="JG9" s="683"/>
      <c r="JH9" s="696">
        <f>SUM(JI9:JO9)</f>
        <v>187675.68599999999</v>
      </c>
      <c r="JI9" s="166">
        <f t="shared" ref="JI9:JN9" si="351">JI7*JI8*$C$1</f>
        <v>27627.93</v>
      </c>
      <c r="JJ9" s="166">
        <f t="shared" si="351"/>
        <v>19233.224999999999</v>
      </c>
      <c r="JK9" s="166">
        <f t="shared" si="351"/>
        <v>20381.031000000003</v>
      </c>
      <c r="JL9" s="166">
        <f t="shared" si="351"/>
        <v>20889</v>
      </c>
      <c r="JM9" s="166">
        <f t="shared" si="351"/>
        <v>51876</v>
      </c>
      <c r="JN9" s="166">
        <f t="shared" si="351"/>
        <v>47668.5</v>
      </c>
      <c r="JO9" s="683"/>
      <c r="JP9" s="696">
        <f>SUM(JQ9:JW9)</f>
        <v>225542.79</v>
      </c>
      <c r="JQ9" s="166">
        <f>JQ7*JQ8*$C$1</f>
        <v>31422.6</v>
      </c>
      <c r="JR9" s="166">
        <f>JR7*JR8*$C$1</f>
        <v>27596.25</v>
      </c>
      <c r="JS9" s="166">
        <f>JS7*JS8*$C$1</f>
        <v>27858.6</v>
      </c>
      <c r="JT9" s="166">
        <f t="shared" ref="JT9:JV9" si="352">JT7*JT8*$C$1</f>
        <v>31437.45</v>
      </c>
      <c r="JU9" s="166">
        <f t="shared" si="352"/>
        <v>56005.29</v>
      </c>
      <c r="JV9" s="166">
        <f t="shared" si="352"/>
        <v>51222.6</v>
      </c>
      <c r="JW9" s="683"/>
      <c r="JX9" s="696">
        <f>SUM(JY9:KE9)</f>
        <v>240684.34499999997</v>
      </c>
      <c r="JY9" s="166">
        <f t="shared" ref="JY9:KD9" si="353">JY7*JY8*$C$1</f>
        <v>39003.525000000001</v>
      </c>
      <c r="JZ9" s="166">
        <f t="shared" si="353"/>
        <v>39326.958000000006</v>
      </c>
      <c r="KA9" s="166">
        <f t="shared" si="353"/>
        <v>35984.519999999997</v>
      </c>
      <c r="KB9" s="166">
        <f t="shared" si="353"/>
        <v>29141.64</v>
      </c>
      <c r="KC9" s="166">
        <f t="shared" si="353"/>
        <v>47876.4</v>
      </c>
      <c r="KD9" s="166">
        <f t="shared" si="353"/>
        <v>49351.301999999996</v>
      </c>
      <c r="KE9" s="683"/>
      <c r="KF9" s="696">
        <f>SUM(KG9:KM9)</f>
        <v>192258.59399999998</v>
      </c>
      <c r="KG9" s="166">
        <f t="shared" ref="KG9:KL9" si="354">KG7*KG8*$C$1</f>
        <v>33244.199999999997</v>
      </c>
      <c r="KH9" s="166">
        <f t="shared" si="354"/>
        <v>23013.54</v>
      </c>
      <c r="KI9" s="166">
        <f t="shared" si="354"/>
        <v>24293.114999999998</v>
      </c>
      <c r="KJ9" s="166">
        <f t="shared" si="354"/>
        <v>23268.959999999999</v>
      </c>
      <c r="KK9" s="166">
        <f t="shared" si="354"/>
        <v>45614.25</v>
      </c>
      <c r="KL9" s="166">
        <f t="shared" si="354"/>
        <v>42824.528999999995</v>
      </c>
      <c r="KM9" s="683"/>
      <c r="KN9" s="696">
        <f>SUM(KO9:KU9)</f>
        <v>187092.378</v>
      </c>
      <c r="KO9" s="166">
        <f t="shared" ref="KO9:KT9" si="355">KO7*KO8*$C$1</f>
        <v>31464.377999999997</v>
      </c>
      <c r="KP9" s="166">
        <f t="shared" si="355"/>
        <v>22581.701999999997</v>
      </c>
      <c r="KQ9" s="166">
        <f t="shared" si="355"/>
        <v>21912.263999999999</v>
      </c>
      <c r="KR9" s="166">
        <f t="shared" si="355"/>
        <v>22972.653000000002</v>
      </c>
      <c r="KS9" s="166">
        <f t="shared" si="355"/>
        <v>45127.368000000002</v>
      </c>
      <c r="KT9" s="166">
        <f t="shared" si="355"/>
        <v>43034.012999999999</v>
      </c>
      <c r="KU9" s="683"/>
      <c r="KV9" s="696">
        <f>SUM(KW9:LC9)</f>
        <v>199169.685</v>
      </c>
      <c r="KW9" s="166">
        <f t="shared" ref="KW9:LB9" si="356">KW7*KW8*$C$1</f>
        <v>32144.111999999997</v>
      </c>
      <c r="KX9" s="166">
        <f t="shared" si="356"/>
        <v>22735.251</v>
      </c>
      <c r="KY9" s="166">
        <f t="shared" si="356"/>
        <v>26414.784</v>
      </c>
      <c r="KZ9" s="166">
        <f t="shared" si="356"/>
        <v>24092.639999999999</v>
      </c>
      <c r="LA9" s="166">
        <f t="shared" si="356"/>
        <v>43790.67</v>
      </c>
      <c r="LB9" s="166">
        <f t="shared" si="356"/>
        <v>49992.228000000003</v>
      </c>
      <c r="LC9" s="683"/>
      <c r="LD9" s="696">
        <f>SUM(LE9:LK9)</f>
        <v>204934.65299999999</v>
      </c>
      <c r="LE9" s="166">
        <f t="shared" ref="LE9:LJ9" si="357">LE7*LE8*$C$1</f>
        <v>35164.800000000003</v>
      </c>
      <c r="LF9" s="166">
        <f>LF7*LF8*$C$1</f>
        <v>24504.48</v>
      </c>
      <c r="LG9" s="166">
        <f t="shared" si="357"/>
        <v>25239.06</v>
      </c>
      <c r="LH9" s="166">
        <f t="shared" si="357"/>
        <v>24097.491000000002</v>
      </c>
      <c r="LI9" s="166">
        <f t="shared" si="357"/>
        <v>50016.581999999995</v>
      </c>
      <c r="LJ9" s="166">
        <f t="shared" si="357"/>
        <v>45912.24</v>
      </c>
      <c r="LK9" s="683"/>
      <c r="LL9" s="696">
        <f>SUM(LM9:LS9)</f>
        <v>210747.93300000002</v>
      </c>
      <c r="LM9" s="166">
        <f t="shared" ref="LM9:LR9" si="358">LM7*LM8*$C$1</f>
        <v>33132.33</v>
      </c>
      <c r="LN9" s="166">
        <f t="shared" si="358"/>
        <v>25349.94</v>
      </c>
      <c r="LO9" s="166">
        <f t="shared" si="358"/>
        <v>26583.974999999999</v>
      </c>
      <c r="LP9" s="166">
        <f t="shared" si="358"/>
        <v>24197.184000000001</v>
      </c>
      <c r="LQ9" s="166">
        <f t="shared" si="358"/>
        <v>52528.112999999998</v>
      </c>
      <c r="LR9" s="166">
        <f t="shared" si="358"/>
        <v>48956.391000000003</v>
      </c>
      <c r="LS9" s="683"/>
      <c r="LT9" s="696">
        <f>SUM(LU9:MA9)</f>
        <v>193584.89699999997</v>
      </c>
      <c r="LU9" s="166">
        <f t="shared" ref="LU9:LZ9" si="359">LU7*LU8*$C$1</f>
        <v>31493.88</v>
      </c>
      <c r="LV9" s="166">
        <f t="shared" si="359"/>
        <v>23162.435999999998</v>
      </c>
      <c r="LW9" s="166">
        <f t="shared" si="359"/>
        <v>23166</v>
      </c>
      <c r="LX9" s="166">
        <f t="shared" si="359"/>
        <v>22894.244999999999</v>
      </c>
      <c r="LY9" s="166">
        <f t="shared" si="359"/>
        <v>46773.936000000002</v>
      </c>
      <c r="LZ9" s="166">
        <f t="shared" si="359"/>
        <v>46094.400000000001</v>
      </c>
      <c r="MA9" s="683"/>
      <c r="MB9" s="696">
        <f>SUM(MC9:MI9)</f>
        <v>185395.815</v>
      </c>
      <c r="MC9" s="166">
        <f>MC7*MC8*$C$1</f>
        <v>33096.69</v>
      </c>
      <c r="MD9" s="166">
        <f t="shared" ref="MD9:MH9" si="360">MD7*MD8*$C$1</f>
        <v>25344</v>
      </c>
      <c r="ME9" s="166">
        <f t="shared" si="360"/>
        <v>22633.875</v>
      </c>
      <c r="MF9" s="166">
        <f t="shared" si="360"/>
        <v>19625.759999999998</v>
      </c>
      <c r="MG9" s="166">
        <f t="shared" si="360"/>
        <v>42031.44</v>
      </c>
      <c r="MH9" s="166">
        <f t="shared" si="360"/>
        <v>42664.05</v>
      </c>
      <c r="MI9" s="683"/>
      <c r="MJ9" s="696">
        <f>SUM(MK9:MQ9)</f>
        <v>177615.80100000001</v>
      </c>
      <c r="MK9" s="166">
        <f t="shared" ref="MK9:MP9" si="361">MK7*MK8*$C$1</f>
        <v>31534.965</v>
      </c>
      <c r="ML9" s="166">
        <f t="shared" si="361"/>
        <v>0</v>
      </c>
      <c r="MM9" s="166">
        <f t="shared" si="361"/>
        <v>24774.75</v>
      </c>
      <c r="MN9" s="166">
        <f t="shared" si="361"/>
        <v>22572</v>
      </c>
      <c r="MO9" s="166">
        <f t="shared" si="361"/>
        <v>48894.515999999996</v>
      </c>
      <c r="MP9" s="166">
        <f t="shared" si="361"/>
        <v>49839.57</v>
      </c>
      <c r="MQ9" s="683"/>
      <c r="MR9" s="696">
        <f>SUM(MS9:MY9)</f>
        <v>192532.22999999998</v>
      </c>
      <c r="MS9" s="166">
        <f t="shared" ref="MS9:MX9" si="362">MS7*MS8*$C$1</f>
        <v>36562.284</v>
      </c>
      <c r="MT9" s="166">
        <f t="shared" si="362"/>
        <v>37642.769999999997</v>
      </c>
      <c r="MU9" s="166">
        <f t="shared" si="362"/>
        <v>16339.355999999998</v>
      </c>
      <c r="MV9" s="166">
        <f t="shared" si="362"/>
        <v>47104.2</v>
      </c>
      <c r="MW9" s="166">
        <f t="shared" si="362"/>
        <v>0</v>
      </c>
      <c r="MX9" s="166">
        <f t="shared" si="362"/>
        <v>54883.62</v>
      </c>
      <c r="MY9" s="683"/>
      <c r="MZ9" s="696">
        <f>SUM(NA9:NG9)</f>
        <v>203557.51902720262</v>
      </c>
      <c r="NA9" s="166">
        <f t="shared" ref="NA9:NF9" si="363">NA7*NA8*$C$1</f>
        <v>34541.749027202619</v>
      </c>
      <c r="NB9" s="166">
        <f t="shared" si="363"/>
        <v>25264.799999999999</v>
      </c>
      <c r="NC9" s="166">
        <f t="shared" si="363"/>
        <v>23284.799999999999</v>
      </c>
      <c r="ND9" s="166">
        <f t="shared" si="363"/>
        <v>22904.936999999998</v>
      </c>
      <c r="NE9" s="166">
        <f t="shared" si="363"/>
        <v>47424.662999999993</v>
      </c>
      <c r="NF9" s="166">
        <f t="shared" si="363"/>
        <v>50136.57</v>
      </c>
      <c r="NG9" s="683"/>
      <c r="NH9" s="696">
        <f>SUM(NI9:NO9)</f>
        <v>246438.522</v>
      </c>
      <c r="NI9" s="166">
        <f t="shared" ref="NI9:NN9" si="364">NI7*NI8*$C$1</f>
        <v>34382.699999999997</v>
      </c>
      <c r="NJ9" s="166">
        <f t="shared" si="364"/>
        <v>28334.592000000001</v>
      </c>
      <c r="NK9" s="166">
        <f t="shared" si="364"/>
        <v>27924.93</v>
      </c>
      <c r="NL9" s="166">
        <f t="shared" si="364"/>
        <v>28155.599999999999</v>
      </c>
      <c r="NM9" s="166">
        <f t="shared" si="364"/>
        <v>60746.400000000009</v>
      </c>
      <c r="NN9" s="166">
        <f t="shared" si="364"/>
        <v>66894.3</v>
      </c>
      <c r="NO9" s="683"/>
      <c r="NP9" s="696">
        <f>SUM(NQ9:NW9)</f>
        <v>284468.97600000002</v>
      </c>
      <c r="NQ9" s="166">
        <f t="shared" ref="NQ9:NV9" si="365">NQ7*NQ8*$C$1</f>
        <v>49806.9</v>
      </c>
      <c r="NR9" s="166">
        <f t="shared" si="365"/>
        <v>44178.75</v>
      </c>
      <c r="NS9" s="166">
        <f t="shared" si="365"/>
        <v>45969.659999999996</v>
      </c>
      <c r="NT9" s="166">
        <f t="shared" si="365"/>
        <v>38608.811999999998</v>
      </c>
      <c r="NU9" s="166">
        <f t="shared" si="365"/>
        <v>56257.74</v>
      </c>
      <c r="NV9" s="166">
        <f t="shared" si="365"/>
        <v>49647.114000000001</v>
      </c>
      <c r="NW9" s="683"/>
      <c r="NX9" s="696">
        <f>SUM(NY9:OE9)</f>
        <v>204882.28200000001</v>
      </c>
      <c r="NY9" s="166">
        <f t="shared" ref="NY9:OD9" si="366">NY7*NY8*$C$1</f>
        <v>35907.300000000003</v>
      </c>
      <c r="NZ9" s="166">
        <f t="shared" si="366"/>
        <v>25821.18</v>
      </c>
      <c r="OA9" s="166">
        <f t="shared" si="366"/>
        <v>25149.96</v>
      </c>
      <c r="OB9" s="166">
        <f t="shared" si="366"/>
        <v>22923.45</v>
      </c>
      <c r="OC9" s="166">
        <f t="shared" si="366"/>
        <v>47054.7</v>
      </c>
      <c r="OD9" s="166">
        <f t="shared" si="366"/>
        <v>48025.692000000003</v>
      </c>
      <c r="OE9" s="683"/>
      <c r="OF9" s="696">
        <f>SUM(OG9:OM9)</f>
        <v>204109.19099999999</v>
      </c>
      <c r="OG9" s="166">
        <f t="shared" ref="OG9:OL9" si="367">OG7*OG8*$C$1</f>
        <v>35523.18</v>
      </c>
      <c r="OH9" s="166">
        <f t="shared" si="367"/>
        <v>29521.8</v>
      </c>
      <c r="OI9" s="166">
        <f t="shared" si="367"/>
        <v>24699.51</v>
      </c>
      <c r="OJ9" s="166">
        <f t="shared" si="367"/>
        <v>24465.573</v>
      </c>
      <c r="OK9" s="166">
        <f t="shared" si="367"/>
        <v>44575.74</v>
      </c>
      <c r="OL9" s="166">
        <f t="shared" si="367"/>
        <v>45323.388000000006</v>
      </c>
      <c r="OM9" s="683"/>
      <c r="ON9" s="696">
        <f>SUM(OO9:OU9)</f>
        <v>296760.91499999998</v>
      </c>
      <c r="OO9" s="166">
        <f t="shared" ref="OO9:OT9" si="368">OO7*OO8*$C$1</f>
        <v>33452.1</v>
      </c>
      <c r="OP9" s="166">
        <f t="shared" si="368"/>
        <v>30347.459999999995</v>
      </c>
      <c r="OQ9" s="166">
        <f t="shared" si="368"/>
        <v>43643.159999999996</v>
      </c>
      <c r="OR9" s="166">
        <f t="shared" si="368"/>
        <v>56849.759999999995</v>
      </c>
      <c r="OS9" s="166">
        <f t="shared" si="368"/>
        <v>80985.960000000006</v>
      </c>
      <c r="OT9" s="166">
        <f t="shared" si="368"/>
        <v>51482.474999999999</v>
      </c>
      <c r="OU9" s="683"/>
      <c r="OV9" s="696">
        <f>SUM(OW9:PC9)</f>
        <v>205943.364</v>
      </c>
      <c r="OW9" s="166">
        <f>OW7*OW8*$C$1</f>
        <v>16632</v>
      </c>
      <c r="OX9" s="166">
        <f t="shared" ref="OX9:PB9" si="369">OX7*OX8*$C$1</f>
        <v>19948.005000000001</v>
      </c>
      <c r="OY9" s="166">
        <f t="shared" si="369"/>
        <v>29427.75</v>
      </c>
      <c r="OZ9" s="166">
        <f t="shared" si="369"/>
        <v>34644.555</v>
      </c>
      <c r="PA9" s="166">
        <f t="shared" si="369"/>
        <v>63077.453999999998</v>
      </c>
      <c r="PB9" s="166">
        <f t="shared" si="369"/>
        <v>42213.599999999991</v>
      </c>
      <c r="PC9" s="683"/>
    </row>
    <row r="10" spans="2:420" ht="15" thickBot="1" x14ac:dyDescent="0.35">
      <c r="B10" s="978" t="s">
        <v>214</v>
      </c>
      <c r="C10" s="677" t="s">
        <v>252</v>
      </c>
      <c r="D10" s="690">
        <f>SUM(E10:K10)</f>
        <v>5580</v>
      </c>
      <c r="E10" s="669">
        <f>INDEX(DB!$3:$367,MATCH(E$2,DB!$D$3:$D$367),17)</f>
        <v>200</v>
      </c>
      <c r="F10" s="669">
        <f>INDEX(DB!$3:$367,MATCH(F$2,DB!$D$3:$D$367),17)</f>
        <v>1100</v>
      </c>
      <c r="G10" s="669">
        <f>INDEX(DB!$3:$367,MATCH(G$2,DB!$D$3:$D$367),17)</f>
        <v>1100</v>
      </c>
      <c r="H10" s="669">
        <f>INDEX(DB!$3:$367,MATCH(H$2,DB!$D$3:$D$367),17)</f>
        <v>1000</v>
      </c>
      <c r="I10" s="669">
        <f>INDEX(DB!$3:$367,MATCH(I$2,DB!$D$3:$D$367),17)</f>
        <v>1000</v>
      </c>
      <c r="J10" s="669">
        <f>INDEX(DB!$3:$367,MATCH(J$2,DB!$D$3:$D$367),17)</f>
        <v>1000</v>
      </c>
      <c r="K10" s="670">
        <f>INDEX(DB!$3:$367,MATCH(K$2,DB!$D$3:$D$367),17)</f>
        <v>180</v>
      </c>
      <c r="L10" s="690">
        <f>SUM(M10:S10)</f>
        <v>5840</v>
      </c>
      <c r="M10" s="669">
        <f>INDEX(DB!$3:$367,MATCH(M$2,DB!$D$3:$D$367),17)</f>
        <v>700</v>
      </c>
      <c r="N10" s="669">
        <f>INDEX(DB!$3:$367,MATCH(N$2,DB!$D$3:$D$367),17)</f>
        <v>1050</v>
      </c>
      <c r="O10" s="669">
        <f>INDEX(DB!$3:$367,MATCH(O$2,DB!$D$3:$D$367),17)</f>
        <v>1000</v>
      </c>
      <c r="P10" s="669">
        <f>INDEX(DB!$3:$367,MATCH(P$2,DB!$D$3:$D$367),17)</f>
        <v>1000</v>
      </c>
      <c r="Q10" s="669">
        <f>INDEX(DB!$3:$367,MATCH(Q$2,DB!$D$3:$D$367),17)</f>
        <v>1050</v>
      </c>
      <c r="R10" s="669">
        <f>INDEX(DB!$3:$367,MATCH(R$2,DB!$D$3:$D$367),17)</f>
        <v>950</v>
      </c>
      <c r="S10" s="670">
        <f>INDEX(DB!$3:$367,MATCH(S$2,DB!$D$3:$D$367),17)</f>
        <v>90</v>
      </c>
      <c r="T10" s="690">
        <f>SUM(U10:AA10)</f>
        <v>5890</v>
      </c>
      <c r="U10" s="669">
        <f>INDEX(DB!$3:$367,MATCH(U$2,DB!$D$3:$D$367),17)</f>
        <v>700</v>
      </c>
      <c r="V10" s="669">
        <f>INDEX(DB!$3:$367,MATCH(V$2,DB!$D$3:$D$367),17)</f>
        <v>1050</v>
      </c>
      <c r="W10" s="669">
        <f>INDEX(DB!$3:$367,MATCH(W$2,DB!$D$3:$D$367),17)</f>
        <v>1050</v>
      </c>
      <c r="X10" s="669">
        <f>INDEX(DB!$3:$367,MATCH(X$2,DB!$D$3:$D$367),17)</f>
        <v>1000</v>
      </c>
      <c r="Y10" s="669">
        <v>1050</v>
      </c>
      <c r="Z10" s="669">
        <f>INDEX(DB!$3:$367,MATCH(Z$2,DB!$D$3:$D$367),17)</f>
        <v>950</v>
      </c>
      <c r="AA10" s="670">
        <f>INDEX(DB!$3:$367,MATCH(AA$2,DB!$D$3:$D$367),17)</f>
        <v>90</v>
      </c>
      <c r="AB10" s="690">
        <f>SUM(AC10:AI10)</f>
        <v>6330</v>
      </c>
      <c r="AC10" s="669">
        <f>INDEX(DB!$3:$367,MATCH(AC$2,DB!$D$3:$D$367),17)</f>
        <v>700</v>
      </c>
      <c r="AD10" s="669">
        <f>INDEX(DB!$3:$367,MATCH(AD$2,DB!$D$3:$D$367),17)</f>
        <v>1050</v>
      </c>
      <c r="AE10" s="669">
        <f>INDEX(DB!$3:$367,MATCH(AE$2,DB!$D$3:$D$367),17)</f>
        <v>1150</v>
      </c>
      <c r="AF10" s="669">
        <f>INDEX(DB!$3:$367,MATCH(AF$2,DB!$D$3:$D$367),17)</f>
        <v>1150</v>
      </c>
      <c r="AG10" s="669">
        <f>INDEX(DB!$3:$367,MATCH(AG$2,DB!$D$3:$D$367),17)</f>
        <v>1100</v>
      </c>
      <c r="AH10" s="669">
        <f>INDEX(DB!$3:$367,MATCH(AH$2,DB!$D$3:$D$367),17)</f>
        <v>1000</v>
      </c>
      <c r="AI10" s="670">
        <v>180</v>
      </c>
      <c r="AJ10" s="690">
        <f>SUM(AK10:AQ10)</f>
        <v>6380</v>
      </c>
      <c r="AK10" s="669">
        <f>INDEX(DB!$3:$367,MATCH(AK$2,DB!$D$3:$D$367),17)</f>
        <v>700</v>
      </c>
      <c r="AL10" s="669">
        <f>INDEX(DB!$3:$367,MATCH(AL$2,DB!$D$3:$D$367),17)</f>
        <v>1100</v>
      </c>
      <c r="AM10" s="669">
        <f>INDEX(DB!$3:$367,MATCH(AM$2,DB!$D$3:$D$367),17)</f>
        <v>1150</v>
      </c>
      <c r="AN10" s="669">
        <f>INDEX(DB!$3:$367,MATCH(AN$2,DB!$D$3:$D$367),17)</f>
        <v>1100</v>
      </c>
      <c r="AO10" s="669">
        <f>INDEX(DB!$3:$367,MATCH(AO$2,DB!$D$3:$D$367),17)</f>
        <v>1100</v>
      </c>
      <c r="AP10" s="669">
        <f>INDEX(DB!$3:$367,MATCH(AP$2,DB!$D$3:$D$367),17)</f>
        <v>1050</v>
      </c>
      <c r="AQ10" s="670">
        <f>INDEX(DB!$3:$367,MATCH(AQ$2,DB!$D$3:$D$367),17)</f>
        <v>180</v>
      </c>
      <c r="AR10" s="690">
        <f>SUM(AS10:AY10)</f>
        <v>6450</v>
      </c>
      <c r="AS10" s="669">
        <f>INDEX(DB!$3:$367,MATCH(AS$2,DB!$D$3:$D$367),17)</f>
        <v>700</v>
      </c>
      <c r="AT10" s="669">
        <f>INDEX(DB!$3:$367,MATCH(AT$2,DB!$D$3:$D$367),17)</f>
        <v>1150</v>
      </c>
      <c r="AU10" s="669">
        <f>INDEX(DB!$3:$367,MATCH(AU$2,DB!$D$3:$D$367),17)</f>
        <v>1150</v>
      </c>
      <c r="AV10" s="669">
        <f>INDEX(DB!$3:$367,MATCH(AV$2,DB!$D$3:$D$367),17)</f>
        <v>1150</v>
      </c>
      <c r="AW10" s="669">
        <f>INDEX(DB!$3:$367,MATCH(AW$2,DB!$D$3:$D$367),17)</f>
        <v>1100</v>
      </c>
      <c r="AX10" s="669">
        <f>INDEX(DB!$3:$367,MATCH(AX$2,DB!$D$3:$D$367),17)</f>
        <v>1000</v>
      </c>
      <c r="AY10" s="670">
        <f>INDEX(DB!$3:$367,MATCH(AY$2,DB!$D$3:$D$367),17)</f>
        <v>200</v>
      </c>
      <c r="AZ10" s="690">
        <f>SUM(BA10:BG10)</f>
        <v>6150</v>
      </c>
      <c r="BA10" s="669">
        <f>INDEX(DB!$3:$367,MATCH(BA$2,DB!$D$3:$D$367),17)</f>
        <v>650</v>
      </c>
      <c r="BB10" s="669">
        <f>INDEX(DB!$3:$367,MATCH(BB$2,DB!$D$3:$D$367),17)</f>
        <v>1100</v>
      </c>
      <c r="BC10" s="669">
        <f>INDEX(DB!$3:$367,MATCH(BC$2,DB!$D$3:$D$367),17)</f>
        <v>1100</v>
      </c>
      <c r="BD10" s="669">
        <f>INDEX(DB!$3:$367,MATCH(BD$2,DB!$D$3:$D$367),17)</f>
        <v>1050</v>
      </c>
      <c r="BE10" s="669">
        <f>INDEX(DB!$3:$367,MATCH(BE$2,DB!$D$3:$D$367),17)</f>
        <v>1050</v>
      </c>
      <c r="BF10" s="669">
        <f>INDEX(DB!$3:$367,MATCH(BF$2,DB!$D$3:$D$367),17)</f>
        <v>1000</v>
      </c>
      <c r="BG10" s="670">
        <f>INDEX(DB!$3:$367,MATCH(BG$2,DB!$D$3:$D$367),17)</f>
        <v>200</v>
      </c>
      <c r="BH10" s="690">
        <f>SUM(BI10:BO10)</f>
        <v>6050</v>
      </c>
      <c r="BI10" s="669">
        <f>INDEX(DB!$3:$367,MATCH(BI$2,DB!$D$3:$D$367),17)</f>
        <v>700</v>
      </c>
      <c r="BJ10" s="669">
        <f>INDEX(DB!$3:$367,MATCH(BJ$2,DB!$D$3:$D$367),17)</f>
        <v>1050</v>
      </c>
      <c r="BK10" s="669">
        <f>INDEX(DB!$3:$367,MATCH(BK$2,DB!$D$3:$D$367),17)</f>
        <v>1050</v>
      </c>
      <c r="BL10" s="669">
        <f>INDEX(DB!$3:$367,MATCH(BL$2,DB!$D$3:$D$367),17)</f>
        <v>1050</v>
      </c>
      <c r="BM10" s="669">
        <f>INDEX(DB!$3:$367,MATCH(BM$2,DB!$D$3:$D$367),17)</f>
        <v>1050</v>
      </c>
      <c r="BN10" s="669">
        <f>INDEX(DB!$3:$367,MATCH(BN$2,DB!$D$3:$D$367),17)</f>
        <v>1050</v>
      </c>
      <c r="BO10" s="670">
        <f>INDEX(DB!$3:$367,MATCH(BO$2,DB!$D$3:$D$367),17)</f>
        <v>100</v>
      </c>
      <c r="BP10" s="690">
        <f>SUM(BQ10:BW10)</f>
        <v>5550</v>
      </c>
      <c r="BQ10" s="669">
        <f>INDEX(DB!$3:$367,MATCH(BQ$2,DB!$D$3:$D$367),17)</f>
        <v>700</v>
      </c>
      <c r="BR10" s="669">
        <f>INDEX(DB!$3:$367,MATCH(BR$2,DB!$D$3:$D$367),17)</f>
        <v>950</v>
      </c>
      <c r="BS10" s="669">
        <f>INDEX(DB!$3:$367,MATCH(BS$2,DB!$D$3:$D$367),17)</f>
        <v>950</v>
      </c>
      <c r="BT10" s="669">
        <f>INDEX(DB!$3:$367,MATCH(BT$2,DB!$D$3:$D$367),17)</f>
        <v>950</v>
      </c>
      <c r="BU10" s="669">
        <f>INDEX(DB!$3:$367,MATCH(BU$2,DB!$D$3:$D$367),17)</f>
        <v>950</v>
      </c>
      <c r="BV10" s="669">
        <f>INDEX(DB!$3:$367,MATCH(BV$2,DB!$D$3:$D$367),17)</f>
        <v>950</v>
      </c>
      <c r="BW10" s="670">
        <f>INDEX(DB!$3:$367,MATCH(BW$2,DB!$D$3:$D$367),17)</f>
        <v>100</v>
      </c>
      <c r="BX10" s="690">
        <f>SUM(BY10:CE10)</f>
        <v>5400</v>
      </c>
      <c r="BY10" s="669">
        <f>INDEX(DB!$3:$367,MATCH(BY$2,DB!$D$3:$D$367),17)</f>
        <v>700</v>
      </c>
      <c r="BZ10" s="669">
        <f>INDEX(DB!$3:$367,MATCH(BZ$2,DB!$D$3:$D$367),17)</f>
        <v>950</v>
      </c>
      <c r="CA10" s="669">
        <f>INDEX(DB!$3:$367,MATCH(CA$2,DB!$D$3:$D$367),17)</f>
        <v>900</v>
      </c>
      <c r="CB10" s="669">
        <f>INDEX(DB!$3:$367,MATCH(CB$2,DB!$D$3:$D$367),17)</f>
        <v>850</v>
      </c>
      <c r="CC10" s="669">
        <f>INDEX(DB!$3:$367,MATCH(CC$2,DB!$D$3:$D$367),17)</f>
        <v>950</v>
      </c>
      <c r="CD10" s="669">
        <f>INDEX(DB!$3:$367,MATCH(CD$2,DB!$D$3:$D$367),17)</f>
        <v>950</v>
      </c>
      <c r="CE10" s="670">
        <f>INDEX(DB!$3:$367,MATCH(CE$2,DB!$D$3:$D$367),17)</f>
        <v>100</v>
      </c>
      <c r="CF10" s="690">
        <f>SUM(CG10:CM10)</f>
        <v>5600</v>
      </c>
      <c r="CG10" s="669">
        <f>INDEX(DB!$3:$367,MATCH(CG$2,DB!$D$3:$D$367),17)</f>
        <v>800</v>
      </c>
      <c r="CH10" s="669">
        <f>INDEX(DB!$3:$367,MATCH(CH$2,DB!$D$3:$D$367),17)</f>
        <v>900</v>
      </c>
      <c r="CI10" s="669">
        <f>INDEX(DB!$3:$367,MATCH(CI$2,DB!$D$3:$D$367),17)</f>
        <v>950</v>
      </c>
      <c r="CJ10" s="669">
        <v>850</v>
      </c>
      <c r="CK10" s="669">
        <f>INDEX(DB!$3:$367,MATCH(CK$2,DB!$D$3:$D$367),17)</f>
        <v>1000</v>
      </c>
      <c r="CL10" s="669">
        <f>INDEX(DB!$3:$367,MATCH(CL$2,DB!$D$3:$D$367),17)</f>
        <v>1000</v>
      </c>
      <c r="CM10" s="670">
        <f>INDEX(DB!$3:$367,MATCH(CM$2,DB!$D$3:$D$367),17)</f>
        <v>100</v>
      </c>
      <c r="CN10" s="690">
        <f>SUM(CO10:CU10)</f>
        <v>5500</v>
      </c>
      <c r="CO10" s="669">
        <v>700</v>
      </c>
      <c r="CP10" s="669">
        <v>850</v>
      </c>
      <c r="CQ10" s="669">
        <v>950</v>
      </c>
      <c r="CR10" s="669">
        <v>900</v>
      </c>
      <c r="CS10" s="669">
        <v>1050</v>
      </c>
      <c r="CT10" s="669">
        <v>950</v>
      </c>
      <c r="CU10" s="670">
        <f>INDEX(DB!$3:$367,MATCH(CU$2,DB!$D$3:$D$367),17)</f>
        <v>100</v>
      </c>
      <c r="CV10" s="690">
        <f>SUM(CW10:DC10)</f>
        <v>5750</v>
      </c>
      <c r="CW10" s="669">
        <v>700</v>
      </c>
      <c r="CX10" s="669">
        <v>1000</v>
      </c>
      <c r="CY10" s="669">
        <v>1000</v>
      </c>
      <c r="CZ10" s="669">
        <v>900</v>
      </c>
      <c r="DA10" s="669">
        <v>1000</v>
      </c>
      <c r="DB10" s="669">
        <v>1050</v>
      </c>
      <c r="DC10" s="670">
        <v>100</v>
      </c>
      <c r="DD10" s="690">
        <f>SUM(DE10:DK10)</f>
        <v>5600</v>
      </c>
      <c r="DE10" s="669">
        <f>INDEX(DB!$3:$367,MATCH(DE$2,DB!$D$3:$D$367),17)</f>
        <v>700</v>
      </c>
      <c r="DF10" s="669">
        <f>INDEX(DB!$3:$367,MATCH(DF$2,DB!$D$3:$D$367),17)</f>
        <v>950</v>
      </c>
      <c r="DG10" s="669">
        <f>INDEX(DB!$3:$367,MATCH(DG$2,DB!$D$3:$D$367),17)</f>
        <v>950</v>
      </c>
      <c r="DH10" s="669">
        <f>INDEX(DB!$3:$367,MATCH(DH$2,DB!$D$3:$D$367),17)</f>
        <v>950</v>
      </c>
      <c r="DI10" s="669">
        <f>INDEX(DB!$3:$367,MATCH(DI$2,DB!$D$3:$D$367),17)</f>
        <v>1000</v>
      </c>
      <c r="DJ10" s="669">
        <f>INDEX(DB!$3:$367,MATCH(DJ$2,DB!$D$3:$D$367),17)</f>
        <v>950</v>
      </c>
      <c r="DK10" s="670">
        <f>INDEX(DB!$3:$367,MATCH(DK$2,DB!$D$3:$D$367),17)</f>
        <v>100</v>
      </c>
      <c r="DL10" s="690">
        <f>SUM(DM10:DS10)</f>
        <v>6050</v>
      </c>
      <c r="DM10" s="669">
        <v>700</v>
      </c>
      <c r="DN10" s="669">
        <v>950</v>
      </c>
      <c r="DO10" s="669">
        <v>950</v>
      </c>
      <c r="DP10" s="669">
        <v>950</v>
      </c>
      <c r="DQ10" s="669">
        <v>1000</v>
      </c>
      <c r="DR10" s="669">
        <v>1000</v>
      </c>
      <c r="DS10" s="670">
        <v>500</v>
      </c>
      <c r="DT10" s="690">
        <f>SUM(DU10:EA10)</f>
        <v>4300</v>
      </c>
      <c r="DU10" s="669">
        <v>0</v>
      </c>
      <c r="DV10" s="669">
        <v>200</v>
      </c>
      <c r="DW10" s="669">
        <v>1050</v>
      </c>
      <c r="DX10" s="669">
        <v>950</v>
      </c>
      <c r="DY10" s="669">
        <v>1000</v>
      </c>
      <c r="DZ10" s="669">
        <v>1000</v>
      </c>
      <c r="EA10" s="670">
        <v>100</v>
      </c>
      <c r="EB10" s="690">
        <f>SUM(EC10:EI10)</f>
        <v>5550</v>
      </c>
      <c r="EC10" s="669">
        <f>INDEX(DB!$3:$367,MATCH(EC$2,DB!$D$3:$D$367),17)</f>
        <v>650</v>
      </c>
      <c r="ED10" s="669">
        <f>INDEX(DB!$3:$367,MATCH(ED$2,DB!$D$3:$D$367),17)</f>
        <v>950</v>
      </c>
      <c r="EE10" s="669">
        <f>INDEX(DB!$3:$367,MATCH(EE$2,DB!$D$3:$D$367),17)</f>
        <v>950</v>
      </c>
      <c r="EF10" s="669">
        <f>INDEX(DB!$3:$367,MATCH(EF$2,DB!$D$3:$D$367),17)</f>
        <v>900</v>
      </c>
      <c r="EG10" s="669">
        <f>INDEX(DB!$3:$367,MATCH(EG$2,DB!$D$3:$D$367),17)</f>
        <v>1050</v>
      </c>
      <c r="EH10" s="669">
        <f>INDEX(DB!$3:$367,MATCH(EH$2,DB!$D$3:$D$367),17)</f>
        <v>1050</v>
      </c>
      <c r="EI10" s="670">
        <f>INDEX(DB!$3:$367,MATCH(EI$2,DB!$D$3:$D$367),17)</f>
        <v>0</v>
      </c>
      <c r="EJ10" s="690">
        <f>SUM(EK10:EQ10)</f>
        <v>5950</v>
      </c>
      <c r="EK10" s="669">
        <f>INDEX(DB!$3:$367,MATCH(EK$2,DB!$D$3:$D$367),17)</f>
        <v>750</v>
      </c>
      <c r="EL10" s="669">
        <f>INDEX(DB!$3:$367,MATCH(EL$2,DB!$D$3:$D$367),17)</f>
        <v>1000</v>
      </c>
      <c r="EM10" s="669">
        <f>INDEX(DB!$3:$367,MATCH(EM$2,DB!$D$3:$D$367),17)</f>
        <v>950</v>
      </c>
      <c r="EN10" s="669">
        <f>INDEX(DB!$3:$367,MATCH(EN$2,DB!$D$3:$D$367),17)</f>
        <v>950</v>
      </c>
      <c r="EO10" s="669">
        <f>INDEX(DB!$3:$367,MATCH(EO$2,DB!$D$3:$D$367),17)</f>
        <v>1100</v>
      </c>
      <c r="EP10" s="669">
        <f>INDEX(DB!$3:$367,MATCH(EP$2,DB!$D$3:$D$367),17)</f>
        <v>1100</v>
      </c>
      <c r="EQ10" s="670">
        <f>INDEX(DB!$3:$367,MATCH(EQ$2,DB!$D$3:$D$367),17)</f>
        <v>100</v>
      </c>
      <c r="ER10" s="690">
        <f>SUM(ES10:EY10)</f>
        <v>6100</v>
      </c>
      <c r="ES10" s="669">
        <v>750</v>
      </c>
      <c r="ET10" s="669">
        <v>1050</v>
      </c>
      <c r="EU10" s="669">
        <v>1050</v>
      </c>
      <c r="EV10" s="669">
        <v>1000</v>
      </c>
      <c r="EW10" s="669">
        <v>1100</v>
      </c>
      <c r="EX10" s="669">
        <v>1050</v>
      </c>
      <c r="EY10" s="670">
        <v>100</v>
      </c>
      <c r="EZ10" s="690">
        <f>SUM(FA10:FG10)</f>
        <v>5400</v>
      </c>
      <c r="FA10" s="669">
        <v>700</v>
      </c>
      <c r="FB10" s="669">
        <v>900</v>
      </c>
      <c r="FC10" s="669">
        <v>950</v>
      </c>
      <c r="FD10" s="669">
        <v>900</v>
      </c>
      <c r="FE10" s="669">
        <v>950</v>
      </c>
      <c r="FF10" s="669">
        <v>900</v>
      </c>
      <c r="FG10" s="670">
        <v>100</v>
      </c>
      <c r="FH10" s="690">
        <f>SUM(FI10:FO10)</f>
        <v>4350</v>
      </c>
      <c r="FI10" s="669">
        <v>650</v>
      </c>
      <c r="FJ10" s="669">
        <v>850</v>
      </c>
      <c r="FK10" s="669">
        <v>850</v>
      </c>
      <c r="FL10" s="669">
        <v>0</v>
      </c>
      <c r="FM10" s="669">
        <v>800</v>
      </c>
      <c r="FN10" s="669">
        <v>1100</v>
      </c>
      <c r="FO10" s="670">
        <v>100</v>
      </c>
      <c r="FP10" s="690">
        <f>SUM(FQ10:FW10)</f>
        <v>5900</v>
      </c>
      <c r="FQ10" s="669">
        <v>750</v>
      </c>
      <c r="FR10" s="669">
        <v>950</v>
      </c>
      <c r="FS10" s="669">
        <v>950</v>
      </c>
      <c r="FT10" s="669">
        <v>950</v>
      </c>
      <c r="FU10" s="669">
        <v>1050</v>
      </c>
      <c r="FV10" s="669">
        <v>1050</v>
      </c>
      <c r="FW10" s="670">
        <v>200</v>
      </c>
      <c r="FX10" s="690">
        <f>SUM(FY10:GE10)</f>
        <v>4450</v>
      </c>
      <c r="FY10" s="669">
        <v>0</v>
      </c>
      <c r="FZ10" s="669">
        <v>200</v>
      </c>
      <c r="GA10" s="669">
        <v>1100</v>
      </c>
      <c r="GB10" s="669">
        <v>1000</v>
      </c>
      <c r="GC10" s="669">
        <v>1000</v>
      </c>
      <c r="GD10" s="669">
        <v>1050</v>
      </c>
      <c r="GE10" s="670">
        <v>100</v>
      </c>
      <c r="GF10" s="690">
        <f>SUM(GG10:GM10)</f>
        <v>5900</v>
      </c>
      <c r="GG10" s="669">
        <v>750</v>
      </c>
      <c r="GH10" s="669">
        <v>1000</v>
      </c>
      <c r="GI10" s="669">
        <v>1000</v>
      </c>
      <c r="GJ10" s="669">
        <v>950</v>
      </c>
      <c r="GK10" s="669">
        <v>1050</v>
      </c>
      <c r="GL10" s="669">
        <v>1050</v>
      </c>
      <c r="GM10" s="670">
        <v>100</v>
      </c>
      <c r="GN10" s="690">
        <f>SUM(GO10:GU10)</f>
        <v>5950</v>
      </c>
      <c r="GO10" s="669">
        <v>750</v>
      </c>
      <c r="GP10" s="669">
        <v>1050</v>
      </c>
      <c r="GQ10" s="669">
        <v>1000</v>
      </c>
      <c r="GR10" s="669">
        <v>975</v>
      </c>
      <c r="GS10" s="669">
        <v>1050</v>
      </c>
      <c r="GT10" s="669">
        <v>1025</v>
      </c>
      <c r="GU10" s="670">
        <v>100</v>
      </c>
      <c r="GV10" s="690">
        <f>SUM(GW10:HC10)</f>
        <v>5650</v>
      </c>
      <c r="GW10" s="669">
        <f>INDEX(DB!$3:$367,MATCH(GW$2,DB!$D$3:$D$367),17)</f>
        <v>700</v>
      </c>
      <c r="GX10" s="669">
        <f>INDEX(DB!$3:$367,MATCH(GX$2,DB!$D$3:$D$367),17)</f>
        <v>1000</v>
      </c>
      <c r="GY10" s="669">
        <f>INDEX(DB!$3:$367,MATCH(GY$2,DB!$D$3:$D$367),17)</f>
        <v>1000</v>
      </c>
      <c r="GZ10" s="669">
        <f>INDEX(DB!$3:$367,MATCH(GZ$2,DB!$D$3:$D$367),17)</f>
        <v>900</v>
      </c>
      <c r="HA10" s="669">
        <f>INDEX(DB!$3:$367,MATCH(HA$2,DB!$D$3:$D$367),17)</f>
        <v>950</v>
      </c>
      <c r="HB10" s="669">
        <f>INDEX(DB!$3:$367,MATCH(HB$2,DB!$D$3:$D$367),17)</f>
        <v>1000</v>
      </c>
      <c r="HC10" s="670">
        <f>INDEX(DB!$3:$367,MATCH(HC$2,DB!$D$3:$D$367),17)</f>
        <v>100</v>
      </c>
      <c r="HD10" s="690">
        <v>5175</v>
      </c>
      <c r="HE10" s="669">
        <v>650</v>
      </c>
      <c r="HF10" s="669">
        <v>950</v>
      </c>
      <c r="HG10" s="669">
        <v>925</v>
      </c>
      <c r="HH10" s="669">
        <v>800</v>
      </c>
      <c r="HI10" s="669">
        <v>900</v>
      </c>
      <c r="HJ10" s="669">
        <v>950</v>
      </c>
      <c r="HK10" s="670">
        <v>0</v>
      </c>
      <c r="HL10" s="690">
        <f>SUM(HM10:HS10)</f>
        <v>4950</v>
      </c>
      <c r="HM10" s="669">
        <f>INDEX(DB!$3:$367,MATCH(HM$2,DB!$D$3:$D$367),17)</f>
        <v>650</v>
      </c>
      <c r="HN10" s="669">
        <f>INDEX(DB!$3:$367,MATCH(HN$2,DB!$D$3:$D$367),17)</f>
        <v>850</v>
      </c>
      <c r="HO10" s="669">
        <f>INDEX(DB!$3:$367,MATCH(HO$2,DB!$D$3:$D$367),17)</f>
        <v>850</v>
      </c>
      <c r="HP10" s="669">
        <v>800</v>
      </c>
      <c r="HQ10" s="669">
        <f>INDEX(DB!$3:$367,MATCH(HQ$2,DB!$D$3:$D$367),17)</f>
        <v>900</v>
      </c>
      <c r="HR10" s="669">
        <f>INDEX(DB!$3:$367,MATCH(HR$2,DB!$D$3:$D$367),17)</f>
        <v>900</v>
      </c>
      <c r="HS10" s="670">
        <f>INDEX(DB!$3:$367,MATCH(HS$2,DB!$D$3:$D$367),17)</f>
        <v>0</v>
      </c>
      <c r="HT10" s="690">
        <f>SUM(HU10:IA10)</f>
        <v>4050</v>
      </c>
      <c r="HU10" s="669">
        <v>650</v>
      </c>
      <c r="HV10" s="669">
        <v>850</v>
      </c>
      <c r="HW10" s="669">
        <v>800</v>
      </c>
      <c r="HX10" s="669">
        <v>0</v>
      </c>
      <c r="HY10" s="669">
        <v>800</v>
      </c>
      <c r="HZ10" s="669">
        <v>950</v>
      </c>
      <c r="IA10" s="670">
        <v>0</v>
      </c>
      <c r="IB10" s="690">
        <f>SUM(IC10:II10)</f>
        <v>5000</v>
      </c>
      <c r="IC10" s="669">
        <f>INDEX(DB!$3:$367,MATCH(IC$2,DB!$D$3:$D$367),17)</f>
        <v>650</v>
      </c>
      <c r="ID10" s="669">
        <f>INDEX(DB!$3:$367,MATCH(ID$2,DB!$D$3:$D$367),17)</f>
        <v>900</v>
      </c>
      <c r="IE10" s="669">
        <f>INDEX(DB!$3:$367,MATCH(IE$2,DB!$D$3:$D$367),17)</f>
        <v>850</v>
      </c>
      <c r="IF10" s="669">
        <f>INDEX(DB!$3:$367,MATCH(IF$2,DB!$D$3:$D$367),17)</f>
        <v>850</v>
      </c>
      <c r="IG10" s="669">
        <f>INDEX(DB!$3:$367,MATCH(IG$2,DB!$D$3:$D$367),17)</f>
        <v>900</v>
      </c>
      <c r="IH10" s="669">
        <f>INDEX(DB!$3:$367,MATCH(IH$2,DB!$D$3:$D$367),17)</f>
        <v>850</v>
      </c>
      <c r="II10" s="670">
        <f>INDEX(DB!$3:$367,MATCH(II$2,DB!$D$3:$D$367),17)</f>
        <v>0</v>
      </c>
      <c r="IJ10" s="690">
        <f>SUM(IK10:IQ10)</f>
        <v>4725</v>
      </c>
      <c r="IK10" s="669">
        <v>650</v>
      </c>
      <c r="IL10" s="669">
        <v>850</v>
      </c>
      <c r="IM10" s="669">
        <v>850</v>
      </c>
      <c r="IN10" s="669">
        <v>750</v>
      </c>
      <c r="IO10" s="669">
        <v>775</v>
      </c>
      <c r="IP10" s="669">
        <v>850</v>
      </c>
      <c r="IQ10" s="670">
        <f>INDEX(DB!$3:$367,MATCH(IQ$2,DB!$D$3:$D$367),17)</f>
        <v>0</v>
      </c>
      <c r="IR10" s="690">
        <f>SUM(IS10:IY10)</f>
        <v>4675</v>
      </c>
      <c r="IS10" s="669">
        <v>650</v>
      </c>
      <c r="IT10" s="669">
        <v>800</v>
      </c>
      <c r="IU10" s="669">
        <v>800</v>
      </c>
      <c r="IV10" s="669">
        <v>800</v>
      </c>
      <c r="IW10" s="669">
        <v>775</v>
      </c>
      <c r="IX10" s="669">
        <v>850</v>
      </c>
      <c r="IY10" s="670">
        <f>INDEX(DB!$3:$367,MATCH(IY$2,DB!$D$3:$D$367),17)</f>
        <v>0</v>
      </c>
      <c r="IZ10" s="690">
        <f>SUM(JA10:JG10)</f>
        <v>3825</v>
      </c>
      <c r="JA10" s="669">
        <f>INDEX(DB!$3:$367,MATCH(JA$2,DB!$D$3:$D$367),17)</f>
        <v>0</v>
      </c>
      <c r="JB10" s="669">
        <f>INDEX(DB!$3:$367,MATCH(JB$2,DB!$D$3:$D$367),17)</f>
        <v>200</v>
      </c>
      <c r="JC10" s="669">
        <f>INDEX(DB!$3:$367,MATCH(JC$2,DB!$D$3:$D$367),17)</f>
        <v>950</v>
      </c>
      <c r="JD10" s="669">
        <f>INDEX(DB!$3:$367,MATCH(JD$2,DB!$D$3:$D$367),17)</f>
        <v>875</v>
      </c>
      <c r="JE10" s="669">
        <f>INDEX(DB!$3:$367,MATCH(JE$2,DB!$D$3:$D$367),17)</f>
        <v>900</v>
      </c>
      <c r="JF10" s="669">
        <f>INDEX(DB!$3:$367,MATCH(JF$2,DB!$D$3:$D$367),17)</f>
        <v>900</v>
      </c>
      <c r="JG10" s="670">
        <f>INDEX(DB!$3:$367,MATCH(JG$2,DB!$D$3:$D$367),17)</f>
        <v>0</v>
      </c>
      <c r="JH10" s="690">
        <f>SUM(JI10:JO10)</f>
        <v>5650</v>
      </c>
      <c r="JI10" s="669">
        <v>650</v>
      </c>
      <c r="JJ10" s="669">
        <v>950</v>
      </c>
      <c r="JK10" s="669">
        <v>950</v>
      </c>
      <c r="JL10" s="669">
        <v>950</v>
      </c>
      <c r="JM10" s="669">
        <v>1100</v>
      </c>
      <c r="JN10" s="669">
        <v>1050</v>
      </c>
      <c r="JO10" s="670">
        <f>INDEX(DB!$3:$367,MATCH(JO$2,DB!$D$3:$D$367),17)</f>
        <v>0</v>
      </c>
      <c r="JP10" s="690">
        <f>SUM(JQ10:JW10)</f>
        <v>6000</v>
      </c>
      <c r="JQ10" s="669">
        <f>INDEX(DB!$3:$367,MATCH(JQ$2,DB!$D$3:$D$367),17)</f>
        <v>750</v>
      </c>
      <c r="JR10" s="669">
        <f>INDEX(DB!$3:$367,MATCH(JR$2,DB!$D$3:$D$367),17)</f>
        <v>1050</v>
      </c>
      <c r="JS10" s="669">
        <f>INDEX(DB!$3:$367,MATCH(JS$2,DB!$D$3:$D$367),17)</f>
        <v>1050</v>
      </c>
      <c r="JT10" s="669">
        <f>INDEX(DB!$3:$367,MATCH(JT$2,DB!$D$3:$D$367),17)</f>
        <v>1050</v>
      </c>
      <c r="JU10" s="669">
        <f>INDEX(DB!$3:$367,MATCH(JU$2,DB!$D$3:$D$367),17)</f>
        <v>1100</v>
      </c>
      <c r="JV10" s="669">
        <f>INDEX(DB!$3:$367,MATCH(JV$2,DB!$D$3:$D$367),17)</f>
        <v>1000</v>
      </c>
      <c r="JW10" s="670">
        <f>INDEX(DB!$3:$367,MATCH(JW$2,DB!$D$3:$D$367),17)</f>
        <v>0</v>
      </c>
      <c r="JX10" s="690">
        <f>SUM(JY10:KE10)</f>
        <v>6250</v>
      </c>
      <c r="JY10" s="669">
        <f>INDEX(DB!$3:$367,MATCH(JY$2,DB!$D$3:$D$367),17)</f>
        <v>750</v>
      </c>
      <c r="JZ10" s="669">
        <f>INDEX(DB!$3:$367,MATCH(JZ$2,DB!$D$3:$D$367),17)</f>
        <v>1100</v>
      </c>
      <c r="KA10" s="669">
        <f>INDEX(DB!$3:$367,MATCH(KA$2,DB!$D$3:$D$367),17)</f>
        <v>1100</v>
      </c>
      <c r="KB10" s="669">
        <f>INDEX(DB!$3:$367,MATCH(KB$2,DB!$D$3:$D$367),17)</f>
        <v>1100</v>
      </c>
      <c r="KC10" s="669">
        <f>INDEX(DB!$3:$367,MATCH(KC$2,DB!$D$3:$D$367),17)</f>
        <v>1150</v>
      </c>
      <c r="KD10" s="669">
        <f>INDEX(DB!$3:$367,MATCH(KD$2,DB!$D$3:$D$367),17)</f>
        <v>1050</v>
      </c>
      <c r="KE10" s="670">
        <f>INDEX(DB!$3:$367,MATCH(KE$2,DB!$D$3:$D$367),17)</f>
        <v>0</v>
      </c>
      <c r="KF10" s="690">
        <f>SUM(KG10:KM10)</f>
        <v>6300</v>
      </c>
      <c r="KG10" s="669">
        <f>INDEX(DB!$3:$367,MATCH(KG$2,DB!$D$3:$D$367),17)</f>
        <v>800</v>
      </c>
      <c r="KH10" s="669">
        <f>INDEX(DB!$3:$367,MATCH(KH$2,DB!$D$3:$D$367),17)</f>
        <v>1100</v>
      </c>
      <c r="KI10" s="669">
        <f>INDEX(DB!$3:$367,MATCH(KI$2,DB!$D$3:$D$367),17)</f>
        <v>1100</v>
      </c>
      <c r="KJ10" s="669">
        <f>INDEX(DB!$3:$367,MATCH(KJ$2,DB!$D$3:$D$367),17)</f>
        <v>1100</v>
      </c>
      <c r="KK10" s="669">
        <f>INDEX(DB!$3:$367,MATCH(KK$2,DB!$D$3:$D$367),17)</f>
        <v>1150</v>
      </c>
      <c r="KL10" s="669">
        <f>INDEX(DB!$3:$367,MATCH(KL$2,DB!$D$3:$D$367),17)</f>
        <v>1050</v>
      </c>
      <c r="KM10" s="670">
        <f>INDEX(DB!$3:$367,MATCH(KM$2,DB!$D$3:$D$367),17)</f>
        <v>0</v>
      </c>
      <c r="KN10" s="690">
        <f>SUM(KO10:KU10)</f>
        <v>6200</v>
      </c>
      <c r="KO10" s="669">
        <v>800</v>
      </c>
      <c r="KP10" s="669">
        <v>1100</v>
      </c>
      <c r="KQ10" s="669">
        <v>1050</v>
      </c>
      <c r="KR10" s="669">
        <v>1100</v>
      </c>
      <c r="KS10" s="669">
        <v>1100</v>
      </c>
      <c r="KT10" s="669">
        <v>1050</v>
      </c>
      <c r="KU10" s="670">
        <v>0</v>
      </c>
      <c r="KV10" s="690">
        <f>SUM(KW10:LC10)</f>
        <v>5950</v>
      </c>
      <c r="KW10" s="669">
        <v>800</v>
      </c>
      <c r="KX10" s="669">
        <v>1050</v>
      </c>
      <c r="KY10" s="669">
        <v>1050</v>
      </c>
      <c r="KZ10" s="669">
        <v>1000</v>
      </c>
      <c r="LA10" s="669">
        <v>1000</v>
      </c>
      <c r="LB10" s="669">
        <v>1050</v>
      </c>
      <c r="LC10" s="670">
        <f>INDEX(DB!$3:$367,MATCH(LC$2,DB!$D$3:$D$367),17)</f>
        <v>0</v>
      </c>
      <c r="LD10" s="690">
        <f>SUM(LE10:LK10)</f>
        <v>5950</v>
      </c>
      <c r="LE10" s="669">
        <v>750</v>
      </c>
      <c r="LF10" s="669">
        <v>1050</v>
      </c>
      <c r="LG10" s="669">
        <v>1050</v>
      </c>
      <c r="LH10" s="669">
        <v>1000</v>
      </c>
      <c r="LI10" s="669">
        <v>1050</v>
      </c>
      <c r="LJ10" s="669">
        <v>1050</v>
      </c>
      <c r="LK10" s="670">
        <f>INDEX(DB!$3:$367,MATCH(LK$2,DB!$D$3:$D$367),17)</f>
        <v>0</v>
      </c>
      <c r="LL10" s="690">
        <f>SUM(LM10:LS10)</f>
        <v>6250</v>
      </c>
      <c r="LM10" s="669">
        <v>800</v>
      </c>
      <c r="LN10" s="669">
        <v>1050</v>
      </c>
      <c r="LO10" s="669">
        <v>1100</v>
      </c>
      <c r="LP10" s="669">
        <v>1050</v>
      </c>
      <c r="LQ10" s="669">
        <v>1100</v>
      </c>
      <c r="LR10" s="669">
        <v>1150</v>
      </c>
      <c r="LS10" s="670">
        <f>INDEX(DB!$3:$367,MATCH(LS$2,DB!$D$3:$D$367),17)</f>
        <v>0</v>
      </c>
      <c r="LT10" s="690">
        <f>SUM(LU10:MA10)</f>
        <v>6200</v>
      </c>
      <c r="LU10" s="669">
        <v>800</v>
      </c>
      <c r="LV10" s="669">
        <v>1100</v>
      </c>
      <c r="LW10" s="669">
        <v>1050</v>
      </c>
      <c r="LX10" s="669">
        <v>1000</v>
      </c>
      <c r="LY10" s="669">
        <v>1150</v>
      </c>
      <c r="LZ10" s="669">
        <v>1100</v>
      </c>
      <c r="MA10" s="670">
        <f>INDEX(DB!$3:$367,MATCH(MA$2,DB!$D$3:$D$367),17)</f>
        <v>0</v>
      </c>
      <c r="MB10" s="690">
        <f>SUM(MC10:MI10)</f>
        <v>6400</v>
      </c>
      <c r="MC10" s="669">
        <f>INDEX(DB!$3:$367,MATCH(MC$2,DB!$D$3:$D$367),17)</f>
        <v>900</v>
      </c>
      <c r="MD10" s="669">
        <f>INDEX(DB!$3:$367,MATCH(MD$2,DB!$D$3:$D$367),17)</f>
        <v>1100</v>
      </c>
      <c r="ME10" s="669">
        <f>INDEX(DB!$3:$367,MATCH(ME$2,DB!$D$3:$D$367),17)</f>
        <v>1100</v>
      </c>
      <c r="MF10" s="669">
        <f>INDEX(DB!$3:$367,MATCH(MF$2,DB!$D$3:$D$367),17)</f>
        <v>1050</v>
      </c>
      <c r="MG10" s="669">
        <f>INDEX(DB!$3:$367,MATCH(MG$2,DB!$D$3:$D$367),17)</f>
        <v>1150</v>
      </c>
      <c r="MH10" s="669">
        <f>INDEX(DB!$3:$367,MATCH(MH$2,DB!$D$3:$D$367),17)</f>
        <v>1100</v>
      </c>
      <c r="MI10" s="670">
        <f>INDEX(DB!$3:$367,MATCH(MI$2,DB!$D$3:$D$367),17)</f>
        <v>0</v>
      </c>
      <c r="MJ10" s="690">
        <f>SUM(MK10:MQ10)</f>
        <v>5150</v>
      </c>
      <c r="MK10" s="669">
        <v>850</v>
      </c>
      <c r="ML10" s="669">
        <v>0</v>
      </c>
      <c r="MM10" s="669">
        <v>850</v>
      </c>
      <c r="MN10" s="669">
        <v>1150</v>
      </c>
      <c r="MO10" s="669">
        <v>1150</v>
      </c>
      <c r="MP10" s="669">
        <v>1150</v>
      </c>
      <c r="MQ10" s="670">
        <f>INDEX(DB!$3:$367,MATCH(MQ$2,DB!$D$3:$D$367),17)</f>
        <v>0</v>
      </c>
      <c r="MR10" s="690">
        <f>SUM(MS10:MY10)</f>
        <v>5450</v>
      </c>
      <c r="MS10" s="669">
        <v>850</v>
      </c>
      <c r="MT10" s="669">
        <v>1200</v>
      </c>
      <c r="MU10" s="669">
        <v>1200</v>
      </c>
      <c r="MV10" s="669">
        <v>1200</v>
      </c>
      <c r="MW10" s="669">
        <v>0</v>
      </c>
      <c r="MX10" s="669">
        <v>1000</v>
      </c>
      <c r="MY10" s="670">
        <f>INDEX(DB!$3:$367,MATCH(MY$2,DB!$D$3:$D$367),17)</f>
        <v>0</v>
      </c>
      <c r="MZ10" s="690">
        <f>SUM(NA10:NG10)</f>
        <v>6600</v>
      </c>
      <c r="NA10" s="669">
        <v>850</v>
      </c>
      <c r="NB10" s="669">
        <v>1200</v>
      </c>
      <c r="NC10" s="669">
        <v>1150</v>
      </c>
      <c r="ND10" s="669">
        <v>1100</v>
      </c>
      <c r="NE10" s="669">
        <v>1150</v>
      </c>
      <c r="NF10" s="669">
        <v>1150</v>
      </c>
      <c r="NG10" s="670">
        <f>INDEX(DB!$3:$367,MATCH(NG$2,DB!$D$3:$D$367),17)</f>
        <v>0</v>
      </c>
      <c r="NH10" s="690">
        <f>SUM(NI10:NO10)</f>
        <v>7475</v>
      </c>
      <c r="NI10" s="669">
        <v>850</v>
      </c>
      <c r="NJ10" s="669">
        <v>1325</v>
      </c>
      <c r="NK10" s="669">
        <v>1325</v>
      </c>
      <c r="NL10" s="669">
        <v>1325</v>
      </c>
      <c r="NM10" s="669">
        <v>1325</v>
      </c>
      <c r="NN10" s="669">
        <v>1325</v>
      </c>
      <c r="NO10" s="670">
        <f>INDEX(DB!$3:$367,MATCH(NO$2,DB!$D$3:$D$367),17)</f>
        <v>0</v>
      </c>
      <c r="NP10" s="690">
        <f>SUM(NQ10:NW10)</f>
        <v>7425</v>
      </c>
      <c r="NQ10" s="669">
        <v>1025</v>
      </c>
      <c r="NR10" s="669">
        <v>1375</v>
      </c>
      <c r="NS10" s="669">
        <v>1375</v>
      </c>
      <c r="NT10" s="669">
        <v>1200</v>
      </c>
      <c r="NU10" s="669">
        <v>1250</v>
      </c>
      <c r="NV10" s="669">
        <v>1200</v>
      </c>
      <c r="NW10" s="670">
        <f>INDEX(DB!$3:$367,MATCH(NW$2,DB!$D$3:$D$367),17)</f>
        <v>0</v>
      </c>
      <c r="NX10" s="690">
        <f>SUM(NY10:OE10)</f>
        <v>6950</v>
      </c>
      <c r="NY10" s="669">
        <f>INDEX(DB!$3:$367,MATCH(NY$2,DB!$D$3:$D$367),17)</f>
        <v>900</v>
      </c>
      <c r="NZ10" s="669">
        <f>INDEX(DB!$3:$367,MATCH(NZ$2,DB!$D$3:$D$367),17)</f>
        <v>1275</v>
      </c>
      <c r="OA10" s="669">
        <f>INDEX(DB!$3:$367,MATCH(OA$2,DB!$D$3:$D$367),17)</f>
        <v>1275</v>
      </c>
      <c r="OB10" s="669">
        <f>INDEX(DB!$3:$367,MATCH(OB$2,DB!$D$3:$D$367),17)</f>
        <v>1150</v>
      </c>
      <c r="OC10" s="669">
        <f>INDEX(DB!$3:$367,MATCH(OC$2,DB!$D$3:$D$367),17)</f>
        <v>1200</v>
      </c>
      <c r="OD10" s="669">
        <f>INDEX(DB!$3:$367,MATCH(OD$2,DB!$D$3:$D$367),17)</f>
        <v>1150</v>
      </c>
      <c r="OE10" s="670">
        <f>INDEX(DB!$3:$367,MATCH(OE$2,DB!$D$3:$D$367),17)</f>
        <v>0</v>
      </c>
      <c r="OF10" s="690">
        <f>SUM(OG10:OM10)</f>
        <v>6500</v>
      </c>
      <c r="OG10" s="669">
        <v>850</v>
      </c>
      <c r="OH10" s="669">
        <v>1150</v>
      </c>
      <c r="OI10" s="669">
        <v>1150</v>
      </c>
      <c r="OJ10" s="669">
        <v>1150</v>
      </c>
      <c r="OK10" s="669">
        <v>1200</v>
      </c>
      <c r="OL10" s="669">
        <v>1000</v>
      </c>
      <c r="OM10" s="670">
        <f>INDEX(DB!$3:$367,MATCH(OM$2,DB!$D$3:$D$367),17)</f>
        <v>0</v>
      </c>
      <c r="ON10" s="690">
        <f>SUM(OO10:OU10)</f>
        <v>7275</v>
      </c>
      <c r="OO10" s="669">
        <f>INDEX(DB!$3:$367,MATCH(OO$2,DB!$D$3:$D$367),17)</f>
        <v>800</v>
      </c>
      <c r="OP10" s="669">
        <f>INDEX(DB!$3:$367,MATCH(OP$2,DB!$D$3:$D$367),17)</f>
        <v>1300</v>
      </c>
      <c r="OQ10" s="669">
        <f>INDEX(DB!$3:$367,MATCH(OQ$2,DB!$D$3:$D$367),17)</f>
        <v>1300</v>
      </c>
      <c r="OR10" s="669">
        <f>INDEX(DB!$3:$367,MATCH(OR$2,DB!$D$3:$D$367),17)</f>
        <v>1300</v>
      </c>
      <c r="OS10" s="669">
        <f>INDEX(DB!$3:$367,MATCH(OS$2,DB!$D$3:$D$367),17)</f>
        <v>1275</v>
      </c>
      <c r="OT10" s="669">
        <f>INDEX(DB!$3:$367,MATCH(OT$2,DB!$D$3:$D$367),17)</f>
        <v>1300</v>
      </c>
      <c r="OU10" s="670">
        <f>INDEX(DB!$3:$367,MATCH(OU$2,DB!$D$3:$D$367),17)</f>
        <v>0</v>
      </c>
      <c r="OV10" s="690">
        <f>SUM(OW10:PC10)</f>
        <v>7175</v>
      </c>
      <c r="OW10" s="669">
        <f>INDEX(DB!$3:$367,MATCH(OW$2,DB!$D$3:$D$367),17)</f>
        <v>400</v>
      </c>
      <c r="OX10" s="669">
        <f>INDEX(DB!$3:$367,MATCH(OX$2,DB!$D$3:$D$367),17)</f>
        <v>1350</v>
      </c>
      <c r="OY10" s="669">
        <f>INDEX(DB!$3:$367,MATCH(OY$2,DB!$D$3:$D$367),17)</f>
        <v>1375</v>
      </c>
      <c r="OZ10" s="669">
        <f>INDEX(DB!$3:$367,MATCH(OZ$2,DB!$D$3:$D$367),17)</f>
        <v>1375</v>
      </c>
      <c r="PA10" s="669">
        <f>INDEX(DB!$3:$367,MATCH(PA$2,DB!$D$3:$D$367),17)</f>
        <v>1375</v>
      </c>
      <c r="PB10" s="669">
        <f>INDEX(DB!$3:$367,MATCH(PB$2,DB!$D$3:$D$367),17)</f>
        <v>1300</v>
      </c>
      <c r="PC10" s="670">
        <v>0</v>
      </c>
    </row>
    <row r="11" spans="2:420" ht="15" thickBot="1" x14ac:dyDescent="0.35">
      <c r="B11" s="978"/>
      <c r="C11" s="678" t="s">
        <v>253</v>
      </c>
      <c r="D11" s="688"/>
      <c r="E11" s="667">
        <f>INDEX(DB!$3:$367,MATCH(E$2,DB!$D$3:$D$367),9)</f>
        <v>49.512369851021816</v>
      </c>
      <c r="F11" s="667">
        <f>INDEX(DB!$3:$367,MATCH(F$2,DB!$D$3:$D$367),9)</f>
        <v>49.145396519071276</v>
      </c>
      <c r="G11" s="667">
        <f>INDEX(DB!$3:$367,MATCH(G$2,DB!$D$3:$D$367),9)</f>
        <v>49.947849611078091</v>
      </c>
      <c r="H11" s="667">
        <v>52.8</v>
      </c>
      <c r="I11" s="667">
        <v>54.7</v>
      </c>
      <c r="J11" s="667">
        <v>54.7</v>
      </c>
      <c r="K11" s="671">
        <f>INDEX(DB!$3:$367,MATCH(K$2,DB!$D$3:$D$367),9)</f>
        <v>57</v>
      </c>
      <c r="L11" s="688"/>
      <c r="M11" s="667">
        <f>INDEX(DB!$3:$367,MATCH(M$2,DB!$D$3:$D$367),9)</f>
        <v>52.405512237002895</v>
      </c>
      <c r="N11" s="667">
        <f>INDEX(DB!$3:$367,MATCH(N$2,DB!$D$3:$D$367),9)</f>
        <v>50.501999368071964</v>
      </c>
      <c r="O11" s="667">
        <f>INDEX(DB!$3:$367,MATCH(O$2,DB!$D$3:$D$367),9)</f>
        <v>51.829743068840898</v>
      </c>
      <c r="P11" s="667">
        <v>52.8</v>
      </c>
      <c r="Q11" s="667">
        <v>55</v>
      </c>
      <c r="R11" s="667">
        <v>55</v>
      </c>
      <c r="S11" s="671">
        <f>INDEX(DB!$3:$367,MATCH(S$2,DB!$D$3:$D$367),9)</f>
        <v>57</v>
      </c>
      <c r="T11" s="688"/>
      <c r="U11" s="667">
        <f>INDEX(DB!$3:$367,MATCH(U$2,DB!$D$3:$D$367),9)</f>
        <v>52.094859755414575</v>
      </c>
      <c r="V11" s="667">
        <f>INDEX(DB!$3:$367,MATCH(V$2,DB!$D$3:$D$367),9)</f>
        <v>50.202618348304917</v>
      </c>
      <c r="W11" s="667">
        <f>INDEX(DB!$3:$367,MATCH(W$2,DB!$D$3:$D$367),9)</f>
        <v>51.522469358321835</v>
      </c>
      <c r="X11" s="667">
        <v>52.4</v>
      </c>
      <c r="Y11" s="667">
        <v>54.3</v>
      </c>
      <c r="Z11" s="667">
        <v>54.2</v>
      </c>
      <c r="AA11" s="671">
        <v>56.4</v>
      </c>
      <c r="AB11" s="688"/>
      <c r="AC11" s="667">
        <f>INDEX(DB!$3:$367,MATCH(AC$2,DB!$D$3:$D$367),9)</f>
        <v>50.398886827458256</v>
      </c>
      <c r="AD11" s="667">
        <f>INDEX(DB!$3:$367,MATCH(AD$2,DB!$D$3:$D$367),9)</f>
        <v>47.027683341427874</v>
      </c>
      <c r="AE11" s="667">
        <f>INDEX(DB!$3:$367,MATCH(AE$2,DB!$D$3:$D$367),9)</f>
        <v>48</v>
      </c>
      <c r="AF11" s="667">
        <f>INDEX(DB!$3:$367,MATCH(AF$2,DB!$D$3:$D$367),9)</f>
        <v>48.815579409219417</v>
      </c>
      <c r="AG11" s="667">
        <f>INDEX(DB!$3:$367,MATCH(AG$2,DB!$D$3:$D$367),9)</f>
        <v>50.593866020328271</v>
      </c>
      <c r="AH11" s="667">
        <f>INDEX(DB!$3:$367,MATCH(AH$2,DB!$D$3:$D$367),9)</f>
        <v>50.760162999161963</v>
      </c>
      <c r="AI11" s="671">
        <f>INDEX(DB!$3:$367,MATCH(AI$2,DB!$D$3:$D$367),9)</f>
        <v>56.032863716438641</v>
      </c>
      <c r="AJ11" s="688"/>
      <c r="AK11" s="667">
        <f>INDEX(DB!$3:$367,MATCH(AK$2,DB!$D$3:$D$367),9)</f>
        <v>49.807324860859879</v>
      </c>
      <c r="AL11" s="667">
        <f>INDEX(DB!$3:$367,MATCH(AL$2,DB!$D$3:$D$367),9)</f>
        <v>47.764897719016751</v>
      </c>
      <c r="AM11" s="667">
        <f>INDEX(DB!$3:$367,MATCH(AM$2,DB!$D$3:$D$367),9)</f>
        <v>48.47282624605829</v>
      </c>
      <c r="AN11" s="667">
        <f>INDEX(DB!$3:$367,MATCH(AN$2,DB!$D$3:$D$367),9)</f>
        <v>48.790838934936389</v>
      </c>
      <c r="AO11" s="667">
        <f>INDEX(DB!$3:$367,MATCH(AO$2,DB!$D$3:$D$367),9)</f>
        <v>50.720626866603361</v>
      </c>
      <c r="AP11" s="667">
        <v>50.7</v>
      </c>
      <c r="AQ11" s="671">
        <f>INDEX(DB!$3:$367,MATCH(AQ$2,DB!$D$3:$D$367),9)</f>
        <v>55.799674437386301</v>
      </c>
      <c r="AR11" s="688"/>
      <c r="AS11" s="667">
        <f>INDEX(DB!$3:$367,MATCH(AS$2,DB!$D$3:$D$367),9)</f>
        <v>50.118564914448925</v>
      </c>
      <c r="AT11" s="667">
        <f>INDEX(DB!$3:$367,MATCH(AT$2,DB!$D$3:$D$367),9)</f>
        <v>48.371326132089855</v>
      </c>
      <c r="AU11" s="667">
        <f>INDEX(DB!$3:$367,MATCH(AU$2,DB!$D$3:$D$367),9)</f>
        <v>49.080688751709658</v>
      </c>
      <c r="AV11" s="667">
        <f>INDEX(DB!$3:$367,MATCH(AV$2,DB!$D$3:$D$367),9)</f>
        <v>48.305614420574699</v>
      </c>
      <c r="AW11" s="667">
        <v>50</v>
      </c>
      <c r="AX11" s="667">
        <v>50.6</v>
      </c>
      <c r="AY11" s="671">
        <v>55</v>
      </c>
      <c r="AZ11" s="688"/>
      <c r="BA11" s="667">
        <f>INDEX(DB!$3:$367,MATCH(BA$2,DB!$D$3:$D$367),9)</f>
        <v>49.323862767677412</v>
      </c>
      <c r="BB11" s="667">
        <f>INDEX(DB!$3:$367,MATCH(BB$2,DB!$D$3:$D$367),9)</f>
        <v>50.484437646418584</v>
      </c>
      <c r="BC11" s="667">
        <f>INDEX(DB!$3:$367,MATCH(BC$2,DB!$D$3:$D$367),9)</f>
        <v>50.6252081971842</v>
      </c>
      <c r="BD11" s="667">
        <f>INDEX(DB!$3:$367,MATCH(BD$2,DB!$D$3:$D$367),9)</f>
        <v>50.297197327742794</v>
      </c>
      <c r="BE11" s="667">
        <v>52</v>
      </c>
      <c r="BF11" s="667">
        <f>INDEX(DB!$3:$367,MATCH(BF$2,DB!$D$3:$D$367),9)</f>
        <v>52.265285018238252</v>
      </c>
      <c r="BG11" s="671">
        <f>INDEX(DB!$3:$367,MATCH(BG$2,DB!$D$3:$D$367),9)</f>
        <v>54.714699446368876</v>
      </c>
      <c r="BH11" s="688"/>
      <c r="BI11" s="667">
        <f>INDEX(DB!$3:$367,MATCH(BI$2,DB!$D$3:$D$367),9)</f>
        <v>50.909683743797316</v>
      </c>
      <c r="BJ11" s="667">
        <f>INDEX(DB!$3:$367,MATCH(BJ$2,DB!$D$3:$D$367),9)</f>
        <v>49.008794889752131</v>
      </c>
      <c r="BK11" s="667">
        <f>INDEX(DB!$3:$367,MATCH(BK$2,DB!$D$3:$D$367),9)</f>
        <v>49.877765520034295</v>
      </c>
      <c r="BL11" s="667">
        <f>INDEX(DB!$3:$367,MATCH(BL$2,DB!$D$3:$D$367),9)</f>
        <v>50.84082878899401</v>
      </c>
      <c r="BM11" s="667">
        <f>INDEX(DB!$3:$367,MATCH(BM$2,DB!$D$3:$D$367),9)</f>
        <v>52.889608435368629</v>
      </c>
      <c r="BN11" s="667">
        <f>INDEX(DB!$3:$367,MATCH(BN$2,DB!$D$3:$D$367),9)</f>
        <v>52.015748789611045</v>
      </c>
      <c r="BO11" s="671">
        <f>INDEX(DB!$3:$367,MATCH(BO$2,DB!$D$3:$D$367),9)</f>
        <v>54.513742556911666</v>
      </c>
      <c r="BP11" s="688"/>
      <c r="BQ11" s="667">
        <f>INDEX(DB!$3:$367,MATCH(BQ$2,DB!$D$3:$D$367),9)</f>
        <v>50.332263027690772</v>
      </c>
      <c r="BR11" s="667">
        <f>INDEX(DB!$3:$367,MATCH(BR$2,DB!$D$3:$D$367),9)</f>
        <v>48.833005283226392</v>
      </c>
      <c r="BS11" s="667">
        <f>INDEX(DB!$3:$367,MATCH(BS$2,DB!$D$3:$D$367),9)</f>
        <v>49.635866422797029</v>
      </c>
      <c r="BT11" s="667">
        <f>INDEX(DB!$3:$367,MATCH(BT$2,DB!$D$3:$D$367),9)</f>
        <v>50.913196389697404</v>
      </c>
      <c r="BU11" s="667">
        <f>INDEX(DB!$3:$367,MATCH(BU$2,DB!$D$3:$D$367),9)</f>
        <v>53.296415923921735</v>
      </c>
      <c r="BV11" s="667">
        <f>INDEX(DB!$3:$367,MATCH(BV$2,DB!$D$3:$D$367),9)</f>
        <v>52.182291072020377</v>
      </c>
      <c r="BW11" s="671">
        <f>INDEX(DB!$3:$367,MATCH(BW$2,DB!$D$3:$D$367),9)</f>
        <v>55.690427427293777</v>
      </c>
      <c r="BX11" s="688"/>
      <c r="BY11" s="667">
        <f>INDEX(DB!$3:$367,MATCH(BY$2,DB!$D$3:$D$367),9)</f>
        <v>50.676062236534342</v>
      </c>
      <c r="BZ11" s="667">
        <f>INDEX(DB!$3:$367,MATCH(BZ$2,DB!$D$3:$D$367),9)</f>
        <v>50.950802658366037</v>
      </c>
      <c r="CA11" s="667">
        <f>INDEX(DB!$3:$367,MATCH(CA$2,DB!$D$3:$D$367),9)</f>
        <v>51.233513400073036</v>
      </c>
      <c r="CB11" s="667">
        <f>INDEX(DB!$3:$367,MATCH(CB$2,DB!$D$3:$D$367),9)</f>
        <v>51.121604184200493</v>
      </c>
      <c r="CC11" s="667">
        <f>INDEX(DB!$3:$367,MATCH(CC$2,DB!$D$3:$D$367),9)</f>
        <v>53.513732329026361</v>
      </c>
      <c r="CD11" s="667">
        <f>INDEX(DB!$3:$367,MATCH(CD$2,DB!$D$3:$D$367),9)</f>
        <v>52.395442814858448</v>
      </c>
      <c r="CE11" s="671">
        <f>INDEX(DB!$3:$367,MATCH(CE$2,DB!$D$3:$D$367),9)</f>
        <v>55.949211292628334</v>
      </c>
      <c r="CF11" s="688"/>
      <c r="CG11" s="667">
        <f>INDEX(DB!$3:$367,MATCH(CG$2,DB!$D$3:$D$367),9)</f>
        <v>50.883583610042415</v>
      </c>
      <c r="CH11" s="667">
        <f>INDEX(DB!$3:$367,MATCH(CH$2,DB!$D$3:$D$367),9)</f>
        <v>49.669959917440295</v>
      </c>
      <c r="CI11" s="667">
        <f>INDEX(DB!$3:$367,MATCH(CI$2,DB!$D$3:$D$367),9)</f>
        <v>51.187440984537126</v>
      </c>
      <c r="CJ11" s="667">
        <f>INDEX(DB!$3:$367,MATCH(CJ$2,DB!$D$3:$D$367),9)</f>
        <v>49.926581964984102</v>
      </c>
      <c r="CK11" s="667">
        <f>INDEX(DB!$3:$367,MATCH(CK$2,DB!$D$3:$D$367),9)</f>
        <v>51.214764054271875</v>
      </c>
      <c r="CL11" s="667">
        <f>INDEX(DB!$3:$367,MATCH(CL$2,DB!$D$3:$D$367),9)</f>
        <v>51.17956252920559</v>
      </c>
      <c r="CM11" s="671">
        <f>INDEX(DB!$3:$367,MATCH(CM$2,DB!$D$3:$D$367),9)</f>
        <v>57.247041169517644</v>
      </c>
      <c r="CN11" s="688"/>
      <c r="CO11" s="667">
        <v>50.457324897017735</v>
      </c>
      <c r="CP11" s="667">
        <v>51.111809457359271</v>
      </c>
      <c r="CQ11" s="667">
        <v>51.022453819301866</v>
      </c>
      <c r="CR11" s="667">
        <v>51.16141857849864</v>
      </c>
      <c r="CS11" s="667">
        <v>52.481021114933803</v>
      </c>
      <c r="CT11" s="667">
        <v>52.444960978598878</v>
      </c>
      <c r="CU11" s="671">
        <f>INDEX(DB!$3:$367,MATCH(CU$2,DB!$D$3:$D$367),9)</f>
        <v>59.743213348737669</v>
      </c>
      <c r="CV11" s="688"/>
      <c r="CW11" s="667">
        <v>52.347479765907643</v>
      </c>
      <c r="CX11" s="667">
        <v>49.896965460115545</v>
      </c>
      <c r="CY11" s="667">
        <v>50.943613788913119</v>
      </c>
      <c r="CZ11" s="667">
        <v>53.210829026552631</v>
      </c>
      <c r="DA11" s="667">
        <v>52.49363246773337</v>
      </c>
      <c r="DB11" s="667">
        <v>52.762022955718699</v>
      </c>
      <c r="DC11" s="671">
        <v>57.620872201375008</v>
      </c>
      <c r="DD11" s="688"/>
      <c r="DE11" s="667">
        <f>INDEX(DB!$3:$367,MATCH(DE$2,DB!$D$3:$D$367),9)</f>
        <v>50.601438786766437</v>
      </c>
      <c r="DF11" s="667">
        <f>INDEX(DB!$3:$367,MATCH(DF$2,DB!$D$3:$D$367),9)</f>
        <v>47.945235190155479</v>
      </c>
      <c r="DG11" s="667">
        <f>INDEX(DB!$3:$367,MATCH(DG$2,DB!$D$3:$D$367),9)</f>
        <v>47.81940066929716</v>
      </c>
      <c r="DH11" s="667">
        <f>INDEX(DB!$3:$367,MATCH(DH$2,DB!$D$3:$D$367),9)</f>
        <v>51.306715631519957</v>
      </c>
      <c r="DI11" s="667">
        <f>INDEX(DB!$3:$367,MATCH(DI$2,DB!$D$3:$D$367),9)</f>
        <v>51.924593838177856</v>
      </c>
      <c r="DJ11" s="667">
        <f>INDEX(DB!$3:$367,MATCH(DJ$2,DB!$D$3:$D$367),9)</f>
        <v>51.159541646050393</v>
      </c>
      <c r="DK11" s="671">
        <f>INDEX(DB!$3:$367,MATCH(DK$2,DB!$D$3:$D$367),9)</f>
        <v>55.508677759855473</v>
      </c>
      <c r="DL11" s="688"/>
      <c r="DM11" s="667">
        <v>50.665210325568232</v>
      </c>
      <c r="DN11" s="667">
        <v>47.48820801283442</v>
      </c>
      <c r="DO11" s="667">
        <v>47.679026500929901</v>
      </c>
      <c r="DP11" s="667">
        <v>51.272276978704788</v>
      </c>
      <c r="DQ11" s="667">
        <v>50.6838537406393</v>
      </c>
      <c r="DR11" s="667">
        <v>52.609241833198666</v>
      </c>
      <c r="DS11" s="671">
        <v>59.819451609180227</v>
      </c>
      <c r="DT11" s="688"/>
      <c r="DU11" s="667">
        <v>0</v>
      </c>
      <c r="DV11" s="667">
        <v>46.316018664315258</v>
      </c>
      <c r="DW11" s="667">
        <v>48.542086863886972</v>
      </c>
      <c r="DX11" s="667">
        <v>50.197359268866002</v>
      </c>
      <c r="DY11" s="667">
        <v>51.388485987976168</v>
      </c>
      <c r="DZ11" s="667">
        <v>51.588202038389305</v>
      </c>
      <c r="EA11" s="671">
        <v>53.913768808833602</v>
      </c>
      <c r="EB11" s="688"/>
      <c r="EC11" s="667">
        <f>INDEX(DB!$3:$367,MATCH(EC$2,DB!$D$3:$D$367),9)</f>
        <v>49.665993070037771</v>
      </c>
      <c r="ED11" s="667">
        <f>INDEX(DB!$3:$367,MATCH(ED$2,DB!$D$3:$D$367),9)</f>
        <v>48.544070295072054</v>
      </c>
      <c r="EE11" s="667">
        <f>INDEX(DB!$3:$367,MATCH(EE$2,DB!$D$3:$D$367),9)</f>
        <v>49.141225372253956</v>
      </c>
      <c r="EF11" s="667">
        <f>INDEX(DB!$3:$367,MATCH(EF$2,DB!$D$3:$D$367),9)</f>
        <v>50.583997054246929</v>
      </c>
      <c r="EG11" s="667">
        <f>INDEX(DB!$3:$367,MATCH(EG$2,DB!$D$3:$D$367),9)</f>
        <v>51.614225684730052</v>
      </c>
      <c r="EH11" s="667">
        <f>INDEX(DB!$3:$367,MATCH(EH$2,DB!$D$3:$D$367),9)</f>
        <v>50.116990562625269</v>
      </c>
      <c r="EI11" s="671">
        <f>INDEX(DB!$3:$367,MATCH(EI$2,DB!$D$3:$D$367),9)</f>
        <v>0</v>
      </c>
      <c r="EJ11" s="688"/>
      <c r="EK11" s="667">
        <f>INDEX(DB!$3:$367,MATCH(EK$2,DB!$D$3:$D$367),9)</f>
        <v>50.413169190426622</v>
      </c>
      <c r="EL11" s="667">
        <f>INDEX(DB!$3:$367,MATCH(EL$2,DB!$D$3:$D$367),9)</f>
        <v>48.953486824683829</v>
      </c>
      <c r="EM11" s="667">
        <f>INDEX(DB!$3:$367,MATCH(EM$2,DB!$D$3:$D$367),9)</f>
        <v>49.742543427520708</v>
      </c>
      <c r="EN11" s="667">
        <f>INDEX(DB!$3:$367,MATCH(EN$2,DB!$D$3:$D$367),9)</f>
        <v>49.452495946291769</v>
      </c>
      <c r="EO11" s="667">
        <f>INDEX(DB!$3:$367,MATCH(EO$2,DB!$D$3:$D$367),9)</f>
        <v>52.99509950875369</v>
      </c>
      <c r="EP11" s="667">
        <f>INDEX(DB!$3:$367,MATCH(EP$2,DB!$D$3:$D$367),9)</f>
        <v>51.485016046863088</v>
      </c>
      <c r="EQ11" s="671">
        <f>INDEX(DB!$3:$367,MATCH(EQ$2,DB!$D$3:$D$367),9)</f>
        <v>55.893814952991569</v>
      </c>
      <c r="ER11" s="688"/>
      <c r="ES11" s="667">
        <v>51.217559468310512</v>
      </c>
      <c r="ET11" s="667">
        <v>50.017703439379112</v>
      </c>
      <c r="EU11" s="667">
        <v>50.711392192436755</v>
      </c>
      <c r="EV11" s="667">
        <v>50.483639008091011</v>
      </c>
      <c r="EW11" s="667">
        <v>52.685696534797799</v>
      </c>
      <c r="EX11" s="667">
        <v>51.184922885630783</v>
      </c>
      <c r="EY11" s="671">
        <v>55.596662108355552</v>
      </c>
      <c r="EZ11" s="688"/>
      <c r="FA11" s="667">
        <v>50.867613187396906</v>
      </c>
      <c r="FB11" s="667">
        <v>49.729867391912698</v>
      </c>
      <c r="FC11" s="667">
        <v>50.649111953764155</v>
      </c>
      <c r="FD11" s="667">
        <v>50.21530239120851</v>
      </c>
      <c r="FE11" s="667">
        <v>51.482566098515875</v>
      </c>
      <c r="FF11" s="667">
        <v>50.09375119876912</v>
      </c>
      <c r="FG11" s="671">
        <v>52.807400895205049</v>
      </c>
      <c r="FH11" s="688"/>
      <c r="FI11" s="667">
        <v>49.579974707286013</v>
      </c>
      <c r="FJ11" s="667">
        <v>48.463647578540169</v>
      </c>
      <c r="FK11" s="667">
        <v>48.929243226483848</v>
      </c>
      <c r="FL11" s="667">
        <v>0</v>
      </c>
      <c r="FM11" s="667">
        <v>52.201316671553364</v>
      </c>
      <c r="FN11" s="667">
        <v>51.782494556104247</v>
      </c>
      <c r="FO11" s="671">
        <v>55.062176762096854</v>
      </c>
      <c r="FP11" s="688"/>
      <c r="FQ11" s="667">
        <v>50.640972064084153</v>
      </c>
      <c r="FR11" s="667">
        <v>48.962087033349874</v>
      </c>
      <c r="FS11" s="667">
        <v>49.942837309800005</v>
      </c>
      <c r="FT11" s="667">
        <v>50.031249801014219</v>
      </c>
      <c r="FU11" s="667">
        <v>51.536836031955396</v>
      </c>
      <c r="FV11" s="667">
        <v>51.355341138298641</v>
      </c>
      <c r="FW11" s="671">
        <v>52.379739921268119</v>
      </c>
      <c r="FX11" s="688"/>
      <c r="FY11" s="667">
        <v>0</v>
      </c>
      <c r="FZ11" s="667">
        <v>48.045713382547184</v>
      </c>
      <c r="GA11" s="667">
        <v>49.623571544262347</v>
      </c>
      <c r="GB11" s="667">
        <v>49.294717102466713</v>
      </c>
      <c r="GC11" s="667">
        <v>51.959053498122984</v>
      </c>
      <c r="GD11" s="667">
        <v>51.502924129374527</v>
      </c>
      <c r="GE11" s="671">
        <v>51.880813267356373</v>
      </c>
      <c r="GF11" s="688"/>
      <c r="GG11" s="667">
        <v>50.786553675198142</v>
      </c>
      <c r="GH11" s="667">
        <v>49.202504720972172</v>
      </c>
      <c r="GI11" s="667">
        <v>50.809852194138635</v>
      </c>
      <c r="GJ11" s="667">
        <v>50.465595144104604</v>
      </c>
      <c r="GK11" s="667">
        <v>50.550533923515076</v>
      </c>
      <c r="GL11" s="667">
        <v>50.107561434545374</v>
      </c>
      <c r="GM11" s="671">
        <v>50.480902193645107</v>
      </c>
      <c r="GN11" s="688"/>
      <c r="GO11" s="667">
        <v>49.395975545949362</v>
      </c>
      <c r="GP11" s="667">
        <v>48.977971208429025</v>
      </c>
      <c r="GQ11" s="667">
        <v>50.24833179091064</v>
      </c>
      <c r="GR11" s="667">
        <v>50.469153686013286</v>
      </c>
      <c r="GS11" s="667">
        <v>52.426912902684563</v>
      </c>
      <c r="GT11" s="667">
        <v>51.440687876750843</v>
      </c>
      <c r="GU11" s="671">
        <v>49.962940324500053</v>
      </c>
      <c r="GV11" s="688"/>
      <c r="GW11" s="667">
        <f>INDEX(DB!$3:$367,MATCH(GW$2,DB!$D$3:$D$367),9)</f>
        <v>49.215645406251717</v>
      </c>
      <c r="GX11" s="667">
        <f>INDEX(DB!$3:$367,MATCH(GX$2,DB!$D$3:$D$367),9)</f>
        <v>48.805169173605563</v>
      </c>
      <c r="GY11" s="667">
        <f>INDEX(DB!$3:$367,MATCH(GY$2,DB!$D$3:$D$367),9)</f>
        <v>50.071225355730057</v>
      </c>
      <c r="GZ11" s="667">
        <f>INDEX(DB!$3:$367,MATCH(GZ$2,DB!$D$3:$D$367),9)</f>
        <v>50.355246125526953</v>
      </c>
      <c r="HA11" s="667">
        <f>INDEX(DB!$3:$367,MATCH(HA$2,DB!$D$3:$D$367),9)</f>
        <v>51.61945677583217</v>
      </c>
      <c r="HB11" s="667">
        <f>INDEX(DB!$3:$367,MATCH(HB$2,DB!$D$3:$D$367),9)</f>
        <v>50.191349336949663</v>
      </c>
      <c r="HC11" s="671">
        <f>INDEX(DB!$3:$367,MATCH(HC$2,DB!$D$3:$D$367),9)</f>
        <v>51.452853264769338</v>
      </c>
      <c r="HD11" s="688"/>
      <c r="HE11" s="667">
        <v>49.127787986666469</v>
      </c>
      <c r="HF11" s="667">
        <v>47.702732896443628</v>
      </c>
      <c r="HG11" s="667">
        <v>49.117737193087983</v>
      </c>
      <c r="HH11" s="667">
        <v>49.685864780564636</v>
      </c>
      <c r="HI11" s="667">
        <v>51.256752961096424</v>
      </c>
      <c r="HJ11" s="667">
        <v>49.838410565600107</v>
      </c>
      <c r="HK11" s="671">
        <v>0</v>
      </c>
      <c r="HL11" s="688"/>
      <c r="HM11" s="667">
        <f>INDEX(DB!$3:$367,MATCH(HM$2,DB!$D$3:$D$367),9)</f>
        <v>48.765550856411032</v>
      </c>
      <c r="HN11" s="667">
        <f>INDEX(DB!$3:$367,MATCH(HN$2,DB!$D$3:$D$367),9)</f>
        <v>47.494216696616142</v>
      </c>
      <c r="HO11" s="667">
        <f>INDEX(DB!$3:$367,MATCH(HO$2,DB!$D$3:$D$367),9)</f>
        <v>47.982262685687111</v>
      </c>
      <c r="HP11" s="667">
        <v>49.3</v>
      </c>
      <c r="HQ11" s="667">
        <f>INDEX(DB!$3:$367,MATCH(HQ$2,DB!$D$3:$D$367),9)</f>
        <v>50.025030783053431</v>
      </c>
      <c r="HR11" s="667">
        <f>INDEX(DB!$3:$367,MATCH(HR$2,DB!$D$3:$D$367),9)</f>
        <v>49.115282998128713</v>
      </c>
      <c r="HS11" s="671">
        <f>INDEX(DB!$3:$367,MATCH(HS$2,DB!$D$3:$D$367),9)</f>
        <v>0</v>
      </c>
      <c r="HT11" s="688"/>
      <c r="HU11" s="667">
        <v>48.012726773104617</v>
      </c>
      <c r="HV11" s="667">
        <v>46.733298709494285</v>
      </c>
      <c r="HW11" s="667">
        <v>46.91686797592498</v>
      </c>
      <c r="HX11" s="667">
        <v>0</v>
      </c>
      <c r="HY11" s="667">
        <v>49.807699753796996</v>
      </c>
      <c r="HZ11" s="667">
        <v>48.906604427331416</v>
      </c>
      <c r="IA11" s="671">
        <v>0</v>
      </c>
      <c r="IB11" s="688"/>
      <c r="IC11" s="667">
        <f>INDEX(DB!$3:$367,MATCH(IC$2,DB!$D$3:$D$367),9)</f>
        <v>47.146669813841825</v>
      </c>
      <c r="ID11" s="667">
        <f>INDEX(DB!$3:$367,MATCH(ID$2,DB!$D$3:$D$367),9)</f>
        <v>46.539877728570303</v>
      </c>
      <c r="IE11" s="667">
        <f>INDEX(DB!$3:$367,MATCH(IE$2,DB!$D$3:$D$367),9)</f>
        <v>46.905249242696421</v>
      </c>
      <c r="IF11" s="667">
        <f>INDEX(DB!$3:$367,MATCH(IF$2,DB!$D$3:$D$367),9)</f>
        <v>47.067441928000477</v>
      </c>
      <c r="IG11" s="667">
        <f>INDEX(DB!$3:$367,MATCH(IG$2,DB!$D$3:$D$367),9)</f>
        <v>48.691696461071913</v>
      </c>
      <c r="IH11" s="667">
        <f>INDEX(DB!$3:$367,MATCH(IH$2,DB!$D$3:$D$367),9)</f>
        <v>48.878016806936976</v>
      </c>
      <c r="II11" s="671">
        <f>INDEX(DB!$3:$367,MATCH(II$2,DB!$D$3:$D$367),9)</f>
        <v>0</v>
      </c>
      <c r="IJ11" s="688"/>
      <c r="IK11" s="667">
        <v>46.446210925004202</v>
      </c>
      <c r="IL11" s="667">
        <v>44.656179434406383</v>
      </c>
      <c r="IM11" s="667">
        <v>46.051996014317574</v>
      </c>
      <c r="IN11" s="667">
        <v>47.76915169070044</v>
      </c>
      <c r="IO11" s="667">
        <v>49.419456059169768</v>
      </c>
      <c r="IP11" s="667">
        <v>49.610573327038729</v>
      </c>
      <c r="IQ11" s="671">
        <f>INDEX(DB!$3:$367,MATCH(IQ$2,DB!$D$3:$D$367),9)</f>
        <v>0</v>
      </c>
      <c r="IR11" s="688"/>
      <c r="IS11" s="667">
        <v>48.131395432170763</v>
      </c>
      <c r="IT11" s="667">
        <v>45.860092047315547</v>
      </c>
      <c r="IU11" s="667">
        <v>46.787284104349915</v>
      </c>
      <c r="IV11" s="667">
        <v>46.883174793832566</v>
      </c>
      <c r="IW11" s="667">
        <v>48.760958400526881</v>
      </c>
      <c r="IX11" s="667">
        <v>48.736578198399627</v>
      </c>
      <c r="IY11" s="671">
        <f>INDEX(DB!$3:$367,MATCH(IY$2,DB!$D$3:$D$367),9)</f>
        <v>0</v>
      </c>
      <c r="IZ11" s="688"/>
      <c r="JA11" s="667">
        <f>INDEX(DB!$3:$367,MATCH(JA$2,DB!$D$3:$D$367),9)</f>
        <v>0</v>
      </c>
      <c r="JB11" s="667">
        <f>INDEX(DB!$3:$367,MATCH(JB$2,DB!$D$3:$D$367),9)</f>
        <v>44.438576629249049</v>
      </c>
      <c r="JC11" s="667">
        <f>INDEX(DB!$3:$367,MATCH(JC$2,DB!$D$3:$D$367),9)</f>
        <v>45.438002190222235</v>
      </c>
      <c r="JD11" s="667">
        <f>INDEX(DB!$3:$367,MATCH(JD$2,DB!$D$3:$D$367),9)</f>
        <v>46.943995111217497</v>
      </c>
      <c r="JE11" s="667">
        <f>INDEX(DB!$3:$367,MATCH(JE$2,DB!$D$3:$D$367),9)</f>
        <v>48.648108233002027</v>
      </c>
      <c r="JF11" s="667">
        <f>INDEX(DB!$3:$367,MATCH(JF$2,DB!$D$3:$D$367),9)</f>
        <v>48.822453348214495</v>
      </c>
      <c r="JG11" s="671">
        <f>INDEX(DB!$3:$367,MATCH(JG$2,DB!$D$3:$D$367),9)</f>
        <v>0</v>
      </c>
      <c r="JH11" s="688"/>
      <c r="JI11" s="667">
        <v>47.622442281542725</v>
      </c>
      <c r="JJ11" s="667">
        <v>44.891544622711727</v>
      </c>
      <c r="JK11" s="667">
        <v>45.894619073678342</v>
      </c>
      <c r="JL11" s="667">
        <v>48.625956398831342</v>
      </c>
      <c r="JM11" s="667">
        <v>50.418686233943546</v>
      </c>
      <c r="JN11" s="667">
        <v>50.590334494864408</v>
      </c>
      <c r="JO11" s="671">
        <f>INDEX(DB!$3:$367,MATCH(JO$2,DB!$D$3:$D$367),9)</f>
        <v>0</v>
      </c>
      <c r="JP11" s="688"/>
      <c r="JQ11" s="667">
        <f>INDEX(DB!$3:$367,MATCH(JQ$2,DB!$D$3:$D$367),9)</f>
        <v>49.706511611694268</v>
      </c>
      <c r="JR11" s="667">
        <f>INDEX(DB!$3:$367,MATCH(JR$2,DB!$D$3:$D$367),9)</f>
        <v>47.284188270846727</v>
      </c>
      <c r="JS11" s="667">
        <f>INDEX(DB!$3:$367,MATCH(JS$2,DB!$D$3:$D$367),9)</f>
        <v>47.251547934933875</v>
      </c>
      <c r="JT11" s="667">
        <f>INDEX(DB!$3:$367,MATCH(JT$2,DB!$D$3:$D$367),9)</f>
        <v>48.718888955918139</v>
      </c>
      <c r="JU11" s="667">
        <f>INDEX(DB!$3:$367,MATCH(JU$2,DB!$D$3:$D$367),9)</f>
        <v>51.070661537905721</v>
      </c>
      <c r="JV11" s="667">
        <f>INDEX(DB!$3:$367,MATCH(JV$2,DB!$D$3:$D$367),9)</f>
        <v>51.542495044616551</v>
      </c>
      <c r="JW11" s="671">
        <f>INDEX(DB!$3:$367,MATCH(JW$2,DB!$D$3:$D$367),9)</f>
        <v>0</v>
      </c>
      <c r="JX11" s="688"/>
      <c r="JY11" s="667">
        <f>INDEX(DB!$3:$367,MATCH(JY$2,DB!$D$3:$D$367),9)</f>
        <v>51.97984880853906</v>
      </c>
      <c r="JZ11" s="667">
        <f>INDEX(DB!$3:$367,MATCH(JZ$2,DB!$D$3:$D$367),9)</f>
        <v>49.027344768282127</v>
      </c>
      <c r="KA11" s="667">
        <f>INDEX(DB!$3:$367,MATCH(KA$2,DB!$D$3:$D$367),9)</f>
        <v>50.828996328432993</v>
      </c>
      <c r="KB11" s="667">
        <v>47</v>
      </c>
      <c r="KC11" s="667">
        <v>49</v>
      </c>
      <c r="KD11" s="667">
        <v>50</v>
      </c>
      <c r="KE11" s="671">
        <f>INDEX(DB!$3:$367,MATCH(KE$2,DB!$D$3:$D$367),9)</f>
        <v>0</v>
      </c>
      <c r="KF11" s="688"/>
      <c r="KG11" s="667">
        <f>INDEX(DB!$3:$367,MATCH(KG$2,DB!$D$3:$D$367),9)</f>
        <v>51.445051379526539</v>
      </c>
      <c r="KH11" s="667">
        <f>INDEX(DB!$3:$367,MATCH(KH$2,DB!$D$3:$D$367),9)</f>
        <v>48.953008769527344</v>
      </c>
      <c r="KI11" s="667">
        <f>INDEX(DB!$3:$367,MATCH(KI$2,DB!$D$3:$D$367),9)</f>
        <v>50.718304017505183</v>
      </c>
      <c r="KJ11" s="667">
        <f>INDEX(DB!$3:$367,MATCH(KJ$2,DB!$D$3:$D$367),9)</f>
        <v>48.16590761607474</v>
      </c>
      <c r="KK11" s="667">
        <f>INDEX(DB!$3:$367,MATCH(KK$2,DB!$D$3:$D$367),9)</f>
        <v>50.598027561223432</v>
      </c>
      <c r="KL11" s="667">
        <v>51</v>
      </c>
      <c r="KM11" s="671">
        <f>INDEX(DB!$3:$367,MATCH(KM$2,DB!$D$3:$D$367),9)</f>
        <v>0</v>
      </c>
      <c r="KN11" s="688"/>
      <c r="KO11" s="667">
        <v>47.277443095244735</v>
      </c>
      <c r="KP11" s="667">
        <v>44.42071451364184</v>
      </c>
      <c r="KQ11" s="667">
        <v>45.708314019620254</v>
      </c>
      <c r="KR11" s="667">
        <v>48.702985501710387</v>
      </c>
      <c r="KS11" s="667">
        <v>51.161742693371323</v>
      </c>
      <c r="KT11" s="667">
        <v>50.233426534577895</v>
      </c>
      <c r="KU11" s="671">
        <v>0</v>
      </c>
      <c r="KV11" s="688"/>
      <c r="KW11" s="667">
        <v>45.377777066001549</v>
      </c>
      <c r="KX11" s="667">
        <v>48.145570792635581</v>
      </c>
      <c r="KY11" s="667">
        <v>48.883093678339996</v>
      </c>
      <c r="KZ11" s="667">
        <v>49.252073564010146</v>
      </c>
      <c r="LA11" s="667">
        <v>51.563594982131804</v>
      </c>
      <c r="LB11" s="667">
        <v>50.61760661444918</v>
      </c>
      <c r="LC11" s="671">
        <f>INDEX(DB!$3:$367,MATCH(LC$2,DB!$D$3:$D$367),9)</f>
        <v>0</v>
      </c>
      <c r="LD11" s="688"/>
      <c r="LE11" s="667">
        <v>49.353970183174624</v>
      </c>
      <c r="LF11" s="667">
        <v>47.22242820266333</v>
      </c>
      <c r="LG11" s="667">
        <v>47.880666269925108</v>
      </c>
      <c r="LH11" s="667">
        <v>49.159076359398398</v>
      </c>
      <c r="LI11" s="667">
        <v>50.347665545334202</v>
      </c>
      <c r="LJ11" s="667">
        <v>49.793722161226242</v>
      </c>
      <c r="LK11" s="671">
        <f>INDEX(DB!$3:$367,MATCH(LK$2,DB!$D$3:$D$367),9)</f>
        <v>0</v>
      </c>
      <c r="LL11" s="688"/>
      <c r="LM11" s="667">
        <v>50.072541070168036</v>
      </c>
      <c r="LN11" s="667">
        <v>48.184306495762847</v>
      </c>
      <c r="LO11" s="667">
        <v>48.322842806116263</v>
      </c>
      <c r="LP11" s="667">
        <v>49.501415814580724</v>
      </c>
      <c r="LQ11" s="667">
        <v>51.510796201922197</v>
      </c>
      <c r="LR11" s="667">
        <v>51.42828139343856</v>
      </c>
      <c r="LS11" s="671">
        <f>INDEX(DB!$3:$367,MATCH(LS$2,DB!$D$3:$D$367),9)</f>
        <v>0</v>
      </c>
      <c r="LT11" s="688"/>
      <c r="LU11" s="667">
        <v>50.082639783140138</v>
      </c>
      <c r="LV11" s="667">
        <v>48.435882497684524</v>
      </c>
      <c r="LW11" s="667">
        <v>48.83837548612788</v>
      </c>
      <c r="LX11" s="667">
        <v>49.142697227636376</v>
      </c>
      <c r="LY11" s="667">
        <v>50.512391249818762</v>
      </c>
      <c r="LZ11" s="667">
        <v>51.2608772806758</v>
      </c>
      <c r="MA11" s="671">
        <f>INDEX(DB!$3:$367,MATCH(MA$2,DB!$D$3:$D$367),9)</f>
        <v>0</v>
      </c>
      <c r="MB11" s="688"/>
      <c r="MC11" s="667">
        <f>INDEX(DB!$3:$367,MATCH(MC$2,DB!$D$3:$D$367),9)</f>
        <v>49.325866154989747</v>
      </c>
      <c r="MD11" s="667">
        <f>INDEX(DB!$3:$367,MATCH(MD$2,DB!$D$3:$D$367),9)</f>
        <v>47.708077888500966</v>
      </c>
      <c r="ME11" s="667">
        <f>INDEX(DB!$3:$367,MATCH(ME$2,DB!$D$3:$D$367),9)</f>
        <v>48.078325257563478</v>
      </c>
      <c r="MF11" s="667">
        <f>INDEX(DB!$3:$367,MATCH(MF$2,DB!$D$3:$D$367),9)</f>
        <v>47.886997547659142</v>
      </c>
      <c r="MG11" s="667">
        <f>INDEX(DB!$3:$367,MATCH(MG$2,DB!$D$3:$D$367),9)</f>
        <v>49.319616999262749</v>
      </c>
      <c r="MH11" s="667">
        <f>INDEX(DB!$3:$367,MATCH(MH$2,DB!$D$3:$D$367),9)</f>
        <v>49.820279799181336</v>
      </c>
      <c r="MI11" s="671">
        <f>INDEX(DB!$3:$367,MATCH(MI$2,DB!$D$3:$D$367),9)</f>
        <v>0</v>
      </c>
      <c r="MJ11" s="688"/>
      <c r="MK11" s="667">
        <v>47.705282126489458</v>
      </c>
      <c r="ML11" s="667">
        <v>0</v>
      </c>
      <c r="MM11" s="667">
        <v>46.328789950572322</v>
      </c>
      <c r="MN11" s="667">
        <v>47.39099292386549</v>
      </c>
      <c r="MO11" s="667">
        <v>51.007044940297959</v>
      </c>
      <c r="MP11" s="667">
        <v>51.753251676808119</v>
      </c>
      <c r="MQ11" s="671">
        <f>INDEX(DB!$3:$367,MATCH(MQ$2,DB!$D$3:$D$367),9)</f>
        <v>0</v>
      </c>
      <c r="MR11" s="688"/>
      <c r="MS11" s="667">
        <v>49.771318257777857</v>
      </c>
      <c r="MT11" s="667">
        <v>48.198008861765821</v>
      </c>
      <c r="MU11" s="667">
        <v>48.519083794371717</v>
      </c>
      <c r="MV11" s="667">
        <v>48.311375438530504</v>
      </c>
      <c r="MW11" s="667">
        <v>0</v>
      </c>
      <c r="MX11" s="667">
        <v>52.296364702581506</v>
      </c>
      <c r="MY11" s="671">
        <f>INDEX(DB!$3:$367,MATCH(MY$2,DB!$D$3:$D$367),9)</f>
        <v>0</v>
      </c>
      <c r="MZ11" s="688"/>
      <c r="NA11" s="667">
        <v>50.16463529984577</v>
      </c>
      <c r="NB11" s="667">
        <v>49.74560523865069</v>
      </c>
      <c r="NC11" s="667">
        <v>50.373431777499107</v>
      </c>
      <c r="ND11" s="667">
        <v>49.31083826288706</v>
      </c>
      <c r="NE11" s="667">
        <v>49.226647304080572</v>
      </c>
      <c r="NF11" s="667">
        <v>49.718276682203296</v>
      </c>
      <c r="NG11" s="671">
        <f>INDEX(DB!$3:$367,MATCH(NG$2,DB!$D$3:$D$367),9)</f>
        <v>0</v>
      </c>
      <c r="NH11" s="688"/>
      <c r="NI11" s="667">
        <v>47.616185730158875</v>
      </c>
      <c r="NJ11" s="667">
        <v>48.615994175283198</v>
      </c>
      <c r="NK11" s="667">
        <v>50.493160171224211</v>
      </c>
      <c r="NL11" s="667">
        <v>48.006460995042175</v>
      </c>
      <c r="NM11" s="667">
        <v>52.469184103538964</v>
      </c>
      <c r="NN11" s="667">
        <v>51.924385964677121</v>
      </c>
      <c r="NO11" s="671">
        <f>INDEX(DB!$3:$367,MATCH(NO$2,DB!$D$3:$D$367),9)</f>
        <v>0</v>
      </c>
      <c r="NP11" s="688"/>
      <c r="NQ11" s="667">
        <v>51.299347455523602</v>
      </c>
      <c r="NR11" s="667">
        <v>50.261943918549548</v>
      </c>
      <c r="NS11" s="667">
        <v>52.022503830402165</v>
      </c>
      <c r="NT11" s="667">
        <v>51.662950265189139</v>
      </c>
      <c r="NU11" s="667">
        <v>49.91508175877118</v>
      </c>
      <c r="NV11" s="667">
        <v>48.900730487350025</v>
      </c>
      <c r="NW11" s="671">
        <f>INDEX(DB!$3:$367,MATCH(NW$2,DB!$D$3:$D$367),9)</f>
        <v>0</v>
      </c>
      <c r="NX11" s="688"/>
      <c r="NY11" s="667">
        <f>INDEX(DB!$3:$367,MATCH(NY$2,DB!$D$3:$D$367),9)</f>
        <v>48.854093662780855</v>
      </c>
      <c r="NZ11" s="667">
        <f>INDEX(DB!$3:$367,MATCH(NZ$2,DB!$D$3:$D$367),9)</f>
        <v>47.777988227021567</v>
      </c>
      <c r="OA11" s="667">
        <f>INDEX(DB!$3:$367,MATCH(OA$2,DB!$D$3:$D$367),9)</f>
        <v>49.482723224697907</v>
      </c>
      <c r="OB11" s="667">
        <f>INDEX(DB!$3:$367,MATCH(OB$2,DB!$D$3:$D$367),9)</f>
        <v>49.409074952807366</v>
      </c>
      <c r="OC11" s="667">
        <f>INDEX(DB!$3:$367,MATCH(OC$2,DB!$D$3:$D$367),9)</f>
        <v>48.414027999394968</v>
      </c>
      <c r="OD11" s="667">
        <f>INDEX(DB!$3:$367,MATCH(OD$2,DB!$D$3:$D$367),9)</f>
        <v>48.283550888571114</v>
      </c>
      <c r="OE11" s="671">
        <f>INDEX(DB!$3:$367,MATCH(OE$2,DB!$D$3:$D$367),9)</f>
        <v>0</v>
      </c>
      <c r="OF11" s="688"/>
      <c r="OG11" s="667">
        <v>47.737769298598167</v>
      </c>
      <c r="OH11" s="667">
        <v>48.315151322211342</v>
      </c>
      <c r="OI11" s="667">
        <v>48.839263491810826</v>
      </c>
      <c r="OJ11" s="667">
        <v>47.206408496389017</v>
      </c>
      <c r="OK11" s="667">
        <v>47.833252675755688</v>
      </c>
      <c r="OL11" s="667">
        <v>50.45337194748025</v>
      </c>
      <c r="OM11" s="671">
        <f>INDEX(DB!$3:$367,MATCH(OM$2,DB!$D$3:$D$367),9)</f>
        <v>0</v>
      </c>
      <c r="ON11" s="688"/>
      <c r="OO11" s="667">
        <f>INDEX(DB!$3:$367,MATCH(OO$2,DB!$D$3:$D$367),9)</f>
        <v>52.5</v>
      </c>
      <c r="OP11" s="667">
        <f>INDEX(DB!$3:$367,MATCH(OP$2,DB!$D$3:$D$367),9)</f>
        <v>49.85</v>
      </c>
      <c r="OQ11" s="667">
        <f>INDEX(DB!$3:$367,MATCH(OQ$2,DB!$D$3:$D$367),9)</f>
        <v>48.95</v>
      </c>
      <c r="OR11" s="667">
        <f>INDEX(DB!$3:$367,MATCH(OR$2,DB!$D$3:$D$367),9)</f>
        <v>50.17</v>
      </c>
      <c r="OS11" s="667">
        <f>INDEX(DB!$3:$367,MATCH(OS$2,DB!$D$3:$D$367),9)</f>
        <v>49.55</v>
      </c>
      <c r="OT11" s="667">
        <f>INDEX(DB!$3:$367,MATCH(OT$2,DB!$D$3:$D$367),9)</f>
        <v>45.69</v>
      </c>
      <c r="OU11" s="671">
        <f>INDEX(DB!$3:$367,MATCH(OU$2,DB!$D$3:$D$367),9)</f>
        <v>0</v>
      </c>
      <c r="OV11" s="688"/>
      <c r="OW11" s="667">
        <f>INDEX(DB!$3:$367,MATCH(OW$2,DB!$D$3:$D$367),9)</f>
        <v>47.21</v>
      </c>
      <c r="OX11" s="667">
        <f>INDEX(DB!$3:$367,MATCH(OX$2,DB!$D$3:$D$367),9)</f>
        <v>45.68</v>
      </c>
      <c r="OY11" s="667">
        <f>INDEX(DB!$3:$367,MATCH(OY$2,DB!$D$3:$D$367),9)</f>
        <v>45.79</v>
      </c>
      <c r="OZ11" s="667">
        <f>INDEX(DB!$3:$367,MATCH(OZ$2,DB!$D$3:$D$367),9)</f>
        <v>46.05</v>
      </c>
      <c r="PA11" s="667">
        <f>INDEX(DB!$3:$367,MATCH(PA$2,DB!$D$3:$D$367),9)</f>
        <v>45.55</v>
      </c>
      <c r="PB11" s="667">
        <f>INDEX(DB!$3:$367,MATCH(PB$2,DB!$D$3:$D$367),9)</f>
        <v>45.09</v>
      </c>
      <c r="PC11" s="671">
        <v>0</v>
      </c>
    </row>
    <row r="12" spans="2:420" ht="15" thickBot="1" x14ac:dyDescent="0.35">
      <c r="B12" s="978"/>
      <c r="C12" s="679" t="s">
        <v>254</v>
      </c>
      <c r="D12" s="689">
        <f>SUM(E12:K12)</f>
        <v>288451.394266235</v>
      </c>
      <c r="E12" s="668">
        <f t="shared" ref="E12:K12" si="370">E11*E10*$C$1</f>
        <v>9803.4492305023196</v>
      </c>
      <c r="F12" s="668">
        <f t="shared" si="370"/>
        <v>53519.336809268621</v>
      </c>
      <c r="G12" s="668">
        <f t="shared" si="370"/>
        <v>54393.208226464041</v>
      </c>
      <c r="H12" s="668">
        <f t="shared" si="370"/>
        <v>52272</v>
      </c>
      <c r="I12" s="668">
        <f t="shared" si="370"/>
        <v>54153</v>
      </c>
      <c r="J12" s="668">
        <f t="shared" si="370"/>
        <v>54153</v>
      </c>
      <c r="K12" s="672">
        <f t="shared" si="370"/>
        <v>10157.4</v>
      </c>
      <c r="L12" s="689">
        <f>SUM(M12:S12)</f>
        <v>306375.99396150635</v>
      </c>
      <c r="M12" s="668">
        <f t="shared" ref="M12:S12" si="371">M11*M10*$C$1</f>
        <v>36317.019980243007</v>
      </c>
      <c r="N12" s="668">
        <f t="shared" si="371"/>
        <v>52496.828343110807</v>
      </c>
      <c r="O12" s="668">
        <f t="shared" si="371"/>
        <v>51311.445638152494</v>
      </c>
      <c r="P12" s="668">
        <f t="shared" si="371"/>
        <v>52272</v>
      </c>
      <c r="Q12" s="668">
        <f t="shared" si="371"/>
        <v>57172.5</v>
      </c>
      <c r="R12" s="668">
        <f t="shared" si="371"/>
        <v>51727.5</v>
      </c>
      <c r="S12" s="672">
        <f t="shared" si="371"/>
        <v>5078.7</v>
      </c>
      <c r="T12" s="689">
        <f>SUM(U12:AA12)</f>
        <v>306166.15648154082</v>
      </c>
      <c r="U12" s="668">
        <f t="shared" ref="U12:AA12" si="372">U11*U10*$C$1</f>
        <v>36101.737810502294</v>
      </c>
      <c r="V12" s="668">
        <f t="shared" si="372"/>
        <v>52185.621773062965</v>
      </c>
      <c r="W12" s="668">
        <f t="shared" si="372"/>
        <v>53557.606897975544</v>
      </c>
      <c r="X12" s="668">
        <f t="shared" si="372"/>
        <v>51876</v>
      </c>
      <c r="Y12" s="668">
        <f>Y11*Y10*$C$1</f>
        <v>56444.85</v>
      </c>
      <c r="Z12" s="668">
        <f t="shared" si="372"/>
        <v>50975.1</v>
      </c>
      <c r="AA12" s="672">
        <f t="shared" si="372"/>
        <v>5025.24</v>
      </c>
      <c r="AB12" s="689">
        <f>SUM(AC12:AI12)</f>
        <v>309370.58034181636</v>
      </c>
      <c r="AC12" s="668">
        <f t="shared" ref="AC12:AI12" si="373">AC11*AC10*$C$1</f>
        <v>34926.428571428572</v>
      </c>
      <c r="AD12" s="668">
        <f t="shared" si="373"/>
        <v>48885.276833414275</v>
      </c>
      <c r="AE12" s="668">
        <f t="shared" si="373"/>
        <v>54648</v>
      </c>
      <c r="AF12" s="668">
        <f t="shared" si="373"/>
        <v>55576.537157396306</v>
      </c>
      <c r="AG12" s="668">
        <f t="shared" si="373"/>
        <v>55096.720096137484</v>
      </c>
      <c r="AH12" s="668">
        <f t="shared" si="373"/>
        <v>50252.56136917034</v>
      </c>
      <c r="AI12" s="672">
        <f t="shared" si="373"/>
        <v>9985.0563142693663</v>
      </c>
      <c r="AJ12" s="689">
        <f>SUM(AK12:AQ12)</f>
        <v>312732.90066834155</v>
      </c>
      <c r="AK12" s="668">
        <f t="shared" ref="AK12:AQ12" si="374">AK11*AK10*$C$1</f>
        <v>34516.476128575894</v>
      </c>
      <c r="AL12" s="668">
        <f t="shared" si="374"/>
        <v>52015.973616009236</v>
      </c>
      <c r="AM12" s="668">
        <f t="shared" si="374"/>
        <v>55186.312681137366</v>
      </c>
      <c r="AN12" s="668">
        <f t="shared" si="374"/>
        <v>53133.223600145728</v>
      </c>
      <c r="AO12" s="668">
        <f t="shared" si="374"/>
        <v>55234.762657731058</v>
      </c>
      <c r="AP12" s="668">
        <f t="shared" si="374"/>
        <v>52702.65</v>
      </c>
      <c r="AQ12" s="672">
        <f t="shared" si="374"/>
        <v>9943.5019847422391</v>
      </c>
      <c r="AR12" s="689">
        <f>SUM(AS12:AY12)</f>
        <v>316111.22644874314</v>
      </c>
      <c r="AS12" s="668">
        <f t="shared" ref="AS12:AY12" si="375">AS11*AS10*$C$1</f>
        <v>34732.1654857131</v>
      </c>
      <c r="AT12" s="668">
        <f t="shared" si="375"/>
        <v>55070.754801384304</v>
      </c>
      <c r="AU12" s="668">
        <f>AU11*AU10*$C$1</f>
        <v>55878.364143821447</v>
      </c>
      <c r="AV12" s="668">
        <f t="shared" si="375"/>
        <v>54995.942017824294</v>
      </c>
      <c r="AW12" s="668">
        <f t="shared" si="375"/>
        <v>54450</v>
      </c>
      <c r="AX12" s="668">
        <f t="shared" si="375"/>
        <v>50094</v>
      </c>
      <c r="AY12" s="672">
        <f t="shared" si="375"/>
        <v>10890</v>
      </c>
      <c r="AZ12" s="689">
        <f>SUM(BA12:BG12)</f>
        <v>310762.38929530943</v>
      </c>
      <c r="BA12" s="668">
        <f t="shared" ref="BA12:BG12" si="376">BA11*BA10*$C$1</f>
        <v>31739.905691000415</v>
      </c>
      <c r="BB12" s="668">
        <f t="shared" si="376"/>
        <v>54977.552596949841</v>
      </c>
      <c r="BC12" s="668">
        <f t="shared" si="376"/>
        <v>55130.851726733599</v>
      </c>
      <c r="BD12" s="668">
        <f t="shared" si="376"/>
        <v>52283.936622188638</v>
      </c>
      <c r="BE12" s="668">
        <f t="shared" si="376"/>
        <v>54054</v>
      </c>
      <c r="BF12" s="668">
        <f t="shared" si="376"/>
        <v>51742.632168055869</v>
      </c>
      <c r="BG12" s="672">
        <f t="shared" si="376"/>
        <v>10833.510490381037</v>
      </c>
      <c r="BH12" s="689">
        <f>SUM(BI12:BO12)</f>
        <v>305368.01125508442</v>
      </c>
      <c r="BI12" s="668">
        <f t="shared" ref="BI12:BO12" si="377">BI11*BI10*$C$1</f>
        <v>35280.410834451541</v>
      </c>
      <c r="BJ12" s="668">
        <f t="shared" si="377"/>
        <v>50944.642287897339</v>
      </c>
      <c r="BK12" s="668">
        <f t="shared" si="377"/>
        <v>51847.937258075646</v>
      </c>
      <c r="BL12" s="668">
        <f t="shared" si="377"/>
        <v>52849.041526159272</v>
      </c>
      <c r="BM12" s="668">
        <f t="shared" si="377"/>
        <v>54978.747968565687</v>
      </c>
      <c r="BN12" s="668">
        <f t="shared" si="377"/>
        <v>54070.37086680068</v>
      </c>
      <c r="BO12" s="672">
        <f t="shared" si="377"/>
        <v>5396.8605131342547</v>
      </c>
      <c r="BP12" s="689">
        <f>SUM(BQ12:BW12)</f>
        <v>280090.16956720076</v>
      </c>
      <c r="BQ12" s="668">
        <f t="shared" ref="BQ12:BW12" si="378">BQ11*BQ10*$C$1</f>
        <v>34880.2582781897</v>
      </c>
      <c r="BR12" s="668">
        <f t="shared" si="378"/>
        <v>45927.441468874422</v>
      </c>
      <c r="BS12" s="668">
        <f>BS11*BS10*$C$1</f>
        <v>46682.532370640605</v>
      </c>
      <c r="BT12" s="668">
        <f t="shared" si="378"/>
        <v>47883.861204510409</v>
      </c>
      <c r="BU12" s="668">
        <f t="shared" si="378"/>
        <v>50125.279176448392</v>
      </c>
      <c r="BV12" s="668">
        <f t="shared" si="378"/>
        <v>49077.444753235162</v>
      </c>
      <c r="BW12" s="672">
        <f t="shared" si="378"/>
        <v>5513.3523153020842</v>
      </c>
      <c r="BX12" s="689">
        <f>SUM(BY12:CE12)</f>
        <v>276852.18253137521</v>
      </c>
      <c r="BY12" s="668">
        <f t="shared" ref="BY12:CE12" si="379">BY11*BY10*$C$1</f>
        <v>35118.511129918297</v>
      </c>
      <c r="BZ12" s="668">
        <f t="shared" si="379"/>
        <v>47919.229900193255</v>
      </c>
      <c r="CA12" s="668">
        <f t="shared" si="379"/>
        <v>45649.060439465073</v>
      </c>
      <c r="CB12" s="668">
        <f t="shared" si="379"/>
        <v>43018.829921004712</v>
      </c>
      <c r="CC12" s="668">
        <f t="shared" si="379"/>
        <v>50329.66525544929</v>
      </c>
      <c r="CD12" s="668">
        <f t="shared" si="379"/>
        <v>49277.91396737437</v>
      </c>
      <c r="CE12" s="672">
        <f t="shared" si="379"/>
        <v>5538.9719179702051</v>
      </c>
      <c r="CF12" s="689">
        <f>SUM(CG12:CM12)</f>
        <v>281748.57986850908</v>
      </c>
      <c r="CG12" s="668">
        <f t="shared" ref="CG12:CM12" si="380">CG11*CG10*$C$1</f>
        <v>40299.798219153592</v>
      </c>
      <c r="CH12" s="668">
        <f t="shared" si="380"/>
        <v>44255.934286439297</v>
      </c>
      <c r="CI12" s="668">
        <f t="shared" si="380"/>
        <v>48141.78824595717</v>
      </c>
      <c r="CJ12" s="668">
        <f t="shared" si="380"/>
        <v>42013.218723534126</v>
      </c>
      <c r="CK12" s="668">
        <f t="shared" si="380"/>
        <v>50702.616413729156</v>
      </c>
      <c r="CL12" s="668">
        <f t="shared" si="380"/>
        <v>50667.766903913536</v>
      </c>
      <c r="CM12" s="672">
        <f t="shared" si="380"/>
        <v>5667.4570757822466</v>
      </c>
      <c r="CN12" s="689">
        <f>SUM(CO12:CU12)</f>
        <v>281342.04095336772</v>
      </c>
      <c r="CO12" s="668">
        <v>34966.926153633285</v>
      </c>
      <c r="CP12" s="668">
        <v>43010.587658367825</v>
      </c>
      <c r="CQ12" s="668">
        <v>47986.617817053404</v>
      </c>
      <c r="CR12" s="668">
        <v>45584.82395344229</v>
      </c>
      <c r="CS12" s="668">
        <v>54554.021448973632</v>
      </c>
      <c r="CT12" s="668">
        <v>49324.48580037224</v>
      </c>
      <c r="CU12" s="672">
        <f t="shared" ref="CU12" si="381">CU11*CU10*$C$1</f>
        <v>5914.5781215250299</v>
      </c>
      <c r="CV12" s="689">
        <f>SUM(CW12:DC12)</f>
        <v>296039.11095043254</v>
      </c>
      <c r="CW12" s="668">
        <v>36276.803477773996</v>
      </c>
      <c r="CX12" s="668">
        <v>49397.995805514394</v>
      </c>
      <c r="CY12" s="668">
        <v>50434.177651023987</v>
      </c>
      <c r="CZ12" s="668">
        <v>47410.848662658398</v>
      </c>
      <c r="DA12" s="668">
        <v>51968.696143056033</v>
      </c>
      <c r="DB12" s="668">
        <v>54846.122862469587</v>
      </c>
      <c r="DC12" s="672">
        <v>5704.4663479361252</v>
      </c>
      <c r="DD12" s="689">
        <f>SUM(DE12:DK12)</f>
        <v>278403.65907262103</v>
      </c>
      <c r="DE12" s="668">
        <f t="shared" ref="DE12:DK12" si="382">DE11*DE10*$C$1</f>
        <v>35066.797079229138</v>
      </c>
      <c r="DF12" s="668">
        <f t="shared" si="382"/>
        <v>45092.493696341226</v>
      </c>
      <c r="DG12" s="668">
        <f t="shared" si="382"/>
        <v>44974.146329473981</v>
      </c>
      <c r="DH12" s="668">
        <f t="shared" si="382"/>
        <v>48253.96605144452</v>
      </c>
      <c r="DI12" s="668">
        <f t="shared" si="382"/>
        <v>51405.347899796077</v>
      </c>
      <c r="DJ12" s="668">
        <f t="shared" si="382"/>
        <v>48115.548918110391</v>
      </c>
      <c r="DK12" s="672">
        <f t="shared" si="382"/>
        <v>5495.3590982256919</v>
      </c>
      <c r="DL12" s="689">
        <f>SUM(DM12:DS12)</f>
        <v>304708.14447892981</v>
      </c>
      <c r="DM12" s="668">
        <v>35110.990755618783</v>
      </c>
      <c r="DN12" s="668">
        <v>44662.65963607077</v>
      </c>
      <c r="DO12" s="668">
        <v>44842.124424124573</v>
      </c>
      <c r="DP12" s="668">
        <v>48221.576498471855</v>
      </c>
      <c r="DQ12" s="668">
        <v>50177.015203232906</v>
      </c>
      <c r="DR12" s="668">
        <v>52083.149414866682</v>
      </c>
      <c r="DS12" s="672">
        <v>29610.628546544212</v>
      </c>
      <c r="DT12" s="689">
        <f>SUM(DU12:EA12)</f>
        <v>214125.07164108974</v>
      </c>
      <c r="DU12" s="668">
        <v>0</v>
      </c>
      <c r="DV12" s="668">
        <v>9170.5716955344215</v>
      </c>
      <c r="DW12" s="668">
        <v>50459.499295010508</v>
      </c>
      <c r="DX12" s="668">
        <v>47210.616392368473</v>
      </c>
      <c r="DY12" s="668">
        <v>50874.601128096401</v>
      </c>
      <c r="DZ12" s="668">
        <v>51072.320018005412</v>
      </c>
      <c r="EA12" s="672">
        <v>5337.4631120745262</v>
      </c>
      <c r="EB12" s="689">
        <f>SUM(EC12:EI12)</f>
        <v>274653.02778014925</v>
      </c>
      <c r="EC12" s="668">
        <f t="shared" ref="EC12:EI12" si="383">EC11*EC10*$C$1</f>
        <v>31960.066540569303</v>
      </c>
      <c r="ED12" s="668">
        <f t="shared" si="383"/>
        <v>45655.698112515267</v>
      </c>
      <c r="EE12" s="668">
        <f t="shared" si="383"/>
        <v>46217.32246260484</v>
      </c>
      <c r="EF12" s="668">
        <f t="shared" si="383"/>
        <v>45070.341375334014</v>
      </c>
      <c r="EG12" s="668">
        <f t="shared" si="383"/>
        <v>53652.987599276887</v>
      </c>
      <c r="EH12" s="668">
        <f t="shared" si="383"/>
        <v>52096.611689848964</v>
      </c>
      <c r="EI12" s="672">
        <f t="shared" si="383"/>
        <v>0</v>
      </c>
      <c r="EJ12" s="689">
        <f>SUM(EK12:EQ12)</f>
        <v>298500.99813181226</v>
      </c>
      <c r="EK12" s="668">
        <f t="shared" ref="EK12:EQ12" si="384">EK11*EK10*$C$1</f>
        <v>37431.778123891767</v>
      </c>
      <c r="EL12" s="668">
        <f t="shared" si="384"/>
        <v>48463.951956436991</v>
      </c>
      <c r="EM12" s="668">
        <f t="shared" si="384"/>
        <v>46782.862093583222</v>
      </c>
      <c r="EN12" s="668">
        <f t="shared" si="384"/>
        <v>46510.072437487412</v>
      </c>
      <c r="EO12" s="668">
        <f t="shared" si="384"/>
        <v>57711.663365032764</v>
      </c>
      <c r="EP12" s="668">
        <f t="shared" si="384"/>
        <v>56067.1824750339</v>
      </c>
      <c r="EQ12" s="672">
        <f t="shared" si="384"/>
        <v>5533.4876803461657</v>
      </c>
      <c r="ER12" s="689">
        <f>SUM(ES12:EY12)</f>
        <v>308801.25584723841</v>
      </c>
      <c r="ES12" s="668">
        <f t="shared" ref="ES12:EY12" si="385">ES11*ES10*$C$1</f>
        <v>38029.037905220554</v>
      </c>
      <c r="ET12" s="668">
        <f t="shared" si="385"/>
        <v>51993.402725234584</v>
      </c>
      <c r="EU12" s="668">
        <f t="shared" si="385"/>
        <v>52714.492184038005</v>
      </c>
      <c r="EV12" s="668">
        <f t="shared" si="385"/>
        <v>49978.802618010101</v>
      </c>
      <c r="EW12" s="668">
        <f t="shared" si="385"/>
        <v>57374.723526394802</v>
      </c>
      <c r="EX12" s="668">
        <f t="shared" si="385"/>
        <v>53206.7273396132</v>
      </c>
      <c r="EY12" s="672">
        <f t="shared" si="385"/>
        <v>5504.0695487271996</v>
      </c>
      <c r="EZ12" s="689">
        <f>SUM(FA12:FG12)</f>
        <v>270218.71043052501</v>
      </c>
      <c r="FA12" s="668">
        <f t="shared" ref="FA12:FG12" si="386">FA11*FA10*$C$1</f>
        <v>35251.255938866059</v>
      </c>
      <c r="FB12" s="668">
        <f t="shared" si="386"/>
        <v>44309.311846194214</v>
      </c>
      <c r="FC12" s="668">
        <f t="shared" si="386"/>
        <v>47635.489792515189</v>
      </c>
      <c r="FD12" s="668">
        <f t="shared" si="386"/>
        <v>44741.834430566778</v>
      </c>
      <c r="FE12" s="668">
        <f t="shared" si="386"/>
        <v>48419.353415654179</v>
      </c>
      <c r="FF12" s="668">
        <f t="shared" si="386"/>
        <v>44633.532318103287</v>
      </c>
      <c r="FG12" s="672">
        <f t="shared" si="386"/>
        <v>5227.9326886252993</v>
      </c>
      <c r="FH12" s="689">
        <f>SUM(FI12:FO12)</f>
        <v>217046.56621148164</v>
      </c>
      <c r="FI12" s="668">
        <v>31904.71372413855</v>
      </c>
      <c r="FJ12" s="668">
        <v>40782.159437341557</v>
      </c>
      <c r="FK12" s="668">
        <v>41173.958175086154</v>
      </c>
      <c r="FL12" s="668">
        <v>0</v>
      </c>
      <c r="FM12" s="668">
        <v>41343.442803870268</v>
      </c>
      <c r="FN12" s="668">
        <v>56391.136571597519</v>
      </c>
      <c r="FO12" s="672">
        <v>5451.1554994475882</v>
      </c>
      <c r="FP12" s="689">
        <f>SUM(FQ12:FW12)</f>
        <v>295003.00021305896</v>
      </c>
      <c r="FQ12" s="668">
        <v>37600.92175758248</v>
      </c>
      <c r="FR12" s="668">
        <v>46048.84285486555</v>
      </c>
      <c r="FS12" s="668">
        <v>46971.238489866904</v>
      </c>
      <c r="FT12" s="668">
        <v>47054.390437853872</v>
      </c>
      <c r="FU12" s="668">
        <v>53572.541055217633</v>
      </c>
      <c r="FV12" s="668">
        <v>53383.877113261435</v>
      </c>
      <c r="FW12" s="672">
        <v>10371.188504411088</v>
      </c>
      <c r="FX12" s="689">
        <f>SUM(FY12:GE12)</f>
        <v>222467.8437019829</v>
      </c>
      <c r="FY12" s="668">
        <v>0</v>
      </c>
      <c r="FZ12" s="668">
        <v>9513.0512497443415</v>
      </c>
      <c r="GA12" s="668">
        <v>54040.069411701697</v>
      </c>
      <c r="GB12" s="668">
        <v>48801.769931442046</v>
      </c>
      <c r="GC12" s="668">
        <v>51439.462963141756</v>
      </c>
      <c r="GD12" s="668">
        <v>53537.289632484797</v>
      </c>
      <c r="GE12" s="672">
        <v>5136.2005134682804</v>
      </c>
      <c r="GF12" s="689">
        <f>SUM(GG12:GM12)</f>
        <v>293815.84112469939</v>
      </c>
      <c r="GG12" s="668">
        <v>37709.01610383462</v>
      </c>
      <c r="GH12" s="668">
        <v>48710.479673762449</v>
      </c>
      <c r="GI12" s="668">
        <v>50301.75367219725</v>
      </c>
      <c r="GJ12" s="668">
        <v>47462.892233030383</v>
      </c>
      <c r="GK12" s="668">
        <v>52547.280013493917</v>
      </c>
      <c r="GL12" s="668">
        <v>52086.81011120991</v>
      </c>
      <c r="GM12" s="672">
        <v>4997.6093171708653</v>
      </c>
      <c r="GN12" s="689">
        <f>SUM(GO12:GU12)</f>
        <v>297693.85705985426</v>
      </c>
      <c r="GO12" s="668">
        <v>36676.511842867403</v>
      </c>
      <c r="GP12" s="668">
        <v>50912.601071161967</v>
      </c>
      <c r="GQ12" s="668">
        <v>49745.848473001533</v>
      </c>
      <c r="GR12" s="668">
        <v>48715.350595424323</v>
      </c>
      <c r="GS12" s="668">
        <v>54497.775962340602</v>
      </c>
      <c r="GT12" s="668">
        <v>52199.438022932911</v>
      </c>
      <c r="GU12" s="672">
        <v>4946.3310921255052</v>
      </c>
      <c r="GV12" s="689">
        <f>SUM(GW12:HC12)</f>
        <v>280191.96456288174</v>
      </c>
      <c r="GW12" s="668">
        <f t="shared" ref="GW12:HC12" si="387">GW11*GW10*$C$1</f>
        <v>34106.442266532438</v>
      </c>
      <c r="GX12" s="668">
        <f t="shared" si="387"/>
        <v>48317.117481869507</v>
      </c>
      <c r="GY12" s="668">
        <f t="shared" si="387"/>
        <v>49570.513102172757</v>
      </c>
      <c r="GZ12" s="668">
        <f t="shared" si="387"/>
        <v>44866.524297844517</v>
      </c>
      <c r="HA12" s="668">
        <f t="shared" si="387"/>
        <v>48548.099097670158</v>
      </c>
      <c r="HB12" s="668">
        <f t="shared" si="387"/>
        <v>49689.43584358017</v>
      </c>
      <c r="HC12" s="672">
        <f t="shared" si="387"/>
        <v>5093.8324732121646</v>
      </c>
      <c r="HD12" s="689">
        <v>253351.71662458644</v>
      </c>
      <c r="HE12" s="668">
        <v>31613.73156941987</v>
      </c>
      <c r="HF12" s="668">
        <v>44864.420289105234</v>
      </c>
      <c r="HG12" s="668">
        <v>44979.56783457032</v>
      </c>
      <c r="HH12" s="668">
        <v>39351.204906207189</v>
      </c>
      <c r="HI12" s="668">
        <v>45669.766888336919</v>
      </c>
      <c r="HJ12" s="668">
        <v>46873.025136946897</v>
      </c>
      <c r="HK12" s="672">
        <v>0</v>
      </c>
      <c r="HL12" s="689">
        <f>SUM(HM12:HS12)</f>
        <v>239103.70895534198</v>
      </c>
      <c r="HM12" s="668">
        <f t="shared" ref="HM12:HS12" si="388">HM11*HM10*$C$1</f>
        <v>31380.631976100496</v>
      </c>
      <c r="HN12" s="668">
        <f t="shared" si="388"/>
        <v>39966.383350202486</v>
      </c>
      <c r="HO12" s="668">
        <f t="shared" si="388"/>
        <v>40377.074050005707</v>
      </c>
      <c r="HP12" s="668">
        <f t="shared" si="388"/>
        <v>39045.599999999999</v>
      </c>
      <c r="HQ12" s="668">
        <f t="shared" si="388"/>
        <v>44572.302427700604</v>
      </c>
      <c r="HR12" s="668">
        <f t="shared" si="388"/>
        <v>43761.717151332683</v>
      </c>
      <c r="HS12" s="672">
        <f t="shared" si="388"/>
        <v>0</v>
      </c>
      <c r="HT12" s="689">
        <f>SUM(HU12:IA12)</f>
        <v>192824.77964837727</v>
      </c>
      <c r="HU12" s="668">
        <v>30896.189678492818</v>
      </c>
      <c r="HV12" s="668">
        <v>39326.070864039437</v>
      </c>
      <c r="HW12" s="668">
        <v>37158.159436932583</v>
      </c>
      <c r="HX12" s="668">
        <v>0</v>
      </c>
      <c r="HY12" s="668">
        <v>39447.698205007218</v>
      </c>
      <c r="HZ12" s="668">
        <v>45996.661463905199</v>
      </c>
      <c r="IA12" s="672">
        <v>0</v>
      </c>
      <c r="IB12" s="689">
        <f>SUM(IC12:II12)</f>
        <v>235399.08539135734</v>
      </c>
      <c r="IC12" s="668">
        <f t="shared" ref="IC12:II12" si="389">IC11*IC10*$C$1</f>
        <v>30338.882025207215</v>
      </c>
      <c r="ID12" s="668">
        <f t="shared" si="389"/>
        <v>41467.031056156142</v>
      </c>
      <c r="IE12" s="668">
        <f t="shared" si="389"/>
        <v>39470.767237729036</v>
      </c>
      <c r="IF12" s="668">
        <f t="shared" si="389"/>
        <v>39607.252382412407</v>
      </c>
      <c r="IG12" s="668">
        <f t="shared" si="389"/>
        <v>43384.301546815077</v>
      </c>
      <c r="IH12" s="668">
        <f t="shared" si="389"/>
        <v>41130.851143037464</v>
      </c>
      <c r="II12" s="672">
        <f t="shared" si="389"/>
        <v>0</v>
      </c>
      <c r="IJ12" s="689">
        <f>SUM(IK12:IQ12)</f>
        <v>221352.03661678761</v>
      </c>
      <c r="IK12" s="668">
        <v>29888.136730240203</v>
      </c>
      <c r="IL12" s="668">
        <v>37578.17499405297</v>
      </c>
      <c r="IM12" s="668">
        <v>38752.754646048241</v>
      </c>
      <c r="IN12" s="668">
        <v>35468.595130345078</v>
      </c>
      <c r="IO12" s="668">
        <v>37917.077661398005</v>
      </c>
      <c r="IP12" s="668">
        <v>41747.29745470309</v>
      </c>
      <c r="IQ12" s="672">
        <f t="shared" ref="IQ12" si="390">IQ11*IQ10*$C$1</f>
        <v>0</v>
      </c>
      <c r="IR12" s="689">
        <f>SUM(IS12:IY12)</f>
        <v>219904.42519619386</v>
      </c>
      <c r="IS12" s="668">
        <v>30972.552960601886</v>
      </c>
      <c r="IT12" s="668">
        <v>36321.192901473914</v>
      </c>
      <c r="IU12" s="668">
        <v>37055.529010645136</v>
      </c>
      <c r="IV12" s="668">
        <v>37131.474436715391</v>
      </c>
      <c r="IW12" s="668">
        <v>37411.845332804252</v>
      </c>
      <c r="IX12" s="668">
        <v>41011.830553953288</v>
      </c>
      <c r="IY12" s="672">
        <f t="shared" ref="IY12" si="391">IY11*IY10*$C$1</f>
        <v>0</v>
      </c>
      <c r="IZ12" s="689">
        <f>SUM(JA12:JG12)</f>
        <v>179044.7853664514</v>
      </c>
      <c r="JA12" s="668">
        <f t="shared" ref="JA12:JG12" si="392">JA11*JA10*$C$1</f>
        <v>0</v>
      </c>
      <c r="JB12" s="668">
        <f t="shared" si="392"/>
        <v>8798.8381725913114</v>
      </c>
      <c r="JC12" s="668">
        <f t="shared" si="392"/>
        <v>42734.441059904006</v>
      </c>
      <c r="JD12" s="668">
        <f t="shared" si="392"/>
        <v>40665.235765092155</v>
      </c>
      <c r="JE12" s="668">
        <f t="shared" si="392"/>
        <v>43345.464435604801</v>
      </c>
      <c r="JF12" s="668">
        <f t="shared" si="392"/>
        <v>43500.805933259115</v>
      </c>
      <c r="JG12" s="672">
        <f t="shared" si="392"/>
        <v>0</v>
      </c>
      <c r="JH12" s="689">
        <f>SUM(JI12:JO12)</f>
        <v>269256.74257390451</v>
      </c>
      <c r="JI12" s="668">
        <v>30645.041608172742</v>
      </c>
      <c r="JJ12" s="668">
        <v>42220.497717660379</v>
      </c>
      <c r="JK12" s="668">
        <v>43163.88923879448</v>
      </c>
      <c r="JL12" s="668">
        <v>45732.711993100871</v>
      </c>
      <c r="JM12" s="668">
        <v>54905.949308764517</v>
      </c>
      <c r="JN12" s="668">
        <v>52588.652707411551</v>
      </c>
      <c r="JO12" s="672">
        <f t="shared" ref="JO12" si="393">JO11*JO10*$C$1</f>
        <v>0</v>
      </c>
      <c r="JP12" s="689">
        <f>SUM(JQ12:JW12)</f>
        <v>292463.28823621856</v>
      </c>
      <c r="JQ12" s="668">
        <f>JQ11*JQ10*$C$1</f>
        <v>36907.084871682993</v>
      </c>
      <c r="JR12" s="668">
        <f>JR11*JR10*$C$1</f>
        <v>49151.913707545173</v>
      </c>
      <c r="JS12" s="668">
        <f>JS11*JS10*$C$1</f>
        <v>49117.984078363763</v>
      </c>
      <c r="JT12" s="668">
        <f t="shared" ref="JT12:JW12" si="394">JT11*JT10*$C$1</f>
        <v>50643.285069676902</v>
      </c>
      <c r="JU12" s="668">
        <f t="shared" si="394"/>
        <v>55615.950414779334</v>
      </c>
      <c r="JV12" s="668">
        <f t="shared" si="394"/>
        <v>51027.070094170384</v>
      </c>
      <c r="JW12" s="672">
        <f t="shared" si="394"/>
        <v>0</v>
      </c>
      <c r="JX12" s="689">
        <f>SUM(JY12:KE12)</f>
        <v>306283.093194663</v>
      </c>
      <c r="JY12" s="668">
        <f t="shared" ref="JY12:KE12" si="395">JY11*JY10*$C$1</f>
        <v>38595.037740340253</v>
      </c>
      <c r="JZ12" s="668">
        <f t="shared" si="395"/>
        <v>53390.778452659237</v>
      </c>
      <c r="KA12" s="668">
        <f t="shared" si="395"/>
        <v>55352.777001663526</v>
      </c>
      <c r="KB12" s="668">
        <f t="shared" si="395"/>
        <v>51183</v>
      </c>
      <c r="KC12" s="668">
        <f t="shared" si="395"/>
        <v>55786.5</v>
      </c>
      <c r="KD12" s="668">
        <f t="shared" si="395"/>
        <v>51975</v>
      </c>
      <c r="KE12" s="672">
        <f t="shared" si="395"/>
        <v>0</v>
      </c>
      <c r="KF12" s="689">
        <f>SUM(KG12:KM12)</f>
        <v>312359.56809002173</v>
      </c>
      <c r="KG12" s="668">
        <f t="shared" ref="KG12:KM12" si="396">KG11*KG10*$C$1</f>
        <v>40744.480692585021</v>
      </c>
      <c r="KH12" s="668">
        <f t="shared" si="396"/>
        <v>53309.826550015277</v>
      </c>
      <c r="KI12" s="668">
        <f t="shared" si="396"/>
        <v>55232.233075063144</v>
      </c>
      <c r="KJ12" s="668">
        <f t="shared" si="396"/>
        <v>52452.673393905388</v>
      </c>
      <c r="KK12" s="668">
        <f t="shared" si="396"/>
        <v>57605.854378452874</v>
      </c>
      <c r="KL12" s="668">
        <f t="shared" si="396"/>
        <v>53014.5</v>
      </c>
      <c r="KM12" s="672">
        <f t="shared" si="396"/>
        <v>0</v>
      </c>
      <c r="KN12" s="689">
        <f>SUM(KO12:KU12)</f>
        <v>294302.02134732279</v>
      </c>
      <c r="KO12" s="668">
        <v>37443.734931433828</v>
      </c>
      <c r="KP12" s="668">
        <v>48374.158105355964</v>
      </c>
      <c r="KQ12" s="668">
        <v>47513.792423395251</v>
      </c>
      <c r="KR12" s="668">
        <v>53037.55121136261</v>
      </c>
      <c r="KS12" s="668">
        <v>55715.137793081369</v>
      </c>
      <c r="KT12" s="668">
        <v>52217.646882693727</v>
      </c>
      <c r="KU12" s="672">
        <v>0</v>
      </c>
      <c r="KV12" s="689">
        <f>SUM(KW12:LC12)</f>
        <v>289225.01009025279</v>
      </c>
      <c r="KW12" s="668">
        <v>35939.199436273222</v>
      </c>
      <c r="KX12" s="668">
        <v>50047.320838944688</v>
      </c>
      <c r="KY12" s="668">
        <v>50813.975878634425</v>
      </c>
      <c r="KZ12" s="668">
        <v>48759.552828370048</v>
      </c>
      <c r="LA12" s="668">
        <v>51047.959032310486</v>
      </c>
      <c r="LB12" s="668">
        <v>52617.002075719916</v>
      </c>
      <c r="LC12" s="672">
        <f t="shared" ref="LC12" si="397">LC11*LC10*$C$1</f>
        <v>0</v>
      </c>
      <c r="LD12" s="689">
        <f>SUM(LE12:LK12)</f>
        <v>288269.44768203684</v>
      </c>
      <c r="LE12" s="668">
        <v>36645.322861007153</v>
      </c>
      <c r="LF12" s="668">
        <v>49087.714116668532</v>
      </c>
      <c r="LG12" s="668">
        <v>49771.952587587155</v>
      </c>
      <c r="LH12" s="668">
        <v>48667.485595804414</v>
      </c>
      <c r="LI12" s="668">
        <v>52336.398334374899</v>
      </c>
      <c r="LJ12" s="668">
        <v>51760.574186594677</v>
      </c>
      <c r="LK12" s="672">
        <f t="shared" ref="LK12" si="398">LK11*LK10*$C$1</f>
        <v>0</v>
      </c>
      <c r="LL12" s="689">
        <f>SUM(LM12:LS12)</f>
        <v>308471.69211535889</v>
      </c>
      <c r="LM12" s="668">
        <v>39657.452527573085</v>
      </c>
      <c r="LN12" s="668">
        <v>50087.58660234548</v>
      </c>
      <c r="LO12" s="668">
        <v>52623.575815860611</v>
      </c>
      <c r="LP12" s="668">
        <v>51456.72173925666</v>
      </c>
      <c r="LQ12" s="668">
        <v>56095.257063893274</v>
      </c>
      <c r="LR12" s="668">
        <v>58551.098366429796</v>
      </c>
      <c r="LS12" s="672">
        <f t="shared" ref="LS12" si="399">LS11*LS10*$C$1</f>
        <v>0</v>
      </c>
      <c r="LT12" s="689">
        <f>SUM(LU12:MA12)</f>
        <v>305162.34111798997</v>
      </c>
      <c r="LU12" s="668">
        <v>39665.450708246986</v>
      </c>
      <c r="LV12" s="668">
        <v>52746.676039978447</v>
      </c>
      <c r="LW12" s="668">
        <v>50767.491317829932</v>
      </c>
      <c r="LX12" s="668">
        <v>48651.27025536001</v>
      </c>
      <c r="LY12" s="668">
        <v>57508.357437918661</v>
      </c>
      <c r="LZ12" s="668">
        <v>55823.095358655941</v>
      </c>
      <c r="MA12" s="672">
        <f t="shared" ref="MA12" si="400">MA11*MA10*$C$1</f>
        <v>0</v>
      </c>
      <c r="MB12" s="689">
        <f>SUM(MC12:MI12)</f>
        <v>308443.94237592089</v>
      </c>
      <c r="MC12" s="668">
        <f t="shared" ref="MC12:MI12" si="401">MC11*MC10*$C$1</f>
        <v>43949.346744095863</v>
      </c>
      <c r="MD12" s="668">
        <f t="shared" si="401"/>
        <v>51954.09682057755</v>
      </c>
      <c r="ME12" s="668">
        <f t="shared" si="401"/>
        <v>52357.296205486622</v>
      </c>
      <c r="MF12" s="668">
        <f t="shared" si="401"/>
        <v>49778.53395079168</v>
      </c>
      <c r="MG12" s="668">
        <f t="shared" si="401"/>
        <v>56150.383953660639</v>
      </c>
      <c r="MH12" s="668">
        <f t="shared" si="401"/>
        <v>54254.284701308476</v>
      </c>
      <c r="MI12" s="672">
        <f t="shared" si="401"/>
        <v>0</v>
      </c>
      <c r="MJ12" s="689">
        <f>SUM(MK12:MQ12)</f>
        <v>250076.91479524365</v>
      </c>
      <c r="MK12" s="668">
        <v>40143.99490944088</v>
      </c>
      <c r="ML12" s="668">
        <v>0</v>
      </c>
      <c r="MM12" s="668">
        <v>38985.676743406606</v>
      </c>
      <c r="MN12" s="668">
        <v>53954.64544382086</v>
      </c>
      <c r="MO12" s="668">
        <v>58071.520664529227</v>
      </c>
      <c r="MP12" s="668">
        <v>58921.077034046044</v>
      </c>
      <c r="MQ12" s="672">
        <f t="shared" ref="MQ12" si="402">MQ11*MQ10*$C$1</f>
        <v>0</v>
      </c>
      <c r="MR12" s="689">
        <f>SUM(MS12:MY12)</f>
        <v>265949.78546594142</v>
      </c>
      <c r="MS12" s="668">
        <v>41882.564313920069</v>
      </c>
      <c r="MT12" s="668">
        <v>57259.2345277778</v>
      </c>
      <c r="MU12" s="668">
        <v>57640.671547713595</v>
      </c>
      <c r="MV12" s="668">
        <v>57393.91402097424</v>
      </c>
      <c r="MW12" s="668">
        <v>0</v>
      </c>
      <c r="MX12" s="668">
        <v>51773.401055555696</v>
      </c>
      <c r="MY12" s="672">
        <f t="shared" ref="MY12" si="403">MY11*MY10*$C$1</f>
        <v>0</v>
      </c>
      <c r="MZ12" s="689">
        <f>SUM(NA12:NG12)</f>
        <v>321726.84355860041</v>
      </c>
      <c r="NA12" s="668">
        <v>41787.141204771528</v>
      </c>
      <c r="NB12" s="668">
        <v>58500.831760653207</v>
      </c>
      <c r="NC12" s="668">
        <v>56770.857613241496</v>
      </c>
      <c r="ND12" s="668">
        <v>53157.083647392246</v>
      </c>
      <c r="NE12" s="668">
        <v>55478.431511698807</v>
      </c>
      <c r="NF12" s="668">
        <v>56032.49782084312</v>
      </c>
      <c r="NG12" s="672">
        <f t="shared" ref="NG12" si="404">NG11*NG10*$C$1</f>
        <v>0</v>
      </c>
      <c r="NH12" s="689">
        <f>SUM(NI12:NO12)</f>
        <v>366248.95996780304</v>
      </c>
      <c r="NI12" s="668">
        <v>39664.282713222347</v>
      </c>
      <c r="NJ12" s="668">
        <v>63127.868436605233</v>
      </c>
      <c r="NK12" s="668">
        <v>65565.368482334627</v>
      </c>
      <c r="NL12" s="668">
        <v>62336.389602062263</v>
      </c>
      <c r="NM12" s="668">
        <v>68131.235558445347</v>
      </c>
      <c r="NN12" s="668">
        <v>67423.815175133248</v>
      </c>
      <c r="NO12" s="672">
        <f t="shared" ref="NO12" si="405">NO11*NO10*$C$1</f>
        <v>0</v>
      </c>
      <c r="NP12" s="689">
        <f>SUM(NQ12:NW12)</f>
        <v>368767.35158026667</v>
      </c>
      <c r="NQ12" s="668">
        <v>51530.194519073462</v>
      </c>
      <c r="NR12" s="668">
        <v>67727.969430245517</v>
      </c>
      <c r="NS12" s="668">
        <v>70100.323911466927</v>
      </c>
      <c r="NT12" s="668">
        <v>60755.629511862426</v>
      </c>
      <c r="NU12" s="668">
        <v>61145.975154494692</v>
      </c>
      <c r="NV12" s="668">
        <v>57507.259053123627</v>
      </c>
      <c r="NW12" s="672">
        <f t="shared" ref="NW12" si="406">NW11*NW10*$C$1</f>
        <v>0</v>
      </c>
      <c r="NX12" s="689">
        <f>SUM(NY12:OE12)</f>
        <v>335035.25026716129</v>
      </c>
      <c r="NY12" s="668">
        <f t="shared" ref="NY12:OE12" si="407">NY11*NY10*$C$1</f>
        <v>43528.997453537741</v>
      </c>
      <c r="NZ12" s="668">
        <f t="shared" si="407"/>
        <v>60307.765639557976</v>
      </c>
      <c r="OA12" s="668">
        <f t="shared" si="407"/>
        <v>62459.567390374927</v>
      </c>
      <c r="OB12" s="668">
        <f t="shared" si="407"/>
        <v>56252.231833771184</v>
      </c>
      <c r="OC12" s="668">
        <f t="shared" si="407"/>
        <v>57515.865263281223</v>
      </c>
      <c r="OD12" s="668">
        <f t="shared" si="407"/>
        <v>54970.82268663821</v>
      </c>
      <c r="OE12" s="672">
        <f t="shared" si="407"/>
        <v>0</v>
      </c>
      <c r="OF12" s="689">
        <f>SUM(OG12:OM12)</f>
        <v>311300.87261047668</v>
      </c>
      <c r="OG12" s="668">
        <v>40171.33286477036</v>
      </c>
      <c r="OH12" s="668">
        <v>55006.799780337613</v>
      </c>
      <c r="OI12" s="668">
        <v>55603.501485426626</v>
      </c>
      <c r="OJ12" s="668">
        <v>53744.496073138893</v>
      </c>
      <c r="OK12" s="668">
        <v>56825.904178797762</v>
      </c>
      <c r="OL12" s="668">
        <v>49948.838228005443</v>
      </c>
      <c r="OM12" s="672">
        <f t="shared" ref="OM12" si="408">OM11*OM10*$C$1</f>
        <v>0</v>
      </c>
      <c r="ON12" s="689">
        <f>SUM(OO12:OU12)</f>
        <v>354651.90749999997</v>
      </c>
      <c r="OO12" s="668">
        <f t="shared" ref="OO12:OU12" si="409">OO11*OO10*$C$1</f>
        <v>41580</v>
      </c>
      <c r="OP12" s="668">
        <f t="shared" si="409"/>
        <v>64156.95</v>
      </c>
      <c r="OQ12" s="668">
        <f t="shared" si="409"/>
        <v>62998.650000000009</v>
      </c>
      <c r="OR12" s="668">
        <f t="shared" si="409"/>
        <v>64568.79</v>
      </c>
      <c r="OS12" s="668">
        <f t="shared" si="409"/>
        <v>62544.487500000003</v>
      </c>
      <c r="OT12" s="668">
        <f t="shared" si="409"/>
        <v>58803.03</v>
      </c>
      <c r="OU12" s="672">
        <f t="shared" si="409"/>
        <v>0</v>
      </c>
      <c r="OV12" s="689">
        <f>SUM(OW12:PC12)</f>
        <v>324799.44750000001</v>
      </c>
      <c r="OW12" s="668">
        <f t="shared" ref="OW12:PC12" si="410">OW11*OW10*$C$1</f>
        <v>18695.16</v>
      </c>
      <c r="OX12" s="668">
        <f t="shared" si="410"/>
        <v>61051.32</v>
      </c>
      <c r="OY12" s="668">
        <f t="shared" si="410"/>
        <v>62331.637499999997</v>
      </c>
      <c r="OZ12" s="668">
        <f t="shared" si="410"/>
        <v>62685.562499999993</v>
      </c>
      <c r="PA12" s="668">
        <f t="shared" si="410"/>
        <v>62004.937499999993</v>
      </c>
      <c r="PB12" s="668">
        <f t="shared" si="410"/>
        <v>58030.830000000009</v>
      </c>
      <c r="PC12" s="672">
        <f t="shared" si="410"/>
        <v>0</v>
      </c>
    </row>
    <row r="13" spans="2:420" ht="15" thickBot="1" x14ac:dyDescent="0.35">
      <c r="B13" s="978"/>
      <c r="C13" s="700" t="s">
        <v>255</v>
      </c>
      <c r="D13" s="189">
        <f>SUM(E13:K13)</f>
        <v>5860</v>
      </c>
      <c r="E13" s="166">
        <v>201</v>
      </c>
      <c r="F13" s="166">
        <v>1131</v>
      </c>
      <c r="G13" s="312">
        <v>1105</v>
      </c>
      <c r="H13" s="312">
        <v>1069</v>
      </c>
      <c r="I13" s="312">
        <v>1147</v>
      </c>
      <c r="J13" s="825">
        <v>1035</v>
      </c>
      <c r="K13" s="192">
        <v>172</v>
      </c>
      <c r="L13" s="189">
        <f>SUM(M13:S13)</f>
        <v>5947</v>
      </c>
      <c r="M13" s="166">
        <v>650</v>
      </c>
      <c r="N13" s="312">
        <v>1044</v>
      </c>
      <c r="O13" s="312">
        <v>1028</v>
      </c>
      <c r="P13" s="312">
        <v>1075</v>
      </c>
      <c r="Q13" s="166">
        <v>1113</v>
      </c>
      <c r="R13" s="166">
        <v>947</v>
      </c>
      <c r="S13" s="192">
        <v>90</v>
      </c>
      <c r="T13" s="189">
        <f>SUM(U13:AA13)</f>
        <v>6350</v>
      </c>
      <c r="U13" s="166">
        <v>650</v>
      </c>
      <c r="V13" s="312">
        <v>1132</v>
      </c>
      <c r="W13" s="312">
        <v>1128</v>
      </c>
      <c r="X13" s="312">
        <v>1060</v>
      </c>
      <c r="Y13" s="312">
        <v>1141</v>
      </c>
      <c r="Z13" s="312">
        <v>1062</v>
      </c>
      <c r="AA13" s="841">
        <v>177</v>
      </c>
      <c r="AB13" s="189">
        <f>SUM(AC13:AI13)</f>
        <v>6335</v>
      </c>
      <c r="AC13" s="166">
        <v>675</v>
      </c>
      <c r="AD13" s="312">
        <v>1102</v>
      </c>
      <c r="AE13" s="842">
        <v>1135</v>
      </c>
      <c r="AF13" s="842">
        <v>1066</v>
      </c>
      <c r="AG13" s="312">
        <v>1109</v>
      </c>
      <c r="AH13" s="733">
        <v>1050</v>
      </c>
      <c r="AI13" s="192">
        <v>198</v>
      </c>
      <c r="AJ13" s="189">
        <f>SUM(AK13:AQ13)</f>
        <v>6266</v>
      </c>
      <c r="AK13" s="166">
        <v>693</v>
      </c>
      <c r="AL13" s="166">
        <v>1090</v>
      </c>
      <c r="AM13" s="312">
        <v>1142</v>
      </c>
      <c r="AN13" s="312">
        <v>1104</v>
      </c>
      <c r="AO13" s="312">
        <v>1103</v>
      </c>
      <c r="AP13" s="312">
        <v>1009</v>
      </c>
      <c r="AQ13" s="192">
        <v>125</v>
      </c>
      <c r="AR13" s="189">
        <f>SUM(AS13:AY13)</f>
        <v>5319</v>
      </c>
      <c r="AS13" s="166">
        <v>613</v>
      </c>
      <c r="AT13" s="733">
        <v>950</v>
      </c>
      <c r="AU13" s="733">
        <v>921</v>
      </c>
      <c r="AV13" s="733">
        <v>810</v>
      </c>
      <c r="AW13" s="733">
        <v>987</v>
      </c>
      <c r="AX13" s="733">
        <v>938</v>
      </c>
      <c r="AY13" s="192">
        <v>100</v>
      </c>
      <c r="AZ13" s="189">
        <f>SUM(BA13:BG13)</f>
        <v>4942</v>
      </c>
      <c r="BA13" s="733">
        <v>546</v>
      </c>
      <c r="BB13" s="733">
        <v>870</v>
      </c>
      <c r="BC13" s="733">
        <v>866</v>
      </c>
      <c r="BD13" s="733">
        <v>725</v>
      </c>
      <c r="BE13" s="166">
        <v>925</v>
      </c>
      <c r="BF13" s="166">
        <v>925</v>
      </c>
      <c r="BG13" s="192">
        <v>85</v>
      </c>
      <c r="BH13" s="189">
        <f>SUM(BI13:BO13)</f>
        <v>5176</v>
      </c>
      <c r="BI13" s="166">
        <v>640</v>
      </c>
      <c r="BJ13" s="312">
        <v>925</v>
      </c>
      <c r="BK13" s="312">
        <v>800</v>
      </c>
      <c r="BL13" s="312">
        <v>730</v>
      </c>
      <c r="BM13" s="733">
        <v>1020</v>
      </c>
      <c r="BN13" s="733">
        <v>971</v>
      </c>
      <c r="BO13" s="192">
        <v>90</v>
      </c>
      <c r="BP13" s="189">
        <f>SUM(BQ13:BW13)</f>
        <v>5609</v>
      </c>
      <c r="BQ13" s="166">
        <v>690</v>
      </c>
      <c r="BR13" s="166">
        <f t="shared" ref="BR13" si="411">BR10</f>
        <v>950</v>
      </c>
      <c r="BS13" s="312">
        <v>952</v>
      </c>
      <c r="BT13" s="733">
        <v>777</v>
      </c>
      <c r="BU13" s="166">
        <v>1085</v>
      </c>
      <c r="BV13" s="166">
        <v>1050</v>
      </c>
      <c r="BW13" s="192">
        <v>105</v>
      </c>
      <c r="BX13" s="189">
        <f>SUM(BY13:CE13)</f>
        <v>5566</v>
      </c>
      <c r="BY13" s="166">
        <v>657</v>
      </c>
      <c r="BZ13" s="166">
        <v>922</v>
      </c>
      <c r="CA13" s="312">
        <v>954</v>
      </c>
      <c r="CB13" s="312">
        <v>900</v>
      </c>
      <c r="CC13" s="166">
        <v>1033</v>
      </c>
      <c r="CD13" s="166">
        <v>1008</v>
      </c>
      <c r="CE13" s="192">
        <v>92</v>
      </c>
      <c r="CF13" s="189">
        <f>SUM(CG13:CM13)</f>
        <v>5517</v>
      </c>
      <c r="CG13" s="166">
        <v>697</v>
      </c>
      <c r="CH13" s="166">
        <v>930</v>
      </c>
      <c r="CI13" s="312">
        <v>979</v>
      </c>
      <c r="CJ13" s="312">
        <v>842</v>
      </c>
      <c r="CK13" s="166">
        <v>1021</v>
      </c>
      <c r="CL13" s="166">
        <v>975</v>
      </c>
      <c r="CM13" s="192">
        <v>73</v>
      </c>
      <c r="CN13" s="189">
        <f>SUM(CO13:CU13)</f>
        <v>5418</v>
      </c>
      <c r="CO13" s="166">
        <v>600</v>
      </c>
      <c r="CP13" s="166">
        <v>805</v>
      </c>
      <c r="CQ13" s="312">
        <v>950</v>
      </c>
      <c r="CR13" s="312">
        <v>857</v>
      </c>
      <c r="CS13" s="166">
        <v>1055</v>
      </c>
      <c r="CT13" s="166">
        <v>1064</v>
      </c>
      <c r="CU13" s="192">
        <v>87</v>
      </c>
      <c r="CV13" s="189">
        <f>SUM(CW13:DC13)</f>
        <v>5710</v>
      </c>
      <c r="CW13" s="166">
        <v>705</v>
      </c>
      <c r="CX13" s="166">
        <v>900</v>
      </c>
      <c r="CY13" s="312">
        <v>955</v>
      </c>
      <c r="CZ13" s="312">
        <v>890</v>
      </c>
      <c r="DA13" s="166">
        <v>1098</v>
      </c>
      <c r="DB13" s="166">
        <v>1065</v>
      </c>
      <c r="DC13" s="192">
        <v>97</v>
      </c>
      <c r="DD13" s="189">
        <f>SUM(DE13:DK13)</f>
        <v>5165</v>
      </c>
      <c r="DE13" s="166">
        <v>668</v>
      </c>
      <c r="DF13" s="166">
        <v>909</v>
      </c>
      <c r="DG13" s="312">
        <v>900</v>
      </c>
      <c r="DH13" s="312">
        <v>741</v>
      </c>
      <c r="DI13" s="166">
        <v>963</v>
      </c>
      <c r="DJ13" s="166">
        <v>909</v>
      </c>
      <c r="DK13" s="192">
        <v>75</v>
      </c>
      <c r="DL13" s="189">
        <f>SUM(DM13:DS13)</f>
        <v>5126</v>
      </c>
      <c r="DM13" s="166">
        <v>649</v>
      </c>
      <c r="DN13" s="166">
        <v>812</v>
      </c>
      <c r="DO13" s="312">
        <v>715</v>
      </c>
      <c r="DP13" s="312">
        <v>747</v>
      </c>
      <c r="DQ13" s="166">
        <v>1008</v>
      </c>
      <c r="DR13" s="166">
        <v>998</v>
      </c>
      <c r="DS13" s="192">
        <v>197</v>
      </c>
      <c r="DT13" s="189">
        <f>SUM(DU13:EA13)</f>
        <v>4407</v>
      </c>
      <c r="DU13" s="166">
        <f t="shared" ref="DU13" si="412">DU10</f>
        <v>0</v>
      </c>
      <c r="DV13" s="166">
        <v>170</v>
      </c>
      <c r="DW13" s="312">
        <v>1037</v>
      </c>
      <c r="DX13" s="312">
        <v>1027</v>
      </c>
      <c r="DY13" s="166">
        <v>1056</v>
      </c>
      <c r="DZ13" s="166">
        <v>1023</v>
      </c>
      <c r="EA13" s="192">
        <v>94</v>
      </c>
      <c r="EB13" s="189">
        <f>SUM(EC13:EI13)</f>
        <v>5316</v>
      </c>
      <c r="EC13" s="166">
        <v>697</v>
      </c>
      <c r="ED13" s="166">
        <v>887</v>
      </c>
      <c r="EE13" s="312">
        <v>885</v>
      </c>
      <c r="EF13" s="312">
        <v>786</v>
      </c>
      <c r="EG13" s="166">
        <v>1007</v>
      </c>
      <c r="EH13" s="166">
        <v>1054</v>
      </c>
      <c r="EI13" s="192">
        <v>0</v>
      </c>
      <c r="EJ13" s="189">
        <f>SUM(EK13:EQ13)</f>
        <v>5620</v>
      </c>
      <c r="EK13" s="166">
        <v>720</v>
      </c>
      <c r="EL13" s="166">
        <v>956</v>
      </c>
      <c r="EM13" s="312">
        <v>938</v>
      </c>
      <c r="EN13" s="312">
        <v>866</v>
      </c>
      <c r="EO13" s="166">
        <v>1025</v>
      </c>
      <c r="EP13" s="166">
        <v>1042</v>
      </c>
      <c r="EQ13" s="192">
        <v>73</v>
      </c>
      <c r="ER13" s="189">
        <f>SUM(ES13:EY13)</f>
        <v>5004</v>
      </c>
      <c r="ES13" s="166">
        <v>608</v>
      </c>
      <c r="ET13" s="166">
        <v>840</v>
      </c>
      <c r="EU13" s="312">
        <v>776</v>
      </c>
      <c r="EV13" s="312">
        <v>760</v>
      </c>
      <c r="EW13" s="166">
        <v>942</v>
      </c>
      <c r="EX13" s="166">
        <v>1006</v>
      </c>
      <c r="EY13" s="192">
        <v>72</v>
      </c>
      <c r="EZ13" s="189">
        <f>SUM(FA13:FG13)</f>
        <v>4928</v>
      </c>
      <c r="FA13" s="166">
        <v>648</v>
      </c>
      <c r="FB13" s="166">
        <v>800</v>
      </c>
      <c r="FC13" s="312">
        <v>806</v>
      </c>
      <c r="FD13" s="312">
        <v>710</v>
      </c>
      <c r="FE13" s="166">
        <v>840</v>
      </c>
      <c r="FF13" s="166">
        <v>1054</v>
      </c>
      <c r="FG13" s="192">
        <v>70</v>
      </c>
      <c r="FH13" s="189">
        <f>SUM(FI13:FO13)</f>
        <v>4654</v>
      </c>
      <c r="FI13" s="166">
        <v>660</v>
      </c>
      <c r="FJ13" s="166">
        <v>896</v>
      </c>
      <c r="FK13" s="312">
        <v>1024</v>
      </c>
      <c r="FL13" s="312">
        <f t="shared" ref="FL13:FO13" si="413">FL10</f>
        <v>0</v>
      </c>
      <c r="FM13" s="166">
        <v>886</v>
      </c>
      <c r="FN13" s="166">
        <v>1088</v>
      </c>
      <c r="FO13" s="192">
        <f t="shared" si="413"/>
        <v>100</v>
      </c>
      <c r="FP13" s="189">
        <f>SUM(FQ13:FW13)</f>
        <v>6045</v>
      </c>
      <c r="FQ13" s="166">
        <v>796</v>
      </c>
      <c r="FR13" s="166">
        <v>982</v>
      </c>
      <c r="FS13" s="312">
        <v>1022</v>
      </c>
      <c r="FT13" s="312">
        <v>981</v>
      </c>
      <c r="FU13" s="166">
        <v>1022</v>
      </c>
      <c r="FV13" s="166">
        <v>1048</v>
      </c>
      <c r="FW13" s="192">
        <v>194</v>
      </c>
      <c r="FX13" s="189">
        <f>SUM(FY13:GE13)</f>
        <v>4442</v>
      </c>
      <c r="FY13" s="166">
        <f t="shared" ref="FY13:GE13" si="414">FY10</f>
        <v>0</v>
      </c>
      <c r="FZ13" s="166">
        <v>180</v>
      </c>
      <c r="GA13" s="312">
        <v>1099</v>
      </c>
      <c r="GB13" s="312">
        <v>944</v>
      </c>
      <c r="GC13" s="166">
        <v>1049</v>
      </c>
      <c r="GD13" s="166">
        <v>1070</v>
      </c>
      <c r="GE13" s="192">
        <f t="shared" si="414"/>
        <v>100</v>
      </c>
      <c r="GF13" s="189">
        <f>SUM(GG13:GM13)</f>
        <v>5800</v>
      </c>
      <c r="GG13" s="166">
        <v>778</v>
      </c>
      <c r="GH13" s="166">
        <v>975</v>
      </c>
      <c r="GI13" s="312">
        <v>911</v>
      </c>
      <c r="GJ13" s="312">
        <v>954</v>
      </c>
      <c r="GK13" s="166">
        <v>1065</v>
      </c>
      <c r="GL13" s="166">
        <v>1020</v>
      </c>
      <c r="GM13" s="192">
        <v>97</v>
      </c>
      <c r="GN13" s="189">
        <f>SUM(GO13:GU13)</f>
        <v>5648</v>
      </c>
      <c r="GO13" s="166">
        <v>648</v>
      </c>
      <c r="GP13" s="166">
        <v>952</v>
      </c>
      <c r="GQ13" s="312">
        <v>957</v>
      </c>
      <c r="GR13" s="312">
        <v>877</v>
      </c>
      <c r="GS13" s="166">
        <v>1044</v>
      </c>
      <c r="GT13" s="166">
        <v>1080</v>
      </c>
      <c r="GU13" s="192">
        <v>90</v>
      </c>
      <c r="GV13" s="189">
        <f>SUM(GW13:HC13)</f>
        <v>5874</v>
      </c>
      <c r="GW13" s="166">
        <v>710</v>
      </c>
      <c r="GX13" s="166">
        <v>977</v>
      </c>
      <c r="GY13" s="312">
        <v>965</v>
      </c>
      <c r="GZ13" s="312">
        <v>954</v>
      </c>
      <c r="HA13" s="166">
        <v>1088</v>
      </c>
      <c r="HB13" s="166">
        <v>1080</v>
      </c>
      <c r="HC13" s="192">
        <f t="shared" ref="HC13" si="415">HC10</f>
        <v>100</v>
      </c>
      <c r="HD13" s="189">
        <f>SUM(HE13:HK13)</f>
        <v>5181</v>
      </c>
      <c r="HE13" s="166">
        <v>712</v>
      </c>
      <c r="HF13" s="166">
        <v>913</v>
      </c>
      <c r="HG13" s="312">
        <v>920</v>
      </c>
      <c r="HH13" s="312">
        <v>808</v>
      </c>
      <c r="HI13" s="166">
        <v>950</v>
      </c>
      <c r="HJ13" s="166">
        <v>878</v>
      </c>
      <c r="HK13" s="192">
        <f t="shared" ref="HK13" si="416">HK10</f>
        <v>0</v>
      </c>
      <c r="HL13" s="189">
        <f>SUM(HM13:HS13)</f>
        <v>5057</v>
      </c>
      <c r="HM13" s="166">
        <v>661</v>
      </c>
      <c r="HN13" s="166">
        <v>893</v>
      </c>
      <c r="HO13" s="312">
        <v>885</v>
      </c>
      <c r="HP13" s="312">
        <v>848</v>
      </c>
      <c r="HQ13" s="166">
        <v>899</v>
      </c>
      <c r="HR13" s="166">
        <v>871</v>
      </c>
      <c r="HS13" s="192">
        <f t="shared" ref="HS13" si="417">HS10</f>
        <v>0</v>
      </c>
      <c r="HT13" s="189">
        <f>SUM(HU13:IA13)</f>
        <v>4137</v>
      </c>
      <c r="HU13" s="166">
        <v>574</v>
      </c>
      <c r="HV13" s="166">
        <v>865</v>
      </c>
      <c r="HW13" s="312">
        <v>966</v>
      </c>
      <c r="HX13" s="312">
        <f t="shared" ref="HX13:IA13" si="418">HX10</f>
        <v>0</v>
      </c>
      <c r="HY13" s="166">
        <v>761</v>
      </c>
      <c r="HZ13" s="166">
        <v>971</v>
      </c>
      <c r="IA13" s="192">
        <f t="shared" si="418"/>
        <v>0</v>
      </c>
      <c r="IB13" s="189">
        <f>SUM(IC13:II13)</f>
        <v>4679</v>
      </c>
      <c r="IC13" s="166">
        <v>575</v>
      </c>
      <c r="ID13" s="166">
        <v>833</v>
      </c>
      <c r="IE13" s="312">
        <v>718</v>
      </c>
      <c r="IF13" s="312">
        <v>722</v>
      </c>
      <c r="IG13" s="166">
        <v>920</v>
      </c>
      <c r="IH13" s="166">
        <v>911</v>
      </c>
      <c r="II13" s="192">
        <f t="shared" ref="II13" si="419">II10</f>
        <v>0</v>
      </c>
      <c r="IJ13" s="189">
        <f>SUM(IK13:IQ13)</f>
        <v>5095</v>
      </c>
      <c r="IK13" s="166">
        <v>666</v>
      </c>
      <c r="IL13" s="166">
        <v>920</v>
      </c>
      <c r="IM13" s="312">
        <v>973</v>
      </c>
      <c r="IN13" s="312">
        <v>827</v>
      </c>
      <c r="IO13" s="166">
        <v>892</v>
      </c>
      <c r="IP13" s="166">
        <v>817</v>
      </c>
      <c r="IQ13" s="192">
        <f t="shared" ref="IQ13" si="420">IQ10</f>
        <v>0</v>
      </c>
      <c r="IR13" s="189">
        <f>SUM(IS13:IY13)</f>
        <v>4795</v>
      </c>
      <c r="IS13" s="166">
        <v>602</v>
      </c>
      <c r="IT13" s="166">
        <v>847</v>
      </c>
      <c r="IU13" s="312">
        <v>723</v>
      </c>
      <c r="IV13" s="312">
        <v>760</v>
      </c>
      <c r="IW13" s="166">
        <v>917</v>
      </c>
      <c r="IX13" s="166">
        <v>946</v>
      </c>
      <c r="IY13" s="192">
        <f t="shared" ref="IY13" si="421">IY10</f>
        <v>0</v>
      </c>
      <c r="IZ13" s="189">
        <f>SUM(JA13:JG13)</f>
        <v>3810</v>
      </c>
      <c r="JA13" s="166">
        <f t="shared" ref="JA13:JG13" si="422">JA10</f>
        <v>0</v>
      </c>
      <c r="JB13" s="166">
        <v>132</v>
      </c>
      <c r="JC13" s="312">
        <v>943</v>
      </c>
      <c r="JD13" s="312">
        <v>875</v>
      </c>
      <c r="JE13" s="166">
        <v>971</v>
      </c>
      <c r="JF13" s="166">
        <v>889</v>
      </c>
      <c r="JG13" s="192">
        <f t="shared" si="422"/>
        <v>0</v>
      </c>
      <c r="JH13" s="189">
        <f>SUM(JI13:JO13)</f>
        <v>4991</v>
      </c>
      <c r="JI13" s="166">
        <v>617</v>
      </c>
      <c r="JJ13" s="166">
        <v>710</v>
      </c>
      <c r="JK13" s="312">
        <v>851</v>
      </c>
      <c r="JL13" s="312">
        <v>757</v>
      </c>
      <c r="JM13" s="166">
        <v>1000</v>
      </c>
      <c r="JN13" s="166">
        <v>1056</v>
      </c>
      <c r="JO13" s="192">
        <f t="shared" ref="JO13" si="423">JO10</f>
        <v>0</v>
      </c>
      <c r="JP13" s="189">
        <f>SUM(JQ13:JW13)</f>
        <v>5762</v>
      </c>
      <c r="JQ13" s="166">
        <v>781</v>
      </c>
      <c r="JR13" s="166">
        <v>1031</v>
      </c>
      <c r="JS13" s="312">
        <v>975</v>
      </c>
      <c r="JT13" s="312">
        <v>950</v>
      </c>
      <c r="JU13" s="166">
        <v>1042</v>
      </c>
      <c r="JV13" s="166">
        <v>983</v>
      </c>
      <c r="JW13" s="192">
        <f t="shared" ref="JW13" si="424">JW10</f>
        <v>0</v>
      </c>
      <c r="JX13" s="189">
        <f>SUM(JY13:KE13)</f>
        <v>6157</v>
      </c>
      <c r="JY13" s="166">
        <v>790</v>
      </c>
      <c r="JZ13" s="166">
        <v>1080</v>
      </c>
      <c r="KA13" s="312">
        <v>1060</v>
      </c>
      <c r="KB13" s="312">
        <v>1037</v>
      </c>
      <c r="KC13" s="166">
        <v>1120</v>
      </c>
      <c r="KD13" s="166">
        <v>1070</v>
      </c>
      <c r="KE13" s="192">
        <f t="shared" ref="KE13" si="425">KE10</f>
        <v>0</v>
      </c>
      <c r="KF13" s="189">
        <f>SUM(KG13:KM13)</f>
        <v>5663</v>
      </c>
      <c r="KG13" s="166">
        <v>814</v>
      </c>
      <c r="KH13" s="166">
        <v>966</v>
      </c>
      <c r="KI13" s="312">
        <v>1023</v>
      </c>
      <c r="KJ13" s="312">
        <v>816</v>
      </c>
      <c r="KK13" s="166">
        <v>1060</v>
      </c>
      <c r="KL13" s="166">
        <v>984</v>
      </c>
      <c r="KM13" s="192">
        <f t="shared" ref="KM13" si="426">KM10</f>
        <v>0</v>
      </c>
      <c r="KN13" s="189">
        <f>SUM(KO13:KU13)</f>
        <v>5812</v>
      </c>
      <c r="KO13" s="166">
        <v>718</v>
      </c>
      <c r="KP13" s="166">
        <v>1105</v>
      </c>
      <c r="KQ13" s="312">
        <v>1059</v>
      </c>
      <c r="KR13" s="312">
        <v>821</v>
      </c>
      <c r="KS13" s="166">
        <v>1085</v>
      </c>
      <c r="KT13" s="166">
        <v>1024</v>
      </c>
      <c r="KU13" s="192">
        <f t="shared" ref="KU13" si="427">KU10</f>
        <v>0</v>
      </c>
      <c r="KV13" s="189">
        <f>SUM(KW13:LC13)</f>
        <v>5978</v>
      </c>
      <c r="KW13" s="166">
        <v>718</v>
      </c>
      <c r="KX13" s="166">
        <v>1120</v>
      </c>
      <c r="KY13" s="312">
        <v>1059</v>
      </c>
      <c r="KZ13" s="312">
        <v>850</v>
      </c>
      <c r="LA13" s="166">
        <v>1109</v>
      </c>
      <c r="LB13" s="166">
        <v>1122</v>
      </c>
      <c r="LC13" s="192">
        <f t="shared" ref="LC13" si="428">LC10</f>
        <v>0</v>
      </c>
      <c r="LD13" s="189">
        <f>SUM(LE13:LK13)</f>
        <v>6293</v>
      </c>
      <c r="LE13" s="166">
        <v>850</v>
      </c>
      <c r="LF13" s="166">
        <v>1130</v>
      </c>
      <c r="LG13" s="312">
        <v>1092</v>
      </c>
      <c r="LH13" s="312">
        <v>1056</v>
      </c>
      <c r="LI13" s="166">
        <v>1111</v>
      </c>
      <c r="LJ13" s="166">
        <v>1054</v>
      </c>
      <c r="LK13" s="192">
        <f t="shared" ref="LK13" si="429">LK10</f>
        <v>0</v>
      </c>
      <c r="LL13" s="189">
        <f>SUM(LM13:LS13)</f>
        <v>6064</v>
      </c>
      <c r="LM13" s="166">
        <v>842</v>
      </c>
      <c r="LN13" s="166">
        <v>1050</v>
      </c>
      <c r="LO13" s="312">
        <v>1108</v>
      </c>
      <c r="LP13" s="312">
        <v>875</v>
      </c>
      <c r="LQ13" s="166">
        <v>1112</v>
      </c>
      <c r="LR13" s="166">
        <v>1077</v>
      </c>
      <c r="LS13" s="192">
        <f t="shared" ref="LS13" si="430">LS10</f>
        <v>0</v>
      </c>
      <c r="LT13" s="189">
        <f>SUM(LU13:MA13)</f>
        <v>5768</v>
      </c>
      <c r="LU13" s="166">
        <v>743</v>
      </c>
      <c r="LV13" s="166">
        <v>1093</v>
      </c>
      <c r="LW13" s="312">
        <v>974</v>
      </c>
      <c r="LX13" s="312">
        <v>781</v>
      </c>
      <c r="LY13" s="166">
        <v>1109</v>
      </c>
      <c r="LZ13" s="166">
        <v>1068</v>
      </c>
      <c r="MA13" s="192">
        <f t="shared" ref="MA13" si="431">MA10</f>
        <v>0</v>
      </c>
      <c r="MB13" s="189">
        <f>SUM(MC13:MI13)</f>
        <v>6106</v>
      </c>
      <c r="MC13" s="166">
        <v>859</v>
      </c>
      <c r="MD13" s="166">
        <v>1160</v>
      </c>
      <c r="ME13" s="312">
        <v>1115</v>
      </c>
      <c r="MF13" s="312">
        <v>820</v>
      </c>
      <c r="MG13" s="166">
        <v>1122</v>
      </c>
      <c r="MH13" s="166">
        <v>1030</v>
      </c>
      <c r="MI13" s="192">
        <f t="shared" ref="MI13" si="432">MI10</f>
        <v>0</v>
      </c>
      <c r="MJ13" s="189">
        <f>SUM(MK13:MQ13)</f>
        <v>5161</v>
      </c>
      <c r="MK13" s="166">
        <v>837</v>
      </c>
      <c r="ML13" s="166">
        <f t="shared" ref="ML13:MQ13" si="433">ML10</f>
        <v>0</v>
      </c>
      <c r="MM13" s="312">
        <v>859</v>
      </c>
      <c r="MN13" s="312">
        <v>1116</v>
      </c>
      <c r="MO13" s="166">
        <v>1180</v>
      </c>
      <c r="MP13" s="166">
        <v>1169</v>
      </c>
      <c r="MQ13" s="192">
        <f t="shared" si="433"/>
        <v>0</v>
      </c>
      <c r="MR13" s="189">
        <f>SUM(MS13:MY13)</f>
        <v>5282</v>
      </c>
      <c r="MS13" s="166">
        <v>858</v>
      </c>
      <c r="MT13" s="166">
        <v>1146</v>
      </c>
      <c r="MU13" s="312">
        <v>1100</v>
      </c>
      <c r="MV13" s="312">
        <v>1095</v>
      </c>
      <c r="MW13" s="166">
        <f t="shared" ref="MW13:MY13" si="434">MW10</f>
        <v>0</v>
      </c>
      <c r="MX13" s="166">
        <v>1083</v>
      </c>
      <c r="MY13" s="192">
        <f t="shared" si="434"/>
        <v>0</v>
      </c>
      <c r="MZ13" s="189">
        <f>SUM(NA13:NG13)</f>
        <v>6298</v>
      </c>
      <c r="NA13" s="166">
        <v>876</v>
      </c>
      <c r="NB13" s="166">
        <v>1192</v>
      </c>
      <c r="NC13" s="312">
        <v>1180</v>
      </c>
      <c r="ND13" s="312">
        <v>876</v>
      </c>
      <c r="NE13" s="166">
        <v>1085</v>
      </c>
      <c r="NF13" s="166">
        <v>1089</v>
      </c>
      <c r="NG13" s="192">
        <f t="shared" ref="NG13" si="435">NG10</f>
        <v>0</v>
      </c>
      <c r="NH13" s="189">
        <f>SUM(NI13:NO13)</f>
        <v>6664</v>
      </c>
      <c r="NI13" s="166">
        <v>776</v>
      </c>
      <c r="NJ13" s="166">
        <v>1207</v>
      </c>
      <c r="NK13" s="312">
        <v>1208</v>
      </c>
      <c r="NL13" s="312">
        <v>948</v>
      </c>
      <c r="NM13" s="166">
        <v>1230</v>
      </c>
      <c r="NN13" s="910">
        <v>1295</v>
      </c>
      <c r="NO13" s="192">
        <f t="shared" ref="NO13" si="436">NO10</f>
        <v>0</v>
      </c>
      <c r="NP13" s="189">
        <f>SUM(NQ13:NW13)</f>
        <v>7470</v>
      </c>
      <c r="NQ13" s="166">
        <v>965</v>
      </c>
      <c r="NR13" s="166">
        <v>1343</v>
      </c>
      <c r="NS13" s="312">
        <v>1342</v>
      </c>
      <c r="NT13" s="312">
        <v>1262</v>
      </c>
      <c r="NU13" s="166">
        <v>1290</v>
      </c>
      <c r="NV13" s="166">
        <v>1268</v>
      </c>
      <c r="NW13" s="192">
        <f t="shared" ref="NW13" si="437">NW10</f>
        <v>0</v>
      </c>
      <c r="NX13" s="189">
        <f>SUM(NY13:OE13)</f>
        <v>6524</v>
      </c>
      <c r="NY13" s="166">
        <v>909</v>
      </c>
      <c r="NZ13" s="166">
        <v>1238</v>
      </c>
      <c r="OA13" s="312">
        <v>1221</v>
      </c>
      <c r="OB13" s="312">
        <v>890</v>
      </c>
      <c r="OC13" s="166">
        <v>1144</v>
      </c>
      <c r="OD13" s="166">
        <v>1122</v>
      </c>
      <c r="OE13" s="192">
        <f t="shared" ref="OE13" si="438">OE10</f>
        <v>0</v>
      </c>
      <c r="OF13" s="189">
        <f>SUM(OG13:OM13)</f>
        <v>6223</v>
      </c>
      <c r="OG13" s="166">
        <v>776</v>
      </c>
      <c r="OH13" s="166">
        <v>1152</v>
      </c>
      <c r="OI13" s="312">
        <v>1194</v>
      </c>
      <c r="OJ13" s="312">
        <v>947</v>
      </c>
      <c r="OK13" s="166">
        <v>1140</v>
      </c>
      <c r="OL13" s="166">
        <v>1014</v>
      </c>
      <c r="OM13" s="192">
        <f t="shared" ref="OM13" si="439">OM10</f>
        <v>0</v>
      </c>
      <c r="ON13" s="189">
        <f>SUM(OO13:OU13)</f>
        <v>7384</v>
      </c>
      <c r="OO13" s="166">
        <v>801</v>
      </c>
      <c r="OP13" s="166">
        <v>1222</v>
      </c>
      <c r="OQ13" s="312">
        <v>1305</v>
      </c>
      <c r="OR13" s="312">
        <v>1360</v>
      </c>
      <c r="OS13" s="166">
        <v>1324</v>
      </c>
      <c r="OT13" s="166">
        <v>1372</v>
      </c>
      <c r="OU13" s="192">
        <f t="shared" ref="OU13" si="440">OU10</f>
        <v>0</v>
      </c>
      <c r="OV13" s="189">
        <f>SUM(OW13:PC13)</f>
        <v>6063</v>
      </c>
      <c r="OW13" s="166">
        <v>328</v>
      </c>
      <c r="OX13" s="166">
        <v>1022</v>
      </c>
      <c r="OY13" s="312">
        <v>1260</v>
      </c>
      <c r="OZ13" s="312">
        <v>831</v>
      </c>
      <c r="PA13" s="166">
        <v>1311</v>
      </c>
      <c r="PB13" s="166">
        <v>1311</v>
      </c>
      <c r="PC13" s="192">
        <v>0</v>
      </c>
    </row>
    <row r="14" spans="2:420" ht="15" thickBot="1" x14ac:dyDescent="0.35">
      <c r="B14" s="978"/>
      <c r="C14" s="700" t="s">
        <v>256</v>
      </c>
      <c r="D14" s="189"/>
      <c r="E14" s="166">
        <v>53.3</v>
      </c>
      <c r="F14" s="166">
        <v>47.8</v>
      </c>
      <c r="G14" s="166">
        <v>48.2</v>
      </c>
      <c r="H14" s="166">
        <v>48.4</v>
      </c>
      <c r="I14" s="166">
        <v>49.7</v>
      </c>
      <c r="J14" s="166">
        <v>51.1</v>
      </c>
      <c r="K14" s="192">
        <v>56.9</v>
      </c>
      <c r="L14" s="189"/>
      <c r="M14" s="166">
        <v>51.9</v>
      </c>
      <c r="N14" s="166">
        <v>49.3</v>
      </c>
      <c r="O14" s="166">
        <v>52.2</v>
      </c>
      <c r="P14" s="166">
        <v>53.3</v>
      </c>
      <c r="Q14" s="166">
        <v>51.3</v>
      </c>
      <c r="R14" s="166">
        <v>51.1</v>
      </c>
      <c r="S14" s="192">
        <v>56.5</v>
      </c>
      <c r="T14" s="189"/>
      <c r="U14" s="166">
        <v>50</v>
      </c>
      <c r="V14" s="166">
        <v>46.4</v>
      </c>
      <c r="W14" s="166">
        <v>47.7</v>
      </c>
      <c r="X14" s="166">
        <v>47.3</v>
      </c>
      <c r="Y14" s="166">
        <v>50.1</v>
      </c>
      <c r="Z14" s="166">
        <v>50.1</v>
      </c>
      <c r="AA14" s="192">
        <v>55.4</v>
      </c>
      <c r="AB14" s="189"/>
      <c r="AC14" s="166">
        <v>48.7</v>
      </c>
      <c r="AD14" s="166">
        <v>47.2</v>
      </c>
      <c r="AE14" s="166">
        <v>47.5</v>
      </c>
      <c r="AF14" s="166">
        <v>48.7</v>
      </c>
      <c r="AG14" s="166">
        <v>50.3</v>
      </c>
      <c r="AH14" s="166">
        <v>52.9</v>
      </c>
      <c r="AI14" s="192">
        <v>54.2</v>
      </c>
      <c r="AJ14" s="189"/>
      <c r="AK14" s="166">
        <v>50.5</v>
      </c>
      <c r="AL14" s="166">
        <v>49.1</v>
      </c>
      <c r="AM14" s="166">
        <v>50.5</v>
      </c>
      <c r="AN14" s="166">
        <v>49.4</v>
      </c>
      <c r="AO14" s="166">
        <v>51.7</v>
      </c>
      <c r="AP14" s="166">
        <v>50.1</v>
      </c>
      <c r="AQ14" s="192">
        <v>52.1</v>
      </c>
      <c r="AR14" s="189"/>
      <c r="AS14" s="166">
        <v>49.5</v>
      </c>
      <c r="AT14" s="166">
        <v>47.1</v>
      </c>
      <c r="AU14" s="166">
        <v>48.7</v>
      </c>
      <c r="AV14" s="166">
        <v>48.9</v>
      </c>
      <c r="AW14" s="166">
        <v>50.5</v>
      </c>
      <c r="AX14" s="166">
        <v>49</v>
      </c>
      <c r="AY14" s="192">
        <v>51.2</v>
      </c>
      <c r="AZ14" s="189"/>
      <c r="BA14" s="166">
        <v>48.1</v>
      </c>
      <c r="BB14" s="166">
        <v>48.3</v>
      </c>
      <c r="BC14" s="166">
        <v>48.3</v>
      </c>
      <c r="BD14" s="166">
        <v>49.7</v>
      </c>
      <c r="BE14" s="166">
        <v>50.2</v>
      </c>
      <c r="BF14" s="166">
        <v>49.8</v>
      </c>
      <c r="BG14" s="192">
        <v>54.5</v>
      </c>
      <c r="BH14" s="189"/>
      <c r="BI14" s="166">
        <v>47</v>
      </c>
      <c r="BJ14" s="166">
        <v>46.8</v>
      </c>
      <c r="BK14" s="166">
        <v>47.1</v>
      </c>
      <c r="BL14" s="166">
        <v>49</v>
      </c>
      <c r="BM14" s="166">
        <v>52.9</v>
      </c>
      <c r="BN14" s="166">
        <v>53.6</v>
      </c>
      <c r="BO14" s="192">
        <v>62.3</v>
      </c>
      <c r="BP14" s="189"/>
      <c r="BQ14" s="166">
        <v>53.2</v>
      </c>
      <c r="BR14" s="166">
        <v>50.5</v>
      </c>
      <c r="BS14" s="166">
        <v>53.6</v>
      </c>
      <c r="BT14" s="166">
        <v>51.1</v>
      </c>
      <c r="BU14" s="166">
        <v>51.6</v>
      </c>
      <c r="BV14" s="166">
        <v>52.2</v>
      </c>
      <c r="BW14" s="192">
        <v>58</v>
      </c>
      <c r="BX14" s="189"/>
      <c r="BY14" s="166">
        <v>53</v>
      </c>
      <c r="BZ14" s="166">
        <v>50.7</v>
      </c>
      <c r="CA14" s="166">
        <v>50.8</v>
      </c>
      <c r="CB14" s="166">
        <v>52</v>
      </c>
      <c r="CC14" s="166">
        <v>50.2</v>
      </c>
      <c r="CD14" s="166">
        <v>49.8</v>
      </c>
      <c r="CE14" s="192">
        <v>59.7</v>
      </c>
      <c r="CF14" s="189"/>
      <c r="CG14" s="166">
        <v>50.7</v>
      </c>
      <c r="CH14" s="166">
        <v>48.4</v>
      </c>
      <c r="CI14" s="166">
        <v>48.6</v>
      </c>
      <c r="CJ14" s="166">
        <v>49.6</v>
      </c>
      <c r="CK14" s="166">
        <v>51.1</v>
      </c>
      <c r="CL14" s="166">
        <v>51</v>
      </c>
      <c r="CM14" s="192">
        <v>60.9</v>
      </c>
      <c r="CN14" s="189"/>
      <c r="CO14" s="166">
        <v>49.6</v>
      </c>
      <c r="CP14" s="166">
        <v>49</v>
      </c>
      <c r="CQ14" s="166">
        <v>50.1</v>
      </c>
      <c r="CR14" s="166">
        <v>51.7</v>
      </c>
      <c r="CS14" s="166">
        <v>52.7</v>
      </c>
      <c r="CT14" s="166">
        <v>51.5</v>
      </c>
      <c r="CU14" s="192">
        <v>53.6</v>
      </c>
      <c r="CV14" s="189"/>
      <c r="CW14" s="166">
        <v>50.7</v>
      </c>
      <c r="CX14" s="166">
        <v>47.5</v>
      </c>
      <c r="CY14" s="166">
        <v>50.2</v>
      </c>
      <c r="CZ14" s="166">
        <v>50.8</v>
      </c>
      <c r="DA14" s="166">
        <v>51.3</v>
      </c>
      <c r="DB14" s="166">
        <v>51.8</v>
      </c>
      <c r="DC14" s="192">
        <v>56.5</v>
      </c>
      <c r="DD14" s="189"/>
      <c r="DE14" s="166">
        <v>50.9</v>
      </c>
      <c r="DF14" s="166">
        <v>49.1</v>
      </c>
      <c r="DG14" s="166">
        <v>48.9</v>
      </c>
      <c r="DH14" s="166">
        <v>49.7</v>
      </c>
      <c r="DI14" s="166">
        <v>50.1</v>
      </c>
      <c r="DJ14" s="166">
        <v>49</v>
      </c>
      <c r="DK14" s="192">
        <v>51.7</v>
      </c>
      <c r="DL14" s="189"/>
      <c r="DM14" s="166">
        <v>49.3</v>
      </c>
      <c r="DN14" s="166">
        <v>48</v>
      </c>
      <c r="DO14" s="166">
        <v>49.1</v>
      </c>
      <c r="DP14" s="166">
        <v>47.7</v>
      </c>
      <c r="DQ14" s="166">
        <v>51.3</v>
      </c>
      <c r="DR14" s="166">
        <v>49</v>
      </c>
      <c r="DS14" s="192">
        <v>52.3</v>
      </c>
      <c r="DT14" s="189"/>
      <c r="DU14" s="166">
        <f t="shared" ref="DU14" si="441">DU11</f>
        <v>0</v>
      </c>
      <c r="DV14" s="166">
        <v>49.9</v>
      </c>
      <c r="DW14" s="166">
        <v>50.6</v>
      </c>
      <c r="DX14" s="166">
        <v>50</v>
      </c>
      <c r="DY14" s="166">
        <v>50.9</v>
      </c>
      <c r="DZ14" s="166">
        <v>50.1</v>
      </c>
      <c r="EA14" s="192">
        <v>56.4</v>
      </c>
      <c r="EB14" s="189"/>
      <c r="EC14" s="166">
        <v>50.7</v>
      </c>
      <c r="ED14" s="166">
        <v>48.6</v>
      </c>
      <c r="EE14" s="166">
        <v>50.1</v>
      </c>
      <c r="EF14" s="166">
        <v>49.2</v>
      </c>
      <c r="EG14" s="166">
        <v>51.6</v>
      </c>
      <c r="EH14" s="166">
        <v>51.9</v>
      </c>
      <c r="EI14" s="192">
        <v>0</v>
      </c>
      <c r="EJ14" s="189"/>
      <c r="EK14" s="166">
        <v>50.7</v>
      </c>
      <c r="EL14" s="166">
        <v>47.9</v>
      </c>
      <c r="EM14" s="166">
        <v>48.5</v>
      </c>
      <c r="EN14" s="166">
        <v>48.9</v>
      </c>
      <c r="EO14" s="166">
        <v>52</v>
      </c>
      <c r="EP14" s="166">
        <v>51.4</v>
      </c>
      <c r="EQ14" s="192">
        <v>52.1</v>
      </c>
      <c r="ER14" s="189"/>
      <c r="ES14" s="166">
        <v>50.4</v>
      </c>
      <c r="ET14" s="166">
        <v>49.1</v>
      </c>
      <c r="EU14" s="166">
        <v>48.5</v>
      </c>
      <c r="EV14" s="166">
        <v>49.1</v>
      </c>
      <c r="EW14" s="166">
        <v>50.9</v>
      </c>
      <c r="EX14" s="166">
        <v>53.1</v>
      </c>
      <c r="EY14" s="192">
        <f>EY11</f>
        <v>55.596662108355552</v>
      </c>
      <c r="EZ14" s="189"/>
      <c r="FA14" s="166">
        <v>50.3</v>
      </c>
      <c r="FB14" s="166">
        <v>46.9</v>
      </c>
      <c r="FC14" s="166">
        <v>50.3</v>
      </c>
      <c r="FD14" s="166">
        <v>50.7</v>
      </c>
      <c r="FE14" s="166">
        <v>51.3</v>
      </c>
      <c r="FF14" s="166">
        <v>49.6</v>
      </c>
      <c r="FG14" s="192">
        <f t="shared" ref="FG14" si="442">FG11</f>
        <v>52.807400895205049</v>
      </c>
      <c r="FH14" s="189"/>
      <c r="FI14" s="166">
        <v>49.3</v>
      </c>
      <c r="FJ14" s="166">
        <v>48.2</v>
      </c>
      <c r="FK14" s="166">
        <v>49.4</v>
      </c>
      <c r="FL14" s="166">
        <f t="shared" ref="FL14:FO14" si="443">FL11</f>
        <v>0</v>
      </c>
      <c r="FM14" s="166">
        <v>51.8</v>
      </c>
      <c r="FN14" s="166">
        <v>51</v>
      </c>
      <c r="FO14" s="192">
        <f t="shared" si="443"/>
        <v>55.062176762096854</v>
      </c>
      <c r="FP14" s="189"/>
      <c r="FQ14" s="166">
        <v>51.6</v>
      </c>
      <c r="FR14" s="166">
        <v>48.8</v>
      </c>
      <c r="FS14" s="166">
        <v>51.3</v>
      </c>
      <c r="FT14" s="166">
        <v>52.4</v>
      </c>
      <c r="FU14" s="166">
        <v>54.4</v>
      </c>
      <c r="FV14" s="166">
        <v>53.6</v>
      </c>
      <c r="FW14" s="192">
        <v>53.5</v>
      </c>
      <c r="FX14" s="189"/>
      <c r="FY14" s="166">
        <f t="shared" ref="FY14" si="444">FY11</f>
        <v>0</v>
      </c>
      <c r="FZ14" s="166">
        <v>51.6</v>
      </c>
      <c r="GA14" s="166">
        <v>50.7</v>
      </c>
      <c r="GB14" s="166">
        <v>51.6</v>
      </c>
      <c r="GC14" s="166">
        <v>52.7</v>
      </c>
      <c r="GD14" s="166">
        <v>51.1</v>
      </c>
      <c r="GE14" s="192">
        <v>57.9</v>
      </c>
      <c r="GF14" s="189"/>
      <c r="GG14" s="166">
        <v>50</v>
      </c>
      <c r="GH14" s="166">
        <v>49.2</v>
      </c>
      <c r="GI14" s="166">
        <v>49.4</v>
      </c>
      <c r="GJ14" s="166">
        <v>50.3</v>
      </c>
      <c r="GK14" s="166">
        <v>52.3</v>
      </c>
      <c r="GL14" s="166">
        <v>51.1</v>
      </c>
      <c r="GM14" s="192">
        <v>60.1</v>
      </c>
      <c r="GN14" s="189"/>
      <c r="GO14" s="166">
        <v>51.6</v>
      </c>
      <c r="GP14" s="166">
        <v>48.3</v>
      </c>
      <c r="GQ14" s="166">
        <v>49.7</v>
      </c>
      <c r="GR14" s="166">
        <v>49.2</v>
      </c>
      <c r="GS14" s="166">
        <v>52</v>
      </c>
      <c r="GT14" s="166">
        <v>49.5</v>
      </c>
      <c r="GU14" s="192">
        <v>52.9</v>
      </c>
      <c r="GV14" s="189"/>
      <c r="GW14" s="166">
        <v>49.7</v>
      </c>
      <c r="GX14" s="166">
        <v>48.8</v>
      </c>
      <c r="GY14" s="166">
        <v>51.2</v>
      </c>
      <c r="GZ14" s="166">
        <v>51.1</v>
      </c>
      <c r="HA14" s="166">
        <v>53.2</v>
      </c>
      <c r="HB14" s="166">
        <v>52.1</v>
      </c>
      <c r="HC14" s="192">
        <v>54.1</v>
      </c>
      <c r="HD14" s="189"/>
      <c r="HE14" s="166">
        <v>49.1</v>
      </c>
      <c r="HF14" s="166">
        <v>47.7</v>
      </c>
      <c r="HG14" s="166">
        <v>47.4</v>
      </c>
      <c r="HH14" s="166">
        <v>47.8</v>
      </c>
      <c r="HI14" s="166">
        <v>49.3</v>
      </c>
      <c r="HJ14" s="166">
        <v>49</v>
      </c>
      <c r="HK14" s="192">
        <f t="shared" ref="HK14" si="445">HK11</f>
        <v>0</v>
      </c>
      <c r="HL14" s="189"/>
      <c r="HM14" s="166">
        <v>46.3</v>
      </c>
      <c r="HN14" s="166">
        <v>45.9</v>
      </c>
      <c r="HO14" s="166">
        <v>45.2</v>
      </c>
      <c r="HP14" s="166">
        <v>45.6</v>
      </c>
      <c r="HQ14" s="166">
        <v>48.2</v>
      </c>
      <c r="HR14" s="166">
        <v>47.6</v>
      </c>
      <c r="HS14" s="192">
        <f t="shared" ref="HS14" si="446">HS11</f>
        <v>0</v>
      </c>
      <c r="HT14" s="189"/>
      <c r="HU14" s="166">
        <v>46.8</v>
      </c>
      <c r="HV14" s="166">
        <v>42.7</v>
      </c>
      <c r="HW14" s="166">
        <v>46</v>
      </c>
      <c r="HX14" s="166">
        <f t="shared" ref="HX14:IA14" si="447">HX11</f>
        <v>0</v>
      </c>
      <c r="HY14" s="166">
        <v>47.4</v>
      </c>
      <c r="HZ14" s="166">
        <v>48.6</v>
      </c>
      <c r="IA14" s="192">
        <f t="shared" si="447"/>
        <v>0</v>
      </c>
      <c r="IB14" s="189"/>
      <c r="IC14" s="166">
        <v>45.3</v>
      </c>
      <c r="ID14" s="166">
        <v>43.4</v>
      </c>
      <c r="IE14" s="166">
        <v>45.4</v>
      </c>
      <c r="IF14" s="166">
        <v>48.1</v>
      </c>
      <c r="IG14" s="166">
        <v>50.2</v>
      </c>
      <c r="IH14" s="166">
        <v>48.6</v>
      </c>
      <c r="II14" s="192">
        <f t="shared" ref="II14" si="448">II11</f>
        <v>0</v>
      </c>
      <c r="IJ14" s="189"/>
      <c r="IK14" s="166">
        <v>50.7</v>
      </c>
      <c r="IL14" s="166">
        <v>47.3</v>
      </c>
      <c r="IM14" s="166">
        <v>46.9</v>
      </c>
      <c r="IN14" s="166">
        <v>45.3</v>
      </c>
      <c r="IO14" s="166">
        <v>47.2</v>
      </c>
      <c r="IP14" s="166">
        <v>47.2</v>
      </c>
      <c r="IQ14" s="192">
        <f t="shared" ref="IQ14" si="449">IQ11</f>
        <v>0</v>
      </c>
      <c r="IR14" s="189"/>
      <c r="IS14" s="166">
        <v>47.1</v>
      </c>
      <c r="IT14" s="166">
        <v>44.7</v>
      </c>
      <c r="IU14" s="166">
        <v>44.5</v>
      </c>
      <c r="IV14" s="166">
        <v>44.5</v>
      </c>
      <c r="IW14" s="166">
        <v>47.3</v>
      </c>
      <c r="IX14" s="166">
        <v>47.6</v>
      </c>
      <c r="IY14" s="192">
        <f t="shared" ref="IY14" si="450">IY11</f>
        <v>0</v>
      </c>
      <c r="IZ14" s="189"/>
      <c r="JA14" s="166">
        <f t="shared" ref="JA14:JG14" si="451">JA11</f>
        <v>0</v>
      </c>
      <c r="JB14" s="166">
        <v>45.1</v>
      </c>
      <c r="JC14" s="166">
        <v>45.1</v>
      </c>
      <c r="JD14" s="166">
        <v>45.4</v>
      </c>
      <c r="JE14" s="166">
        <v>49</v>
      </c>
      <c r="JF14" s="166">
        <v>48.8</v>
      </c>
      <c r="JG14" s="192">
        <f t="shared" si="451"/>
        <v>0</v>
      </c>
      <c r="JH14" s="189"/>
      <c r="JI14" s="166">
        <v>49.1</v>
      </c>
      <c r="JJ14" s="166">
        <v>46.5</v>
      </c>
      <c r="JK14" s="166">
        <v>46.3</v>
      </c>
      <c r="JL14" s="166">
        <v>48.2</v>
      </c>
      <c r="JM14" s="166">
        <v>51.6</v>
      </c>
      <c r="JN14" s="166">
        <v>52.5</v>
      </c>
      <c r="JO14" s="192">
        <f t="shared" ref="JO14" si="452">JO11</f>
        <v>0</v>
      </c>
      <c r="JP14" s="189"/>
      <c r="JQ14" s="166">
        <v>53.8</v>
      </c>
      <c r="JR14" s="166">
        <v>52.3</v>
      </c>
      <c r="JS14" s="166">
        <v>54.2</v>
      </c>
      <c r="JT14" s="166">
        <v>52.3</v>
      </c>
      <c r="JU14" s="166">
        <v>53.9</v>
      </c>
      <c r="JV14" s="166">
        <v>54</v>
      </c>
      <c r="JW14" s="192">
        <f t="shared" ref="JW14" si="453">JW11</f>
        <v>0</v>
      </c>
      <c r="JX14" s="189"/>
      <c r="JY14" s="166">
        <v>53.3</v>
      </c>
      <c r="JZ14" s="166">
        <v>50.8</v>
      </c>
      <c r="KA14" s="166">
        <v>52.6</v>
      </c>
      <c r="KB14" s="166">
        <v>50.1</v>
      </c>
      <c r="KC14" s="166">
        <v>52</v>
      </c>
      <c r="KD14" s="166">
        <v>48.9</v>
      </c>
      <c r="KE14" s="192">
        <f t="shared" ref="KE14" si="454">KE11</f>
        <v>0</v>
      </c>
      <c r="KF14" s="189"/>
      <c r="KG14" s="166">
        <v>48.3</v>
      </c>
      <c r="KH14" s="166">
        <v>44.7</v>
      </c>
      <c r="KI14" s="166">
        <v>46.1</v>
      </c>
      <c r="KJ14" s="166">
        <v>47.1</v>
      </c>
      <c r="KK14" s="166">
        <v>49</v>
      </c>
      <c r="KL14" s="166">
        <v>48.6</v>
      </c>
      <c r="KM14" s="192">
        <f t="shared" ref="KM14" si="455">KM11</f>
        <v>0</v>
      </c>
      <c r="KN14" s="189"/>
      <c r="KO14" s="166">
        <v>48.7</v>
      </c>
      <c r="KP14" s="166">
        <v>47.8</v>
      </c>
      <c r="KQ14" s="166">
        <v>48.2</v>
      </c>
      <c r="KR14" s="166">
        <v>48</v>
      </c>
      <c r="KS14" s="166">
        <v>50.4</v>
      </c>
      <c r="KT14" s="166">
        <v>50.5</v>
      </c>
      <c r="KU14" s="192">
        <f t="shared" ref="KU14" si="456">KU11</f>
        <v>0</v>
      </c>
      <c r="KV14" s="189"/>
      <c r="KW14" s="166">
        <v>48.9</v>
      </c>
      <c r="KX14" s="166">
        <v>46.2</v>
      </c>
      <c r="KY14" s="166">
        <v>46.9</v>
      </c>
      <c r="KZ14" s="166">
        <v>49.1</v>
      </c>
      <c r="LA14" s="166">
        <v>53.2</v>
      </c>
      <c r="LB14" s="166">
        <v>52.5</v>
      </c>
      <c r="LC14" s="192">
        <f t="shared" ref="LC14" si="457">LC11</f>
        <v>0</v>
      </c>
      <c r="LD14" s="189"/>
      <c r="LE14" s="166">
        <v>50.8</v>
      </c>
      <c r="LF14" s="166">
        <v>48.6</v>
      </c>
      <c r="LG14" s="166">
        <v>49.9</v>
      </c>
      <c r="LH14" s="166">
        <v>48.9</v>
      </c>
      <c r="LI14" s="166">
        <v>51.6</v>
      </c>
      <c r="LJ14" s="166">
        <v>52.7</v>
      </c>
      <c r="LK14" s="192">
        <f t="shared" ref="LK14" si="458">LK11</f>
        <v>0</v>
      </c>
      <c r="LL14" s="189"/>
      <c r="LM14" s="166">
        <v>50.5</v>
      </c>
      <c r="LN14" s="166">
        <v>49.5</v>
      </c>
      <c r="LO14" s="166">
        <v>49.5</v>
      </c>
      <c r="LP14" s="166">
        <v>47.8</v>
      </c>
      <c r="LQ14" s="166">
        <v>50.8</v>
      </c>
      <c r="LR14" s="166">
        <v>50.7</v>
      </c>
      <c r="LS14" s="192">
        <f t="shared" ref="LS14" si="459">LS11</f>
        <v>0</v>
      </c>
      <c r="LT14" s="189"/>
      <c r="LU14" s="166">
        <v>48.9</v>
      </c>
      <c r="LV14" s="166">
        <v>47.2</v>
      </c>
      <c r="LW14" s="166">
        <v>47.4</v>
      </c>
      <c r="LX14" s="166">
        <v>46.7</v>
      </c>
      <c r="LY14" s="166">
        <v>45.2</v>
      </c>
      <c r="LZ14" s="166">
        <v>45.3</v>
      </c>
      <c r="MA14" s="192">
        <f t="shared" ref="MA14" si="460">MA11</f>
        <v>0</v>
      </c>
      <c r="MB14" s="189"/>
      <c r="MC14" s="166">
        <v>45.1</v>
      </c>
      <c r="MD14" s="166">
        <v>44.5</v>
      </c>
      <c r="ME14" s="166">
        <v>44.5</v>
      </c>
      <c r="MF14" s="166">
        <v>46.6</v>
      </c>
      <c r="MG14" s="166">
        <v>51.2</v>
      </c>
      <c r="MH14" s="166">
        <v>51.4</v>
      </c>
      <c r="MI14" s="192">
        <f t="shared" ref="MI14" si="461">MI11</f>
        <v>0</v>
      </c>
      <c r="MJ14" s="189"/>
      <c r="MK14" s="166">
        <v>49.2</v>
      </c>
      <c r="ML14" s="166">
        <f t="shared" ref="ML14:MQ14" si="462">ML11</f>
        <v>0</v>
      </c>
      <c r="MM14" s="166">
        <v>48.4</v>
      </c>
      <c r="MN14" s="166">
        <v>48.9</v>
      </c>
      <c r="MO14" s="166">
        <v>51</v>
      </c>
      <c r="MP14" s="166">
        <v>51.4</v>
      </c>
      <c r="MQ14" s="192">
        <f t="shared" si="462"/>
        <v>0</v>
      </c>
      <c r="MR14" s="189"/>
      <c r="MS14" s="166">
        <v>51.9</v>
      </c>
      <c r="MT14" s="166">
        <v>49.7</v>
      </c>
      <c r="MU14" s="166">
        <v>50.2</v>
      </c>
      <c r="MV14" s="166">
        <v>51.7</v>
      </c>
      <c r="MW14" s="166">
        <f t="shared" ref="MW14:MY14" si="463">MW11</f>
        <v>0</v>
      </c>
      <c r="MX14" s="166">
        <v>52</v>
      </c>
      <c r="MY14" s="192">
        <f t="shared" si="463"/>
        <v>0</v>
      </c>
      <c r="MZ14" s="189"/>
      <c r="NA14" s="166">
        <f t="shared" ref="NA14:NG14" si="464">NA11</f>
        <v>50.16463529984577</v>
      </c>
      <c r="NB14" s="166">
        <v>47.4</v>
      </c>
      <c r="NC14" s="166">
        <v>49.2</v>
      </c>
      <c r="ND14" s="166">
        <v>47.9</v>
      </c>
      <c r="NE14" s="166">
        <v>50.1</v>
      </c>
      <c r="NF14" s="166">
        <v>50.3</v>
      </c>
      <c r="NG14" s="192">
        <f t="shared" si="464"/>
        <v>0</v>
      </c>
      <c r="NH14" s="189"/>
      <c r="NI14" s="166">
        <v>50</v>
      </c>
      <c r="NJ14" s="166">
        <v>48.3</v>
      </c>
      <c r="NK14" s="166">
        <v>49.2</v>
      </c>
      <c r="NL14" s="166">
        <v>48.9</v>
      </c>
      <c r="NM14" s="166">
        <v>50.3</v>
      </c>
      <c r="NN14" s="166">
        <v>51</v>
      </c>
      <c r="NO14" s="192">
        <f t="shared" ref="NO14" si="465">NO11</f>
        <v>0</v>
      </c>
      <c r="NP14" s="189"/>
      <c r="NQ14" s="166">
        <v>50.4</v>
      </c>
      <c r="NR14" s="166">
        <v>50.9</v>
      </c>
      <c r="NS14" s="166">
        <v>52.6</v>
      </c>
      <c r="NT14" s="166">
        <v>52.8</v>
      </c>
      <c r="NU14" s="166">
        <v>52.9</v>
      </c>
      <c r="NV14" s="166">
        <v>52.7</v>
      </c>
      <c r="NW14" s="192">
        <f t="shared" ref="NW14" si="466">NW11</f>
        <v>0</v>
      </c>
      <c r="NX14" s="189"/>
      <c r="NY14" s="166">
        <v>51.7</v>
      </c>
      <c r="NZ14" s="166">
        <v>50.3</v>
      </c>
      <c r="OA14" s="166">
        <v>49.8</v>
      </c>
      <c r="OB14" s="166">
        <v>49.1</v>
      </c>
      <c r="OC14" s="166">
        <v>49.8</v>
      </c>
      <c r="OD14" s="166">
        <v>49.5</v>
      </c>
      <c r="OE14" s="192">
        <f t="shared" ref="OE14" si="467">OE11</f>
        <v>0</v>
      </c>
      <c r="OF14" s="189"/>
      <c r="OG14" s="166">
        <v>48.5</v>
      </c>
      <c r="OH14" s="166">
        <v>47.7</v>
      </c>
      <c r="OI14" s="166">
        <v>48.4</v>
      </c>
      <c r="OJ14" s="166">
        <v>49.1</v>
      </c>
      <c r="OK14" s="166">
        <v>48.1</v>
      </c>
      <c r="OL14" s="166">
        <v>48.8</v>
      </c>
      <c r="OM14" s="192">
        <f t="shared" ref="OM14" si="468">OM11</f>
        <v>0</v>
      </c>
      <c r="ON14" s="189"/>
      <c r="OO14" s="166">
        <v>48.9</v>
      </c>
      <c r="OP14" s="166">
        <v>48.2</v>
      </c>
      <c r="OQ14" s="166">
        <v>50.2</v>
      </c>
      <c r="OR14" s="166">
        <v>48.9</v>
      </c>
      <c r="OS14" s="166">
        <v>47.8</v>
      </c>
      <c r="OT14" s="166">
        <v>45.8</v>
      </c>
      <c r="OU14" s="192">
        <f t="shared" ref="OU14" si="469">OU11</f>
        <v>0</v>
      </c>
      <c r="OV14" s="189"/>
      <c r="OW14" s="166">
        <v>45.1</v>
      </c>
      <c r="OX14" s="166">
        <v>45.3</v>
      </c>
      <c r="OY14" s="166">
        <v>45.7</v>
      </c>
      <c r="OZ14" s="166">
        <v>45.4</v>
      </c>
      <c r="PA14" s="166">
        <v>46.2</v>
      </c>
      <c r="PB14" s="166">
        <v>44.3</v>
      </c>
      <c r="PC14" s="192">
        <v>0</v>
      </c>
    </row>
    <row r="15" spans="2:420" s="81" customFormat="1" ht="15" thickBot="1" x14ac:dyDescent="0.35">
      <c r="B15" s="978"/>
      <c r="C15" s="699" t="s">
        <v>257</v>
      </c>
      <c r="D15" s="696">
        <f>SUM(E15:K15)</f>
        <v>286562.33099999995</v>
      </c>
      <c r="E15" s="697">
        <f t="shared" ref="E15:K15" si="470">E13*E14*$C$1</f>
        <v>10606.166999999999</v>
      </c>
      <c r="F15" s="697">
        <f t="shared" si="470"/>
        <v>53521.181999999993</v>
      </c>
      <c r="G15" s="697">
        <f t="shared" si="470"/>
        <v>52728.39</v>
      </c>
      <c r="H15" s="697">
        <f t="shared" si="470"/>
        <v>51222.203999999998</v>
      </c>
      <c r="I15" s="697">
        <f t="shared" si="470"/>
        <v>56435.841</v>
      </c>
      <c r="J15" s="697">
        <f t="shared" si="470"/>
        <v>52359.614999999998</v>
      </c>
      <c r="K15" s="701">
        <f t="shared" si="470"/>
        <v>9688.9319999999989</v>
      </c>
      <c r="L15" s="696">
        <f>SUM(M15:S15)</f>
        <v>303669.53100000002</v>
      </c>
      <c r="M15" s="697">
        <f t="shared" ref="M15:S15" si="471">M13*M14*$C$1</f>
        <v>33397.65</v>
      </c>
      <c r="N15" s="697">
        <f t="shared" si="471"/>
        <v>50954.507999999994</v>
      </c>
      <c r="O15" s="697">
        <f t="shared" si="471"/>
        <v>53124.984000000004</v>
      </c>
      <c r="P15" s="697">
        <f t="shared" si="471"/>
        <v>56724.525000000001</v>
      </c>
      <c r="Q15" s="697">
        <f t="shared" si="471"/>
        <v>56525.930999999997</v>
      </c>
      <c r="R15" s="697">
        <f t="shared" si="471"/>
        <v>47907.783000000003</v>
      </c>
      <c r="S15" s="701">
        <f t="shared" si="471"/>
        <v>5034.1499999999996</v>
      </c>
      <c r="T15" s="696">
        <f>SUM(U15:AA15)</f>
        <v>306053.05499999993</v>
      </c>
      <c r="U15" s="697">
        <f t="shared" ref="U15:Z15" si="472">U13*U14*$C$1</f>
        <v>32175</v>
      </c>
      <c r="V15" s="697">
        <f t="shared" si="472"/>
        <v>51999.551999999996</v>
      </c>
      <c r="W15" s="697">
        <f t="shared" si="472"/>
        <v>53267.544000000002</v>
      </c>
      <c r="X15" s="697">
        <f t="shared" si="472"/>
        <v>49636.62</v>
      </c>
      <c r="Y15" s="697">
        <f>Y13*Y14*$C$1</f>
        <v>56592.458999999995</v>
      </c>
      <c r="Z15" s="697">
        <f t="shared" si="472"/>
        <v>52674.138000000006</v>
      </c>
      <c r="AA15" s="701">
        <f>AA13*AA14*$C$1</f>
        <v>9707.7419999999984</v>
      </c>
      <c r="AB15" s="696">
        <f>SUM(AC15:AI15)</f>
        <v>309645.17100000003</v>
      </c>
      <c r="AC15" s="697">
        <f t="shared" ref="AC15:AI15" si="473">AC13*AC14*$C$1</f>
        <v>32543.775000000001</v>
      </c>
      <c r="AD15" s="697">
        <f t="shared" si="473"/>
        <v>51494.256000000001</v>
      </c>
      <c r="AE15" s="697">
        <f t="shared" si="473"/>
        <v>53373.375</v>
      </c>
      <c r="AF15" s="697">
        <f t="shared" si="473"/>
        <v>51395.058000000005</v>
      </c>
      <c r="AG15" s="697">
        <f t="shared" si="473"/>
        <v>55224.873</v>
      </c>
      <c r="AH15" s="697">
        <f t="shared" si="473"/>
        <v>54989.55</v>
      </c>
      <c r="AI15" s="697">
        <f t="shared" si="473"/>
        <v>10624.284</v>
      </c>
      <c r="AJ15" s="696">
        <f>SUM(AK15:AQ15)</f>
        <v>311664.47399999999</v>
      </c>
      <c r="AK15" s="697">
        <f t="shared" ref="AK15:AQ15" si="474">AK13*AK14*$C$1</f>
        <v>34646.534999999996</v>
      </c>
      <c r="AL15" s="697">
        <f t="shared" si="474"/>
        <v>52983.81</v>
      </c>
      <c r="AM15" s="697">
        <f t="shared" si="474"/>
        <v>57094.29</v>
      </c>
      <c r="AN15" s="697">
        <f t="shared" si="474"/>
        <v>53992.223999999995</v>
      </c>
      <c r="AO15" s="697">
        <f t="shared" si="474"/>
        <v>56454.849000000002</v>
      </c>
      <c r="AP15" s="697">
        <f t="shared" si="474"/>
        <v>50045.391000000003</v>
      </c>
      <c r="AQ15" s="701">
        <f t="shared" si="474"/>
        <v>6447.375</v>
      </c>
      <c r="AR15" s="696">
        <f>SUM(AS15:AY15)</f>
        <v>257870.943</v>
      </c>
      <c r="AS15" s="697">
        <f t="shared" ref="AS15:AY15" si="475">AS13*AS14*$C$1</f>
        <v>30040.064999999999</v>
      </c>
      <c r="AT15" s="697">
        <f t="shared" si="475"/>
        <v>44297.55</v>
      </c>
      <c r="AU15" s="697">
        <f t="shared" si="475"/>
        <v>44404.173000000003</v>
      </c>
      <c r="AV15" s="697">
        <f t="shared" si="475"/>
        <v>39212.909999999996</v>
      </c>
      <c r="AW15" s="697">
        <f t="shared" si="475"/>
        <v>49345.065000000002</v>
      </c>
      <c r="AX15" s="697">
        <f t="shared" si="475"/>
        <v>45502.38</v>
      </c>
      <c r="AY15" s="701">
        <f t="shared" si="475"/>
        <v>5068.8</v>
      </c>
      <c r="AZ15" s="696">
        <f>SUM(BA15:BG15)</f>
        <v>240843.636</v>
      </c>
      <c r="BA15" s="697">
        <f t="shared" ref="BA15:BG15" si="476">BA13*BA14*$C$1</f>
        <v>25999.974000000002</v>
      </c>
      <c r="BB15" s="697">
        <f t="shared" si="476"/>
        <v>41600.79</v>
      </c>
      <c r="BC15" s="697">
        <f t="shared" si="476"/>
        <v>41409.521999999997</v>
      </c>
      <c r="BD15" s="697">
        <f t="shared" si="476"/>
        <v>35672.175000000003</v>
      </c>
      <c r="BE15" s="697">
        <f t="shared" si="476"/>
        <v>45970.65</v>
      </c>
      <c r="BF15" s="697">
        <f t="shared" si="476"/>
        <v>45604.35</v>
      </c>
      <c r="BG15" s="701">
        <f t="shared" si="476"/>
        <v>4586.1750000000002</v>
      </c>
      <c r="BH15" s="696">
        <f>SUM(BI15:BO15)</f>
        <v>255846.29399999997</v>
      </c>
      <c r="BI15" s="697">
        <f t="shared" ref="BI15:BO15" si="477">BI13*BI14*$C$1</f>
        <v>29779.200000000001</v>
      </c>
      <c r="BJ15" s="697">
        <f t="shared" si="477"/>
        <v>42857.1</v>
      </c>
      <c r="BK15" s="697">
        <f t="shared" si="477"/>
        <v>37303.199999999997</v>
      </c>
      <c r="BL15" s="697">
        <f t="shared" si="477"/>
        <v>35412.300000000003</v>
      </c>
      <c r="BM15" s="697">
        <f t="shared" si="477"/>
        <v>53418.42</v>
      </c>
      <c r="BN15" s="697">
        <f t="shared" si="477"/>
        <v>51525.144</v>
      </c>
      <c r="BO15" s="701">
        <f t="shared" si="477"/>
        <v>5550.93</v>
      </c>
      <c r="BP15" s="696">
        <f>SUM(BQ15:BW15)</f>
        <v>289377.891</v>
      </c>
      <c r="BQ15" s="697">
        <f t="shared" ref="BQ15:BW15" si="478">BQ13*BQ14*$C$1</f>
        <v>36340.92</v>
      </c>
      <c r="BR15" s="697">
        <f t="shared" si="478"/>
        <v>47495.25</v>
      </c>
      <c r="BS15" s="697">
        <f t="shared" si="478"/>
        <v>50516.928000000007</v>
      </c>
      <c r="BT15" s="697">
        <f t="shared" si="478"/>
        <v>39307.653000000006</v>
      </c>
      <c r="BU15" s="697">
        <f t="shared" si="478"/>
        <v>55426.14</v>
      </c>
      <c r="BV15" s="697">
        <f t="shared" si="478"/>
        <v>54261.9</v>
      </c>
      <c r="BW15" s="701">
        <f t="shared" si="478"/>
        <v>6029.1</v>
      </c>
      <c r="BX15" s="696">
        <f>SUM(BY15:CE15)</f>
        <v>281533.23000000004</v>
      </c>
      <c r="BY15" s="697">
        <f t="shared" ref="BY15:CE15" si="479">BY13*BY14*$C$1</f>
        <v>34472.79</v>
      </c>
      <c r="BZ15" s="697">
        <f t="shared" si="479"/>
        <v>46277.946000000004</v>
      </c>
      <c r="CA15" s="697">
        <f t="shared" si="479"/>
        <v>47978.567999999999</v>
      </c>
      <c r="CB15" s="697">
        <f t="shared" si="479"/>
        <v>46332</v>
      </c>
      <c r="CC15" s="697">
        <f t="shared" si="479"/>
        <v>51338.034000000007</v>
      </c>
      <c r="CD15" s="697">
        <f t="shared" si="479"/>
        <v>49696.41599999999</v>
      </c>
      <c r="CE15" s="701">
        <f t="shared" si="479"/>
        <v>5437.4760000000006</v>
      </c>
      <c r="CF15" s="696">
        <f>SUM(CG15:CM15)</f>
        <v>273275.93700000003</v>
      </c>
      <c r="CG15" s="697">
        <f t="shared" ref="CG15:CM15" si="480">CG13*CG14*$C$1</f>
        <v>34984.521000000001</v>
      </c>
      <c r="CH15" s="697">
        <f t="shared" si="480"/>
        <v>44561.88</v>
      </c>
      <c r="CI15" s="697">
        <f t="shared" si="480"/>
        <v>47103.606</v>
      </c>
      <c r="CJ15" s="697">
        <f t="shared" si="480"/>
        <v>41345.568000000007</v>
      </c>
      <c r="CK15" s="697">
        <f t="shared" si="480"/>
        <v>51651.368999999999</v>
      </c>
      <c r="CL15" s="697">
        <f t="shared" si="480"/>
        <v>49227.75</v>
      </c>
      <c r="CM15" s="701">
        <f t="shared" si="480"/>
        <v>4401.2429999999995</v>
      </c>
      <c r="CN15" s="696">
        <f>SUM(CO15:CU15)</f>
        <v>273402.95400000003</v>
      </c>
      <c r="CO15" s="697">
        <f>CO13*CO14*$C$1</f>
        <v>29462.400000000001</v>
      </c>
      <c r="CP15" s="697">
        <f t="shared" ref="CP15:CU15" si="481">CP13*CP14*$C$1</f>
        <v>39050.550000000003</v>
      </c>
      <c r="CQ15" s="697">
        <f t="shared" si="481"/>
        <v>47119.05</v>
      </c>
      <c r="CR15" s="697">
        <f t="shared" si="481"/>
        <v>43863.830999999998</v>
      </c>
      <c r="CS15" s="697">
        <f t="shared" si="481"/>
        <v>55042.514999999999</v>
      </c>
      <c r="CT15" s="697">
        <f t="shared" si="481"/>
        <v>54248.04</v>
      </c>
      <c r="CU15" s="701">
        <f t="shared" si="481"/>
        <v>4616.5680000000002</v>
      </c>
      <c r="CV15" s="696">
        <f>SUM(CW15:DC15)</f>
        <v>285735.18599999999</v>
      </c>
      <c r="CW15" s="697">
        <f t="shared" ref="CW15:DD15" si="482">CW13*CW14*$C$1</f>
        <v>35386.065000000002</v>
      </c>
      <c r="CX15" s="697">
        <f t="shared" si="482"/>
        <v>42322.5</v>
      </c>
      <c r="CY15" s="697">
        <f t="shared" si="482"/>
        <v>47461.59</v>
      </c>
      <c r="CZ15" s="697">
        <f t="shared" si="482"/>
        <v>44759.88</v>
      </c>
      <c r="DA15" s="697">
        <f t="shared" si="482"/>
        <v>55764.125999999997</v>
      </c>
      <c r="DB15" s="697">
        <f t="shared" si="482"/>
        <v>54615.33</v>
      </c>
      <c r="DC15" s="697">
        <f t="shared" si="482"/>
        <v>5425.6949999999997</v>
      </c>
      <c r="DD15" s="697">
        <f t="shared" si="482"/>
        <v>0</v>
      </c>
      <c r="DE15" s="697">
        <f t="shared" ref="DE15:DK15" si="483">DE13*DE14*$C$1</f>
        <v>33661.187999999995</v>
      </c>
      <c r="DF15" s="697">
        <f t="shared" si="483"/>
        <v>44185.580999999998</v>
      </c>
      <c r="DG15" s="697">
        <f t="shared" si="483"/>
        <v>43569.9</v>
      </c>
      <c r="DH15" s="697">
        <f t="shared" si="483"/>
        <v>36459.423000000003</v>
      </c>
      <c r="DI15" s="697">
        <f t="shared" si="483"/>
        <v>47763.837</v>
      </c>
      <c r="DJ15" s="697">
        <f t="shared" si="483"/>
        <v>44095.59</v>
      </c>
      <c r="DK15" s="701">
        <f t="shared" si="483"/>
        <v>3838.7249999999999</v>
      </c>
      <c r="DL15" s="696">
        <f>SUM(DM15:DS15)</f>
        <v>250099.34399999998</v>
      </c>
      <c r="DM15" s="697">
        <f t="shared" ref="DM15:DS15" si="484">DM13*DM14*$C$1</f>
        <v>31675.742999999999</v>
      </c>
      <c r="DN15" s="697">
        <f t="shared" si="484"/>
        <v>38586.239999999998</v>
      </c>
      <c r="DO15" s="697">
        <f t="shared" si="484"/>
        <v>34755.434999999998</v>
      </c>
      <c r="DP15" s="697">
        <f t="shared" si="484"/>
        <v>35275.580999999998</v>
      </c>
      <c r="DQ15" s="697">
        <f t="shared" si="484"/>
        <v>51193.295999999995</v>
      </c>
      <c r="DR15" s="697">
        <f t="shared" si="484"/>
        <v>48412.98</v>
      </c>
      <c r="DS15" s="701">
        <f t="shared" si="484"/>
        <v>10200.068999999998</v>
      </c>
      <c r="DT15" s="696">
        <f>SUM(DU15:EA15)</f>
        <v>220383.405</v>
      </c>
      <c r="DU15" s="697">
        <f t="shared" ref="DU15:EI15" si="485">DU13*DU14*$C$1</f>
        <v>0</v>
      </c>
      <c r="DV15" s="697">
        <f t="shared" si="485"/>
        <v>8398.17</v>
      </c>
      <c r="DW15" s="697">
        <f>DW13*DW14*$C$1</f>
        <v>51947.478000000003</v>
      </c>
      <c r="DX15" s="697">
        <f t="shared" si="485"/>
        <v>50836.5</v>
      </c>
      <c r="DY15" s="697">
        <f t="shared" si="485"/>
        <v>53212.896000000001</v>
      </c>
      <c r="DZ15" s="697">
        <f t="shared" si="485"/>
        <v>50739.777000000002</v>
      </c>
      <c r="EA15" s="697">
        <f t="shared" si="485"/>
        <v>5248.5839999999998</v>
      </c>
      <c r="EB15" s="697">
        <f t="shared" si="485"/>
        <v>0</v>
      </c>
      <c r="EC15" s="697">
        <f t="shared" si="485"/>
        <v>34984.521000000001</v>
      </c>
      <c r="ED15" s="697">
        <f t="shared" si="485"/>
        <v>42677.118000000002</v>
      </c>
      <c r="EE15" s="697">
        <f t="shared" si="485"/>
        <v>43895.114999999998</v>
      </c>
      <c r="EF15" s="697">
        <f t="shared" si="485"/>
        <v>38284.488000000005</v>
      </c>
      <c r="EG15" s="697">
        <f t="shared" si="485"/>
        <v>51441.588000000003</v>
      </c>
      <c r="EH15" s="697">
        <f t="shared" si="485"/>
        <v>54155.574000000001</v>
      </c>
      <c r="EI15" s="697">
        <f t="shared" si="485"/>
        <v>0</v>
      </c>
      <c r="EJ15" s="696">
        <f>SUM(EK15:EQ15)</f>
        <v>277990.91099999996</v>
      </c>
      <c r="EK15" s="697">
        <f t="shared" ref="EK15:EQ15" si="486">EK13*EK14*$C$1</f>
        <v>36138.959999999999</v>
      </c>
      <c r="EL15" s="697">
        <f t="shared" si="486"/>
        <v>45334.476000000002</v>
      </c>
      <c r="EM15" s="697">
        <f t="shared" si="486"/>
        <v>45038.07</v>
      </c>
      <c r="EN15" s="697">
        <f t="shared" si="486"/>
        <v>41923.925999999999</v>
      </c>
      <c r="EO15" s="697">
        <f t="shared" si="486"/>
        <v>52767</v>
      </c>
      <c r="EP15" s="697">
        <f t="shared" si="486"/>
        <v>53023.211999999992</v>
      </c>
      <c r="EQ15" s="701">
        <f t="shared" si="486"/>
        <v>3765.2670000000003</v>
      </c>
      <c r="ER15" s="696">
        <f>SUM(ES15:EY15)</f>
        <v>249686.47407508356</v>
      </c>
      <c r="ES15" s="697">
        <f t="shared" ref="ES15:EY15" si="487">ES13*ES14*$C$1</f>
        <v>30336.768</v>
      </c>
      <c r="ET15" s="697">
        <f t="shared" si="487"/>
        <v>40831.56</v>
      </c>
      <c r="EU15" s="697">
        <f t="shared" si="487"/>
        <v>37259.64</v>
      </c>
      <c r="EV15" s="697">
        <f t="shared" si="487"/>
        <v>36942.839999999997</v>
      </c>
      <c r="EW15" s="697">
        <f t="shared" si="487"/>
        <v>47468.321999999993</v>
      </c>
      <c r="EX15" s="697">
        <f t="shared" si="487"/>
        <v>52884.413999999997</v>
      </c>
      <c r="EY15" s="701">
        <f t="shared" si="487"/>
        <v>3962.9300750835837</v>
      </c>
      <c r="EZ15" s="696">
        <f>SUM(FA15:FG15)</f>
        <v>243262.91688203774</v>
      </c>
      <c r="FA15" s="697">
        <f t="shared" ref="FA15:FG15" si="488">FA13*FA14*$C$1</f>
        <v>32268.455999999998</v>
      </c>
      <c r="FB15" s="697">
        <f t="shared" si="488"/>
        <v>37144.800000000003</v>
      </c>
      <c r="FC15" s="697">
        <f t="shared" si="488"/>
        <v>40136.381999999998</v>
      </c>
      <c r="FD15" s="697">
        <f t="shared" si="488"/>
        <v>35637.03</v>
      </c>
      <c r="FE15" s="697">
        <f t="shared" si="488"/>
        <v>42661.08</v>
      </c>
      <c r="FF15" s="697">
        <f t="shared" si="488"/>
        <v>51755.616000000002</v>
      </c>
      <c r="FG15" s="701">
        <f t="shared" si="488"/>
        <v>3659.5528820377099</v>
      </c>
      <c r="FH15" s="696">
        <f>SUM(FI15:FO15)</f>
        <v>230867.81949944759</v>
      </c>
      <c r="FI15" s="697">
        <f t="shared" ref="FI15:FO15" si="489">FI13*FI14*$C$1</f>
        <v>32212.619999999995</v>
      </c>
      <c r="FJ15" s="697">
        <f t="shared" si="489"/>
        <v>42755.328000000001</v>
      </c>
      <c r="FK15" s="697">
        <f t="shared" si="489"/>
        <v>50079.743999999999</v>
      </c>
      <c r="FL15" s="697">
        <f t="shared" si="489"/>
        <v>0</v>
      </c>
      <c r="FM15" s="697">
        <f t="shared" si="489"/>
        <v>45435.851999999992</v>
      </c>
      <c r="FN15" s="697">
        <f t="shared" si="489"/>
        <v>54933.120000000003</v>
      </c>
      <c r="FO15" s="701">
        <f t="shared" si="489"/>
        <v>5451.1554994475882</v>
      </c>
      <c r="FP15" s="696">
        <f>SUM(FQ15:FW15)</f>
        <v>311827.03200000001</v>
      </c>
      <c r="FQ15" s="697">
        <f t="shared" ref="FQ15:FW15" si="490">FQ13*FQ14*$C$1</f>
        <v>40662.864000000001</v>
      </c>
      <c r="FR15" s="697">
        <f t="shared" si="490"/>
        <v>47442.383999999998</v>
      </c>
      <c r="FS15" s="697">
        <f t="shared" si="490"/>
        <v>51904.313999999998</v>
      </c>
      <c r="FT15" s="697">
        <f>FT13*FT14*$C$1</f>
        <v>50890.356</v>
      </c>
      <c r="FU15" s="697">
        <f t="shared" si="490"/>
        <v>55040.831999999995</v>
      </c>
      <c r="FV15" s="697">
        <f t="shared" si="490"/>
        <v>55611.072</v>
      </c>
      <c r="FW15" s="701">
        <f t="shared" si="490"/>
        <v>10275.209999999999</v>
      </c>
      <c r="FX15" s="696">
        <f>SUM(FY15:GE15)</f>
        <v>227172.33</v>
      </c>
      <c r="FY15" s="697">
        <f t="shared" ref="FY15:GE15" si="491">FY13*FY14*$C$1</f>
        <v>0</v>
      </c>
      <c r="FZ15" s="697">
        <f t="shared" si="491"/>
        <v>9195.1200000000008</v>
      </c>
      <c r="GA15" s="697">
        <f t="shared" si="491"/>
        <v>55162.107000000004</v>
      </c>
      <c r="GB15" s="697">
        <f>GB13*GB14*$C$1</f>
        <v>48223.296000000002</v>
      </c>
      <c r="GC15" s="697">
        <f t="shared" si="491"/>
        <v>54729.476999999999</v>
      </c>
      <c r="GD15" s="697">
        <f t="shared" si="491"/>
        <v>54130.229999999996</v>
      </c>
      <c r="GE15" s="701">
        <f t="shared" si="491"/>
        <v>5732.1</v>
      </c>
      <c r="GF15" s="696">
        <f>SUM(GG15:GM15)</f>
        <v>290575.69199999998</v>
      </c>
      <c r="GG15" s="697">
        <f t="shared" ref="GG15:GM15" si="492">GG13*GG14*$C$1</f>
        <v>38511</v>
      </c>
      <c r="GH15" s="697">
        <f t="shared" si="492"/>
        <v>47490.3</v>
      </c>
      <c r="GI15" s="697">
        <f t="shared" si="492"/>
        <v>44553.366000000002</v>
      </c>
      <c r="GJ15" s="697">
        <f t="shared" si="492"/>
        <v>47506.337999999996</v>
      </c>
      <c r="GK15" s="697">
        <f t="shared" si="492"/>
        <v>55142.504999999997</v>
      </c>
      <c r="GL15" s="697">
        <f t="shared" si="492"/>
        <v>51600.78</v>
      </c>
      <c r="GM15" s="701">
        <f t="shared" si="492"/>
        <v>5771.4029999999993</v>
      </c>
      <c r="GN15" s="696">
        <f>SUM(GO15:GU15)</f>
        <v>279812.31300000002</v>
      </c>
      <c r="GO15" s="697">
        <f t="shared" ref="GO15:GU15" si="493">GO13*GO14*$C$1</f>
        <v>33102.432000000001</v>
      </c>
      <c r="GP15" s="697">
        <f t="shared" si="493"/>
        <v>45521.784</v>
      </c>
      <c r="GQ15" s="697">
        <f t="shared" si="493"/>
        <v>47087.271000000001</v>
      </c>
      <c r="GR15" s="697">
        <f t="shared" si="493"/>
        <v>42716.915999999997</v>
      </c>
      <c r="GS15" s="697">
        <f t="shared" si="493"/>
        <v>53745.120000000003</v>
      </c>
      <c r="GT15" s="697">
        <f t="shared" si="493"/>
        <v>52925.4</v>
      </c>
      <c r="GU15" s="701">
        <f t="shared" si="493"/>
        <v>4713.3900000000003</v>
      </c>
      <c r="GV15" s="696">
        <f>SUM(GW15:HC15)</f>
        <v>297674.78400000004</v>
      </c>
      <c r="GW15" s="697">
        <f t="shared" ref="GW15:HC15" si="494">GW13*GW14*$C$1</f>
        <v>34934.129999999997</v>
      </c>
      <c r="GX15" s="697">
        <f t="shared" si="494"/>
        <v>47200.824000000001</v>
      </c>
      <c r="GY15" s="697">
        <f t="shared" si="494"/>
        <v>48913.919999999998</v>
      </c>
      <c r="GZ15" s="697">
        <f t="shared" si="494"/>
        <v>48261.906000000003</v>
      </c>
      <c r="HA15" s="697">
        <f t="shared" si="494"/>
        <v>57302.784000000007</v>
      </c>
      <c r="HB15" s="697">
        <f t="shared" si="494"/>
        <v>55705.32</v>
      </c>
      <c r="HC15" s="701">
        <f t="shared" si="494"/>
        <v>5355.9</v>
      </c>
      <c r="HD15" s="696">
        <f>SUM(HE15:HK15)</f>
        <v>248090.73300000001</v>
      </c>
      <c r="HE15" s="697">
        <f t="shared" ref="HE15:HK15" si="495">HE13*HE14*$C$1</f>
        <v>34609.608000000007</v>
      </c>
      <c r="HF15" s="697">
        <f t="shared" si="495"/>
        <v>43114.599000000002</v>
      </c>
      <c r="HG15" s="697">
        <f t="shared" si="495"/>
        <v>43171.92</v>
      </c>
      <c r="HH15" s="697">
        <f t="shared" si="495"/>
        <v>38236.175999999992</v>
      </c>
      <c r="HI15" s="697">
        <f t="shared" si="495"/>
        <v>46366.65</v>
      </c>
      <c r="HJ15" s="697">
        <f t="shared" si="495"/>
        <v>42591.78</v>
      </c>
      <c r="HK15" s="701">
        <f t="shared" si="495"/>
        <v>0</v>
      </c>
      <c r="HL15" s="696">
        <f>SUM(HM15:HS15)</f>
        <v>232704.64799999999</v>
      </c>
      <c r="HM15" s="697">
        <f t="shared" ref="HM15:HS15" si="496">HM13*HM14*$C$1</f>
        <v>30298.256999999998</v>
      </c>
      <c r="HN15" s="697">
        <f t="shared" si="496"/>
        <v>40578.812999999995</v>
      </c>
      <c r="HO15" s="697">
        <f t="shared" si="496"/>
        <v>39601.980000000003</v>
      </c>
      <c r="HP15" s="697">
        <f t="shared" si="496"/>
        <v>38282.112000000001</v>
      </c>
      <c r="HQ15" s="697">
        <f t="shared" si="496"/>
        <v>42898.482000000004</v>
      </c>
      <c r="HR15" s="697">
        <f t="shared" si="496"/>
        <v>41045.004000000001</v>
      </c>
      <c r="HS15" s="701">
        <f t="shared" si="496"/>
        <v>0</v>
      </c>
      <c r="HT15" s="696">
        <f>SUM(HU15:IA15)</f>
        <v>189581.73299999998</v>
      </c>
      <c r="HU15" s="697">
        <f t="shared" ref="HU15:IA15" si="497">HU13*HU14*$C$1</f>
        <v>26594.567999999996</v>
      </c>
      <c r="HV15" s="697">
        <f t="shared" si="497"/>
        <v>36566.144999999997</v>
      </c>
      <c r="HW15" s="697">
        <f t="shared" si="497"/>
        <v>43991.64</v>
      </c>
      <c r="HX15" s="697">
        <f t="shared" si="497"/>
        <v>0</v>
      </c>
      <c r="HY15" s="697">
        <f t="shared" si="497"/>
        <v>35710.686000000002</v>
      </c>
      <c r="HZ15" s="697">
        <f t="shared" si="497"/>
        <v>46718.693999999996</v>
      </c>
      <c r="IA15" s="701">
        <f t="shared" si="497"/>
        <v>0</v>
      </c>
      <c r="IB15" s="696">
        <f>SUM(IC15:II15)</f>
        <v>217783.86299999998</v>
      </c>
      <c r="IC15" s="697">
        <f t="shared" ref="IC15:II15" si="498">IC13*IC14*$C$1</f>
        <v>25787.025000000001</v>
      </c>
      <c r="ID15" s="697">
        <f t="shared" si="498"/>
        <v>35790.678</v>
      </c>
      <c r="IE15" s="697">
        <f t="shared" si="498"/>
        <v>32271.227999999999</v>
      </c>
      <c r="IF15" s="697">
        <f t="shared" si="498"/>
        <v>34380.918000000005</v>
      </c>
      <c r="IG15" s="697">
        <f t="shared" si="498"/>
        <v>45722.159999999996</v>
      </c>
      <c r="IH15" s="697">
        <f t="shared" si="498"/>
        <v>43831.853999999999</v>
      </c>
      <c r="II15" s="701">
        <f t="shared" si="498"/>
        <v>0</v>
      </c>
      <c r="IJ15" s="696">
        <f>SUM(IK15:IQ15)</f>
        <v>239814.64099999997</v>
      </c>
      <c r="IK15" s="697">
        <v>33428.538</v>
      </c>
      <c r="IL15" s="697">
        <v>43080.84</v>
      </c>
      <c r="IM15" s="697">
        <v>45177.362999999998</v>
      </c>
      <c r="IN15" s="697">
        <f>IN13*IN14</f>
        <v>37463.1</v>
      </c>
      <c r="IO15" s="697">
        <f>IO13*IO14</f>
        <v>42102.400000000001</v>
      </c>
      <c r="IP15" s="697">
        <f>IP13*IP14</f>
        <v>38562.400000000001</v>
      </c>
      <c r="IQ15" s="701">
        <f t="shared" ref="IQ15" si="499">IQ13*IQ14*$C$1</f>
        <v>0</v>
      </c>
      <c r="IR15" s="696">
        <f>SUM(IS15:IY15)</f>
        <v>218406.17700000003</v>
      </c>
      <c r="IS15" s="697">
        <f t="shared" ref="IS15:IY15" si="500">IS13*IS14*$C$1</f>
        <v>28070.657999999999</v>
      </c>
      <c r="IT15" s="697">
        <f t="shared" si="500"/>
        <v>37482.291000000005</v>
      </c>
      <c r="IU15" s="697">
        <f t="shared" si="500"/>
        <v>31851.764999999999</v>
      </c>
      <c r="IV15" s="697">
        <f t="shared" si="500"/>
        <v>33481.800000000003</v>
      </c>
      <c r="IW15" s="697">
        <f t="shared" si="500"/>
        <v>42940.358999999997</v>
      </c>
      <c r="IX15" s="697">
        <f t="shared" si="500"/>
        <v>44579.303999999996</v>
      </c>
      <c r="IY15" s="701">
        <f t="shared" si="500"/>
        <v>0</v>
      </c>
      <c r="IZ15" s="696">
        <f>SUM(JA15:JG15)</f>
        <v>177378.003</v>
      </c>
      <c r="JA15" s="697">
        <f t="shared" ref="JA15:JG15" si="501">JA13*JA14*$C$1</f>
        <v>0</v>
      </c>
      <c r="JB15" s="697">
        <f t="shared" si="501"/>
        <v>5893.6679999999997</v>
      </c>
      <c r="JC15" s="697">
        <f t="shared" si="501"/>
        <v>42104.007000000005</v>
      </c>
      <c r="JD15" s="697">
        <f t="shared" si="501"/>
        <v>39327.75</v>
      </c>
      <c r="JE15" s="697">
        <f t="shared" si="501"/>
        <v>47103.21</v>
      </c>
      <c r="JF15" s="697">
        <f t="shared" si="501"/>
        <v>42949.367999999995</v>
      </c>
      <c r="JG15" s="701">
        <f t="shared" si="501"/>
        <v>0</v>
      </c>
      <c r="JH15" s="696">
        <f>SUM(JI15:JO15)</f>
        <v>243776.016</v>
      </c>
      <c r="JI15" s="697">
        <f t="shared" ref="JI15:JO15" si="502">JI13*JI14*$C$1</f>
        <v>29991.753000000001</v>
      </c>
      <c r="JJ15" s="697">
        <f t="shared" si="502"/>
        <v>32684.85</v>
      </c>
      <c r="JK15" s="697">
        <f t="shared" si="502"/>
        <v>39007.286999999997</v>
      </c>
      <c r="JL15" s="697">
        <f t="shared" si="502"/>
        <v>36122.525999999998</v>
      </c>
      <c r="JM15" s="697">
        <f t="shared" si="502"/>
        <v>51084</v>
      </c>
      <c r="JN15" s="697">
        <f t="shared" si="502"/>
        <v>54885.599999999999</v>
      </c>
      <c r="JO15" s="701">
        <f t="shared" si="502"/>
        <v>0</v>
      </c>
      <c r="JP15" s="696">
        <f>SUM(JQ15:JW15)</f>
        <v>304637.75099999999</v>
      </c>
      <c r="JQ15" s="697">
        <f>JQ13*JQ14*$C$1</f>
        <v>41597.621999999996</v>
      </c>
      <c r="JR15" s="697">
        <f>JR13*JR14*$C$1</f>
        <v>53382.086999999992</v>
      </c>
      <c r="JS15" s="697">
        <f>JS13*JS14*$C$1</f>
        <v>52316.55</v>
      </c>
      <c r="JT15" s="697">
        <f t="shared" ref="JT15:JW15" si="503">JT13*JT14*$C$1</f>
        <v>49188.15</v>
      </c>
      <c r="JU15" s="697">
        <f t="shared" si="503"/>
        <v>55602.161999999997</v>
      </c>
      <c r="JV15" s="697">
        <f t="shared" si="503"/>
        <v>52551.18</v>
      </c>
      <c r="JW15" s="701">
        <f t="shared" si="503"/>
        <v>0</v>
      </c>
      <c r="JX15" s="696">
        <f>SUM(JY15:KE15)</f>
        <v>312091.26300000004</v>
      </c>
      <c r="JY15" s="697">
        <f t="shared" ref="JY15:KE15" si="504">JY13*JY14*$C$1</f>
        <v>41685.93</v>
      </c>
      <c r="JZ15" s="697">
        <f t="shared" si="504"/>
        <v>54315.360000000001</v>
      </c>
      <c r="KA15" s="697">
        <f t="shared" si="504"/>
        <v>55198.44</v>
      </c>
      <c r="KB15" s="697">
        <f t="shared" si="504"/>
        <v>51434.163</v>
      </c>
      <c r="KC15" s="697">
        <f t="shared" si="504"/>
        <v>57657.599999999999</v>
      </c>
      <c r="KD15" s="697">
        <f t="shared" si="504"/>
        <v>51799.77</v>
      </c>
      <c r="KE15" s="701">
        <f t="shared" si="504"/>
        <v>0</v>
      </c>
      <c r="KF15" s="696">
        <f>SUM(KG15:KM15)</f>
        <v>265174.17300000001</v>
      </c>
      <c r="KG15" s="697">
        <f t="shared" ref="KG15:KM15" si="505">KG13*KG14*$C$1</f>
        <v>38923.037999999993</v>
      </c>
      <c r="KH15" s="697">
        <f t="shared" si="505"/>
        <v>42748.398000000001</v>
      </c>
      <c r="KI15" s="697">
        <f t="shared" si="505"/>
        <v>46688.697</v>
      </c>
      <c r="KJ15" s="697">
        <f t="shared" si="505"/>
        <v>38049.263999999996</v>
      </c>
      <c r="KK15" s="697">
        <f t="shared" si="505"/>
        <v>51420.6</v>
      </c>
      <c r="KL15" s="697">
        <f t="shared" si="505"/>
        <v>47344.175999999999</v>
      </c>
      <c r="KM15" s="701">
        <f t="shared" si="505"/>
        <v>0</v>
      </c>
      <c r="KN15" s="696">
        <f>SUM(KO15:KU15)</f>
        <v>281787.06599999999</v>
      </c>
      <c r="KO15" s="697">
        <f t="shared" ref="KO15:KU15" si="506">KO13*KO14*$C$1</f>
        <v>34616.934000000001</v>
      </c>
      <c r="KP15" s="697">
        <f t="shared" si="506"/>
        <v>52290.81</v>
      </c>
      <c r="KQ15" s="697">
        <f t="shared" si="506"/>
        <v>50533.362000000001</v>
      </c>
      <c r="KR15" s="697">
        <f t="shared" si="506"/>
        <v>39013.919999999998</v>
      </c>
      <c r="KS15" s="697">
        <f t="shared" si="506"/>
        <v>54137.159999999996</v>
      </c>
      <c r="KT15" s="697">
        <f t="shared" si="506"/>
        <v>51194.879999999997</v>
      </c>
      <c r="KU15" s="701">
        <f t="shared" si="506"/>
        <v>0</v>
      </c>
      <c r="KV15" s="696">
        <f>SUM(KW15:LC15)</f>
        <v>293198.49900000001</v>
      </c>
      <c r="KW15" s="697">
        <f t="shared" ref="KW15:LC15" si="507">KW13*KW14*$C$1</f>
        <v>34759.097999999998</v>
      </c>
      <c r="KX15" s="697">
        <f t="shared" si="507"/>
        <v>51226.559999999998</v>
      </c>
      <c r="KY15" s="697">
        <f t="shared" si="507"/>
        <v>49170.428999999996</v>
      </c>
      <c r="KZ15" s="697">
        <f t="shared" si="507"/>
        <v>41317.65</v>
      </c>
      <c r="LA15" s="697">
        <f t="shared" si="507"/>
        <v>58408.812000000005</v>
      </c>
      <c r="LB15" s="697">
        <f t="shared" si="507"/>
        <v>58315.95</v>
      </c>
      <c r="LC15" s="701">
        <f t="shared" si="507"/>
        <v>0</v>
      </c>
      <c r="LD15" s="696">
        <f>SUM(LE15:LK15)</f>
        <v>313929.59399999998</v>
      </c>
      <c r="LE15" s="697">
        <f t="shared" ref="LE15:LK15" si="508">LE13*LE14*$C$1</f>
        <v>42748.2</v>
      </c>
      <c r="LF15" s="697">
        <f t="shared" si="508"/>
        <v>54368.82</v>
      </c>
      <c r="LG15" s="697">
        <f t="shared" si="508"/>
        <v>53945.891999999993</v>
      </c>
      <c r="LH15" s="697">
        <f t="shared" si="508"/>
        <v>51122.016000000003</v>
      </c>
      <c r="LI15" s="697">
        <f t="shared" si="508"/>
        <v>56754.324000000001</v>
      </c>
      <c r="LJ15" s="697">
        <f t="shared" si="508"/>
        <v>54990.342000000004</v>
      </c>
      <c r="LK15" s="701">
        <f t="shared" si="508"/>
        <v>0</v>
      </c>
      <c r="LL15" s="696">
        <f>SUM(LM15:LS15)</f>
        <v>299237.89500000002</v>
      </c>
      <c r="LM15" s="697">
        <f t="shared" ref="LM15:LS15" si="509">LM13*LM14*$C$1</f>
        <v>42095.79</v>
      </c>
      <c r="LN15" s="697">
        <f t="shared" si="509"/>
        <v>51455.25</v>
      </c>
      <c r="LO15" s="697">
        <f t="shared" si="509"/>
        <v>54297.54</v>
      </c>
      <c r="LP15" s="697">
        <f t="shared" si="509"/>
        <v>41406.75</v>
      </c>
      <c r="LQ15" s="697">
        <f t="shared" si="509"/>
        <v>55924.703999999998</v>
      </c>
      <c r="LR15" s="697">
        <f t="shared" si="509"/>
        <v>54057.861000000004</v>
      </c>
      <c r="LS15" s="701">
        <f t="shared" si="509"/>
        <v>0</v>
      </c>
      <c r="LT15" s="696">
        <f>SUM(LU15:MA15)</f>
        <v>266379.10199999996</v>
      </c>
      <c r="LU15" s="697">
        <f t="shared" ref="LU15:MA15" si="510">LU13*LU14*$C$1</f>
        <v>35969.373</v>
      </c>
      <c r="LV15" s="697">
        <f t="shared" si="510"/>
        <v>51073.704000000005</v>
      </c>
      <c r="LW15" s="697">
        <f t="shared" si="510"/>
        <v>45705.923999999999</v>
      </c>
      <c r="LX15" s="697">
        <f t="shared" si="510"/>
        <v>36107.973000000005</v>
      </c>
      <c r="LY15" s="697">
        <f t="shared" si="510"/>
        <v>49625.531999999999</v>
      </c>
      <c r="LZ15" s="697">
        <f t="shared" si="510"/>
        <v>47896.59599999999</v>
      </c>
      <c r="MA15" s="701">
        <f t="shared" si="510"/>
        <v>0</v>
      </c>
      <c r="MB15" s="696">
        <f>SUM(MC15:MI15)</f>
        <v>285693.01199999999</v>
      </c>
      <c r="MC15" s="697">
        <f t="shared" ref="MC15:MI15" si="511">MC13*MC14*$C$1</f>
        <v>38353.491000000002</v>
      </c>
      <c r="MD15" s="697">
        <f t="shared" si="511"/>
        <v>51103.8</v>
      </c>
      <c r="ME15" s="697">
        <f t="shared" si="511"/>
        <v>49121.324999999997</v>
      </c>
      <c r="MF15" s="697">
        <f t="shared" si="511"/>
        <v>37829.879999999997</v>
      </c>
      <c r="MG15" s="697">
        <f t="shared" si="511"/>
        <v>56871.936000000002</v>
      </c>
      <c r="MH15" s="697">
        <f t="shared" si="511"/>
        <v>52412.58</v>
      </c>
      <c r="MI15" s="701">
        <f t="shared" si="511"/>
        <v>0</v>
      </c>
      <c r="MJ15" s="696">
        <f>SUM(MK15:MQ15)</f>
        <v>255019.05</v>
      </c>
      <c r="MK15" s="697">
        <f t="shared" ref="MK15:MQ15" si="512">MK13*MK14*$C$1</f>
        <v>40768.595999999998</v>
      </c>
      <c r="ML15" s="697">
        <f t="shared" si="512"/>
        <v>0</v>
      </c>
      <c r="MM15" s="697">
        <f t="shared" si="512"/>
        <v>41159.843999999997</v>
      </c>
      <c r="MN15" s="697">
        <f t="shared" si="512"/>
        <v>54026.675999999999</v>
      </c>
      <c r="MO15" s="697">
        <f t="shared" si="512"/>
        <v>59578.2</v>
      </c>
      <c r="MP15" s="697">
        <f t="shared" si="512"/>
        <v>59485.733999999997</v>
      </c>
      <c r="MQ15" s="701">
        <f t="shared" si="512"/>
        <v>0</v>
      </c>
      <c r="MR15" s="696">
        <f>SUM(MS15:MY15)</f>
        <v>266937.56099999999</v>
      </c>
      <c r="MS15" s="697">
        <f t="shared" ref="MS15:MY15" si="513">MS13*MS14*$C$1</f>
        <v>44084.897999999994</v>
      </c>
      <c r="MT15" s="697">
        <f t="shared" si="513"/>
        <v>56386.638000000006</v>
      </c>
      <c r="MU15" s="697">
        <f t="shared" si="513"/>
        <v>54667.8</v>
      </c>
      <c r="MV15" s="697">
        <f t="shared" si="513"/>
        <v>56045.385000000002</v>
      </c>
      <c r="MW15" s="697">
        <f t="shared" si="513"/>
        <v>0</v>
      </c>
      <c r="MX15" s="697">
        <f t="shared" si="513"/>
        <v>55752.84</v>
      </c>
      <c r="MY15" s="701">
        <f t="shared" si="513"/>
        <v>0</v>
      </c>
      <c r="MZ15" s="696">
        <f>SUM(NA15:NG15)</f>
        <v>306500.65431743825</v>
      </c>
      <c r="NA15" s="697">
        <f t="shared" ref="NA15:NG15" si="514">NA13*NA14*$C$1</f>
        <v>43504.778317438242</v>
      </c>
      <c r="NB15" s="697">
        <f t="shared" si="514"/>
        <v>55935.791999999994</v>
      </c>
      <c r="NC15" s="697">
        <f t="shared" si="514"/>
        <v>57475.44</v>
      </c>
      <c r="ND15" s="697">
        <f t="shared" si="514"/>
        <v>41540.796000000002</v>
      </c>
      <c r="NE15" s="697">
        <f t="shared" si="514"/>
        <v>53814.915000000001</v>
      </c>
      <c r="NF15" s="697">
        <f t="shared" si="514"/>
        <v>54228.932999999997</v>
      </c>
      <c r="NG15" s="701">
        <f t="shared" si="514"/>
        <v>0</v>
      </c>
      <c r="NH15" s="696">
        <f>SUM(NI15:NO15)</f>
        <v>327494.87099999998</v>
      </c>
      <c r="NI15" s="697">
        <f t="shared" ref="NI15:NO15" si="515">NI13*NI14*$C$1</f>
        <v>38412</v>
      </c>
      <c r="NJ15" s="697">
        <f t="shared" si="515"/>
        <v>57715.118999999999</v>
      </c>
      <c r="NK15" s="697">
        <f t="shared" si="515"/>
        <v>58839.264000000003</v>
      </c>
      <c r="NL15" s="697">
        <f t="shared" si="515"/>
        <v>45893.627999999997</v>
      </c>
      <c r="NM15" s="697">
        <f t="shared" si="515"/>
        <v>61250.31</v>
      </c>
      <c r="NN15" s="697">
        <f t="shared" si="515"/>
        <v>65384.55</v>
      </c>
      <c r="NO15" s="701">
        <f t="shared" si="515"/>
        <v>0</v>
      </c>
      <c r="NP15" s="696">
        <f>SUM(NQ15:NW15)</f>
        <v>385389.27899999998</v>
      </c>
      <c r="NQ15" s="697">
        <f t="shared" ref="NQ15:NW15" si="516">NQ13*NQ14*$C$1</f>
        <v>48149.64</v>
      </c>
      <c r="NR15" s="697">
        <f t="shared" si="516"/>
        <v>67675.112999999998</v>
      </c>
      <c r="NS15" s="697">
        <f t="shared" si="516"/>
        <v>69883.30799999999</v>
      </c>
      <c r="NT15" s="697">
        <f t="shared" si="516"/>
        <v>65967.263999999996</v>
      </c>
      <c r="NU15" s="697">
        <f t="shared" si="516"/>
        <v>67558.59</v>
      </c>
      <c r="NV15" s="697">
        <f t="shared" si="516"/>
        <v>66155.364000000001</v>
      </c>
      <c r="NW15" s="701">
        <f t="shared" si="516"/>
        <v>0</v>
      </c>
      <c r="NX15" s="696">
        <f>SUM(NY15:OE15)</f>
        <v>323018.88299999997</v>
      </c>
      <c r="NY15" s="697">
        <f t="shared" ref="NY15:OE15" si="517">NY13*NY14*$C$1</f>
        <v>46525.347000000002</v>
      </c>
      <c r="NZ15" s="697">
        <f t="shared" si="517"/>
        <v>61648.685999999994</v>
      </c>
      <c r="OA15" s="697">
        <f t="shared" si="517"/>
        <v>60197.741999999998</v>
      </c>
      <c r="OB15" s="697">
        <f t="shared" si="517"/>
        <v>43262.01</v>
      </c>
      <c r="OC15" s="697">
        <f t="shared" si="517"/>
        <v>56401.487999999998</v>
      </c>
      <c r="OD15" s="697">
        <f t="shared" si="517"/>
        <v>54983.61</v>
      </c>
      <c r="OE15" s="701">
        <f t="shared" si="517"/>
        <v>0</v>
      </c>
      <c r="OF15" s="696">
        <f>SUM(OG15:OM15)</f>
        <v>298178.99099999998</v>
      </c>
      <c r="OG15" s="697">
        <f t="shared" ref="OG15:OM15" si="518">OG13*OG14*$C$1</f>
        <v>37259.64</v>
      </c>
      <c r="OH15" s="697">
        <f t="shared" si="518"/>
        <v>54400.896000000001</v>
      </c>
      <c r="OI15" s="697">
        <f t="shared" si="518"/>
        <v>57211.703999999998</v>
      </c>
      <c r="OJ15" s="697">
        <f>OJ13*OJ14*$C$1</f>
        <v>46032.723000000005</v>
      </c>
      <c r="OK15" s="697">
        <f t="shared" si="518"/>
        <v>54285.659999999996</v>
      </c>
      <c r="OL15" s="697">
        <f t="shared" si="518"/>
        <v>48988.367999999995</v>
      </c>
      <c r="OM15" s="701">
        <f t="shared" si="518"/>
        <v>0</v>
      </c>
      <c r="ON15" s="696">
        <f>SUM(OO15:OU15)</f>
        <v>352647.00899999996</v>
      </c>
      <c r="OO15" s="697">
        <f t="shared" ref="OO15:OU15" si="519">OO13*OO14*$C$1</f>
        <v>38777.211000000003</v>
      </c>
      <c r="OP15" s="697">
        <f t="shared" si="519"/>
        <v>58311.396000000001</v>
      </c>
      <c r="OQ15" s="697">
        <f t="shared" si="519"/>
        <v>64855.890000000007</v>
      </c>
      <c r="OR15" s="697">
        <f t="shared" si="519"/>
        <v>65838.960000000006</v>
      </c>
      <c r="OS15" s="697">
        <f>OS13*OS14*$C$1</f>
        <v>62654.327999999994</v>
      </c>
      <c r="OT15" s="697">
        <f t="shared" si="519"/>
        <v>62209.223999999995</v>
      </c>
      <c r="OU15" s="701">
        <f t="shared" si="519"/>
        <v>0</v>
      </c>
      <c r="OV15" s="696">
        <f>SUM(OW15:PC15)</f>
        <v>272293.85700000002</v>
      </c>
      <c r="OW15" s="697">
        <f t="shared" ref="OW15:PC15" si="520">OW13*OW14*$C$1</f>
        <v>14644.872000000001</v>
      </c>
      <c r="OX15" s="697">
        <f t="shared" si="520"/>
        <v>45833.633999999998</v>
      </c>
      <c r="OY15" s="697">
        <f t="shared" si="520"/>
        <v>57006.18</v>
      </c>
      <c r="OZ15" s="697">
        <f t="shared" si="520"/>
        <v>37350.126000000004</v>
      </c>
      <c r="PA15" s="697">
        <f t="shared" si="520"/>
        <v>59962.518000000004</v>
      </c>
      <c r="PB15" s="697">
        <f t="shared" si="520"/>
        <v>57496.526999999995</v>
      </c>
      <c r="PC15" s="701">
        <f t="shared" si="520"/>
        <v>0</v>
      </c>
      <c r="PD15" s="85"/>
    </row>
    <row r="16" spans="2:420" ht="15" thickBot="1" x14ac:dyDescent="0.35">
      <c r="B16" s="978" t="s">
        <v>215</v>
      </c>
      <c r="C16" s="677" t="s">
        <v>252</v>
      </c>
      <c r="D16" s="690">
        <f>SUM(E16:K16)</f>
        <v>5250</v>
      </c>
      <c r="E16" s="669">
        <f>INDEX(DB!$3:$367,MATCH(E$2,DB!$D$3:$D$367),18)</f>
        <v>700</v>
      </c>
      <c r="F16" s="669">
        <f>INDEX(DB!$3:$367,MATCH(F$2,DB!$D$3:$D$367),18)</f>
        <v>1000</v>
      </c>
      <c r="G16" s="669">
        <f>INDEX(DB!$3:$367,MATCH(G$2,DB!$D$3:$D$367),18)</f>
        <v>1000</v>
      </c>
      <c r="H16" s="669">
        <f>INDEX(DB!$3:$367,MATCH(H$2,DB!$D$3:$D$367),18)</f>
        <v>900</v>
      </c>
      <c r="I16" s="669">
        <f>INDEX(DB!$3:$367,MATCH(I$2,DB!$D$3:$D$367),18)</f>
        <v>850</v>
      </c>
      <c r="J16" s="669">
        <f>INDEX(DB!$3:$367,MATCH(J$2,DB!$D$3:$D$367),18)</f>
        <v>800</v>
      </c>
      <c r="K16" s="660">
        <f>INDEX(DB!$3:$367,MATCH(K$2,DB!$D$3:$D$367),18)</f>
        <v>0</v>
      </c>
      <c r="L16" s="690">
        <f>SUM(M16:S16)</f>
        <v>5350</v>
      </c>
      <c r="M16" s="669">
        <f>INDEX(DB!$3:$367,MATCH(M$2,DB!$D$3:$D$367),18)</f>
        <v>800</v>
      </c>
      <c r="N16" s="669">
        <f>INDEX(DB!$3:$367,MATCH(N$2,DB!$D$3:$D$367),18)</f>
        <v>1000</v>
      </c>
      <c r="O16" s="669">
        <f>INDEX(DB!$3:$367,MATCH(O$2,DB!$D$3:$D$367),18)</f>
        <v>900</v>
      </c>
      <c r="P16" s="669">
        <f>INDEX(DB!$3:$367,MATCH(P$2,DB!$D$3:$D$367),18)</f>
        <v>900</v>
      </c>
      <c r="Q16" s="669">
        <f>INDEX(DB!$3:$367,MATCH(Q$2,DB!$D$3:$D$367),18)</f>
        <v>850</v>
      </c>
      <c r="R16" s="669">
        <f>INDEX(DB!$3:$367,MATCH(R$2,DB!$D$3:$D$367),18)</f>
        <v>900</v>
      </c>
      <c r="S16" s="660">
        <f>INDEX(DB!$3:$367,MATCH(S$2,DB!$D$3:$D$367),18)</f>
        <v>0</v>
      </c>
      <c r="T16" s="690">
        <f>SUM(U16:AA16)</f>
        <v>5550</v>
      </c>
      <c r="U16" s="669">
        <f>INDEX(DB!$3:$367,MATCH(U$2,DB!$D$3:$D$367),18)</f>
        <v>850</v>
      </c>
      <c r="V16" s="669">
        <f>INDEX(DB!$3:$367,MATCH(V$2,DB!$D$3:$D$367),18)</f>
        <v>950</v>
      </c>
      <c r="W16" s="669">
        <f>INDEX(DB!$3:$367,MATCH(W$2,DB!$D$3:$D$367),18)</f>
        <v>950</v>
      </c>
      <c r="X16" s="669">
        <f>INDEX(DB!$3:$367,MATCH(X$2,DB!$D$3:$D$367),18)</f>
        <v>950</v>
      </c>
      <c r="Y16" s="669">
        <f>INDEX(DB!$3:$367,MATCH(Y$2,DB!$D$3:$D$367),18)</f>
        <v>950</v>
      </c>
      <c r="Z16" s="669">
        <f>INDEX(DB!$3:$367,MATCH(Z$2,DB!$D$3:$D$367),18)</f>
        <v>900</v>
      </c>
      <c r="AA16" s="660">
        <f>INDEX(DB!$3:$367,MATCH(AA$2,DB!$D$3:$D$367),18)</f>
        <v>0</v>
      </c>
      <c r="AB16" s="690">
        <f>SUM(AC16:AI16)</f>
        <v>5800</v>
      </c>
      <c r="AC16" s="669">
        <f>INDEX(DB!$3:$367,MATCH(AC$2,DB!$D$3:$D$367),18)</f>
        <v>900</v>
      </c>
      <c r="AD16" s="669">
        <f>INDEX(DB!$3:$367,MATCH(AD$2,DB!$D$3:$D$367),18)</f>
        <v>1000</v>
      </c>
      <c r="AE16" s="669">
        <f>INDEX(DB!$3:$367,MATCH(AE$2,DB!$D$3:$D$367),18)</f>
        <v>1000</v>
      </c>
      <c r="AF16" s="669">
        <f>INDEX(DB!$3:$367,MATCH(AF$2,DB!$D$3:$D$367),18)</f>
        <v>1000</v>
      </c>
      <c r="AG16" s="669">
        <f>INDEX(DB!$3:$367,MATCH(AG$2,DB!$D$3:$D$367),18)</f>
        <v>1000</v>
      </c>
      <c r="AH16" s="669">
        <f>INDEX(DB!$3:$367,MATCH(AH$2,DB!$D$3:$D$367),18)</f>
        <v>900</v>
      </c>
      <c r="AI16" s="660">
        <f>INDEX(DB!$3:$367,MATCH(AI$2,DB!$D$3:$D$367),18)</f>
        <v>0</v>
      </c>
      <c r="AJ16" s="690">
        <f>SUM(AK16:AQ16)</f>
        <v>5950</v>
      </c>
      <c r="AK16" s="669">
        <f>INDEX(DB!$3:$367,MATCH(AK$2,DB!$D$3:$D$367),18)</f>
        <v>900</v>
      </c>
      <c r="AL16" s="669">
        <f>INDEX(DB!$3:$367,MATCH(AL$2,DB!$D$3:$D$367),18)</f>
        <v>1000</v>
      </c>
      <c r="AM16" s="669">
        <f>INDEX(DB!$3:$367,MATCH(AM$2,DB!$D$3:$D$367),18)</f>
        <v>1050</v>
      </c>
      <c r="AN16" s="669">
        <f>INDEX(DB!$3:$367,MATCH(AN$2,DB!$D$3:$D$367),18)</f>
        <v>1050</v>
      </c>
      <c r="AO16" s="669">
        <f>INDEX(DB!$3:$367,MATCH(AO$2,DB!$D$3:$D$367),18)</f>
        <v>1000</v>
      </c>
      <c r="AP16" s="669">
        <f>INDEX(DB!$3:$367,MATCH(AP$2,DB!$D$3:$D$367),18)</f>
        <v>950</v>
      </c>
      <c r="AQ16" s="660">
        <f>INDEX(DB!$3:$367,MATCH(AQ$2,DB!$D$3:$D$367),18)</f>
        <v>0</v>
      </c>
      <c r="AR16" s="690">
        <f>SUM(AS16:AY16)</f>
        <v>5950</v>
      </c>
      <c r="AS16" s="669">
        <f>INDEX(DB!$3:$367,MATCH(AS$2,DB!$D$3:$D$367),18)</f>
        <v>950</v>
      </c>
      <c r="AT16" s="669">
        <f>INDEX(DB!$3:$367,MATCH(AT$2,DB!$D$3:$D$367),18)</f>
        <v>1000</v>
      </c>
      <c r="AU16" s="669">
        <f>INDEX(DB!$3:$367,MATCH(AU$2,DB!$D$3:$D$367),18)</f>
        <v>1050</v>
      </c>
      <c r="AV16" s="669">
        <f>INDEX(DB!$3:$367,MATCH(AV$2,DB!$D$3:$D$367),18)</f>
        <v>1000</v>
      </c>
      <c r="AW16" s="669">
        <f>INDEX(DB!$3:$367,MATCH(AW$2,DB!$D$3:$D$367),18)</f>
        <v>1000</v>
      </c>
      <c r="AX16" s="669">
        <f>INDEX(DB!$3:$367,MATCH(AX$2,DB!$D$3:$D$367),18)</f>
        <v>950</v>
      </c>
      <c r="AY16" s="660">
        <f>INDEX(DB!$3:$367,MATCH(AY$2,DB!$D$3:$D$367),18)</f>
        <v>0</v>
      </c>
      <c r="AZ16" s="690">
        <f>SUM(BA16:BG16)</f>
        <v>5750</v>
      </c>
      <c r="BA16" s="669">
        <f>INDEX(DB!$3:$367,MATCH(BA$2,DB!$D$3:$D$367),18)</f>
        <v>900</v>
      </c>
      <c r="BB16" s="669">
        <f>INDEX(DB!$3:$367,MATCH(BB$2,DB!$D$3:$D$367),18)</f>
        <v>1000</v>
      </c>
      <c r="BC16" s="669">
        <f>INDEX(DB!$3:$367,MATCH(BC$2,DB!$D$3:$D$367),18)</f>
        <v>1000</v>
      </c>
      <c r="BD16" s="669">
        <f>INDEX(DB!$3:$367,MATCH(BD$2,DB!$D$3:$D$367),18)</f>
        <v>950</v>
      </c>
      <c r="BE16" s="669">
        <f>INDEX(DB!$3:$367,MATCH(BE$2,DB!$D$3:$D$367),18)</f>
        <v>1000</v>
      </c>
      <c r="BF16" s="669">
        <f>INDEX(DB!$3:$367,MATCH(BF$2,DB!$D$3:$D$367),18)</f>
        <v>900</v>
      </c>
      <c r="BG16" s="660">
        <f>INDEX(DB!$3:$367,MATCH(BG$2,DB!$D$3:$D$367),18)</f>
        <v>0</v>
      </c>
      <c r="BH16" s="690">
        <f>SUM(BI16:BO16)</f>
        <v>5700</v>
      </c>
      <c r="BI16" s="669">
        <f>INDEX(DB!$3:$367,MATCH(BI$2,DB!$D$3:$D$367),18)</f>
        <v>900</v>
      </c>
      <c r="BJ16" s="669">
        <f>INDEX(DB!$3:$367,MATCH(BJ$2,DB!$D$3:$D$367),18)</f>
        <v>950</v>
      </c>
      <c r="BK16" s="669">
        <f>INDEX(DB!$3:$367,MATCH(BK$2,DB!$D$3:$D$367),18)</f>
        <v>950</v>
      </c>
      <c r="BL16" s="669">
        <f>INDEX(DB!$3:$367,MATCH(BL$2,DB!$D$3:$D$367),18)</f>
        <v>950</v>
      </c>
      <c r="BM16" s="669">
        <f>INDEX(DB!$3:$367,MATCH(BM$2,DB!$D$3:$D$367),18)</f>
        <v>1000</v>
      </c>
      <c r="BN16" s="669">
        <f>INDEX(DB!$3:$367,MATCH(BN$2,DB!$D$3:$D$367),18)</f>
        <v>950</v>
      </c>
      <c r="BO16" s="660">
        <f>INDEX(DB!$3:$367,MATCH(BO$2,DB!$D$3:$D$367),18)</f>
        <v>0</v>
      </c>
      <c r="BP16" s="690">
        <f>SUM(BQ16:BW16)</f>
        <v>5950</v>
      </c>
      <c r="BQ16" s="669">
        <f>INDEX(DB!$3:$367,MATCH(BQ$2,DB!$D$3:$D$367),18)</f>
        <v>950</v>
      </c>
      <c r="BR16" s="669">
        <f>INDEX(DB!$3:$367,MATCH(BR$2,DB!$D$3:$D$367),18)</f>
        <v>1000</v>
      </c>
      <c r="BS16" s="669">
        <f>INDEX(DB!$3:$367,MATCH(BS$2,DB!$D$3:$D$367),18)</f>
        <v>1000</v>
      </c>
      <c r="BT16" s="669">
        <f>INDEX(DB!$3:$367,MATCH(BT$2,DB!$D$3:$D$367),18)</f>
        <v>1000</v>
      </c>
      <c r="BU16" s="669">
        <f>INDEX(DB!$3:$367,MATCH(BU$2,DB!$D$3:$D$367),18)</f>
        <v>1000</v>
      </c>
      <c r="BV16" s="669">
        <f>INDEX(DB!$3:$367,MATCH(BV$2,DB!$D$3:$D$367),18)</f>
        <v>1000</v>
      </c>
      <c r="BW16" s="660">
        <f>INDEX(DB!$3:$367,MATCH(BW$2,DB!$D$3:$D$367),18)</f>
        <v>0</v>
      </c>
      <c r="BX16" s="690">
        <f>SUM(BY16:CE16)</f>
        <v>5650</v>
      </c>
      <c r="BY16" s="669">
        <f>INDEX(DB!$3:$367,MATCH(BY$2,DB!$D$3:$D$367),18)</f>
        <v>850</v>
      </c>
      <c r="BZ16" s="669">
        <f>INDEX(DB!$3:$367,MATCH(BZ$2,DB!$D$3:$D$367),18)</f>
        <v>950</v>
      </c>
      <c r="CA16" s="669">
        <f>INDEX(DB!$3:$367,MATCH(CA$2,DB!$D$3:$D$367),18)</f>
        <v>950</v>
      </c>
      <c r="CB16" s="669">
        <f>INDEX(DB!$3:$367,MATCH(CB$2,DB!$D$3:$D$367),18)</f>
        <v>900</v>
      </c>
      <c r="CC16" s="669">
        <f>INDEX(DB!$3:$367,MATCH(CC$2,DB!$D$3:$D$367),18)</f>
        <v>1050</v>
      </c>
      <c r="CD16" s="669">
        <f>INDEX(DB!$3:$367,MATCH(CD$2,DB!$D$3:$D$367),18)</f>
        <v>950</v>
      </c>
      <c r="CE16" s="660">
        <f>INDEX(DB!$3:$367,MATCH(CE$2,DB!$D$3:$D$367),18)</f>
        <v>0</v>
      </c>
      <c r="CF16" s="690">
        <f>SUM(CG16:CM16)</f>
        <v>5450</v>
      </c>
      <c r="CG16" s="669">
        <f>INDEX(DB!$3:$367,MATCH(CG$2,DB!$D$3:$D$367),18)</f>
        <v>800</v>
      </c>
      <c r="CH16" s="669">
        <f>INDEX(DB!$3:$367,MATCH(CH$2,DB!$D$3:$D$367),18)</f>
        <v>1000</v>
      </c>
      <c r="CI16" s="669">
        <f>INDEX(DB!$3:$367,MATCH(CI$2,DB!$D$3:$D$367),18)</f>
        <v>950</v>
      </c>
      <c r="CJ16" s="669">
        <f>INDEX(DB!$3:$367,MATCH(CJ$2,DB!$D$3:$D$367),18)</f>
        <v>850</v>
      </c>
      <c r="CK16" s="669">
        <f>INDEX(DB!$3:$367,MATCH(CK$2,DB!$D$3:$D$367),18)</f>
        <v>950</v>
      </c>
      <c r="CL16" s="669">
        <f>INDEX(DB!$3:$367,MATCH(CL$2,DB!$D$3:$D$367),18)</f>
        <v>900</v>
      </c>
      <c r="CM16" s="660">
        <f>INDEX(DB!$3:$367,MATCH(CM$2,DB!$D$3:$D$367),18)</f>
        <v>0</v>
      </c>
      <c r="CN16" s="690">
        <f>SUM(CO16:CU16)</f>
        <v>5750</v>
      </c>
      <c r="CO16" s="669">
        <v>900</v>
      </c>
      <c r="CP16" s="669">
        <v>1000</v>
      </c>
      <c r="CQ16" s="669">
        <v>950</v>
      </c>
      <c r="CR16" s="669">
        <v>900</v>
      </c>
      <c r="CS16" s="669">
        <v>1100</v>
      </c>
      <c r="CT16" s="669">
        <v>900</v>
      </c>
      <c r="CU16" s="660">
        <f>INDEX(DB!$3:$367,MATCH(CU$2,DB!$D$3:$D$367),18)</f>
        <v>0</v>
      </c>
      <c r="CV16" s="690">
        <f>SUM(CW16:DC16)</f>
        <v>5800</v>
      </c>
      <c r="CW16" s="669">
        <v>900</v>
      </c>
      <c r="CX16" s="669">
        <v>1000</v>
      </c>
      <c r="CY16" s="669">
        <v>1000</v>
      </c>
      <c r="CZ16" s="669">
        <v>950</v>
      </c>
      <c r="DA16" s="669">
        <v>1100</v>
      </c>
      <c r="DB16" s="669">
        <v>850</v>
      </c>
      <c r="DC16" s="660">
        <f>INDEX(DB!$3:$367,MATCH(DC$2,DB!$D$3:$D$367),18)</f>
        <v>0</v>
      </c>
      <c r="DD16" s="690">
        <f>SUM(DE16:DK16)</f>
        <v>5800</v>
      </c>
      <c r="DE16" s="669">
        <f>INDEX(DB!$3:$367,MATCH(DE$2,DB!$D$3:$D$367),18)</f>
        <v>900</v>
      </c>
      <c r="DF16" s="669">
        <f>INDEX(DB!$3:$367,MATCH(DF$2,DB!$D$3:$D$367),18)</f>
        <v>1000</v>
      </c>
      <c r="DG16" s="669">
        <f>INDEX(DB!$3:$367,MATCH(DG$2,DB!$D$3:$D$367),18)</f>
        <v>1000</v>
      </c>
      <c r="DH16" s="669">
        <f>INDEX(DB!$3:$367,MATCH(DH$2,DB!$D$3:$D$367),18)</f>
        <v>1000</v>
      </c>
      <c r="DI16" s="669">
        <f>INDEX(DB!$3:$367,MATCH(DI$2,DB!$D$3:$D$367),18)</f>
        <v>1050</v>
      </c>
      <c r="DJ16" s="669">
        <f>INDEX(DB!$3:$367,MATCH(DJ$2,DB!$D$3:$D$367),18)</f>
        <v>850</v>
      </c>
      <c r="DK16" s="660">
        <f>INDEX(DB!$3:$367,MATCH(DK$2,DB!$D$3:$D$367),18)</f>
        <v>0</v>
      </c>
      <c r="DL16" s="690">
        <f>SUM(DM16:DS16)</f>
        <v>5800</v>
      </c>
      <c r="DM16" s="669">
        <v>900</v>
      </c>
      <c r="DN16" s="669">
        <v>1000</v>
      </c>
      <c r="DO16" s="669">
        <v>1000</v>
      </c>
      <c r="DP16" s="669">
        <v>1000</v>
      </c>
      <c r="DQ16" s="669">
        <v>1050</v>
      </c>
      <c r="DR16" s="669">
        <v>850</v>
      </c>
      <c r="DS16" s="660">
        <f>INDEX(DB!$3:$367,MATCH(DS$2,DB!$D$3:$D$367),18)</f>
        <v>0</v>
      </c>
      <c r="DT16" s="690">
        <f>SUM(DU16:EA16)</f>
        <v>4200</v>
      </c>
      <c r="DU16" s="669">
        <v>0</v>
      </c>
      <c r="DV16" s="669">
        <v>400</v>
      </c>
      <c r="DW16" s="669">
        <v>1050</v>
      </c>
      <c r="DX16" s="669">
        <v>900</v>
      </c>
      <c r="DY16" s="669">
        <v>1000</v>
      </c>
      <c r="DZ16" s="669">
        <v>850</v>
      </c>
      <c r="EA16" s="660">
        <f>INDEX(DB!$3:$367,MATCH(EA$2,DB!$D$3:$D$367),18)</f>
        <v>0</v>
      </c>
      <c r="EB16" s="690">
        <f>SUM(EC16:EI16)</f>
        <v>5525</v>
      </c>
      <c r="EC16" s="669">
        <f>INDEX(DB!$3:$367,MATCH(EC$2,DB!$D$3:$D$367),18)</f>
        <v>900</v>
      </c>
      <c r="ED16" s="669">
        <f>INDEX(DB!$3:$367,MATCH(ED$2,DB!$D$3:$D$367),18)</f>
        <v>900</v>
      </c>
      <c r="EE16" s="669">
        <f>INDEX(DB!$3:$367,MATCH(EE$2,DB!$D$3:$D$367),18)</f>
        <v>900</v>
      </c>
      <c r="EF16" s="669">
        <f>INDEX(DB!$3:$367,MATCH(EF$2,DB!$D$3:$D$367),18)</f>
        <v>900</v>
      </c>
      <c r="EG16" s="669">
        <f>INDEX(DB!$3:$367,MATCH(EG$2,DB!$D$3:$D$367),18)</f>
        <v>1025</v>
      </c>
      <c r="EH16" s="669">
        <f>INDEX(DB!$3:$367,MATCH(EH$2,DB!$D$3:$D$367),18)</f>
        <v>900</v>
      </c>
      <c r="EI16" s="660">
        <f>INDEX(DB!$3:$367,MATCH(EI$2,DB!$D$3:$D$367),18)</f>
        <v>0</v>
      </c>
      <c r="EJ16" s="690">
        <f>SUM(EK16:EQ16)</f>
        <v>5850</v>
      </c>
      <c r="EK16" s="669">
        <f>INDEX(DB!$3:$367,MATCH(EK$2,DB!$D$3:$D$367),18)</f>
        <v>950</v>
      </c>
      <c r="EL16" s="669">
        <f>INDEX(DB!$3:$367,MATCH(EL$2,DB!$D$3:$D$367),18)</f>
        <v>1000</v>
      </c>
      <c r="EM16" s="669">
        <f>INDEX(DB!$3:$367,MATCH(EM$2,DB!$D$3:$D$367),18)</f>
        <v>950</v>
      </c>
      <c r="EN16" s="669">
        <f>INDEX(DB!$3:$367,MATCH(EN$2,DB!$D$3:$D$367),18)</f>
        <v>900</v>
      </c>
      <c r="EO16" s="669">
        <f>INDEX(DB!$3:$367,MATCH(EO$2,DB!$D$3:$D$367),18)</f>
        <v>1050</v>
      </c>
      <c r="EP16" s="669">
        <f>INDEX(DB!$3:$367,MATCH(EP$2,DB!$D$3:$D$367),18)</f>
        <v>1000</v>
      </c>
      <c r="EQ16" s="660">
        <f>INDEX(DB!$3:$367,MATCH(EQ$2,DB!$D$3:$D$367),18)</f>
        <v>0</v>
      </c>
      <c r="ER16" s="690">
        <f>SUM(ES16:EY16)</f>
        <v>5950</v>
      </c>
      <c r="ES16" s="669">
        <v>950</v>
      </c>
      <c r="ET16" s="669">
        <v>1000</v>
      </c>
      <c r="EU16" s="669">
        <v>1000</v>
      </c>
      <c r="EV16" s="669">
        <v>1000</v>
      </c>
      <c r="EW16" s="669">
        <v>1050</v>
      </c>
      <c r="EX16" s="669">
        <v>950</v>
      </c>
      <c r="EY16" s="660">
        <f>INDEX(DB!$3:$367,MATCH(EY$2,DB!$D$3:$D$367),18)</f>
        <v>0</v>
      </c>
      <c r="EZ16" s="690">
        <f>SUM(FA16:FG16)</f>
        <v>5950</v>
      </c>
      <c r="FA16" s="669">
        <v>950</v>
      </c>
      <c r="FB16" s="669">
        <v>1000</v>
      </c>
      <c r="FC16" s="669">
        <v>1000</v>
      </c>
      <c r="FD16" s="669">
        <v>1000</v>
      </c>
      <c r="FE16" s="669">
        <v>1050</v>
      </c>
      <c r="FF16" s="669">
        <v>950</v>
      </c>
      <c r="FG16" s="660">
        <f>INDEX(DB!$3:$367,MATCH(FG$2,DB!$D$3:$D$367),18)</f>
        <v>0</v>
      </c>
      <c r="FH16" s="690">
        <f>SUM(FI16:FO16)</f>
        <v>4950</v>
      </c>
      <c r="FI16" s="669">
        <v>900</v>
      </c>
      <c r="FJ16" s="669">
        <v>1000</v>
      </c>
      <c r="FK16" s="669">
        <v>1000</v>
      </c>
      <c r="FL16" s="669">
        <v>0</v>
      </c>
      <c r="FM16" s="669">
        <v>1000</v>
      </c>
      <c r="FN16" s="669">
        <v>1050</v>
      </c>
      <c r="FO16" s="660">
        <f>INDEX(DB!$3:$367,MATCH(FO$2,DB!$D$3:$D$367),18)</f>
        <v>0</v>
      </c>
      <c r="FP16" s="690">
        <f>SUM(FQ16:FW16)</f>
        <v>5800</v>
      </c>
      <c r="FQ16" s="669">
        <v>900</v>
      </c>
      <c r="FR16" s="669">
        <v>1000</v>
      </c>
      <c r="FS16" s="669">
        <v>1000</v>
      </c>
      <c r="FT16" s="669">
        <v>1000</v>
      </c>
      <c r="FU16" s="669">
        <v>1000</v>
      </c>
      <c r="FV16" s="669">
        <v>900</v>
      </c>
      <c r="FW16" s="660">
        <f>INDEX(DB!$3:$367,MATCH(FW$2,DB!$D$3:$D$367),18)</f>
        <v>0</v>
      </c>
      <c r="FX16" s="690">
        <f>SUM(FY16:GE16)</f>
        <v>4700</v>
      </c>
      <c r="FY16" s="669">
        <v>0</v>
      </c>
      <c r="FZ16" s="669">
        <v>800</v>
      </c>
      <c r="GA16" s="669">
        <v>1050</v>
      </c>
      <c r="GB16" s="669">
        <v>950</v>
      </c>
      <c r="GC16" s="669">
        <v>1050</v>
      </c>
      <c r="GD16" s="669">
        <v>850</v>
      </c>
      <c r="GE16" s="660">
        <f>INDEX(DB!$3:$367,MATCH(GE$2,DB!$D$3:$D$367),18)</f>
        <v>0</v>
      </c>
      <c r="GF16" s="690">
        <f>SUM(GG16:GM16)</f>
        <v>5700</v>
      </c>
      <c r="GG16" s="669">
        <v>900</v>
      </c>
      <c r="GH16" s="669">
        <v>950</v>
      </c>
      <c r="GI16" s="669">
        <v>950</v>
      </c>
      <c r="GJ16" s="669">
        <v>950</v>
      </c>
      <c r="GK16" s="669">
        <v>1050</v>
      </c>
      <c r="GL16" s="669">
        <v>900</v>
      </c>
      <c r="GM16" s="660">
        <f>INDEX(DB!$3:$367,MATCH(GM$2,DB!$D$3:$D$367),18)</f>
        <v>0</v>
      </c>
      <c r="GN16" s="690">
        <f>SUM(GO16:GU16)</f>
        <v>5850</v>
      </c>
      <c r="GO16" s="669">
        <v>900</v>
      </c>
      <c r="GP16" s="669">
        <v>1000</v>
      </c>
      <c r="GQ16" s="669">
        <v>1000</v>
      </c>
      <c r="GR16" s="669">
        <v>975</v>
      </c>
      <c r="GS16" s="669">
        <v>1050</v>
      </c>
      <c r="GT16" s="669">
        <v>925</v>
      </c>
      <c r="GU16" s="660">
        <f>INDEX(DB!$3:$367,MATCH(GU$2,DB!$D$3:$D$367),18)</f>
        <v>0</v>
      </c>
      <c r="GV16" s="690">
        <f>SUM(GW16:HC16)</f>
        <v>5750</v>
      </c>
      <c r="GW16" s="669">
        <f>INDEX(DB!$3:$367,MATCH(GW$2,DB!$D$3:$D$367),18)</f>
        <v>950</v>
      </c>
      <c r="GX16" s="669">
        <f>INDEX(DB!$3:$367,MATCH(GX$2,DB!$D$3:$D$367),18)</f>
        <v>1000</v>
      </c>
      <c r="GY16" s="669">
        <f>INDEX(DB!$3:$367,MATCH(GY$2,DB!$D$3:$D$367),18)</f>
        <v>1000</v>
      </c>
      <c r="GZ16" s="669">
        <f>INDEX(DB!$3:$367,MATCH(GZ$2,DB!$D$3:$D$367),18)</f>
        <v>950</v>
      </c>
      <c r="HA16" s="669">
        <f>INDEX(DB!$3:$367,MATCH(HA$2,DB!$D$3:$D$367),18)</f>
        <v>1000</v>
      </c>
      <c r="HB16" s="669">
        <f>INDEX(DB!$3:$367,MATCH(HB$2,DB!$D$3:$D$367),18)</f>
        <v>850</v>
      </c>
      <c r="HC16" s="660">
        <f>INDEX(DB!$3:$367,MATCH(HC$2,DB!$D$3:$D$367),18)</f>
        <v>0</v>
      </c>
      <c r="HD16" s="690">
        <v>5325</v>
      </c>
      <c r="HE16" s="669">
        <v>900</v>
      </c>
      <c r="HF16" s="669">
        <v>950</v>
      </c>
      <c r="HG16" s="669">
        <v>925</v>
      </c>
      <c r="HH16" s="669">
        <v>850</v>
      </c>
      <c r="HI16" s="669">
        <v>950</v>
      </c>
      <c r="HJ16" s="669">
        <v>750</v>
      </c>
      <c r="HK16" s="660">
        <f>INDEX(DB!$3:$367,MATCH(HK$2,DB!$D$3:$D$367),18)</f>
        <v>0</v>
      </c>
      <c r="HL16" s="690">
        <f>SUM(HM16:HS16)</f>
        <v>4950</v>
      </c>
      <c r="HM16" s="669">
        <f>INDEX(DB!$3:$367,MATCH(HM$2,DB!$D$3:$D$367),18)</f>
        <v>850</v>
      </c>
      <c r="HN16" s="669">
        <f>INDEX(DB!$3:$367,MATCH(HN$2,DB!$D$3:$D$367),18)</f>
        <v>850</v>
      </c>
      <c r="HO16" s="669">
        <f>INDEX(DB!$3:$367,MATCH(HO$2,DB!$D$3:$D$367),18)</f>
        <v>850</v>
      </c>
      <c r="HP16" s="669">
        <v>800</v>
      </c>
      <c r="HQ16" s="669">
        <f>INDEX(DB!$3:$367,MATCH(HQ$2,DB!$D$3:$D$367),18)</f>
        <v>900</v>
      </c>
      <c r="HR16" s="669">
        <f>INDEX(DB!$3:$367,MATCH(HR$2,DB!$D$3:$D$367),18)</f>
        <v>700</v>
      </c>
      <c r="HS16" s="660">
        <f>INDEX(DB!$3:$367,MATCH(HS$2,DB!$D$3:$D$367),18)</f>
        <v>0</v>
      </c>
      <c r="HT16" s="690">
        <f>SUM(HU16:IA16)</f>
        <v>4250</v>
      </c>
      <c r="HU16" s="669">
        <v>800</v>
      </c>
      <c r="HV16" s="669">
        <v>900</v>
      </c>
      <c r="HW16" s="669">
        <v>850</v>
      </c>
      <c r="HX16" s="669">
        <v>0</v>
      </c>
      <c r="HY16" s="669">
        <v>1000</v>
      </c>
      <c r="HZ16" s="669">
        <v>700</v>
      </c>
      <c r="IA16" s="660">
        <f>INDEX(DB!$3:$367,MATCH(IA$2,DB!$D$3:$D$367),18)</f>
        <v>0</v>
      </c>
      <c r="IB16" s="690">
        <f>SUM(IC16:II16)</f>
        <v>4925</v>
      </c>
      <c r="IC16" s="669">
        <f>INDEX(DB!$3:$367,MATCH(IC$2,DB!$D$3:$D$367),18)</f>
        <v>800</v>
      </c>
      <c r="ID16" s="669">
        <f>INDEX(DB!$3:$367,MATCH(ID$2,DB!$D$3:$D$367),18)</f>
        <v>875</v>
      </c>
      <c r="IE16" s="669">
        <f>INDEX(DB!$3:$367,MATCH(IE$2,DB!$D$3:$D$367),18)</f>
        <v>900</v>
      </c>
      <c r="IF16" s="669">
        <f>INDEX(DB!$3:$367,MATCH(IF$2,DB!$D$3:$D$367),18)</f>
        <v>800</v>
      </c>
      <c r="IG16" s="669">
        <f>INDEX(DB!$3:$367,MATCH(IG$2,DB!$D$3:$D$367),18)</f>
        <v>850</v>
      </c>
      <c r="IH16" s="669">
        <f>INDEX(DB!$3:$367,MATCH(IH$2,DB!$D$3:$D$367),18)</f>
        <v>700</v>
      </c>
      <c r="II16" s="660">
        <f>INDEX(DB!$3:$367,MATCH(II$2,DB!$D$3:$D$367),18)</f>
        <v>0</v>
      </c>
      <c r="IJ16" s="690">
        <f>SUM(IK16:IQ16)</f>
        <v>4900</v>
      </c>
      <c r="IK16" s="669">
        <v>800</v>
      </c>
      <c r="IL16" s="669">
        <v>900</v>
      </c>
      <c r="IM16" s="669">
        <v>900</v>
      </c>
      <c r="IN16" s="669">
        <v>800</v>
      </c>
      <c r="IO16" s="669">
        <v>850</v>
      </c>
      <c r="IP16" s="669">
        <v>650</v>
      </c>
      <c r="IQ16" s="660">
        <f>INDEX(DB!$3:$367,MATCH(IQ$2,DB!$D$3:$D$367),18)</f>
        <v>0</v>
      </c>
      <c r="IR16" s="690">
        <f>SUM(IS16:IY16)</f>
        <v>4925</v>
      </c>
      <c r="IS16" s="669">
        <v>800</v>
      </c>
      <c r="IT16" s="669">
        <v>850</v>
      </c>
      <c r="IU16" s="669">
        <v>850</v>
      </c>
      <c r="IV16" s="669">
        <v>850</v>
      </c>
      <c r="IW16" s="669">
        <v>875</v>
      </c>
      <c r="IX16" s="669">
        <v>700</v>
      </c>
      <c r="IY16" s="660">
        <f>INDEX(DB!$3:$367,MATCH(IY$2,DB!$D$3:$D$367),18)</f>
        <v>0</v>
      </c>
      <c r="IZ16" s="690">
        <f>SUM(JA16:JG16)</f>
        <v>4175</v>
      </c>
      <c r="JA16" s="669">
        <f>INDEX(DB!$3:$367,MATCH(JA$2,DB!$D$3:$D$367),18)</f>
        <v>0</v>
      </c>
      <c r="JB16" s="669">
        <f>INDEX(DB!$3:$367,MATCH(JB$2,DB!$D$3:$D$367),18)</f>
        <v>800</v>
      </c>
      <c r="JC16" s="669">
        <f>INDEX(DB!$3:$367,MATCH(JC$2,DB!$D$3:$D$367),18)</f>
        <v>900</v>
      </c>
      <c r="JD16" s="669">
        <f>INDEX(DB!$3:$367,MATCH(JD$2,DB!$D$3:$D$367),18)</f>
        <v>875</v>
      </c>
      <c r="JE16" s="669">
        <f>INDEX(DB!$3:$367,MATCH(JE$2,DB!$D$3:$D$367),18)</f>
        <v>900</v>
      </c>
      <c r="JF16" s="669">
        <f>INDEX(DB!$3:$367,MATCH(JF$2,DB!$D$3:$D$367),18)</f>
        <v>700</v>
      </c>
      <c r="JG16" s="660">
        <f>INDEX(DB!$3:$367,MATCH(JG$2,DB!$D$3:$D$367),18)</f>
        <v>0</v>
      </c>
      <c r="JH16" s="690">
        <f>SUM(JI16:JO16)</f>
        <v>5400</v>
      </c>
      <c r="JI16" s="669">
        <v>900</v>
      </c>
      <c r="JJ16" s="669">
        <v>900</v>
      </c>
      <c r="JK16" s="669">
        <v>900</v>
      </c>
      <c r="JL16" s="669">
        <v>900</v>
      </c>
      <c r="JM16" s="669">
        <v>1000</v>
      </c>
      <c r="JN16" s="669">
        <v>800</v>
      </c>
      <c r="JO16" s="660">
        <f>INDEX(DB!$3:$367,MATCH(JO$2,DB!$D$3:$D$367),18)</f>
        <v>0</v>
      </c>
      <c r="JP16" s="690">
        <f>SUM(JQ16:JW16)</f>
        <v>5800</v>
      </c>
      <c r="JQ16" s="669">
        <f>INDEX(DB!$3:$367,MATCH(JQ$2,DB!$D$3:$D$367),18)</f>
        <v>950</v>
      </c>
      <c r="JR16" s="669">
        <f>INDEX(DB!$3:$367,MATCH(JR$2,DB!$D$3:$D$367),18)</f>
        <v>1000</v>
      </c>
      <c r="JS16" s="669">
        <f>INDEX(DB!$3:$367,MATCH(JS$2,DB!$D$3:$D$367),18)</f>
        <v>1000</v>
      </c>
      <c r="JT16" s="669">
        <f>INDEX(DB!$3:$367,MATCH(JT$2,DB!$D$3:$D$367),18)</f>
        <v>950</v>
      </c>
      <c r="JU16" s="669">
        <f>INDEX(DB!$3:$367,MATCH(JU$2,DB!$D$3:$D$367),18)</f>
        <v>1000</v>
      </c>
      <c r="JV16" s="669">
        <f>INDEX(DB!$3:$367,MATCH(JV$2,DB!$D$3:$D$367),18)</f>
        <v>900</v>
      </c>
      <c r="JW16" s="660">
        <f>INDEX(DB!$3:$367,MATCH(JW$2,DB!$D$3:$D$367),18)</f>
        <v>0</v>
      </c>
      <c r="JX16" s="690">
        <f>SUM(JY16:KE16)</f>
        <v>5750</v>
      </c>
      <c r="JY16" s="669">
        <f>INDEX(DB!$3:$367,MATCH(JY$2,DB!$D$3:$D$367),18)</f>
        <v>950</v>
      </c>
      <c r="JZ16" s="669">
        <f>INDEX(DB!$3:$367,MATCH(JZ$2,DB!$D$3:$D$367),18)</f>
        <v>1050</v>
      </c>
      <c r="KA16" s="669">
        <f>INDEX(DB!$3:$367,MATCH(KA$2,DB!$D$3:$D$367),18)</f>
        <v>950</v>
      </c>
      <c r="KB16" s="669">
        <f>INDEX(DB!$3:$367,MATCH(KB$2,DB!$D$3:$D$367),18)</f>
        <v>1000</v>
      </c>
      <c r="KC16" s="669">
        <f>INDEX(DB!$3:$367,MATCH(KC$2,DB!$D$3:$D$367),18)</f>
        <v>950</v>
      </c>
      <c r="KD16" s="669">
        <f>INDEX(DB!$3:$367,MATCH(KD$2,DB!$D$3:$D$367),18)</f>
        <v>850</v>
      </c>
      <c r="KE16" s="660">
        <f>INDEX(DB!$3:$367,MATCH(KE$2,DB!$D$3:$D$367),18)</f>
        <v>0</v>
      </c>
      <c r="KF16" s="690">
        <f>SUM(KG16:KM16)</f>
        <v>5650</v>
      </c>
      <c r="KG16" s="669">
        <f>INDEX(DB!$3:$367,MATCH(KG$2,DB!$D$3:$D$367),18)</f>
        <v>950</v>
      </c>
      <c r="KH16" s="669">
        <f>INDEX(DB!$3:$367,MATCH(KH$2,DB!$D$3:$D$367),18)</f>
        <v>950</v>
      </c>
      <c r="KI16" s="669">
        <f>INDEX(DB!$3:$367,MATCH(KI$2,DB!$D$3:$D$367),18)</f>
        <v>950</v>
      </c>
      <c r="KJ16" s="669">
        <f>INDEX(DB!$3:$367,MATCH(KJ$2,DB!$D$3:$D$367),18)</f>
        <v>950</v>
      </c>
      <c r="KK16" s="669">
        <f>INDEX(DB!$3:$367,MATCH(KK$2,DB!$D$3:$D$367),18)</f>
        <v>1000</v>
      </c>
      <c r="KL16" s="669">
        <f>INDEX(DB!$3:$367,MATCH(KL$2,DB!$D$3:$D$367),18)</f>
        <v>850</v>
      </c>
      <c r="KM16" s="660">
        <f>INDEX(DB!$3:$367,MATCH(KM$2,DB!$D$3:$D$367),18)</f>
        <v>0</v>
      </c>
      <c r="KN16" s="690">
        <f>SUM(KO16:KU16)</f>
        <v>5300</v>
      </c>
      <c r="KO16" s="669">
        <v>950</v>
      </c>
      <c r="KP16" s="669">
        <v>800</v>
      </c>
      <c r="KQ16" s="669">
        <v>850</v>
      </c>
      <c r="KR16" s="669">
        <v>900</v>
      </c>
      <c r="KS16" s="669">
        <v>950</v>
      </c>
      <c r="KT16" s="669">
        <v>850</v>
      </c>
      <c r="KU16" s="660">
        <f>INDEX(DB!$3:$367,MATCH(KU$2,DB!$D$3:$D$367),18)</f>
        <v>0</v>
      </c>
      <c r="KV16" s="690">
        <f>SUM(KW16:LC16)</f>
        <v>5600</v>
      </c>
      <c r="KW16" s="669">
        <v>950</v>
      </c>
      <c r="KX16" s="669">
        <v>950</v>
      </c>
      <c r="KY16" s="669">
        <v>950</v>
      </c>
      <c r="KZ16" s="669">
        <v>900</v>
      </c>
      <c r="LA16" s="669">
        <v>1000</v>
      </c>
      <c r="LB16" s="669">
        <v>850</v>
      </c>
      <c r="LC16" s="660">
        <f>INDEX(DB!$3:$367,MATCH(LC$2,DB!$D$3:$D$367),18)</f>
        <v>0</v>
      </c>
      <c r="LD16" s="690">
        <f>SUM(LE16:LK16)</f>
        <v>5675</v>
      </c>
      <c r="LE16" s="669">
        <v>1000</v>
      </c>
      <c r="LF16" s="669">
        <v>950</v>
      </c>
      <c r="LG16" s="669">
        <v>1000</v>
      </c>
      <c r="LH16" s="669">
        <v>950</v>
      </c>
      <c r="LI16" s="669">
        <v>975</v>
      </c>
      <c r="LJ16" s="669">
        <v>800</v>
      </c>
      <c r="LK16" s="660">
        <f>INDEX(DB!$3:$367,MATCH(LK$2,DB!$D$3:$D$367),18)</f>
        <v>0</v>
      </c>
      <c r="LL16" s="690">
        <f>SUM(LM16:LS16)</f>
        <v>5850</v>
      </c>
      <c r="LM16" s="669">
        <v>1050</v>
      </c>
      <c r="LN16" s="669">
        <v>1000</v>
      </c>
      <c r="LO16" s="669">
        <v>1000</v>
      </c>
      <c r="LP16" s="669">
        <v>950</v>
      </c>
      <c r="LQ16" s="669">
        <v>1000</v>
      </c>
      <c r="LR16" s="669">
        <v>850</v>
      </c>
      <c r="LS16" s="660">
        <f>INDEX(DB!$3:$367,MATCH(LS$2,DB!$D$3:$D$367),18)</f>
        <v>0</v>
      </c>
      <c r="LT16" s="690">
        <f>SUM(LU16:MA16)</f>
        <v>5950</v>
      </c>
      <c r="LU16" s="669">
        <v>1050</v>
      </c>
      <c r="LV16" s="669">
        <v>1000</v>
      </c>
      <c r="LW16" s="669">
        <v>1000</v>
      </c>
      <c r="LX16" s="669">
        <v>950</v>
      </c>
      <c r="LY16" s="669">
        <v>1050</v>
      </c>
      <c r="LZ16" s="669">
        <v>900</v>
      </c>
      <c r="MA16" s="660">
        <f>INDEX(DB!$3:$367,MATCH(MA$2,DB!$D$3:$D$367),18)</f>
        <v>0</v>
      </c>
      <c r="MB16" s="690">
        <f>SUM(MC16:MI16)</f>
        <v>6125</v>
      </c>
      <c r="MC16" s="669">
        <f>INDEX(DB!$3:$367,MATCH(MC$2,DB!$D$3:$D$367),18)</f>
        <v>1075</v>
      </c>
      <c r="MD16" s="669">
        <f>INDEX(DB!$3:$367,MATCH(MD$2,DB!$D$3:$D$367),18)</f>
        <v>1050</v>
      </c>
      <c r="ME16" s="669">
        <f>INDEX(DB!$3:$367,MATCH(ME$2,DB!$D$3:$D$367),18)</f>
        <v>1050</v>
      </c>
      <c r="MF16" s="669">
        <f>INDEX(DB!$3:$367,MATCH(MF$2,DB!$D$3:$D$367),18)</f>
        <v>1000</v>
      </c>
      <c r="MG16" s="669">
        <f>INDEX(DB!$3:$367,MATCH(MG$2,DB!$D$3:$D$367),18)</f>
        <v>1050</v>
      </c>
      <c r="MH16" s="669">
        <f>INDEX(DB!$3:$367,MATCH(MH$2,DB!$D$3:$D$367),18)</f>
        <v>900</v>
      </c>
      <c r="MI16" s="660">
        <f>INDEX(DB!$3:$367,MATCH(MI$2,DB!$D$3:$D$367),18)</f>
        <v>0</v>
      </c>
      <c r="MJ16" s="690">
        <f>SUM(MK16:MQ16)</f>
        <v>5150</v>
      </c>
      <c r="MK16" s="669">
        <v>1050</v>
      </c>
      <c r="ML16" s="669">
        <v>0</v>
      </c>
      <c r="MM16" s="669">
        <v>1100</v>
      </c>
      <c r="MN16" s="669">
        <v>1000</v>
      </c>
      <c r="MO16" s="669">
        <v>1050</v>
      </c>
      <c r="MP16" s="669">
        <v>950</v>
      </c>
      <c r="MQ16" s="660">
        <f>INDEX(DB!$3:$367,MATCH(MQ$2,DB!$D$3:$D$367),18)</f>
        <v>0</v>
      </c>
      <c r="MR16" s="690">
        <f>SUM(MS16:MY16)</f>
        <v>5100</v>
      </c>
      <c r="MS16" s="669">
        <v>1100</v>
      </c>
      <c r="MT16" s="669">
        <v>1050</v>
      </c>
      <c r="MU16" s="669">
        <v>1100</v>
      </c>
      <c r="MV16" s="669">
        <v>1100</v>
      </c>
      <c r="MW16" s="669">
        <v>0</v>
      </c>
      <c r="MX16" s="669">
        <v>750</v>
      </c>
      <c r="MY16" s="660">
        <f>INDEX(DB!$3:$367,MATCH(MY$2,DB!$D$3:$D$367),18)</f>
        <v>0</v>
      </c>
      <c r="MZ16" s="690">
        <f>SUM(NA16:NG16)</f>
        <v>6100</v>
      </c>
      <c r="NA16" s="669">
        <v>1050</v>
      </c>
      <c r="NB16" s="669">
        <v>1100</v>
      </c>
      <c r="NC16" s="669">
        <v>1050</v>
      </c>
      <c r="ND16" s="669">
        <v>1000</v>
      </c>
      <c r="NE16" s="669">
        <v>1050</v>
      </c>
      <c r="NF16" s="669">
        <v>850</v>
      </c>
      <c r="NG16" s="660">
        <f>INDEX(DB!$3:$367,MATCH(NG$2,DB!$D$3:$D$367),18)</f>
        <v>0</v>
      </c>
      <c r="NH16" s="690">
        <f>SUM(NI16:NO16)</f>
        <v>6575</v>
      </c>
      <c r="NI16" s="669">
        <v>1050</v>
      </c>
      <c r="NJ16" s="669">
        <v>1125</v>
      </c>
      <c r="NK16" s="669">
        <v>1125</v>
      </c>
      <c r="NL16" s="669">
        <v>1125</v>
      </c>
      <c r="NM16" s="669">
        <v>1125</v>
      </c>
      <c r="NN16" s="669">
        <v>1025</v>
      </c>
      <c r="NO16" s="660">
        <f>INDEX(DB!$3:$367,MATCH(NO$2,DB!$D$3:$D$367),18)</f>
        <v>0</v>
      </c>
      <c r="NP16" s="690">
        <f>SUM(NQ16:NW16)</f>
        <v>6675</v>
      </c>
      <c r="NQ16" s="669">
        <v>1125</v>
      </c>
      <c r="NR16" s="669">
        <v>1125</v>
      </c>
      <c r="NS16" s="669">
        <v>1125</v>
      </c>
      <c r="NT16" s="669">
        <v>1150</v>
      </c>
      <c r="NU16" s="669">
        <v>1100</v>
      </c>
      <c r="NV16" s="669">
        <v>1050</v>
      </c>
      <c r="NW16" s="660">
        <f>INDEX(DB!$3:$367,MATCH(NW$2,DB!$D$3:$D$367),18)</f>
        <v>0</v>
      </c>
      <c r="NX16" s="690">
        <f>SUM(NY16:OE16)</f>
        <v>6450</v>
      </c>
      <c r="NY16" s="669">
        <f>INDEX(DB!$3:$367,MATCH(NY$2,DB!$D$3:$D$367),18)</f>
        <v>1100</v>
      </c>
      <c r="NZ16" s="669">
        <f>INDEX(DB!$3:$367,MATCH(NZ$2,DB!$D$3:$D$367),18)</f>
        <v>1125</v>
      </c>
      <c r="OA16" s="669">
        <f>INDEX(DB!$3:$367,MATCH(OA$2,DB!$D$3:$D$367),18)</f>
        <v>1125</v>
      </c>
      <c r="OB16" s="669">
        <f>INDEX(DB!$3:$367,MATCH(OB$2,DB!$D$3:$D$367),18)</f>
        <v>1050</v>
      </c>
      <c r="OC16" s="669">
        <f>INDEX(DB!$3:$367,MATCH(OC$2,DB!$D$3:$D$367),18)</f>
        <v>1100</v>
      </c>
      <c r="OD16" s="669">
        <f>INDEX(DB!$3:$367,MATCH(OD$2,DB!$D$3:$D$367),18)</f>
        <v>950</v>
      </c>
      <c r="OE16" s="660">
        <f>INDEX(DB!$3:$367,MATCH(OE$2,DB!$D$3:$D$367),18)</f>
        <v>0</v>
      </c>
      <c r="OF16" s="690">
        <f>SUM(OG16:OM16)</f>
        <v>6050</v>
      </c>
      <c r="OG16" s="669">
        <v>1100</v>
      </c>
      <c r="OH16" s="669">
        <v>1100</v>
      </c>
      <c r="OI16" s="669">
        <v>1000</v>
      </c>
      <c r="OJ16" s="669">
        <v>1000</v>
      </c>
      <c r="OK16" s="669">
        <v>1000</v>
      </c>
      <c r="OL16" s="669">
        <v>850</v>
      </c>
      <c r="OM16" s="660">
        <f>INDEX(DB!$3:$367,MATCH(OM$2,DB!$D$3:$D$367),18)</f>
        <v>0</v>
      </c>
      <c r="ON16" s="690">
        <f>SUM(OO16:OU16)</f>
        <v>5875</v>
      </c>
      <c r="OO16" s="669">
        <f>INDEX(DB!$3:$367,MATCH(OO$2,DB!$D$3:$D$367),18)</f>
        <v>1100</v>
      </c>
      <c r="OP16" s="669">
        <f>INDEX(DB!$3:$367,MATCH(OP$2,DB!$D$3:$D$367),18)</f>
        <v>1200</v>
      </c>
      <c r="OQ16" s="669">
        <f>INDEX(DB!$3:$367,MATCH(OQ$2,DB!$D$3:$D$367),18)</f>
        <v>1200</v>
      </c>
      <c r="OR16" s="669">
        <f>INDEX(DB!$3:$367,MATCH(OR$2,DB!$D$3:$D$367),18)</f>
        <v>1200</v>
      </c>
      <c r="OS16" s="669">
        <f>INDEX(DB!$3:$367,MATCH(OS$2,DB!$D$3:$D$367),18)</f>
        <v>1175</v>
      </c>
      <c r="OT16" s="669">
        <f>INDEX(DB!$3:$367,MATCH(OT$2,DB!$D$3:$D$367),18)</f>
        <v>0</v>
      </c>
      <c r="OU16" s="660">
        <f>INDEX(DB!$3:$367,MATCH(OU$2,DB!$D$3:$D$367),18)</f>
        <v>0</v>
      </c>
      <c r="OV16" s="690">
        <f>SUM(OW16:PC16)</f>
        <v>6175</v>
      </c>
      <c r="OW16" s="669">
        <f>INDEX(DB!$3:$367,MATCH(OW$2,DB!$D$3:$D$367),18)</f>
        <v>1175</v>
      </c>
      <c r="OX16" s="669">
        <f>INDEX(DB!$3:$367,MATCH(OX$2,DB!$D$3:$D$367),18)</f>
        <v>1250</v>
      </c>
      <c r="OY16" s="669">
        <f>INDEX(DB!$3:$367,MATCH(OY$2,DB!$D$3:$D$367),18)</f>
        <v>1250</v>
      </c>
      <c r="OZ16" s="669">
        <f>INDEX(DB!$3:$367,MATCH(OZ$2,DB!$D$3:$D$367),18)</f>
        <v>1250</v>
      </c>
      <c r="PA16" s="669">
        <f>INDEX(DB!$3:$367,MATCH(PA$2,DB!$D$3:$D$367),18)</f>
        <v>1250</v>
      </c>
      <c r="PB16" s="669">
        <f>INDEX(DB!$3:$367,MATCH(PB$2,DB!$D$3:$D$367),18)</f>
        <v>0</v>
      </c>
      <c r="PC16" s="660">
        <f>INDEX(DB!$3:$367,MATCH(PC$2,DB!$D$3:$D$367),18)</f>
        <v>0</v>
      </c>
    </row>
    <row r="17" spans="1:420" ht="15" thickBot="1" x14ac:dyDescent="0.35">
      <c r="B17" s="978"/>
      <c r="C17" s="678" t="s">
        <v>253</v>
      </c>
      <c r="D17" s="688"/>
      <c r="E17" s="667">
        <f>INDEX(DB!$3:$367,MATCH(E$2,DB!$D$3:$D$367),9)</f>
        <v>49.512369851021816</v>
      </c>
      <c r="F17" s="667">
        <f>INDEX(DB!$3:$367,MATCH(F$2,DB!$D$3:$D$367),9)</f>
        <v>49.145396519071276</v>
      </c>
      <c r="G17" s="667">
        <f>INDEX(DB!$3:$367,MATCH(G$2,DB!$D$3:$D$367),9)</f>
        <v>49.947849611078091</v>
      </c>
      <c r="H17" s="667">
        <v>52.8</v>
      </c>
      <c r="I17" s="667">
        <v>54.7</v>
      </c>
      <c r="J17" s="667">
        <v>54.7</v>
      </c>
      <c r="K17" s="683">
        <f>INDEX(DB!$3:$367,MATCH(K$2,DB!$D$3:$D$367),9)</f>
        <v>57</v>
      </c>
      <c r="L17" s="688"/>
      <c r="M17" s="667">
        <f>INDEX(DB!$3:$367,MATCH(M$2,DB!$D$3:$D$367),9)</f>
        <v>52.405512237002895</v>
      </c>
      <c r="N17" s="667">
        <f>INDEX(DB!$3:$367,MATCH(N$2,DB!$D$3:$D$367),9)</f>
        <v>50.501999368071964</v>
      </c>
      <c r="O17" s="667">
        <f>INDEX(DB!$3:$367,MATCH(O$2,DB!$D$3:$D$367),9)</f>
        <v>51.829743068840898</v>
      </c>
      <c r="P17" s="667">
        <v>52.8</v>
      </c>
      <c r="Q17" s="667">
        <v>55</v>
      </c>
      <c r="R17" s="667">
        <v>55</v>
      </c>
      <c r="S17" s="683">
        <f>INDEX(DB!$3:$367,MATCH(S$2,DB!$D$3:$D$367),9)</f>
        <v>57</v>
      </c>
      <c r="T17" s="688"/>
      <c r="U17" s="667">
        <f>INDEX(DB!$3:$367,MATCH(U$2,DB!$D$3:$D$367),9)</f>
        <v>52.094859755414575</v>
      </c>
      <c r="V17" s="667">
        <f>INDEX(DB!$3:$367,MATCH(V$2,DB!$D$3:$D$367),9)</f>
        <v>50.202618348304917</v>
      </c>
      <c r="W17" s="667">
        <f>INDEX(DB!$3:$367,MATCH(W$2,DB!$D$3:$D$367),9)</f>
        <v>51.522469358321835</v>
      </c>
      <c r="X17" s="667">
        <v>52.4</v>
      </c>
      <c r="Y17" s="667">
        <v>54.3</v>
      </c>
      <c r="Z17" s="667">
        <v>54.2</v>
      </c>
      <c r="AA17" s="683">
        <f>INDEX(DB!$3:$367,MATCH(AA$2,DB!$D$3:$D$367),9)</f>
        <v>56</v>
      </c>
      <c r="AB17" s="688"/>
      <c r="AC17" s="667">
        <f>INDEX(DB!$3:$367,MATCH(AC$2,DB!$D$3:$D$367),9)</f>
        <v>50.398886827458256</v>
      </c>
      <c r="AD17" s="667">
        <f>INDEX(DB!$3:$367,MATCH(AD$2,DB!$D$3:$D$367),9)</f>
        <v>47.027683341427874</v>
      </c>
      <c r="AE17" s="667">
        <f>INDEX(DB!$3:$367,MATCH(AE$2,DB!$D$3:$D$367),9)</f>
        <v>48</v>
      </c>
      <c r="AF17" s="667">
        <f>INDEX(DB!$3:$367,MATCH(AF$2,DB!$D$3:$D$367),9)</f>
        <v>48.815579409219417</v>
      </c>
      <c r="AG17" s="667">
        <f>INDEX(DB!$3:$367,MATCH(AG$2,DB!$D$3:$D$367),9)</f>
        <v>50.593866020328271</v>
      </c>
      <c r="AH17" s="667">
        <f>INDEX(DB!$3:$367,MATCH(AH$2,DB!$D$3:$D$367),9)</f>
        <v>50.760162999161963</v>
      </c>
      <c r="AI17" s="683">
        <f>INDEX(DB!$3:$367,MATCH(AI$2,DB!$D$3:$D$367),9)</f>
        <v>56.032863716438641</v>
      </c>
      <c r="AJ17" s="688"/>
      <c r="AK17" s="667">
        <f>INDEX(DB!$3:$367,MATCH(AK$2,DB!$D$3:$D$367),9)</f>
        <v>49.807324860859879</v>
      </c>
      <c r="AL17" s="667">
        <f>INDEX(DB!$3:$367,MATCH(AL$2,DB!$D$3:$D$367),9)</f>
        <v>47.764897719016751</v>
      </c>
      <c r="AM17" s="667">
        <f>INDEX(DB!$3:$367,MATCH(AM$2,DB!$D$3:$D$367),9)</f>
        <v>48.47282624605829</v>
      </c>
      <c r="AN17" s="667">
        <f>INDEX(DB!$3:$367,MATCH(AN$2,DB!$D$3:$D$367),9)</f>
        <v>48.790838934936389</v>
      </c>
      <c r="AO17" s="667">
        <f>INDEX(DB!$3:$367,MATCH(AO$2,DB!$D$3:$D$367),9)</f>
        <v>50.720626866603361</v>
      </c>
      <c r="AP17" s="667">
        <v>50.7</v>
      </c>
      <c r="AQ17" s="683">
        <f>INDEX(DB!$3:$367,MATCH(AQ$2,DB!$D$3:$D$367),9)</f>
        <v>55.799674437386301</v>
      </c>
      <c r="AR17" s="688"/>
      <c r="AS17" s="667">
        <f>INDEX(DB!$3:$367,MATCH(AS$2,DB!$D$3:$D$367),9)</f>
        <v>50.118564914448925</v>
      </c>
      <c r="AT17" s="667">
        <f>INDEX(DB!$3:$367,MATCH(AT$2,DB!$D$3:$D$367),9)</f>
        <v>48.371326132089855</v>
      </c>
      <c r="AU17" s="667">
        <f>INDEX(DB!$3:$367,MATCH(AU$2,DB!$D$3:$D$367),9)</f>
        <v>49.080688751709658</v>
      </c>
      <c r="AV17" s="667">
        <f>INDEX(DB!$3:$367,MATCH(AV$2,DB!$D$3:$D$367),9)</f>
        <v>48.305614420574699</v>
      </c>
      <c r="AW17" s="667">
        <v>50</v>
      </c>
      <c r="AX17" s="667">
        <v>50.6</v>
      </c>
      <c r="AY17" s="683">
        <f>INDEX(DB!$3:$367,MATCH(AY$2,DB!$D$3:$D$367),9)</f>
        <v>53.52513125092981</v>
      </c>
      <c r="AZ17" s="688"/>
      <c r="BA17" s="667">
        <f>INDEX(DB!$3:$367,MATCH(BA$2,DB!$D$3:$D$367),9)</f>
        <v>49.323862767677412</v>
      </c>
      <c r="BB17" s="667">
        <f>INDEX(DB!$3:$367,MATCH(BB$2,DB!$D$3:$D$367),9)</f>
        <v>50.484437646418584</v>
      </c>
      <c r="BC17" s="667">
        <f>INDEX(DB!$3:$367,MATCH(BC$2,DB!$D$3:$D$367),9)</f>
        <v>50.6252081971842</v>
      </c>
      <c r="BD17" s="667">
        <f>INDEX(DB!$3:$367,MATCH(BD$2,DB!$D$3:$D$367),9)</f>
        <v>50.297197327742794</v>
      </c>
      <c r="BE17" s="667">
        <v>52</v>
      </c>
      <c r="BF17" s="667">
        <f>INDEX(DB!$3:$367,MATCH(BF$2,DB!$D$3:$D$367),9)</f>
        <v>52.265285018238252</v>
      </c>
      <c r="BG17" s="683">
        <f>INDEX(DB!$3:$367,MATCH(BG$2,DB!$D$3:$D$367),9)</f>
        <v>54.714699446368876</v>
      </c>
      <c r="BH17" s="688"/>
      <c r="BI17" s="667">
        <f>INDEX(DB!$3:$367,MATCH(BI$2,DB!$D$3:$D$367),9)</f>
        <v>50.909683743797316</v>
      </c>
      <c r="BJ17" s="667">
        <f>INDEX(DB!$3:$367,MATCH(BJ$2,DB!$D$3:$D$367),9)</f>
        <v>49.008794889752131</v>
      </c>
      <c r="BK17" s="667">
        <f>INDEX(DB!$3:$367,MATCH(BK$2,DB!$D$3:$D$367),9)</f>
        <v>49.877765520034295</v>
      </c>
      <c r="BL17" s="667">
        <f>INDEX(DB!$3:$367,MATCH(BL$2,DB!$D$3:$D$367),9)</f>
        <v>50.84082878899401</v>
      </c>
      <c r="BM17" s="667">
        <f>INDEX(DB!$3:$367,MATCH(BM$2,DB!$D$3:$D$367),9)</f>
        <v>52.889608435368629</v>
      </c>
      <c r="BN17" s="667">
        <f>INDEX(DB!$3:$367,MATCH(BN$2,DB!$D$3:$D$367),9)</f>
        <v>52.015748789611045</v>
      </c>
      <c r="BO17" s="683">
        <f>INDEX(DB!$3:$367,MATCH(BO$2,DB!$D$3:$D$367),9)</f>
        <v>54.513742556911666</v>
      </c>
      <c r="BP17" s="688"/>
      <c r="BQ17" s="667">
        <f>INDEX(DB!$3:$367,MATCH(BQ$2,DB!$D$3:$D$367),9)</f>
        <v>50.332263027690772</v>
      </c>
      <c r="BR17" s="667">
        <f>INDEX(DB!$3:$367,MATCH(BR$2,DB!$D$3:$D$367),9)</f>
        <v>48.833005283226392</v>
      </c>
      <c r="BS17" s="667">
        <f>INDEX(DB!$3:$367,MATCH(BS$2,DB!$D$3:$D$367),9)</f>
        <v>49.635866422797029</v>
      </c>
      <c r="BT17" s="667">
        <f>INDEX(DB!$3:$367,MATCH(BT$2,DB!$D$3:$D$367),9)</f>
        <v>50.913196389697404</v>
      </c>
      <c r="BU17" s="667">
        <f>INDEX(DB!$3:$367,MATCH(BU$2,DB!$D$3:$D$367),9)</f>
        <v>53.296415923921735</v>
      </c>
      <c r="BV17" s="667">
        <f>INDEX(DB!$3:$367,MATCH(BV$2,DB!$D$3:$D$367),9)</f>
        <v>52.182291072020377</v>
      </c>
      <c r="BW17" s="683">
        <f>INDEX(DB!$3:$367,MATCH(BW$2,DB!$D$3:$D$367),9)</f>
        <v>55.690427427293777</v>
      </c>
      <c r="BX17" s="688"/>
      <c r="BY17" s="667">
        <f>INDEX(DB!$3:$367,MATCH(BY$2,DB!$D$3:$D$367),9)</f>
        <v>50.676062236534342</v>
      </c>
      <c r="BZ17" s="667">
        <f>INDEX(DB!$3:$367,MATCH(BZ$2,DB!$D$3:$D$367),9)</f>
        <v>50.950802658366037</v>
      </c>
      <c r="CA17" s="667">
        <f>INDEX(DB!$3:$367,MATCH(CA$2,DB!$D$3:$D$367),9)</f>
        <v>51.233513400073036</v>
      </c>
      <c r="CB17" s="667">
        <f>INDEX(DB!$3:$367,MATCH(CB$2,DB!$D$3:$D$367),9)</f>
        <v>51.121604184200493</v>
      </c>
      <c r="CC17" s="667">
        <f>INDEX(DB!$3:$367,MATCH(CC$2,DB!$D$3:$D$367),9)</f>
        <v>53.513732329026361</v>
      </c>
      <c r="CD17" s="667">
        <f>INDEX(DB!$3:$367,MATCH(CD$2,DB!$D$3:$D$367),9)</f>
        <v>52.395442814858448</v>
      </c>
      <c r="CE17" s="683">
        <f>INDEX(DB!$3:$367,MATCH(CE$2,DB!$D$3:$D$367),9)</f>
        <v>55.949211292628334</v>
      </c>
      <c r="CF17" s="688"/>
      <c r="CG17" s="667">
        <f>INDEX(DB!$3:$367,MATCH(CG$2,DB!$D$3:$D$367),9)</f>
        <v>50.883583610042415</v>
      </c>
      <c r="CH17" s="667">
        <f>INDEX(DB!$3:$367,MATCH(CH$2,DB!$D$3:$D$367),9)</f>
        <v>49.669959917440295</v>
      </c>
      <c r="CI17" s="667">
        <f>INDEX(DB!$3:$367,MATCH(CI$2,DB!$D$3:$D$367),9)</f>
        <v>51.187440984537126</v>
      </c>
      <c r="CJ17" s="667">
        <f>INDEX(DB!$3:$367,MATCH(CJ$2,DB!$D$3:$D$367),9)</f>
        <v>49.926581964984102</v>
      </c>
      <c r="CK17" s="667">
        <f>INDEX(DB!$3:$367,MATCH(CK$2,DB!$D$3:$D$367),9)</f>
        <v>51.214764054271875</v>
      </c>
      <c r="CL17" s="667">
        <f>INDEX(DB!$3:$367,MATCH(CL$2,DB!$D$3:$D$367),9)</f>
        <v>51.17956252920559</v>
      </c>
      <c r="CM17" s="683">
        <f>INDEX(DB!$3:$367,MATCH(CM$2,DB!$D$3:$D$367),9)</f>
        <v>57.247041169517644</v>
      </c>
      <c r="CN17" s="688"/>
      <c r="CO17" s="667">
        <v>50.457324897017735</v>
      </c>
      <c r="CP17" s="667">
        <v>51.111809457359271</v>
      </c>
      <c r="CQ17" s="667">
        <v>51.022453819301866</v>
      </c>
      <c r="CR17" s="667">
        <v>51.16141857849864</v>
      </c>
      <c r="CS17" s="667">
        <v>52.481021114933753</v>
      </c>
      <c r="CT17" s="667">
        <v>52.444960978598878</v>
      </c>
      <c r="CU17" s="683">
        <f>INDEX(DB!$3:$367,MATCH(CU$2,DB!$D$3:$D$367),9)</f>
        <v>59.743213348737669</v>
      </c>
      <c r="CV17" s="688"/>
      <c r="CW17" s="667">
        <v>52.347479765907643</v>
      </c>
      <c r="CX17" s="667">
        <v>49.896965460115545</v>
      </c>
      <c r="CY17" s="667">
        <v>50.943613788913119</v>
      </c>
      <c r="CZ17" s="667">
        <v>53.210829026552631</v>
      </c>
      <c r="DA17" s="667">
        <v>52.49363246773337</v>
      </c>
      <c r="DB17" s="667">
        <v>52.762022955718699</v>
      </c>
      <c r="DC17" s="683">
        <f>INDEX(DB!$3:$367,MATCH(DC$2,DB!$D$3:$D$367),9)</f>
        <v>55.508677759855473</v>
      </c>
      <c r="DD17" s="688"/>
      <c r="DE17" s="667">
        <f>INDEX(DB!$3:$367,MATCH(DE$2,DB!$D$3:$D$367),9)</f>
        <v>50.601438786766437</v>
      </c>
      <c r="DF17" s="667">
        <f>INDEX(DB!$3:$367,MATCH(DF$2,DB!$D$3:$D$367),9)</f>
        <v>47.945235190155479</v>
      </c>
      <c r="DG17" s="667">
        <f>INDEX(DB!$3:$367,MATCH(DG$2,DB!$D$3:$D$367),9)</f>
        <v>47.81940066929716</v>
      </c>
      <c r="DH17" s="667">
        <f>INDEX(DB!$3:$367,MATCH(DH$2,DB!$D$3:$D$367),9)</f>
        <v>51.306715631519957</v>
      </c>
      <c r="DI17" s="667">
        <f>INDEX(DB!$3:$367,MATCH(DI$2,DB!$D$3:$D$367),9)</f>
        <v>51.924593838177856</v>
      </c>
      <c r="DJ17" s="667">
        <f>INDEX(DB!$3:$367,MATCH(DJ$2,DB!$D$3:$D$367),9)</f>
        <v>51.159541646050393</v>
      </c>
      <c r="DK17" s="683">
        <f>INDEX(DB!$3:$367,MATCH(DK$2,DB!$D$3:$D$367),9)</f>
        <v>55.508677759855473</v>
      </c>
      <c r="DL17" s="688"/>
      <c r="DM17" s="667">
        <v>50.665210325568232</v>
      </c>
      <c r="DN17" s="667">
        <v>47.48820801283442</v>
      </c>
      <c r="DO17" s="667">
        <v>47.679026500929901</v>
      </c>
      <c r="DP17" s="667">
        <v>51.272276978704788</v>
      </c>
      <c r="DQ17" s="667">
        <v>50.6838537406393</v>
      </c>
      <c r="DR17" s="667">
        <v>52.609241833198666</v>
      </c>
      <c r="DS17" s="683">
        <f>INDEX(DB!$3:$367,MATCH(DS$2,DB!$D$3:$D$367),9)</f>
        <v>54.066665589136321</v>
      </c>
      <c r="DT17" s="688"/>
      <c r="DU17" s="667">
        <v>0</v>
      </c>
      <c r="DV17" s="667">
        <v>46.316018664315258</v>
      </c>
      <c r="DW17" s="667">
        <v>48.542086863886972</v>
      </c>
      <c r="DX17" s="667">
        <v>50.197359268866002</v>
      </c>
      <c r="DY17" s="667">
        <v>51.388485987976168</v>
      </c>
      <c r="DZ17" s="667">
        <v>51.588202038389305</v>
      </c>
      <c r="EA17" s="683">
        <f>INDEX(DB!$3:$367,MATCH(EA$2,DB!$D$3:$D$367),9)</f>
        <v>53.913768808833602</v>
      </c>
      <c r="EB17" s="688"/>
      <c r="EC17" s="667">
        <f>INDEX(DB!$3:$367,MATCH(EC$2,DB!$D$3:$D$367),9)</f>
        <v>49.665993070037771</v>
      </c>
      <c r="ED17" s="667">
        <f>INDEX(DB!$3:$367,MATCH(ED$2,DB!$D$3:$D$367),9)</f>
        <v>48.544070295072054</v>
      </c>
      <c r="EE17" s="667">
        <f>INDEX(DB!$3:$367,MATCH(EE$2,DB!$D$3:$D$367),9)</f>
        <v>49.141225372253956</v>
      </c>
      <c r="EF17" s="667">
        <f>INDEX(DB!$3:$367,MATCH(EF$2,DB!$D$3:$D$367),9)</f>
        <v>50.583997054246929</v>
      </c>
      <c r="EG17" s="667">
        <f>INDEX(DB!$3:$367,MATCH(EG$2,DB!$D$3:$D$367),9)</f>
        <v>51.614225684730052</v>
      </c>
      <c r="EH17" s="667">
        <f>INDEX(DB!$3:$367,MATCH(EH$2,DB!$D$3:$D$367),9)</f>
        <v>50.116990562625269</v>
      </c>
      <c r="EI17" s="683">
        <f>INDEX(DB!$3:$367,MATCH(EI$2,DB!$D$3:$D$367),9)</f>
        <v>0</v>
      </c>
      <c r="EJ17" s="688"/>
      <c r="EK17" s="667">
        <f>INDEX(DB!$3:$367,MATCH(EK$2,DB!$D$3:$D$367),9)</f>
        <v>50.413169190426622</v>
      </c>
      <c r="EL17" s="667">
        <f>INDEX(DB!$3:$367,MATCH(EL$2,DB!$D$3:$D$367),9)</f>
        <v>48.953486824683829</v>
      </c>
      <c r="EM17" s="667">
        <f>INDEX(DB!$3:$367,MATCH(EM$2,DB!$D$3:$D$367),9)</f>
        <v>49.742543427520708</v>
      </c>
      <c r="EN17" s="667">
        <f>INDEX(DB!$3:$367,MATCH(EN$2,DB!$D$3:$D$367),9)</f>
        <v>49.452495946291769</v>
      </c>
      <c r="EO17" s="667">
        <f>INDEX(DB!$3:$367,MATCH(EO$2,DB!$D$3:$D$367),9)</f>
        <v>52.99509950875369</v>
      </c>
      <c r="EP17" s="667">
        <f>INDEX(DB!$3:$367,MATCH(EP$2,DB!$D$3:$D$367),9)</f>
        <v>51.485016046863088</v>
      </c>
      <c r="EQ17" s="683">
        <f>INDEX(DB!$3:$367,MATCH(EQ$2,DB!$D$3:$D$367),9)</f>
        <v>55.893814952991569</v>
      </c>
      <c r="ER17" s="688"/>
      <c r="ES17" s="667">
        <v>51.217559468310512</v>
      </c>
      <c r="ET17" s="667">
        <v>50.017703439379112</v>
      </c>
      <c r="EU17" s="667">
        <v>50.711392192436755</v>
      </c>
      <c r="EV17" s="667">
        <v>50.483639008091011</v>
      </c>
      <c r="EW17" s="667">
        <v>52.685696534797799</v>
      </c>
      <c r="EX17" s="667">
        <v>51.184922885630783</v>
      </c>
      <c r="EY17" s="683">
        <f>INDEX(DB!$3:$367,MATCH(EY$2,DB!$D$3:$D$367),9)</f>
        <v>54.175497006192309</v>
      </c>
      <c r="EZ17" s="688"/>
      <c r="FA17" s="667">
        <v>50.867613187396906</v>
      </c>
      <c r="FB17" s="667">
        <v>49.729867391912698</v>
      </c>
      <c r="FC17" s="667">
        <v>50.649111953764155</v>
      </c>
      <c r="FD17" s="667">
        <v>50.21530239120851</v>
      </c>
      <c r="FE17" s="667">
        <v>51.482566098515875</v>
      </c>
      <c r="FF17" s="667">
        <v>50.09375119876912</v>
      </c>
      <c r="FG17" s="683">
        <f>INDEX(DB!$3:$367,MATCH(FG$2,DB!$D$3:$D$367),9)</f>
        <v>53.39240619094776</v>
      </c>
      <c r="FH17" s="688"/>
      <c r="FI17" s="667">
        <v>49.579974707286013</v>
      </c>
      <c r="FJ17" s="667">
        <v>48.463647578540169</v>
      </c>
      <c r="FK17" s="667">
        <v>48.929243226483848</v>
      </c>
      <c r="FL17" s="667">
        <v>0</v>
      </c>
      <c r="FM17" s="667">
        <v>52.201316671553364</v>
      </c>
      <c r="FN17" s="667">
        <v>51.782494556104247</v>
      </c>
      <c r="FO17" s="683">
        <f>INDEX(DB!$3:$367,MATCH(FO$2,DB!$D$3:$D$367),9)</f>
        <v>53.17665414566661</v>
      </c>
      <c r="FP17" s="688"/>
      <c r="FQ17" s="667">
        <v>50.640972064084153</v>
      </c>
      <c r="FR17" s="667">
        <v>48.962087033349874</v>
      </c>
      <c r="FS17" s="667">
        <v>49.942837309800005</v>
      </c>
      <c r="FT17" s="667">
        <v>50.031249801014219</v>
      </c>
      <c r="FU17" s="667">
        <v>51.536836031955396</v>
      </c>
      <c r="FV17" s="667">
        <v>51.355341138298641</v>
      </c>
      <c r="FW17" s="683">
        <f>INDEX(DB!$3:$367,MATCH(FW$2,DB!$D$3:$D$367),9)</f>
        <v>51.18085773050074</v>
      </c>
      <c r="FX17" s="688"/>
      <c r="FY17" s="667">
        <v>0</v>
      </c>
      <c r="FZ17" s="667">
        <v>48.045713382547184</v>
      </c>
      <c r="GA17" s="667">
        <v>49.623571544262347</v>
      </c>
      <c r="GB17" s="667">
        <v>49.294717102466713</v>
      </c>
      <c r="GC17" s="667">
        <v>51.959053498122984</v>
      </c>
      <c r="GD17" s="667">
        <v>51.502924129374527</v>
      </c>
      <c r="GE17" s="683">
        <f>INDEX(DB!$3:$367,MATCH(GE$2,DB!$D$3:$D$367),9)</f>
        <v>52.404861886218562</v>
      </c>
      <c r="GF17" s="688"/>
      <c r="GG17" s="667">
        <v>50.786553675198142</v>
      </c>
      <c r="GH17" s="667">
        <v>49.202504720972172</v>
      </c>
      <c r="GI17" s="667">
        <v>50.809852194138635</v>
      </c>
      <c r="GJ17" s="667">
        <v>50.465595144104604</v>
      </c>
      <c r="GK17" s="667">
        <v>50.550533923515076</v>
      </c>
      <c r="GL17" s="667">
        <v>50.107561434545374</v>
      </c>
      <c r="GM17" s="683">
        <f>INDEX(DB!$3:$367,MATCH(GM$2,DB!$D$3:$D$367),9)</f>
        <v>50.132015693995527</v>
      </c>
      <c r="GN17" s="688"/>
      <c r="GO17" s="667">
        <v>49.395975545949362</v>
      </c>
      <c r="GP17" s="667">
        <v>48.977971208429025</v>
      </c>
      <c r="GQ17" s="667">
        <v>50.24833179091064</v>
      </c>
      <c r="GR17" s="667">
        <v>50.469153686013286</v>
      </c>
      <c r="GS17" s="667">
        <v>52.426912902684563</v>
      </c>
      <c r="GT17" s="667">
        <v>51.440687876750843</v>
      </c>
      <c r="GU17" s="683">
        <f>INDEX(DB!$3:$367,MATCH(GU$2,DB!$D$3:$D$367),9)</f>
        <v>49.962940324500053</v>
      </c>
      <c r="GV17" s="688"/>
      <c r="GW17" s="667">
        <f>INDEX(DB!$3:$367,MATCH(GW$2,DB!$D$3:$D$367),9)</f>
        <v>49.215645406251717</v>
      </c>
      <c r="GX17" s="667">
        <f>INDEX(DB!$3:$367,MATCH(GX$2,DB!$D$3:$D$367),9)</f>
        <v>48.805169173605563</v>
      </c>
      <c r="GY17" s="667">
        <f>INDEX(DB!$3:$367,MATCH(GY$2,DB!$D$3:$D$367),9)</f>
        <v>50.071225355730057</v>
      </c>
      <c r="GZ17" s="667">
        <f>INDEX(DB!$3:$367,MATCH(GZ$2,DB!$D$3:$D$367),9)</f>
        <v>50.355246125526953</v>
      </c>
      <c r="HA17" s="667">
        <f>INDEX(DB!$3:$367,MATCH(HA$2,DB!$D$3:$D$367),9)</f>
        <v>51.61945677583217</v>
      </c>
      <c r="HB17" s="667">
        <f>INDEX(DB!$3:$367,MATCH(HB$2,DB!$D$3:$D$367),9)</f>
        <v>50.191349336949663</v>
      </c>
      <c r="HC17" s="683">
        <f>INDEX(DB!$3:$367,MATCH(HC$2,DB!$D$3:$D$367),9)</f>
        <v>51.452853264769338</v>
      </c>
      <c r="HD17" s="688"/>
      <c r="HE17" s="667">
        <v>49.127787986666469</v>
      </c>
      <c r="HF17" s="667">
        <v>47.702732896443628</v>
      </c>
      <c r="HG17" s="667">
        <v>49.117737193087983</v>
      </c>
      <c r="HH17" s="667">
        <v>49.685864780564636</v>
      </c>
      <c r="HI17" s="667">
        <v>51.256752961096424</v>
      </c>
      <c r="HJ17" s="667">
        <v>49.838410565600107</v>
      </c>
      <c r="HK17" s="683">
        <f>INDEX(DB!$3:$367,MATCH(HK$2,DB!$D$3:$D$367),9)</f>
        <v>0</v>
      </c>
      <c r="HL17" s="688"/>
      <c r="HM17" s="667">
        <f>INDEX(DB!$3:$367,MATCH(HM$2,DB!$D$3:$D$367),9)</f>
        <v>48.765550856411032</v>
      </c>
      <c r="HN17" s="667">
        <f>INDEX(DB!$3:$367,MATCH(HN$2,DB!$D$3:$D$367),9)</f>
        <v>47.494216696616142</v>
      </c>
      <c r="HO17" s="667">
        <f>INDEX(DB!$3:$367,MATCH(HO$2,DB!$D$3:$D$367),9)</f>
        <v>47.982262685687111</v>
      </c>
      <c r="HP17" s="667">
        <v>49.3</v>
      </c>
      <c r="HQ17" s="667">
        <f>INDEX(DB!$3:$367,MATCH(HQ$2,DB!$D$3:$D$367),9)</f>
        <v>50.025030783053431</v>
      </c>
      <c r="HR17" s="667">
        <f>INDEX(DB!$3:$367,MATCH(HR$2,DB!$D$3:$D$367),9)</f>
        <v>49.115282998128713</v>
      </c>
      <c r="HS17" s="683">
        <f>INDEX(DB!$3:$367,MATCH(HS$2,DB!$D$3:$D$367),9)</f>
        <v>0</v>
      </c>
      <c r="HT17" s="688"/>
      <c r="HU17" s="667">
        <v>48.012726773104617</v>
      </c>
      <c r="HV17" s="667">
        <v>46.733298709494285</v>
      </c>
      <c r="HW17" s="667">
        <v>46.91686797592498</v>
      </c>
      <c r="HX17" s="667">
        <v>0</v>
      </c>
      <c r="HY17" s="667">
        <v>49.807699753796996</v>
      </c>
      <c r="HZ17" s="667">
        <v>48.906604427331416</v>
      </c>
      <c r="IA17" s="683">
        <f>INDEX(DB!$3:$367,MATCH(IA$2,DB!$D$3:$D$367),9)</f>
        <v>0</v>
      </c>
      <c r="IB17" s="688"/>
      <c r="IC17" s="667">
        <f>INDEX(DB!$3:$367,MATCH(IC$2,DB!$D$3:$D$367),9)</f>
        <v>47.146669813841825</v>
      </c>
      <c r="ID17" s="667">
        <f>INDEX(DB!$3:$367,MATCH(ID$2,DB!$D$3:$D$367),9)</f>
        <v>46.539877728570303</v>
      </c>
      <c r="IE17" s="667">
        <f>INDEX(DB!$3:$367,MATCH(IE$2,DB!$D$3:$D$367),9)</f>
        <v>46.905249242696421</v>
      </c>
      <c r="IF17" s="667">
        <f>INDEX(DB!$3:$367,MATCH(IF$2,DB!$D$3:$D$367),9)</f>
        <v>47.067441928000477</v>
      </c>
      <c r="IG17" s="667">
        <f>INDEX(DB!$3:$367,MATCH(IG$2,DB!$D$3:$D$367),9)</f>
        <v>48.691696461071913</v>
      </c>
      <c r="IH17" s="667">
        <f>INDEX(DB!$3:$367,MATCH(IH$2,DB!$D$3:$D$367),9)</f>
        <v>48.878016806936976</v>
      </c>
      <c r="II17" s="683">
        <f>INDEX(DB!$3:$367,MATCH(II$2,DB!$D$3:$D$367),9)</f>
        <v>0</v>
      </c>
      <c r="IJ17" s="688"/>
      <c r="IK17" s="667">
        <v>46.446210925004202</v>
      </c>
      <c r="IL17" s="667">
        <v>44.656179434406383</v>
      </c>
      <c r="IM17" s="667">
        <v>46.051996014317574</v>
      </c>
      <c r="IN17" s="667">
        <v>47.76915169070044</v>
      </c>
      <c r="IO17" s="667">
        <v>49.419456059169768</v>
      </c>
      <c r="IP17" s="667">
        <v>49.610573327038729</v>
      </c>
      <c r="IQ17" s="683">
        <f>INDEX(DB!$3:$367,MATCH(IQ$2,DB!$D$3:$D$367),9)</f>
        <v>0</v>
      </c>
      <c r="IR17" s="688"/>
      <c r="IS17" s="667">
        <v>48.131395432170763</v>
      </c>
      <c r="IT17" s="667">
        <v>45.860092047315547</v>
      </c>
      <c r="IU17" s="667">
        <v>46.787284104349915</v>
      </c>
      <c r="IV17" s="667">
        <v>46.883174793832566</v>
      </c>
      <c r="IW17" s="667">
        <v>48.7</v>
      </c>
      <c r="IX17" s="667">
        <v>48.736578198399627</v>
      </c>
      <c r="IY17" s="683">
        <f>INDEX(DB!$3:$367,MATCH(IY$2,DB!$D$3:$D$367),9)</f>
        <v>0</v>
      </c>
      <c r="IZ17" s="688"/>
      <c r="JA17" s="667">
        <f>INDEX(DB!$3:$367,MATCH(JA$2,DB!$D$3:$D$367),9)</f>
        <v>0</v>
      </c>
      <c r="JB17" s="667">
        <f>INDEX(DB!$3:$367,MATCH(JB$2,DB!$D$3:$D$367),9)</f>
        <v>44.438576629249049</v>
      </c>
      <c r="JC17" s="667">
        <f>INDEX(DB!$3:$367,MATCH(JC$2,DB!$D$3:$D$367),9)</f>
        <v>45.438002190222235</v>
      </c>
      <c r="JD17" s="667">
        <f>INDEX(DB!$3:$367,MATCH(JD$2,DB!$D$3:$D$367),9)</f>
        <v>46.943995111217497</v>
      </c>
      <c r="JE17" s="667">
        <f>INDEX(DB!$3:$367,MATCH(JE$2,DB!$D$3:$D$367),9)</f>
        <v>48.648108233002027</v>
      </c>
      <c r="JF17" s="667">
        <f>INDEX(DB!$3:$367,MATCH(JF$2,DB!$D$3:$D$367),9)</f>
        <v>48.822453348214495</v>
      </c>
      <c r="JG17" s="683">
        <f>INDEX(DB!$3:$367,MATCH(JG$2,DB!$D$3:$D$367),9)</f>
        <v>0</v>
      </c>
      <c r="JH17" s="688"/>
      <c r="JI17" s="667">
        <v>47.622442281542725</v>
      </c>
      <c r="JJ17" s="667">
        <v>44.891544622711727</v>
      </c>
      <c r="JK17" s="667">
        <v>45.894619073678342</v>
      </c>
      <c r="JL17" s="667">
        <v>48.625956398831342</v>
      </c>
      <c r="JM17" s="667">
        <v>50.418686233943546</v>
      </c>
      <c r="JN17" s="667">
        <v>50.590334494864408</v>
      </c>
      <c r="JO17" s="683">
        <f>INDEX(DB!$3:$367,MATCH(JO$2,DB!$D$3:$D$367),9)</f>
        <v>0</v>
      </c>
      <c r="JP17" s="688"/>
      <c r="JQ17" s="667">
        <f>INDEX(DB!$3:$367,MATCH(JQ$2,DB!$D$3:$D$367),9)</f>
        <v>49.706511611694268</v>
      </c>
      <c r="JR17" s="667">
        <f>INDEX(DB!$3:$367,MATCH(JR$2,DB!$D$3:$D$367),9)</f>
        <v>47.284188270846727</v>
      </c>
      <c r="JS17" s="667">
        <f>INDEX(DB!$3:$367,MATCH(JS$2,DB!$D$3:$D$367),9)</f>
        <v>47.251547934933875</v>
      </c>
      <c r="JT17" s="667">
        <f>INDEX(DB!$3:$367,MATCH(JT$2,DB!$D$3:$D$367),9)</f>
        <v>48.718888955918139</v>
      </c>
      <c r="JU17" s="667">
        <f>INDEX(DB!$3:$367,MATCH(JU$2,DB!$D$3:$D$367),9)</f>
        <v>51.070661537905721</v>
      </c>
      <c r="JV17" s="667">
        <f>INDEX(DB!$3:$367,MATCH(JV$2,DB!$D$3:$D$367),9)</f>
        <v>51.542495044616551</v>
      </c>
      <c r="JW17" s="683">
        <f>INDEX(DB!$3:$367,MATCH(JW$2,DB!$D$3:$D$367),9)</f>
        <v>0</v>
      </c>
      <c r="JX17" s="688"/>
      <c r="JY17" s="667">
        <f>INDEX(DB!$3:$367,MATCH(JY$2,DB!$D$3:$D$367),9)</f>
        <v>51.97984880853906</v>
      </c>
      <c r="JZ17" s="667">
        <f>INDEX(DB!$3:$367,MATCH(JZ$2,DB!$D$3:$D$367),9)</f>
        <v>49.027344768282127</v>
      </c>
      <c r="KA17" s="667">
        <f>INDEX(DB!$3:$367,MATCH(KA$2,DB!$D$3:$D$367),9)</f>
        <v>50.828996328432993</v>
      </c>
      <c r="KB17" s="667">
        <v>47</v>
      </c>
      <c r="KC17" s="667">
        <v>49</v>
      </c>
      <c r="KD17" s="667">
        <v>50</v>
      </c>
      <c r="KE17" s="683">
        <f>INDEX(DB!$3:$367,MATCH(KE$2,DB!$D$3:$D$367),9)</f>
        <v>0</v>
      </c>
      <c r="KF17" s="688"/>
      <c r="KG17" s="667">
        <f>INDEX(DB!$3:$367,MATCH(KG$2,DB!$D$3:$D$367),9)</f>
        <v>51.445051379526539</v>
      </c>
      <c r="KH17" s="667">
        <f>INDEX(DB!$3:$367,MATCH(KH$2,DB!$D$3:$D$367),9)</f>
        <v>48.953008769527344</v>
      </c>
      <c r="KI17" s="667">
        <f>INDEX(DB!$3:$367,MATCH(KI$2,DB!$D$3:$D$367),9)</f>
        <v>50.718304017505183</v>
      </c>
      <c r="KJ17" s="667">
        <f>INDEX(DB!$3:$367,MATCH(KJ$2,DB!$D$3:$D$367),9)</f>
        <v>48.16590761607474</v>
      </c>
      <c r="KK17" s="667">
        <f>INDEX(DB!$3:$367,MATCH(KK$2,DB!$D$3:$D$367),9)</f>
        <v>50.598027561223432</v>
      </c>
      <c r="KL17" s="667">
        <v>51</v>
      </c>
      <c r="KM17" s="683">
        <f>INDEX(DB!$3:$367,MATCH(KM$2,DB!$D$3:$D$367),9)</f>
        <v>0</v>
      </c>
      <c r="KN17" s="688"/>
      <c r="KO17" s="667">
        <v>47.277443095244735</v>
      </c>
      <c r="KP17" s="667">
        <v>44.42071451364184</v>
      </c>
      <c r="KQ17" s="667">
        <v>45.708314019620254</v>
      </c>
      <c r="KR17" s="667">
        <v>48.702985501710387</v>
      </c>
      <c r="KS17" s="667">
        <v>51.161742693371323</v>
      </c>
      <c r="KT17" s="667">
        <v>50.233426534577895</v>
      </c>
      <c r="KU17" s="683">
        <f>INDEX(DB!$3:$367,MATCH(KU$2,DB!$D$3:$D$367),9)</f>
        <v>0</v>
      </c>
      <c r="KV17" s="688"/>
      <c r="KW17" s="667">
        <v>45.377777066001549</v>
      </c>
      <c r="KX17" s="667">
        <v>48.145570792635581</v>
      </c>
      <c r="KY17" s="667">
        <v>48.883093678339996</v>
      </c>
      <c r="KZ17" s="667">
        <v>49.252073564010146</v>
      </c>
      <c r="LA17" s="667">
        <v>51.563594982131804</v>
      </c>
      <c r="LB17" s="667">
        <v>50.61760661444918</v>
      </c>
      <c r="LC17" s="683">
        <f>INDEX(DB!$3:$367,MATCH(LC$2,DB!$D$3:$D$367),9)</f>
        <v>0</v>
      </c>
      <c r="LD17" s="688"/>
      <c r="LE17" s="667">
        <v>49.353970183174624</v>
      </c>
      <c r="LF17" s="667">
        <v>47.22242820266333</v>
      </c>
      <c r="LG17" s="667">
        <v>47.880666269925108</v>
      </c>
      <c r="LH17" s="667">
        <v>49.159076359398398</v>
      </c>
      <c r="LI17" s="667">
        <v>50.347665545334202</v>
      </c>
      <c r="LJ17" s="667">
        <v>49.793722161226242</v>
      </c>
      <c r="LK17" s="683">
        <f>INDEX(DB!$3:$367,MATCH(LK$2,DB!$D$3:$D$367),9)</f>
        <v>0</v>
      </c>
      <c r="LL17" s="688"/>
      <c r="LM17" s="667">
        <v>50.072541070168036</v>
      </c>
      <c r="LN17" s="667">
        <v>48.184306495762847</v>
      </c>
      <c r="LO17" s="667">
        <v>48.322842806116263</v>
      </c>
      <c r="LP17" s="667">
        <v>49.501415814580724</v>
      </c>
      <c r="LQ17" s="667">
        <v>51.510796201922197</v>
      </c>
      <c r="LR17" s="667">
        <v>51.42828139343856</v>
      </c>
      <c r="LS17" s="683">
        <f>INDEX(DB!$3:$367,MATCH(LS$2,DB!$D$3:$D$367),9)</f>
        <v>0</v>
      </c>
      <c r="LT17" s="688"/>
      <c r="LU17" s="667">
        <v>50.082639783140138</v>
      </c>
      <c r="LV17" s="667">
        <v>48.435882497684524</v>
      </c>
      <c r="LW17" s="667">
        <v>48.83837548612788</v>
      </c>
      <c r="LX17" s="667">
        <v>49.142697227636376</v>
      </c>
      <c r="LY17" s="667">
        <v>50.512391249818762</v>
      </c>
      <c r="LZ17" s="667">
        <v>51.2608772806758</v>
      </c>
      <c r="MA17" s="683">
        <f>INDEX(DB!$3:$367,MATCH(MA$2,DB!$D$3:$D$367),9)</f>
        <v>0</v>
      </c>
      <c r="MB17" s="688"/>
      <c r="MC17" s="667">
        <f>INDEX(DB!$3:$367,MATCH(MC$2,DB!$D$3:$D$367),9)</f>
        <v>49.325866154989747</v>
      </c>
      <c r="MD17" s="667">
        <f>INDEX(DB!$3:$367,MATCH(MD$2,DB!$D$3:$D$367),9)</f>
        <v>47.708077888500966</v>
      </c>
      <c r="ME17" s="667">
        <f>INDEX(DB!$3:$367,MATCH(ME$2,DB!$D$3:$D$367),9)</f>
        <v>48.078325257563478</v>
      </c>
      <c r="MF17" s="667">
        <f>INDEX(DB!$3:$367,MATCH(MF$2,DB!$D$3:$D$367),9)</f>
        <v>47.886997547659142</v>
      </c>
      <c r="MG17" s="667">
        <f>INDEX(DB!$3:$367,MATCH(MG$2,DB!$D$3:$D$367),9)</f>
        <v>49.319616999262749</v>
      </c>
      <c r="MH17" s="667">
        <f>INDEX(DB!$3:$367,MATCH(MH$2,DB!$D$3:$D$367),9)</f>
        <v>49.820279799181336</v>
      </c>
      <c r="MI17" s="683">
        <f>INDEX(DB!$3:$367,MATCH(MI$2,DB!$D$3:$D$367),9)</f>
        <v>0</v>
      </c>
      <c r="MJ17" s="688"/>
      <c r="MK17" s="667">
        <v>47.705282126489458</v>
      </c>
      <c r="ML17" s="667">
        <v>0</v>
      </c>
      <c r="MM17" s="667">
        <v>46.328789950572322</v>
      </c>
      <c r="MN17" s="667">
        <v>47.39099292386549</v>
      </c>
      <c r="MO17" s="667">
        <v>51.007044940297959</v>
      </c>
      <c r="MP17" s="667">
        <v>51.753251676808119</v>
      </c>
      <c r="MQ17" s="683">
        <f>INDEX(DB!$3:$367,MATCH(MQ$2,DB!$D$3:$D$367),9)</f>
        <v>0</v>
      </c>
      <c r="MR17" s="688"/>
      <c r="MS17" s="667">
        <v>49.771318257777857</v>
      </c>
      <c r="MT17" s="667">
        <v>48.198008861765821</v>
      </c>
      <c r="MU17" s="667">
        <v>48.519083794371717</v>
      </c>
      <c r="MV17" s="667">
        <v>48.311375438530504</v>
      </c>
      <c r="MW17" s="667">
        <v>0</v>
      </c>
      <c r="MX17" s="667">
        <v>52.296364702581506</v>
      </c>
      <c r="MY17" s="683">
        <f>INDEX(DB!$3:$367,MATCH(MY$2,DB!$D$3:$D$367),9)</f>
        <v>0</v>
      </c>
      <c r="MZ17" s="688"/>
      <c r="NA17" s="667">
        <v>50.16463529984577</v>
      </c>
      <c r="NB17" s="667">
        <v>49.74560523865069</v>
      </c>
      <c r="NC17" s="667">
        <v>50.373431777499107</v>
      </c>
      <c r="ND17" s="667">
        <v>49.31083826288706</v>
      </c>
      <c r="NE17" s="667">
        <v>49.226647304080572</v>
      </c>
      <c r="NF17" s="667">
        <v>49.718276682203296</v>
      </c>
      <c r="NG17" s="683">
        <f>INDEX(DB!$3:$367,MATCH(NG$2,DB!$D$3:$D$367),9)</f>
        <v>0</v>
      </c>
      <c r="NH17" s="688"/>
      <c r="NI17" s="667">
        <v>47.616185730158875</v>
      </c>
      <c r="NJ17" s="667">
        <v>48.615994175283198</v>
      </c>
      <c r="NK17" s="667">
        <v>50.493160171224211</v>
      </c>
      <c r="NL17" s="667">
        <v>48.006460995042175</v>
      </c>
      <c r="NM17" s="667">
        <v>52.469184103538964</v>
      </c>
      <c r="NN17" s="667">
        <v>51.924385964677121</v>
      </c>
      <c r="NO17" s="683">
        <f>INDEX(DB!$3:$367,MATCH(NO$2,DB!$D$3:$D$367),9)</f>
        <v>0</v>
      </c>
      <c r="NP17" s="688"/>
      <c r="NQ17" s="667">
        <v>51.299347455523602</v>
      </c>
      <c r="NR17" s="667">
        <v>50.261943918549548</v>
      </c>
      <c r="NS17" s="667">
        <v>52.022503830402165</v>
      </c>
      <c r="NT17" s="667">
        <v>51.662950265189139</v>
      </c>
      <c r="NU17" s="667">
        <v>49.91508175877118</v>
      </c>
      <c r="NV17" s="667">
        <v>48.900730487350025</v>
      </c>
      <c r="NW17" s="683">
        <f>INDEX(DB!$3:$367,MATCH(NW$2,DB!$D$3:$D$367),9)</f>
        <v>0</v>
      </c>
      <c r="NX17" s="688"/>
      <c r="NY17" s="667">
        <f>INDEX(DB!$3:$367,MATCH(NY$2,DB!$D$3:$D$367),9)</f>
        <v>48.854093662780855</v>
      </c>
      <c r="NZ17" s="667">
        <f>INDEX(DB!$3:$367,MATCH(NZ$2,DB!$D$3:$D$367),9)</f>
        <v>47.777988227021567</v>
      </c>
      <c r="OA17" s="667">
        <f>INDEX(DB!$3:$367,MATCH(OA$2,DB!$D$3:$D$367),9)</f>
        <v>49.482723224697907</v>
      </c>
      <c r="OB17" s="667">
        <f>INDEX(DB!$3:$367,MATCH(OB$2,DB!$D$3:$D$367),9)</f>
        <v>49.409074952807366</v>
      </c>
      <c r="OC17" s="667">
        <f>INDEX(DB!$3:$367,MATCH(OC$2,DB!$D$3:$D$367),9)</f>
        <v>48.414027999394968</v>
      </c>
      <c r="OD17" s="667">
        <f>INDEX(DB!$3:$367,MATCH(OD$2,DB!$D$3:$D$367),9)</f>
        <v>48.283550888571114</v>
      </c>
      <c r="OE17" s="683">
        <f>INDEX(DB!$3:$367,MATCH(OE$2,DB!$D$3:$D$367),9)</f>
        <v>0</v>
      </c>
      <c r="OF17" s="688"/>
      <c r="OG17" s="667">
        <v>47.737769298598167</v>
      </c>
      <c r="OH17" s="667">
        <v>48.315151322211342</v>
      </c>
      <c r="OI17" s="667">
        <v>48.839263491810826</v>
      </c>
      <c r="OJ17" s="667">
        <v>47.206408496389017</v>
      </c>
      <c r="OK17" s="667">
        <v>47.833252675755688</v>
      </c>
      <c r="OL17" s="667">
        <v>50.45337194748025</v>
      </c>
      <c r="OM17" s="683">
        <f>INDEX(DB!$3:$367,MATCH(OM$2,DB!$D$3:$D$367),9)</f>
        <v>0</v>
      </c>
      <c r="ON17" s="688"/>
      <c r="OO17" s="667">
        <f>INDEX(DB!$3:$367,MATCH(OO$2,DB!$D$3:$D$367),9)</f>
        <v>52.5</v>
      </c>
      <c r="OP17" s="667">
        <f>INDEX(DB!$3:$367,MATCH(OP$2,DB!$D$3:$D$367),9)</f>
        <v>49.85</v>
      </c>
      <c r="OQ17" s="667">
        <f>INDEX(DB!$3:$367,MATCH(OQ$2,DB!$D$3:$D$367),9)</f>
        <v>48.95</v>
      </c>
      <c r="OR17" s="667">
        <f>INDEX(DB!$3:$367,MATCH(OR$2,DB!$D$3:$D$367),9)</f>
        <v>50.17</v>
      </c>
      <c r="OS17" s="667">
        <f>INDEX(DB!$3:$367,MATCH(OS$2,DB!$D$3:$D$367),9)</f>
        <v>49.55</v>
      </c>
      <c r="OT17" s="667">
        <f>INDEX(DB!$3:$367,MATCH(OT$2,DB!$D$3:$D$367),9)</f>
        <v>45.69</v>
      </c>
      <c r="OU17" s="683">
        <f>INDEX(DB!$3:$367,MATCH(OU$2,DB!$D$3:$D$367),9)</f>
        <v>0</v>
      </c>
      <c r="OV17" s="688"/>
      <c r="OW17" s="667">
        <f>INDEX(DB!$3:$367,MATCH(OW$2,DB!$D$3:$D$367),9)</f>
        <v>47.21</v>
      </c>
      <c r="OX17" s="667">
        <f>INDEX(DB!$3:$367,MATCH(OX$2,DB!$D$3:$D$367),9)</f>
        <v>45.68</v>
      </c>
      <c r="OY17" s="667">
        <f>INDEX(DB!$3:$367,MATCH(OY$2,DB!$D$3:$D$367),9)</f>
        <v>45.79</v>
      </c>
      <c r="OZ17" s="667">
        <f>INDEX(DB!$3:$367,MATCH(OZ$2,DB!$D$3:$D$367),9)</f>
        <v>46.05</v>
      </c>
      <c r="PA17" s="667">
        <f>INDEX(DB!$3:$367,MATCH(PA$2,DB!$D$3:$D$367),9)</f>
        <v>45.55</v>
      </c>
      <c r="PB17" s="667">
        <f>INDEX(DB!$3:$367,MATCH(PB$2,DB!$D$3:$D$367),9)</f>
        <v>45.09</v>
      </c>
      <c r="PC17" s="683">
        <f>INDEX(DB!$3:$367,MATCH(PC$2,DB!$D$3:$D$367),9)</f>
        <v>45.09</v>
      </c>
    </row>
    <row r="18" spans="1:420" ht="15" thickBot="1" x14ac:dyDescent="0.35">
      <c r="B18" s="978"/>
      <c r="C18" s="679" t="s">
        <v>254</v>
      </c>
      <c r="D18" s="689">
        <f>SUM(E18:K18)</f>
        <v>268811.63597560598</v>
      </c>
      <c r="E18" s="668">
        <f>E17*E16*$C$1</f>
        <v>34312.07230675812</v>
      </c>
      <c r="F18" s="668">
        <f t="shared" ref="F18:J18" si="521">F17*F16*$C$1</f>
        <v>48653.942553880566</v>
      </c>
      <c r="G18" s="668">
        <f t="shared" si="521"/>
        <v>49448.371114967311</v>
      </c>
      <c r="H18" s="668">
        <f t="shared" si="521"/>
        <v>47044.800000000003</v>
      </c>
      <c r="I18" s="668">
        <f t="shared" si="521"/>
        <v>46030.05</v>
      </c>
      <c r="J18" s="668">
        <f t="shared" si="521"/>
        <v>43322.400000000001</v>
      </c>
      <c r="K18" s="659"/>
      <c r="L18" s="689">
        <f>SUM(M18:S18)</f>
        <v>280014.74614043476</v>
      </c>
      <c r="M18" s="668">
        <f>M17*M16*$C$1</f>
        <v>41505.165691706294</v>
      </c>
      <c r="N18" s="668">
        <f t="shared" ref="N18:R18" si="522">N17*N16*$C$1</f>
        <v>49996.979374391245</v>
      </c>
      <c r="O18" s="668">
        <f t="shared" si="522"/>
        <v>46180.301074337243</v>
      </c>
      <c r="P18" s="668">
        <f t="shared" si="522"/>
        <v>47044.800000000003</v>
      </c>
      <c r="Q18" s="668">
        <f t="shared" si="522"/>
        <v>46282.5</v>
      </c>
      <c r="R18" s="668">
        <f t="shared" si="522"/>
        <v>49005</v>
      </c>
      <c r="S18" s="659"/>
      <c r="T18" s="689">
        <f>SUM(U18:AA18)</f>
        <v>288153.8194722638</v>
      </c>
      <c r="U18" s="668">
        <f>U17*U16*$C$1</f>
        <v>43837.824484181365</v>
      </c>
      <c r="V18" s="668">
        <f t="shared" ref="V18:Z18" si="523">V17*V16*$C$1</f>
        <v>47215.562556580771</v>
      </c>
      <c r="W18" s="668">
        <f t="shared" si="523"/>
        <v>48456.882431501683</v>
      </c>
      <c r="X18" s="668">
        <f t="shared" si="523"/>
        <v>49282.2</v>
      </c>
      <c r="Y18" s="668">
        <f>Y17*Y16*$C$1</f>
        <v>51069.15</v>
      </c>
      <c r="Z18" s="668">
        <f t="shared" si="523"/>
        <v>48292.2</v>
      </c>
      <c r="AA18" s="659"/>
      <c r="AB18" s="689">
        <f>SUM(AC18:AI18)</f>
        <v>282625.47087878443</v>
      </c>
      <c r="AC18" s="668">
        <f>AC17*AC16*$C$1</f>
        <v>44905.408163265303</v>
      </c>
      <c r="AD18" s="668">
        <f t="shared" ref="AD18:AH18" si="524">AD17*AD16*$C$1</f>
        <v>46557.406508013592</v>
      </c>
      <c r="AE18" s="668">
        <f t="shared" si="524"/>
        <v>47520</v>
      </c>
      <c r="AF18" s="668">
        <f t="shared" si="524"/>
        <v>48327.423615127227</v>
      </c>
      <c r="AG18" s="668">
        <f t="shared" si="524"/>
        <v>50087.927360124988</v>
      </c>
      <c r="AH18" s="668">
        <f t="shared" si="524"/>
        <v>45227.305232253304</v>
      </c>
      <c r="AI18" s="659"/>
      <c r="AJ18" s="689">
        <f>SUM(AK18:AQ18)</f>
        <v>290667.92574643402</v>
      </c>
      <c r="AK18" s="668">
        <f>AK17*AK16*$C$1</f>
        <v>44378.326451026151</v>
      </c>
      <c r="AL18" s="668">
        <f t="shared" ref="AL18:AP18" si="525">AL17*AL16*$C$1</f>
        <v>47287.248741826581</v>
      </c>
      <c r="AM18" s="668">
        <f t="shared" si="525"/>
        <v>50387.50288277759</v>
      </c>
      <c r="AN18" s="668">
        <f t="shared" si="525"/>
        <v>50718.077072866377</v>
      </c>
      <c r="AO18" s="668">
        <f t="shared" si="525"/>
        <v>50213.420597937322</v>
      </c>
      <c r="AP18" s="668">
        <f t="shared" si="525"/>
        <v>47683.35</v>
      </c>
      <c r="AQ18" s="659"/>
      <c r="AR18" s="689">
        <f>SUM(AS18:AY18)</f>
        <v>290955.35740657931</v>
      </c>
      <c r="AS18" s="668">
        <f>AS17*AS16*$C$1</f>
        <v>47136.51030203922</v>
      </c>
      <c r="AT18" s="668">
        <f t="shared" ref="AT18:AX18" si="526">AT17*AT16*$C$1</f>
        <v>47887.612870768957</v>
      </c>
      <c r="AU18" s="668">
        <f t="shared" si="526"/>
        <v>51019.37595740219</v>
      </c>
      <c r="AV18" s="668">
        <f t="shared" si="526"/>
        <v>47822.558276368953</v>
      </c>
      <c r="AW18" s="668">
        <f t="shared" si="526"/>
        <v>49500</v>
      </c>
      <c r="AX18" s="668">
        <f t="shared" si="526"/>
        <v>47589.3</v>
      </c>
      <c r="AY18" s="659"/>
      <c r="AZ18" s="689">
        <f>SUM(BA18:BG18)</f>
        <v>289398.9941491597</v>
      </c>
      <c r="BA18" s="668">
        <f>BA17*BA16*$C$1</f>
        <v>43947.561726000575</v>
      </c>
      <c r="BB18" s="668">
        <f t="shared" ref="BB18:BF18" si="527">BB17*BB16*$C$1</f>
        <v>49979.593269954399</v>
      </c>
      <c r="BC18" s="668">
        <f t="shared" si="527"/>
        <v>50118.956115212357</v>
      </c>
      <c r="BD18" s="668">
        <f t="shared" si="527"/>
        <v>47304.514086742092</v>
      </c>
      <c r="BE18" s="668">
        <f t="shared" si="527"/>
        <v>51480</v>
      </c>
      <c r="BF18" s="668">
        <f t="shared" si="527"/>
        <v>46568.368951250282</v>
      </c>
      <c r="BG18" s="659"/>
      <c r="BH18" s="689">
        <f>SUM(BI18:BO18)</f>
        <v>287460.66184482054</v>
      </c>
      <c r="BI18" s="668">
        <f>BI17*BI16*$C$1</f>
        <v>45360.528215723411</v>
      </c>
      <c r="BJ18" s="668">
        <f t="shared" ref="BJ18:BN18" si="528">BJ17*BJ16*$C$1</f>
        <v>46092.771593811878</v>
      </c>
      <c r="BK18" s="668">
        <f t="shared" si="528"/>
        <v>46910.038471592248</v>
      </c>
      <c r="BL18" s="668">
        <f t="shared" si="528"/>
        <v>47815.799476048873</v>
      </c>
      <c r="BM18" s="668">
        <f t="shared" si="528"/>
        <v>52360.712351014947</v>
      </c>
      <c r="BN18" s="668">
        <f t="shared" si="528"/>
        <v>48920.811736629184</v>
      </c>
      <c r="BO18" s="659"/>
      <c r="BP18" s="689">
        <f>SUM(BQ18:BW18)</f>
        <v>299649.66071828944</v>
      </c>
      <c r="BQ18" s="668">
        <f>BQ17*BQ16*$C$1</f>
        <v>47337.493377543171</v>
      </c>
      <c r="BR18" s="668">
        <f t="shared" ref="BR18:BV18" si="529">BR17*BR16*$C$1</f>
        <v>48344.675230394125</v>
      </c>
      <c r="BS18" s="668">
        <f t="shared" si="529"/>
        <v>49139.50775856906</v>
      </c>
      <c r="BT18" s="668">
        <f t="shared" si="529"/>
        <v>50404.064425800432</v>
      </c>
      <c r="BU18" s="668">
        <f t="shared" si="529"/>
        <v>52763.451764682519</v>
      </c>
      <c r="BV18" s="668">
        <f t="shared" si="529"/>
        <v>51660.468161300174</v>
      </c>
      <c r="BW18" s="659"/>
      <c r="BX18" s="689">
        <f>SUM(BY18:CE18)</f>
        <v>289203.04367652553</v>
      </c>
      <c r="BY18" s="668">
        <f>BY17*BY16*$C$1</f>
        <v>42643.906372043653</v>
      </c>
      <c r="BZ18" s="668">
        <f t="shared" ref="BZ18:CD18" si="530">BZ17*BZ16*$C$1</f>
        <v>47919.229900193255</v>
      </c>
      <c r="CA18" s="668">
        <f t="shared" si="530"/>
        <v>48185.119352768692</v>
      </c>
      <c r="CB18" s="668">
        <f t="shared" si="530"/>
        <v>45549.34932812264</v>
      </c>
      <c r="CC18" s="668">
        <f t="shared" si="530"/>
        <v>55627.524756022904</v>
      </c>
      <c r="CD18" s="668">
        <f t="shared" si="530"/>
        <v>49277.91396737437</v>
      </c>
      <c r="CE18" s="659"/>
      <c r="CF18" s="689">
        <f>SUM(CG18:CM18)</f>
        <v>273396.54131347564</v>
      </c>
      <c r="CG18" s="668">
        <f>CG17*CG16*$C$1</f>
        <v>40299.798219153592</v>
      </c>
      <c r="CH18" s="668">
        <f t="shared" ref="CH18:CL18" si="531">CH17*CH16*$C$1</f>
        <v>49173.260318265893</v>
      </c>
      <c r="CI18" s="668">
        <f t="shared" si="531"/>
        <v>48141.78824595717</v>
      </c>
      <c r="CJ18" s="668">
        <f t="shared" si="531"/>
        <v>42013.218723534126</v>
      </c>
      <c r="CK18" s="668">
        <f t="shared" si="531"/>
        <v>48167.4855930427</v>
      </c>
      <c r="CL18" s="668">
        <f t="shared" si="531"/>
        <v>45600.990213522186</v>
      </c>
      <c r="CM18" s="659"/>
      <c r="CN18" s="689">
        <f>SUM(CO18:CU18)</f>
        <v>293009.90184261865</v>
      </c>
      <c r="CO18" s="668">
        <v>44957.476483242805</v>
      </c>
      <c r="CP18" s="668">
        <v>50600.691362785677</v>
      </c>
      <c r="CQ18" s="668">
        <v>47986.617817053404</v>
      </c>
      <c r="CR18" s="668">
        <v>45584.82395344229</v>
      </c>
      <c r="CS18" s="668">
        <v>57151.831994162858</v>
      </c>
      <c r="CT18" s="668">
        <v>46728.460231931604</v>
      </c>
      <c r="CU18" s="659"/>
      <c r="CV18" s="689">
        <f>SUM(CW18:DC18)</f>
        <v>298083.37070203375</v>
      </c>
      <c r="CW18" s="668">
        <v>46641.604471423714</v>
      </c>
      <c r="CX18" s="668">
        <v>49397.995805514394</v>
      </c>
      <c r="CY18" s="668">
        <v>50434.177651023987</v>
      </c>
      <c r="CZ18" s="668">
        <v>50044.784699472744</v>
      </c>
      <c r="DA18" s="668">
        <v>57165.565757361641</v>
      </c>
      <c r="DB18" s="668">
        <v>44399.24231723728</v>
      </c>
      <c r="DC18" s="659"/>
      <c r="DD18" s="689">
        <f>SUM(DE18:DK18)</f>
        <v>287712.88952500903</v>
      </c>
      <c r="DE18" s="668">
        <f>DE17*DE16*$C$1</f>
        <v>45085.881959008897</v>
      </c>
      <c r="DF18" s="668">
        <f t="shared" ref="DF18:DJ18" si="532">DF17*DF16*$C$1</f>
        <v>47465.782838253923</v>
      </c>
      <c r="DG18" s="668">
        <f t="shared" si="532"/>
        <v>47341.206662604185</v>
      </c>
      <c r="DH18" s="668">
        <f t="shared" si="532"/>
        <v>50793.648475204755</v>
      </c>
      <c r="DI18" s="668">
        <f t="shared" si="532"/>
        <v>53975.615294785879</v>
      </c>
      <c r="DJ18" s="668">
        <f t="shared" si="532"/>
        <v>43050.754295151404</v>
      </c>
      <c r="DK18" s="659"/>
      <c r="DL18" s="689">
        <f>SUM(DM18:DS18)</f>
        <v>287074.36174365692</v>
      </c>
      <c r="DM18" s="668">
        <v>45142.702400081296</v>
      </c>
      <c r="DN18" s="668">
        <v>47013.325932706073</v>
      </c>
      <c r="DO18" s="668">
        <v>47202.236235920602</v>
      </c>
      <c r="DP18" s="668">
        <v>50759.55420891774</v>
      </c>
      <c r="DQ18" s="668">
        <v>52685.86596339455</v>
      </c>
      <c r="DR18" s="668">
        <v>44270.677002636672</v>
      </c>
      <c r="DS18" s="659"/>
      <c r="DT18" s="689">
        <f>SUM(DU18:EA18)</f>
        <v>207812.56293803995</v>
      </c>
      <c r="DU18" s="668">
        <v>0</v>
      </c>
      <c r="DV18" s="668">
        <v>18341.143391068843</v>
      </c>
      <c r="DW18" s="668">
        <v>50459.499295010508</v>
      </c>
      <c r="DX18" s="668">
        <v>44725.847108559603</v>
      </c>
      <c r="DY18" s="668">
        <v>50874.601128096401</v>
      </c>
      <c r="DZ18" s="668">
        <v>43411.4720153046</v>
      </c>
      <c r="EA18" s="659"/>
      <c r="EB18" s="689">
        <f>SUM(EC18:EI18)</f>
        <v>273390.11374520406</v>
      </c>
      <c r="EC18" s="668">
        <f>EC17*EC16*$C$1</f>
        <v>44252.399825403656</v>
      </c>
      <c r="ED18" s="668">
        <f t="shared" ref="ED18:EH18" si="533">ED17*ED16*$C$1</f>
        <v>43252.766632909203</v>
      </c>
      <c r="EE18" s="668">
        <f t="shared" si="533"/>
        <v>43784.831806678274</v>
      </c>
      <c r="EF18" s="668">
        <f t="shared" si="533"/>
        <v>45070.341375334014</v>
      </c>
      <c r="EG18" s="668">
        <f t="shared" si="533"/>
        <v>52375.535513579816</v>
      </c>
      <c r="EH18" s="668">
        <f t="shared" si="533"/>
        <v>44654.238591299116</v>
      </c>
      <c r="EI18" s="659"/>
      <c r="EJ18" s="689">
        <f>SUM(EK18:EQ18)</f>
        <v>292781.14538750635</v>
      </c>
      <c r="EK18" s="668">
        <f>EK17*EK16*$C$1</f>
        <v>47413.585623596235</v>
      </c>
      <c r="EL18" s="668">
        <f t="shared" ref="EL18:EP18" si="534">EL17*EL16*$C$1</f>
        <v>48463.951956436991</v>
      </c>
      <c r="EM18" s="668">
        <f t="shared" si="534"/>
        <v>46782.862093583222</v>
      </c>
      <c r="EN18" s="668">
        <f t="shared" si="534"/>
        <v>44062.173888145968</v>
      </c>
      <c r="EO18" s="668">
        <f t="shared" si="534"/>
        <v>55088.405939349461</v>
      </c>
      <c r="EP18" s="668">
        <f t="shared" si="534"/>
        <v>50970.165886394454</v>
      </c>
      <c r="EQ18" s="659"/>
      <c r="ER18" s="689">
        <f>SUM(ES18:EY18)</f>
        <v>300776.92349531187</v>
      </c>
      <c r="ES18" s="668">
        <f>ES17*ES16*$C$1</f>
        <v>48170.114679946033</v>
      </c>
      <c r="ET18" s="668">
        <f t="shared" ref="ET18:EX18" si="535">ET17*ET16*$C$1</f>
        <v>49517.526404985321</v>
      </c>
      <c r="EU18" s="668">
        <f t="shared" si="535"/>
        <v>50204.278270512383</v>
      </c>
      <c r="EV18" s="668">
        <f t="shared" si="535"/>
        <v>49978.802618010101</v>
      </c>
      <c r="EW18" s="668">
        <f t="shared" si="535"/>
        <v>54766.781547922314</v>
      </c>
      <c r="EX18" s="668">
        <f t="shared" si="535"/>
        <v>48139.41997393575</v>
      </c>
      <c r="EY18" s="659"/>
      <c r="EZ18" s="689">
        <f>SUM(FA18:FG18)</f>
        <v>297558.6295841129</v>
      </c>
      <c r="FA18" s="668">
        <f>FA17*FA16*$C$1</f>
        <v>47840.990202746791</v>
      </c>
      <c r="FB18" s="668">
        <f t="shared" ref="FB18:FF18" si="536">FB17*FB16*$C$1</f>
        <v>49232.56871799357</v>
      </c>
      <c r="FC18" s="668">
        <f t="shared" si="536"/>
        <v>50142.620834226516</v>
      </c>
      <c r="FD18" s="668">
        <f t="shared" si="536"/>
        <v>49713.149367296428</v>
      </c>
      <c r="FE18" s="668">
        <f t="shared" si="536"/>
        <v>53516.127459407253</v>
      </c>
      <c r="FF18" s="668">
        <f t="shared" si="536"/>
        <v>47113.17300244236</v>
      </c>
      <c r="FG18" s="659"/>
      <c r="FH18" s="689">
        <f>SUM(FI18:FO18)</f>
        <v>246101.92595707378</v>
      </c>
      <c r="FI18" s="668">
        <v>44175.757464191833</v>
      </c>
      <c r="FJ18" s="668">
        <v>47979.011102754768</v>
      </c>
      <c r="FK18" s="668">
        <v>48439.95079421901</v>
      </c>
      <c r="FL18" s="668">
        <v>0</v>
      </c>
      <c r="FM18" s="668">
        <v>51679.30350483783</v>
      </c>
      <c r="FN18" s="668">
        <v>53827.903091070366</v>
      </c>
      <c r="FO18" s="659"/>
      <c r="FP18" s="689">
        <f>SUM(FQ18:FW18)</f>
        <v>289346.99513768137</v>
      </c>
      <c r="FQ18" s="668">
        <v>45121.106109098975</v>
      </c>
      <c r="FR18" s="668">
        <v>48472.466163016376</v>
      </c>
      <c r="FS18" s="668">
        <v>49443.408936702006</v>
      </c>
      <c r="FT18" s="668">
        <v>49530.937303004081</v>
      </c>
      <c r="FU18" s="668">
        <v>51021.467671635844</v>
      </c>
      <c r="FV18" s="668">
        <v>45757.608954224088</v>
      </c>
      <c r="FW18" s="659"/>
      <c r="FX18" s="689">
        <f>SUM(FY18:GE18)</f>
        <v>233348.73582027553</v>
      </c>
      <c r="FY18" s="668">
        <v>0</v>
      </c>
      <c r="FZ18" s="668">
        <v>38052.204998977366</v>
      </c>
      <c r="GA18" s="668">
        <v>51583.702620260708</v>
      </c>
      <c r="GB18" s="668">
        <v>46361.681434869941</v>
      </c>
      <c r="GC18" s="668">
        <v>54011.436111298841</v>
      </c>
      <c r="GD18" s="668">
        <v>43339.710654868664</v>
      </c>
      <c r="GE18" s="659"/>
      <c r="GF18" s="689">
        <f>SUM(GG18:GM18)</f>
        <v>283968.45048796746</v>
      </c>
      <c r="GG18" s="668">
        <v>45250.819324601543</v>
      </c>
      <c r="GH18" s="668">
        <v>46274.955690074326</v>
      </c>
      <c r="GI18" s="668">
        <v>47786.665988587381</v>
      </c>
      <c r="GJ18" s="668">
        <v>47462.892233030383</v>
      </c>
      <c r="GK18" s="668">
        <v>52547.280013493917</v>
      </c>
      <c r="GL18" s="668">
        <v>44645.837238179927</v>
      </c>
      <c r="GM18" s="659"/>
      <c r="GN18" s="689">
        <f>SUM(GO18:GU18)</f>
        <v>292565.79066168668</v>
      </c>
      <c r="GO18" s="668">
        <v>44011.814211440884</v>
      </c>
      <c r="GP18" s="668">
        <v>48488.191496344734</v>
      </c>
      <c r="GQ18" s="668">
        <v>49745.848473001533</v>
      </c>
      <c r="GR18" s="668">
        <v>48715.350595424323</v>
      </c>
      <c r="GS18" s="668">
        <v>54497.775962340602</v>
      </c>
      <c r="GT18" s="668">
        <v>47106.809923134584</v>
      </c>
      <c r="GU18" s="659"/>
      <c r="GV18" s="689">
        <f>SUM(GW18:HC18)</f>
        <v>284873.33674479712</v>
      </c>
      <c r="GW18" s="668">
        <f>GW17*GW16*$C$1</f>
        <v>46287.314504579736</v>
      </c>
      <c r="GX18" s="668">
        <f t="shared" ref="GX18:HB18" si="537">GX17*GX16*$C$1</f>
        <v>48317.117481869507</v>
      </c>
      <c r="GY18" s="668">
        <f t="shared" si="537"/>
        <v>49570.513102172757</v>
      </c>
      <c r="GZ18" s="668">
        <f t="shared" si="537"/>
        <v>47359.108981058103</v>
      </c>
      <c r="HA18" s="668">
        <f t="shared" si="537"/>
        <v>51103.262208073851</v>
      </c>
      <c r="HB18" s="668">
        <f t="shared" si="537"/>
        <v>42236.020467043141</v>
      </c>
      <c r="HC18" s="659"/>
      <c r="HD18" s="689">
        <v>260639.49843750981</v>
      </c>
      <c r="HE18" s="668">
        <v>43772.859096119821</v>
      </c>
      <c r="HF18" s="668">
        <v>44864.420289105234</v>
      </c>
      <c r="HG18" s="668">
        <v>44979.56783457032</v>
      </c>
      <c r="HH18" s="668">
        <v>41810.655212845137</v>
      </c>
      <c r="HI18" s="668">
        <v>48206.976159911188</v>
      </c>
      <c r="HJ18" s="668">
        <v>37005.019844958078</v>
      </c>
      <c r="HK18" s="659"/>
      <c r="HL18" s="689">
        <f>SUM(HM18:HS18)</f>
        <v>239034.46199128189</v>
      </c>
      <c r="HM18" s="668">
        <f>HM17*HM16*$C$1</f>
        <v>41036.211045669887</v>
      </c>
      <c r="HN18" s="668">
        <f t="shared" ref="HN18:HR18" si="538">HN17*HN16*$C$1</f>
        <v>39966.383350202486</v>
      </c>
      <c r="HO18" s="668">
        <f t="shared" si="538"/>
        <v>40377.074050005707</v>
      </c>
      <c r="HP18" s="668">
        <f t="shared" si="538"/>
        <v>39045.599999999999</v>
      </c>
      <c r="HQ18" s="668">
        <f t="shared" si="538"/>
        <v>44572.302427700604</v>
      </c>
      <c r="HR18" s="668">
        <f t="shared" si="538"/>
        <v>34036.891117703191</v>
      </c>
      <c r="HS18" s="659"/>
      <c r="HT18" s="689">
        <f>SUM(HU18:IA18)</f>
        <v>202347.89278059881</v>
      </c>
      <c r="HU18" s="668">
        <v>38026.079604298851</v>
      </c>
      <c r="HV18" s="668">
        <v>41639.369150159408</v>
      </c>
      <c r="HW18" s="668">
        <v>39480.544401740866</v>
      </c>
      <c r="HX18" s="668">
        <v>0</v>
      </c>
      <c r="HY18" s="668">
        <v>49309.622756259021</v>
      </c>
      <c r="HZ18" s="668">
        <v>33892.276868140667</v>
      </c>
      <c r="IA18" s="659"/>
      <c r="IB18" s="689">
        <f>SUM(IC18:II18)</f>
        <v>231571.85087635496</v>
      </c>
      <c r="IC18" s="668">
        <f>IC17*IC16*$C$1</f>
        <v>37340.162492562726</v>
      </c>
      <c r="ID18" s="668">
        <f t="shared" ref="ID18:IH18" si="539">ID17*ID16*$C$1</f>
        <v>40315.169082374021</v>
      </c>
      <c r="IE18" s="668">
        <f t="shared" si="539"/>
        <v>41792.577075242509</v>
      </c>
      <c r="IF18" s="668">
        <f t="shared" si="539"/>
        <v>37277.414006976382</v>
      </c>
      <c r="IG18" s="668">
        <f t="shared" si="539"/>
        <v>40974.062571992014</v>
      </c>
      <c r="IH18" s="668">
        <f t="shared" si="539"/>
        <v>33872.465647207326</v>
      </c>
      <c r="II18" s="659"/>
      <c r="IJ18" s="689">
        <f>SUM(IK18:IQ18)</f>
        <v>228950.42772619188</v>
      </c>
      <c r="IK18" s="668">
        <v>36785.399052603323</v>
      </c>
      <c r="IL18" s="668">
        <v>39788.655876056087</v>
      </c>
      <c r="IM18" s="668">
        <v>41032.328448756954</v>
      </c>
      <c r="IN18" s="668">
        <v>37833.168139034744</v>
      </c>
      <c r="IO18" s="668">
        <v>41586.472273791362</v>
      </c>
      <c r="IP18" s="668">
        <v>31924.40393594942</v>
      </c>
      <c r="IQ18" s="659"/>
      <c r="IR18" s="689">
        <f>SUM(IS18:IY18)</f>
        <v>231548.65270886323</v>
      </c>
      <c r="IS18" s="668">
        <v>38120.06518227925</v>
      </c>
      <c r="IT18" s="668">
        <v>38591.267457816037</v>
      </c>
      <c r="IU18" s="668">
        <v>39371.499573810455</v>
      </c>
      <c r="IV18" s="668">
        <v>39452.191589010108</v>
      </c>
      <c r="IW18" s="668">
        <v>42239.180214456414</v>
      </c>
      <c r="IX18" s="668">
        <v>33774.448691490943</v>
      </c>
      <c r="IY18" s="659"/>
      <c r="IZ18" s="689">
        <f>SUM(JA18:JG18)</f>
        <v>193525.27301286286</v>
      </c>
      <c r="JA18" s="668">
        <f>JA17*JA16*$C$1</f>
        <v>0</v>
      </c>
      <c r="JB18" s="668">
        <f t="shared" ref="JB18:JF18" si="540">JB17*JB16*$C$1</f>
        <v>35195.352690365246</v>
      </c>
      <c r="JC18" s="668">
        <f t="shared" si="540"/>
        <v>40485.259951488013</v>
      </c>
      <c r="JD18" s="668">
        <f t="shared" si="540"/>
        <v>40665.235765092155</v>
      </c>
      <c r="JE18" s="668">
        <f t="shared" si="540"/>
        <v>43345.464435604801</v>
      </c>
      <c r="JF18" s="668">
        <f t="shared" si="540"/>
        <v>33833.960170312646</v>
      </c>
      <c r="JG18" s="659"/>
      <c r="JH18" s="689">
        <f>SUM(JI18:JO18)</f>
        <v>256629.83936923358</v>
      </c>
      <c r="JI18" s="668">
        <v>42431.596072854561</v>
      </c>
      <c r="JJ18" s="668">
        <v>39998.366258836148</v>
      </c>
      <c r="JK18" s="668">
        <v>40892.105594647401</v>
      </c>
      <c r="JL18" s="668">
        <v>43325.727151358726</v>
      </c>
      <c r="JM18" s="668">
        <v>49914.499371604114</v>
      </c>
      <c r="JN18" s="668">
        <v>40067.54491993261</v>
      </c>
      <c r="JO18" s="659"/>
      <c r="JP18" s="689">
        <f>SUM(JQ18:JW18)</f>
        <v>282643.78608484229</v>
      </c>
      <c r="JQ18" s="668">
        <f>JQ17*JQ16*$C$1</f>
        <v>46748.974170798458</v>
      </c>
      <c r="JR18" s="668">
        <f>JR17*JR16*$C$1</f>
        <v>46811.346388138256</v>
      </c>
      <c r="JS18" s="668">
        <f>JS17*JS16*$C$1</f>
        <v>46779.032455584529</v>
      </c>
      <c r="JT18" s="668">
        <f t="shared" ref="JT18:JV18" si="541">JT17*JT16*$C$1</f>
        <v>45820.115063041005</v>
      </c>
      <c r="JU18" s="668">
        <f t="shared" si="541"/>
        <v>50559.95492252666</v>
      </c>
      <c r="JV18" s="668">
        <f t="shared" si="541"/>
        <v>45924.363084753342</v>
      </c>
      <c r="JW18" s="659"/>
      <c r="JX18" s="689">
        <f>SUM(JY18:KE18)</f>
        <v>282345.14373795147</v>
      </c>
      <c r="JY18" s="668">
        <f>JY17*JY16*$C$1</f>
        <v>48887.047804430986</v>
      </c>
      <c r="JZ18" s="668">
        <f t="shared" ref="JZ18:KD18" si="542">JZ17*JZ16*$C$1</f>
        <v>50963.924886629269</v>
      </c>
      <c r="KA18" s="668">
        <f t="shared" si="542"/>
        <v>47804.671046891228</v>
      </c>
      <c r="KB18" s="668">
        <f t="shared" si="542"/>
        <v>46530</v>
      </c>
      <c r="KC18" s="668">
        <f t="shared" si="542"/>
        <v>46084.5</v>
      </c>
      <c r="KD18" s="668">
        <f t="shared" si="542"/>
        <v>42075</v>
      </c>
      <c r="KE18" s="659"/>
      <c r="KF18" s="689">
        <f>SUM(KG18:KM18)</f>
        <v>280433.5238971783</v>
      </c>
      <c r="KG18" s="668">
        <f>KG17*KG16*$C$1</f>
        <v>48384.070822444715</v>
      </c>
      <c r="KH18" s="668">
        <f t="shared" ref="KH18:KL18" si="543">KH17*KH16*$C$1</f>
        <v>46040.304747740469</v>
      </c>
      <c r="KI18" s="668">
        <f t="shared" si="543"/>
        <v>47700.564928463624</v>
      </c>
      <c r="KJ18" s="668">
        <f t="shared" si="543"/>
        <v>45300.036112918293</v>
      </c>
      <c r="KK18" s="668">
        <f t="shared" si="543"/>
        <v>50092.047285611196</v>
      </c>
      <c r="KL18" s="668">
        <f t="shared" si="543"/>
        <v>42916.5</v>
      </c>
      <c r="KM18" s="659"/>
      <c r="KN18" s="689">
        <f>SUM(KO18:KU18)</f>
        <v>251892.59488737944</v>
      </c>
      <c r="KO18" s="668">
        <v>44464.435231077667</v>
      </c>
      <c r="KP18" s="668">
        <v>35181.205894804341</v>
      </c>
      <c r="KQ18" s="668">
        <v>38463.546247510443</v>
      </c>
      <c r="KR18" s="668">
        <v>43394.360082023952</v>
      </c>
      <c r="KS18" s="668">
        <v>48117.619003115724</v>
      </c>
      <c r="KT18" s="668">
        <v>42271.428428847299</v>
      </c>
      <c r="KU18" s="659"/>
      <c r="KV18" s="689">
        <f>SUM(KW18:LC18)</f>
        <v>271459.53080942947</v>
      </c>
      <c r="KW18" s="668">
        <v>42677.79933057446</v>
      </c>
      <c r="KX18" s="668">
        <v>45280.909330473769</v>
      </c>
      <c r="KY18" s="668">
        <v>45974.549604478765</v>
      </c>
      <c r="KZ18" s="668">
        <v>43883.597545533041</v>
      </c>
      <c r="LA18" s="668">
        <v>51047.959032310486</v>
      </c>
      <c r="LB18" s="668">
        <v>42594.715966058982</v>
      </c>
      <c r="LC18" s="659"/>
      <c r="LD18" s="689">
        <f>SUM(LE18:LK18)</f>
        <v>274943.80724851281</v>
      </c>
      <c r="LE18" s="668">
        <v>48860.430481342875</v>
      </c>
      <c r="LF18" s="668">
        <v>44412.693724604862</v>
      </c>
      <c r="LG18" s="668">
        <v>47401.859607225859</v>
      </c>
      <c r="LH18" s="668">
        <v>46234.11131601419</v>
      </c>
      <c r="LI18" s="668">
        <v>48598.084167633839</v>
      </c>
      <c r="LJ18" s="668">
        <v>39436.627951691182</v>
      </c>
      <c r="LK18" s="659"/>
      <c r="LL18" s="689">
        <f>SUM(LM18:LS18)</f>
        <v>288421.15285739466</v>
      </c>
      <c r="LM18" s="668">
        <v>52050.406442439671</v>
      </c>
      <c r="LN18" s="668">
        <v>47702.463430805219</v>
      </c>
      <c r="LO18" s="668">
        <v>47839.614378055099</v>
      </c>
      <c r="LP18" s="668">
        <v>46556.08157361317</v>
      </c>
      <c r="LQ18" s="668">
        <v>50995.688239902971</v>
      </c>
      <c r="LR18" s="668">
        <v>43276.898792578548</v>
      </c>
      <c r="LS18" s="659"/>
      <c r="LT18" s="689">
        <f>SUM(LU18:MA18)</f>
        <v>292762.1985624092</v>
      </c>
      <c r="LU18" s="668">
        <v>52060.904054574174</v>
      </c>
      <c r="LV18" s="668">
        <v>47951.523672707677</v>
      </c>
      <c r="LW18" s="668">
        <v>48349.9917312666</v>
      </c>
      <c r="LX18" s="668">
        <v>46218.70674259201</v>
      </c>
      <c r="LY18" s="668">
        <v>52507.630704186602</v>
      </c>
      <c r="LZ18" s="668">
        <v>45673.441657082141</v>
      </c>
      <c r="MA18" s="659"/>
      <c r="MB18" s="689">
        <f>SUM(MC18:MI18)</f>
        <v>295130.7578697686</v>
      </c>
      <c r="MC18" s="668">
        <f>MC17*MC16*$C$1</f>
        <v>52495.053055447839</v>
      </c>
      <c r="MD18" s="668">
        <f t="shared" ref="MD18:MH18" si="544">MD17*MD16*$C$1</f>
        <v>49592.54696509675</v>
      </c>
      <c r="ME18" s="668">
        <f t="shared" si="544"/>
        <v>49977.419105237233</v>
      </c>
      <c r="MF18" s="668">
        <f t="shared" si="544"/>
        <v>47408.127572182551</v>
      </c>
      <c r="MG18" s="668">
        <f t="shared" si="544"/>
        <v>51267.741870733626</v>
      </c>
      <c r="MH18" s="668">
        <f t="shared" si="544"/>
        <v>44389.869301070576</v>
      </c>
      <c r="MI18" s="659"/>
      <c r="MJ18" s="689">
        <f>SUM(MK18:MQ18)</f>
        <v>248654.53243876362</v>
      </c>
      <c r="MK18" s="668">
        <v>49589.640770485792</v>
      </c>
      <c r="ML18" s="668">
        <v>0</v>
      </c>
      <c r="MM18" s="668">
        <v>50452.052256173258</v>
      </c>
      <c r="MN18" s="668">
        <v>46917.082994626835</v>
      </c>
      <c r="MO18" s="668">
        <v>53021.823215439726</v>
      </c>
      <c r="MP18" s="668">
        <v>48673.933202038032</v>
      </c>
      <c r="MQ18" s="659"/>
      <c r="MR18" s="689">
        <f>SUM(MS18:MY18)</f>
        <v>248581.21669082291</v>
      </c>
      <c r="MS18" s="668">
        <v>54200.965582720084</v>
      </c>
      <c r="MT18" s="668">
        <v>50101.830211805573</v>
      </c>
      <c r="MU18" s="668">
        <v>52837.2822520708</v>
      </c>
      <c r="MV18" s="668">
        <v>52611.087852559715</v>
      </c>
      <c r="MW18" s="668">
        <v>0</v>
      </c>
      <c r="MX18" s="668">
        <v>38830.05079166677</v>
      </c>
      <c r="MY18" s="659"/>
      <c r="MZ18" s="689">
        <f>SUM(NA18:NG18)</f>
        <v>297473.59951965691</v>
      </c>
      <c r="NA18" s="668">
        <v>51619.409723541292</v>
      </c>
      <c r="NB18" s="668">
        <v>53625.762447265442</v>
      </c>
      <c r="NC18" s="668">
        <v>51834.261299046579</v>
      </c>
      <c r="ND18" s="668">
        <v>48324.621497629319</v>
      </c>
      <c r="NE18" s="668">
        <v>50654.220075898906</v>
      </c>
      <c r="NF18" s="668">
        <v>41415.324476275346</v>
      </c>
      <c r="NG18" s="659"/>
      <c r="NH18" s="689">
        <f>SUM(NI18:NO18)</f>
        <v>321197.34220606176</v>
      </c>
      <c r="NI18" s="668">
        <v>48997.055116333482</v>
      </c>
      <c r="NJ18" s="668">
        <v>53599.133578249726</v>
      </c>
      <c r="NK18" s="668">
        <v>55668.709088774689</v>
      </c>
      <c r="NL18" s="668">
        <v>52927.123247033996</v>
      </c>
      <c r="NM18" s="668">
        <v>57847.275474151706</v>
      </c>
      <c r="NN18" s="668">
        <v>52158.045701518167</v>
      </c>
      <c r="NO18" s="659"/>
      <c r="NP18" s="689">
        <f>SUM(NQ18:NW18)</f>
        <v>331677.58896924072</v>
      </c>
      <c r="NQ18" s="668">
        <v>56557.530569714771</v>
      </c>
      <c r="NR18" s="668">
        <v>55413.793170200872</v>
      </c>
      <c r="NS18" s="668">
        <v>57354.810473018384</v>
      </c>
      <c r="NT18" s="668">
        <v>58224.144948868161</v>
      </c>
      <c r="NU18" s="668">
        <v>53808.458135955334</v>
      </c>
      <c r="NV18" s="668">
        <v>50318.851671483179</v>
      </c>
      <c r="NW18" s="659"/>
      <c r="NX18" s="689">
        <f>SUM(NY18:OE18)</f>
        <v>311020.51489360642</v>
      </c>
      <c r="NY18" s="668">
        <f>NY17*NY16*$C$1</f>
        <v>53202.107998768355</v>
      </c>
      <c r="NZ18" s="668">
        <f t="shared" ref="NZ18:OD18" si="545">NZ17*NZ16*$C$1</f>
        <v>53212.734387845267</v>
      </c>
      <c r="OA18" s="668">
        <f t="shared" si="545"/>
        <v>55111.382991507293</v>
      </c>
      <c r="OB18" s="668">
        <f t="shared" si="545"/>
        <v>51360.73341344326</v>
      </c>
      <c r="OC18" s="668">
        <f t="shared" si="545"/>
        <v>52722.876491341114</v>
      </c>
      <c r="OD18" s="668">
        <f t="shared" si="545"/>
        <v>45410.679610701132</v>
      </c>
      <c r="OE18" s="659"/>
      <c r="OF18" s="689">
        <f>SUM(OG18:OM18)</f>
        <v>289498.27846718219</v>
      </c>
      <c r="OG18" s="668">
        <v>51986.430766173406</v>
      </c>
      <c r="OH18" s="668">
        <v>52615.199789888145</v>
      </c>
      <c r="OI18" s="668">
        <v>48350.870856892718</v>
      </c>
      <c r="OJ18" s="668">
        <v>46734.344411425132</v>
      </c>
      <c r="OK18" s="668">
        <v>47354.920148998128</v>
      </c>
      <c r="OL18" s="668">
        <v>42456.512493804628</v>
      </c>
      <c r="OM18" s="659"/>
      <c r="ON18" s="689">
        <f>SUM(OO18:OU18)</f>
        <v>291787.89749999996</v>
      </c>
      <c r="OO18" s="668">
        <f>OO17*OO16*$C$1</f>
        <v>57172.5</v>
      </c>
      <c r="OP18" s="668">
        <f t="shared" ref="OP18:OT18" si="546">OP17*OP16*$C$1</f>
        <v>59221.8</v>
      </c>
      <c r="OQ18" s="668">
        <f t="shared" si="546"/>
        <v>58152.6</v>
      </c>
      <c r="OR18" s="668">
        <f t="shared" si="546"/>
        <v>59601.96</v>
      </c>
      <c r="OS18" s="668">
        <f>OS17*OS16*$C$1</f>
        <v>57639.037499999999</v>
      </c>
      <c r="OT18" s="668">
        <f t="shared" si="546"/>
        <v>0</v>
      </c>
      <c r="OU18" s="659"/>
      <c r="OV18" s="689">
        <f>SUM(OW18:PC18)</f>
        <v>281466.15749999997</v>
      </c>
      <c r="OW18" s="668">
        <f>OW17*OW16*$C$1</f>
        <v>54917.032500000001</v>
      </c>
      <c r="OX18" s="668">
        <f t="shared" ref="OX18:PB18" si="547">OX17*OX16*$C$1</f>
        <v>56529</v>
      </c>
      <c r="OY18" s="668">
        <f t="shared" si="547"/>
        <v>56665.125</v>
      </c>
      <c r="OZ18" s="668">
        <f t="shared" si="547"/>
        <v>56986.875</v>
      </c>
      <c r="PA18" s="668">
        <f t="shared" si="547"/>
        <v>56368.125</v>
      </c>
      <c r="PB18" s="668">
        <f t="shared" si="547"/>
        <v>0</v>
      </c>
      <c r="PC18" s="659"/>
    </row>
    <row r="19" spans="1:420" ht="15" thickBot="1" x14ac:dyDescent="0.35">
      <c r="B19" s="978"/>
      <c r="C19" s="700" t="s">
        <v>255</v>
      </c>
      <c r="D19" s="189">
        <f>SUM(E19:K19)</f>
        <v>5572</v>
      </c>
      <c r="E19" s="312">
        <v>701</v>
      </c>
      <c r="F19" s="166">
        <v>1040</v>
      </c>
      <c r="G19" s="312">
        <v>1043</v>
      </c>
      <c r="H19" s="312">
        <v>972</v>
      </c>
      <c r="I19" s="312">
        <v>981</v>
      </c>
      <c r="J19" s="166">
        <v>835</v>
      </c>
      <c r="K19" s="660">
        <f>INDEX(DB!$3:$367,MATCH(K$2,DB!$D$3:$D$367),18)</f>
        <v>0</v>
      </c>
      <c r="L19" s="189">
        <f>SUM(M19:S19)</f>
        <v>5658</v>
      </c>
      <c r="M19" s="166">
        <v>845</v>
      </c>
      <c r="N19" s="312">
        <v>888</v>
      </c>
      <c r="O19" s="312">
        <v>1010</v>
      </c>
      <c r="P19" s="166">
        <v>1000</v>
      </c>
      <c r="Q19" s="166">
        <v>960</v>
      </c>
      <c r="R19" s="166">
        <v>955</v>
      </c>
      <c r="S19" s="660">
        <f>INDEX(DB!$3:$367,MATCH(S$2,DB!$D$3:$D$367),18)</f>
        <v>0</v>
      </c>
      <c r="T19" s="189">
        <f>SUM(U19:AA19)</f>
        <v>6014</v>
      </c>
      <c r="U19" s="166">
        <v>980</v>
      </c>
      <c r="V19" s="312">
        <v>1040</v>
      </c>
      <c r="W19" s="312">
        <v>1044</v>
      </c>
      <c r="X19" s="312">
        <v>1040</v>
      </c>
      <c r="Y19" s="312">
        <v>1000</v>
      </c>
      <c r="Z19" s="312">
        <v>910</v>
      </c>
      <c r="AA19" s="660">
        <f>INDEX(DB!$3:$367,MATCH(AA$2,DB!$D$3:$D$367),18)</f>
        <v>0</v>
      </c>
      <c r="AB19" s="189">
        <f>SUM(AC19:AI19)</f>
        <v>5961</v>
      </c>
      <c r="AC19" s="166">
        <v>977</v>
      </c>
      <c r="AD19" s="312">
        <v>1036</v>
      </c>
      <c r="AE19" s="842">
        <v>943</v>
      </c>
      <c r="AF19" s="166">
        <v>1065</v>
      </c>
      <c r="AG19" s="166">
        <v>990</v>
      </c>
      <c r="AH19" s="166">
        <v>950</v>
      </c>
      <c r="AI19" s="660">
        <f>INDEX(DB!$3:$367,MATCH(AI$2,DB!$D$3:$D$367),18)</f>
        <v>0</v>
      </c>
      <c r="AJ19" s="189">
        <f>SUM(AK19:AQ19)</f>
        <v>6001</v>
      </c>
      <c r="AK19" s="312">
        <v>950</v>
      </c>
      <c r="AL19" s="312">
        <v>1047</v>
      </c>
      <c r="AM19" s="312">
        <v>1045</v>
      </c>
      <c r="AN19" s="312">
        <v>1032</v>
      </c>
      <c r="AO19" s="312">
        <v>949</v>
      </c>
      <c r="AP19" s="312">
        <v>978</v>
      </c>
      <c r="AQ19" s="660">
        <f>INDEX(DB!$3:$367,MATCH(AQ$2,DB!$D$3:$D$367),18)</f>
        <v>0</v>
      </c>
      <c r="AR19" s="189">
        <f>SUM(AS19:AY19)</f>
        <v>5677</v>
      </c>
      <c r="AS19" s="312">
        <v>1028</v>
      </c>
      <c r="AT19" s="312">
        <v>1030</v>
      </c>
      <c r="AU19" s="312">
        <v>1000</v>
      </c>
      <c r="AV19" s="312">
        <v>947</v>
      </c>
      <c r="AW19" s="166">
        <v>914</v>
      </c>
      <c r="AX19" s="733">
        <v>758</v>
      </c>
      <c r="AY19" s="660">
        <f>INDEX(DB!$3:$367,MATCH(AY$2,DB!$D$3:$D$367),18)</f>
        <v>0</v>
      </c>
      <c r="AZ19" s="189">
        <f>SUM(BA19:BG19)</f>
        <v>5474</v>
      </c>
      <c r="BA19" s="733">
        <v>929</v>
      </c>
      <c r="BB19" s="166">
        <v>1040</v>
      </c>
      <c r="BC19" s="733">
        <v>910</v>
      </c>
      <c r="BD19" s="312">
        <v>945</v>
      </c>
      <c r="BE19" s="733">
        <v>875</v>
      </c>
      <c r="BF19" s="166">
        <v>775</v>
      </c>
      <c r="BG19" s="660">
        <f>INDEX(DB!$3:$367,MATCH(BG$2,DB!$D$3:$D$367),18)</f>
        <v>0</v>
      </c>
      <c r="BH19" s="189">
        <f>SUM(BI19:BO19)</f>
        <v>5603</v>
      </c>
      <c r="BI19" s="166">
        <v>993</v>
      </c>
      <c r="BJ19" s="312">
        <v>1050</v>
      </c>
      <c r="BK19" s="312">
        <v>925</v>
      </c>
      <c r="BL19" s="166">
        <v>940</v>
      </c>
      <c r="BM19" s="733">
        <v>920</v>
      </c>
      <c r="BN19" s="733">
        <v>775</v>
      </c>
      <c r="BO19" s="660">
        <f>INDEX(DB!$3:$367,MATCH(BO$2,DB!$D$3:$D$367),18)</f>
        <v>0</v>
      </c>
      <c r="BP19" s="189">
        <f>SUM(BQ19:BW19)</f>
        <v>5562</v>
      </c>
      <c r="BQ19" s="166">
        <v>910</v>
      </c>
      <c r="BR19" s="825">
        <v>967</v>
      </c>
      <c r="BS19" s="825">
        <v>920</v>
      </c>
      <c r="BT19" s="166">
        <v>1005</v>
      </c>
      <c r="BU19" s="166">
        <v>910</v>
      </c>
      <c r="BV19" s="166">
        <v>850</v>
      </c>
      <c r="BW19" s="660">
        <f>INDEX(DB!$3:$367,MATCH(BW$2,DB!$D$3:$D$367),18)</f>
        <v>0</v>
      </c>
      <c r="BX19" s="189">
        <f>SUM(BY19:CE19)</f>
        <v>5579</v>
      </c>
      <c r="BY19" s="166">
        <v>900</v>
      </c>
      <c r="BZ19" s="166">
        <v>1010</v>
      </c>
      <c r="CA19" s="312">
        <v>980</v>
      </c>
      <c r="CB19" s="166">
        <f>INDEX(DB!$3:$367,MATCH(CB$2,DB!$D$3:$D$367),18)</f>
        <v>900</v>
      </c>
      <c r="CC19" s="166">
        <v>966</v>
      </c>
      <c r="CD19" s="166">
        <v>823</v>
      </c>
      <c r="CE19" s="660">
        <f>INDEX(DB!$3:$367,MATCH(CE$2,DB!$D$3:$D$367),18)</f>
        <v>0</v>
      </c>
      <c r="CF19" s="189">
        <f>SUM(CG19:CM19)</f>
        <v>5359</v>
      </c>
      <c r="CG19" s="166">
        <v>867</v>
      </c>
      <c r="CH19" s="166">
        <v>997</v>
      </c>
      <c r="CI19" s="312">
        <v>881</v>
      </c>
      <c r="CJ19" s="166">
        <v>850</v>
      </c>
      <c r="CK19" s="166">
        <v>966</v>
      </c>
      <c r="CL19" s="166">
        <v>798</v>
      </c>
      <c r="CM19" s="660">
        <f>INDEX(DB!$3:$367,MATCH(CM$2,DB!$D$3:$D$367),18)</f>
        <v>0</v>
      </c>
      <c r="CN19" s="189">
        <f>SUM(CO19:CU19)</f>
        <v>5784</v>
      </c>
      <c r="CO19" s="166">
        <v>975</v>
      </c>
      <c r="CP19" s="166">
        <v>990</v>
      </c>
      <c r="CQ19" s="312">
        <v>970</v>
      </c>
      <c r="CR19" s="166">
        <v>922</v>
      </c>
      <c r="CS19" s="166">
        <v>1060</v>
      </c>
      <c r="CT19" s="166">
        <v>867</v>
      </c>
      <c r="CU19" s="660">
        <f>INDEX(DB!$3:$367,MATCH(CU$2,DB!$D$3:$D$367),18)</f>
        <v>0</v>
      </c>
      <c r="CV19" s="189">
        <f>SUM(CW19:DC19)</f>
        <v>5935</v>
      </c>
      <c r="CW19" s="166">
        <v>882</v>
      </c>
      <c r="CX19" s="166">
        <v>1050</v>
      </c>
      <c r="CY19" s="312">
        <v>1012</v>
      </c>
      <c r="CZ19" s="166">
        <v>1027</v>
      </c>
      <c r="DA19" s="166">
        <v>1034</v>
      </c>
      <c r="DB19" s="166">
        <v>930</v>
      </c>
      <c r="DC19" s="660">
        <f>INDEX(DB!$3:$367,MATCH(DC$2,DB!$D$3:$D$367),18)</f>
        <v>0</v>
      </c>
      <c r="DD19" s="189">
        <f>SUM(DE19:DK19)</f>
        <v>5740</v>
      </c>
      <c r="DE19" s="166">
        <v>933</v>
      </c>
      <c r="DF19" s="166">
        <v>1027</v>
      </c>
      <c r="DG19" s="312">
        <v>997</v>
      </c>
      <c r="DH19" s="166">
        <v>1010</v>
      </c>
      <c r="DI19" s="166">
        <v>959</v>
      </c>
      <c r="DJ19" s="166">
        <v>814</v>
      </c>
      <c r="DK19" s="660">
        <f>INDEX(DB!$3:$367,MATCH(DK$2,DB!$D$3:$D$367),18)</f>
        <v>0</v>
      </c>
      <c r="DL19" s="189">
        <f>SUM(DM19:DS19)</f>
        <v>5414</v>
      </c>
      <c r="DM19" s="166">
        <v>925</v>
      </c>
      <c r="DN19" s="166">
        <v>984</v>
      </c>
      <c r="DO19" s="312">
        <v>741</v>
      </c>
      <c r="DP19" s="166">
        <v>921</v>
      </c>
      <c r="DQ19" s="166">
        <v>955</v>
      </c>
      <c r="DR19" s="166">
        <v>888</v>
      </c>
      <c r="DS19" s="660">
        <f>INDEX(DB!$3:$367,MATCH(DS$2,DB!$D$3:$D$367),18)</f>
        <v>0</v>
      </c>
      <c r="DT19" s="189">
        <f>SUM(DU19:EA19)</f>
        <v>4290</v>
      </c>
      <c r="DU19" s="166">
        <f>INDEX(DB!$3:$367,MATCH(DU$2,DB!$D$3:$D$367),18)</f>
        <v>0</v>
      </c>
      <c r="DV19" s="166">
        <v>517</v>
      </c>
      <c r="DW19" s="312">
        <v>971</v>
      </c>
      <c r="DX19" s="166">
        <v>930</v>
      </c>
      <c r="DY19" s="166">
        <v>948</v>
      </c>
      <c r="DZ19" s="166">
        <v>924</v>
      </c>
      <c r="EA19" s="660">
        <f>INDEX(DB!$3:$367,MATCH(EA$2,DB!$D$3:$D$367),18)</f>
        <v>0</v>
      </c>
      <c r="EB19" s="189">
        <f>SUM(EC19:EI19)</f>
        <v>5569</v>
      </c>
      <c r="EC19" s="166">
        <v>894</v>
      </c>
      <c r="ED19" s="166">
        <v>972</v>
      </c>
      <c r="EE19" s="312">
        <v>910</v>
      </c>
      <c r="EF19" s="166">
        <v>952</v>
      </c>
      <c r="EG19" s="166">
        <v>940</v>
      </c>
      <c r="EH19" s="166">
        <v>901</v>
      </c>
      <c r="EI19" s="660">
        <f>INDEX(DB!$3:$367,MATCH(EI$2,DB!$D$3:$D$367),18)</f>
        <v>0</v>
      </c>
      <c r="EJ19" s="189">
        <f>SUM(EK19:EQ19)</f>
        <v>5682</v>
      </c>
      <c r="EK19" s="166">
        <v>950</v>
      </c>
      <c r="EL19" s="166">
        <v>991</v>
      </c>
      <c r="EM19" s="312">
        <v>988</v>
      </c>
      <c r="EN19" s="166">
        <v>966</v>
      </c>
      <c r="EO19" s="166">
        <v>986</v>
      </c>
      <c r="EP19" s="166">
        <v>801</v>
      </c>
      <c r="EQ19" s="660">
        <f>INDEX(DB!$3:$367,MATCH(EQ$2,DB!$D$3:$D$367),18)</f>
        <v>0</v>
      </c>
      <c r="ER19" s="189">
        <f>SUM(ES19:EY19)</f>
        <v>5520</v>
      </c>
      <c r="ES19" s="166">
        <v>879</v>
      </c>
      <c r="ET19" s="166">
        <v>1013</v>
      </c>
      <c r="EU19" s="312">
        <v>975</v>
      </c>
      <c r="EV19" s="166">
        <v>948</v>
      </c>
      <c r="EW19" s="166">
        <v>965</v>
      </c>
      <c r="EX19" s="166">
        <v>740</v>
      </c>
      <c r="EY19" s="660">
        <f>INDEX(DB!$3:$367,MATCH(EY$2,DB!$D$3:$D$367),18)</f>
        <v>0</v>
      </c>
      <c r="EZ19" s="189">
        <f>SUM(FA19:FG19)</f>
        <v>5578</v>
      </c>
      <c r="FA19" s="166">
        <v>944</v>
      </c>
      <c r="FB19" s="166">
        <v>1023</v>
      </c>
      <c r="FC19" s="312">
        <v>940</v>
      </c>
      <c r="FD19" s="166">
        <v>921</v>
      </c>
      <c r="FE19" s="166">
        <v>965</v>
      </c>
      <c r="FF19" s="166">
        <v>785</v>
      </c>
      <c r="FG19" s="660">
        <f>INDEX(DB!$3:$367,MATCH(FG$2,DB!$D$3:$D$367),18)</f>
        <v>0</v>
      </c>
      <c r="FH19" s="189">
        <f>SUM(FI19:FO19)</f>
        <v>4777</v>
      </c>
      <c r="FI19" s="166">
        <v>888</v>
      </c>
      <c r="FJ19" s="166">
        <v>1018</v>
      </c>
      <c r="FK19" s="312">
        <v>867</v>
      </c>
      <c r="FL19" s="166">
        <f>INDEX(DB!$3:$367,MATCH(FL$2,DB!$D$3:$D$367),18)</f>
        <v>0</v>
      </c>
      <c r="FM19" s="166">
        <v>1013</v>
      </c>
      <c r="FN19" s="166">
        <v>991</v>
      </c>
      <c r="FO19" s="660">
        <f>INDEX(DB!$3:$367,MATCH(FO$2,DB!$D$3:$D$367),18)</f>
        <v>0</v>
      </c>
      <c r="FP19" s="189">
        <f>SUM(FQ19:FW19)</f>
        <v>5626</v>
      </c>
      <c r="FQ19" s="166">
        <v>989</v>
      </c>
      <c r="FR19" s="166">
        <v>989</v>
      </c>
      <c r="FS19" s="312">
        <v>1030</v>
      </c>
      <c r="FT19" s="166">
        <v>888</v>
      </c>
      <c r="FU19" s="166">
        <v>943</v>
      </c>
      <c r="FV19" s="166">
        <v>787</v>
      </c>
      <c r="FW19" s="660">
        <f>INDEX(DB!$3:$367,MATCH(FW$2,DB!$D$3:$D$367),18)</f>
        <v>0</v>
      </c>
      <c r="FX19" s="189">
        <f>SUM(FY19:GE19)</f>
        <v>4604</v>
      </c>
      <c r="FY19" s="166">
        <f>INDEX(DB!$3:$367,MATCH(FY$2,DB!$D$3:$D$367),18)</f>
        <v>0</v>
      </c>
      <c r="FZ19" s="166">
        <v>847</v>
      </c>
      <c r="GA19" s="312">
        <v>988</v>
      </c>
      <c r="GB19" s="166">
        <v>944</v>
      </c>
      <c r="GC19" s="166">
        <v>985</v>
      </c>
      <c r="GD19" s="166">
        <v>840</v>
      </c>
      <c r="GE19" s="660">
        <f>INDEX(DB!$3:$367,MATCH(GE$2,DB!$D$3:$D$367),18)</f>
        <v>0</v>
      </c>
      <c r="GF19" s="189">
        <f>SUM(GG19:GM19)</f>
        <v>5481</v>
      </c>
      <c r="GG19" s="166">
        <v>897</v>
      </c>
      <c r="GH19" s="166">
        <v>1005</v>
      </c>
      <c r="GI19" s="312">
        <v>928</v>
      </c>
      <c r="GJ19" s="166">
        <v>1019</v>
      </c>
      <c r="GK19" s="166">
        <v>885</v>
      </c>
      <c r="GL19" s="166">
        <v>747</v>
      </c>
      <c r="GM19" s="660">
        <f>INDEX(DB!$3:$367,MATCH(GM$2,DB!$D$3:$D$367),18)</f>
        <v>0</v>
      </c>
      <c r="GN19" s="189">
        <f>SUM(GO19:GU19)</f>
        <v>5654</v>
      </c>
      <c r="GO19" s="166">
        <v>932</v>
      </c>
      <c r="GP19" s="166">
        <v>1015</v>
      </c>
      <c r="GQ19" s="312">
        <v>955</v>
      </c>
      <c r="GR19" s="166">
        <v>996</v>
      </c>
      <c r="GS19" s="166">
        <v>942</v>
      </c>
      <c r="GT19" s="166">
        <v>814</v>
      </c>
      <c r="GU19" s="660">
        <f>INDEX(DB!$3:$367,MATCH(GU$2,DB!$D$3:$D$367),18)</f>
        <v>0</v>
      </c>
      <c r="GV19" s="189">
        <f>SUM(GW19:HC19)</f>
        <v>5355</v>
      </c>
      <c r="GW19" s="166">
        <v>1016</v>
      </c>
      <c r="GX19" s="166">
        <v>1026</v>
      </c>
      <c r="GY19" s="312">
        <v>849</v>
      </c>
      <c r="GZ19" s="166">
        <v>891</v>
      </c>
      <c r="HA19" s="166">
        <v>785</v>
      </c>
      <c r="HB19" s="166">
        <v>788</v>
      </c>
      <c r="HC19" s="660">
        <f>INDEX(DB!$3:$367,MATCH(HC$2,DB!$D$3:$D$367),18)</f>
        <v>0</v>
      </c>
      <c r="HD19" s="189">
        <f>SUM(HE19:HK19)</f>
        <v>5362</v>
      </c>
      <c r="HE19" s="166">
        <v>882</v>
      </c>
      <c r="HF19" s="166">
        <v>1000</v>
      </c>
      <c r="HG19" s="312">
        <v>958</v>
      </c>
      <c r="HH19" s="166">
        <v>904</v>
      </c>
      <c r="HI19" s="166">
        <v>876</v>
      </c>
      <c r="HJ19" s="166">
        <v>742</v>
      </c>
      <c r="HK19" s="660">
        <f>INDEX(DB!$3:$367,MATCH(HK$2,DB!$D$3:$D$367),18)</f>
        <v>0</v>
      </c>
      <c r="HL19" s="189">
        <f>SUM(HM19:HS19)</f>
        <v>4968</v>
      </c>
      <c r="HM19" s="166">
        <v>843</v>
      </c>
      <c r="HN19" s="166">
        <v>910</v>
      </c>
      <c r="HO19" s="312">
        <v>903</v>
      </c>
      <c r="HP19" s="166">
        <v>863</v>
      </c>
      <c r="HQ19" s="166">
        <v>783</v>
      </c>
      <c r="HR19" s="166">
        <v>666</v>
      </c>
      <c r="HS19" s="660">
        <f>INDEX(DB!$3:$367,MATCH(HS$2,DB!$D$3:$D$367),18)</f>
        <v>0</v>
      </c>
      <c r="HT19" s="189">
        <f>SUM(HU19:IA19)</f>
        <v>4229</v>
      </c>
      <c r="HU19" s="166">
        <v>783</v>
      </c>
      <c r="HV19" s="166">
        <v>975</v>
      </c>
      <c r="HW19" s="312">
        <v>792</v>
      </c>
      <c r="HX19" s="166">
        <f>INDEX(DB!$3:$367,MATCH(HX$2,DB!$D$3:$D$367),18)</f>
        <v>0</v>
      </c>
      <c r="HY19" s="166">
        <v>1013</v>
      </c>
      <c r="HZ19" s="166">
        <v>666</v>
      </c>
      <c r="IA19" s="660">
        <f>INDEX(DB!$3:$367,MATCH(IA$2,DB!$D$3:$D$367),18)</f>
        <v>0</v>
      </c>
      <c r="IB19" s="189">
        <f>SUM(IC19:II19)</f>
        <v>5050</v>
      </c>
      <c r="IC19" s="166">
        <v>873</v>
      </c>
      <c r="ID19" s="166">
        <v>984</v>
      </c>
      <c r="IE19" s="312">
        <v>828</v>
      </c>
      <c r="IF19" s="166">
        <v>847</v>
      </c>
      <c r="IG19" s="166">
        <v>793</v>
      </c>
      <c r="IH19" s="166">
        <v>725</v>
      </c>
      <c r="II19" s="660">
        <f>INDEX(DB!$3:$367,MATCH(II$2,DB!$D$3:$D$367),18)</f>
        <v>0</v>
      </c>
      <c r="IJ19" s="189">
        <f>SUM(IK19:IQ19)</f>
        <v>4669</v>
      </c>
      <c r="IK19" s="166">
        <v>792</v>
      </c>
      <c r="IL19" s="166">
        <v>844</v>
      </c>
      <c r="IM19" s="312">
        <v>795</v>
      </c>
      <c r="IN19" s="166">
        <v>873</v>
      </c>
      <c r="IO19" s="166">
        <v>769</v>
      </c>
      <c r="IP19" s="166">
        <v>596</v>
      </c>
      <c r="IQ19" s="660">
        <f>INDEX(DB!$3:$367,MATCH(IQ$2,DB!$D$3:$D$367),18)</f>
        <v>0</v>
      </c>
      <c r="IR19" s="189">
        <f>SUM(IS19:IY19)</f>
        <v>4856</v>
      </c>
      <c r="IS19" s="166">
        <v>838</v>
      </c>
      <c r="IT19" s="166">
        <v>883</v>
      </c>
      <c r="IU19" s="312">
        <v>868</v>
      </c>
      <c r="IV19" s="166">
        <v>846</v>
      </c>
      <c r="IW19" s="166">
        <v>780</v>
      </c>
      <c r="IX19" s="166">
        <v>641</v>
      </c>
      <c r="IY19" s="660">
        <f>INDEX(DB!$3:$367,MATCH(IY$2,DB!$D$3:$D$367),18)</f>
        <v>0</v>
      </c>
      <c r="IZ19" s="189">
        <f>SUM(JA19:JG19)</f>
        <v>4231</v>
      </c>
      <c r="JA19" s="166">
        <f>INDEX(DB!$3:$367,MATCH(JA$2,DB!$D$3:$D$367),18)</f>
        <v>0</v>
      </c>
      <c r="JB19" s="166">
        <v>890</v>
      </c>
      <c r="JC19" s="312">
        <v>919</v>
      </c>
      <c r="JD19" s="166">
        <v>1009</v>
      </c>
      <c r="JE19" s="166">
        <v>790</v>
      </c>
      <c r="JF19" s="166">
        <v>623</v>
      </c>
      <c r="JG19" s="660">
        <f>INDEX(DB!$3:$367,MATCH(JG$2,DB!$D$3:$D$367),18)</f>
        <v>0</v>
      </c>
      <c r="JH19" s="189">
        <f>SUM(JI19:JO19)</f>
        <v>5239</v>
      </c>
      <c r="JI19" s="166">
        <v>853</v>
      </c>
      <c r="JJ19" s="166">
        <v>959</v>
      </c>
      <c r="JK19" s="312">
        <v>885</v>
      </c>
      <c r="JL19" s="166">
        <v>871</v>
      </c>
      <c r="JM19" s="166">
        <v>950</v>
      </c>
      <c r="JN19" s="166">
        <v>721</v>
      </c>
      <c r="JO19" s="660">
        <f>INDEX(DB!$3:$367,MATCH(JO$2,DB!$D$3:$D$367),18)</f>
        <v>0</v>
      </c>
      <c r="JP19" s="189">
        <f>SUM(JQ19:JW19)</f>
        <v>5123</v>
      </c>
      <c r="JQ19" s="166">
        <v>862</v>
      </c>
      <c r="JR19" s="166">
        <v>828</v>
      </c>
      <c r="JS19" s="312">
        <v>850</v>
      </c>
      <c r="JT19" s="166">
        <v>850</v>
      </c>
      <c r="JU19" s="166">
        <v>890</v>
      </c>
      <c r="JV19" s="166">
        <v>843</v>
      </c>
      <c r="JW19" s="660">
        <f>INDEX(DB!$3:$367,MATCH(JW$2,DB!$D$3:$D$367),18)</f>
        <v>0</v>
      </c>
      <c r="JX19" s="189">
        <f>SUM(JY19:KE19)</f>
        <v>5618</v>
      </c>
      <c r="JY19" s="166">
        <v>889</v>
      </c>
      <c r="JZ19" s="166">
        <v>908</v>
      </c>
      <c r="KA19" s="312">
        <v>965</v>
      </c>
      <c r="KB19" s="166">
        <v>952</v>
      </c>
      <c r="KC19" s="166">
        <v>965</v>
      </c>
      <c r="KD19" s="166">
        <v>939</v>
      </c>
      <c r="KE19" s="660">
        <f>INDEX(DB!$3:$367,MATCH(KE$2,DB!$D$3:$D$367),18)</f>
        <v>0</v>
      </c>
      <c r="KF19" s="189">
        <f>SUM(KG19:KM19)</f>
        <v>5420</v>
      </c>
      <c r="KG19" s="166">
        <v>989</v>
      </c>
      <c r="KH19" s="166">
        <v>932</v>
      </c>
      <c r="KI19" s="312">
        <v>859</v>
      </c>
      <c r="KJ19" s="166">
        <v>937</v>
      </c>
      <c r="KK19" s="166">
        <v>930</v>
      </c>
      <c r="KL19" s="166">
        <v>773</v>
      </c>
      <c r="KM19" s="660">
        <f>INDEX(DB!$3:$367,MATCH(KM$2,DB!$D$3:$D$367),18)</f>
        <v>0</v>
      </c>
      <c r="KN19" s="189">
        <f>SUM(KO19:KU19)</f>
        <v>5292</v>
      </c>
      <c r="KO19" s="166">
        <v>1024</v>
      </c>
      <c r="KP19" s="166">
        <v>769</v>
      </c>
      <c r="KQ19" s="312">
        <v>815</v>
      </c>
      <c r="KR19" s="166">
        <v>972</v>
      </c>
      <c r="KS19" s="166">
        <v>932</v>
      </c>
      <c r="KT19" s="166">
        <v>780</v>
      </c>
      <c r="KU19" s="660">
        <f>INDEX(DB!$3:$367,MATCH(KU$2,DB!$D$3:$D$367),18)</f>
        <v>0</v>
      </c>
      <c r="KV19" s="189">
        <f>SUM(KW19:LC19)</f>
        <v>5752</v>
      </c>
      <c r="KW19" s="166">
        <v>1024</v>
      </c>
      <c r="KX19" s="166">
        <v>973</v>
      </c>
      <c r="KY19" s="312">
        <v>962</v>
      </c>
      <c r="KZ19" s="166">
        <v>1047</v>
      </c>
      <c r="LA19" s="166">
        <v>914</v>
      </c>
      <c r="LB19" s="166">
        <v>832</v>
      </c>
      <c r="LC19" s="660">
        <f>INDEX(DB!$3:$367,MATCH(LC$2,DB!$D$3:$D$367),18)</f>
        <v>0</v>
      </c>
      <c r="LD19" s="189">
        <f>SUM(LE19:LK19)</f>
        <v>5722</v>
      </c>
      <c r="LE19" s="166">
        <v>1050</v>
      </c>
      <c r="LF19" s="166">
        <v>848</v>
      </c>
      <c r="LG19" s="312">
        <v>921</v>
      </c>
      <c r="LH19" s="166">
        <v>1019</v>
      </c>
      <c r="LI19" s="166">
        <v>1016</v>
      </c>
      <c r="LJ19" s="166">
        <v>868</v>
      </c>
      <c r="LK19" s="660">
        <f>INDEX(DB!$3:$367,MATCH(LK$2,DB!$D$3:$D$367),18)</f>
        <v>0</v>
      </c>
      <c r="LL19" s="189">
        <f>SUM(LM19:LS19)</f>
        <v>5816</v>
      </c>
      <c r="LM19" s="166">
        <v>1067</v>
      </c>
      <c r="LN19" s="166">
        <v>1000</v>
      </c>
      <c r="LO19" s="312">
        <v>956</v>
      </c>
      <c r="LP19" s="166">
        <v>1022</v>
      </c>
      <c r="LQ19" s="166">
        <v>981</v>
      </c>
      <c r="LR19" s="166">
        <v>790</v>
      </c>
      <c r="LS19" s="660">
        <f>INDEX(DB!$3:$367,MATCH(LS$2,DB!$D$3:$D$367),18)</f>
        <v>0</v>
      </c>
      <c r="LT19" s="189">
        <f>SUM(LU19:MA19)</f>
        <v>5554</v>
      </c>
      <c r="LU19" s="166">
        <v>1067</v>
      </c>
      <c r="LV19" s="166">
        <v>948</v>
      </c>
      <c r="LW19" s="312">
        <v>833</v>
      </c>
      <c r="LX19" s="166">
        <v>924</v>
      </c>
      <c r="LY19" s="166">
        <v>1002</v>
      </c>
      <c r="LZ19" s="166">
        <v>780</v>
      </c>
      <c r="MA19" s="660">
        <f>INDEX(DB!$3:$367,MATCH(MA$2,DB!$D$3:$D$367),18)</f>
        <v>0</v>
      </c>
      <c r="MB19" s="189">
        <f>SUM(MC19:MI19)</f>
        <v>5845</v>
      </c>
      <c r="MC19" s="166">
        <v>1058</v>
      </c>
      <c r="MD19" s="166">
        <v>1012</v>
      </c>
      <c r="ME19" s="312">
        <v>820</v>
      </c>
      <c r="MF19" s="166">
        <v>1018</v>
      </c>
      <c r="MG19" s="166">
        <v>987</v>
      </c>
      <c r="MH19" s="166">
        <v>950</v>
      </c>
      <c r="MI19" s="660">
        <f>INDEX(DB!$3:$367,MATCH(MI$2,DB!$D$3:$D$367),18)</f>
        <v>0</v>
      </c>
      <c r="MJ19" s="189">
        <f>SUM(MK19:MQ19)</f>
        <v>5295</v>
      </c>
      <c r="MK19" s="166">
        <v>1082</v>
      </c>
      <c r="ML19" s="166">
        <f>INDEX(DB!$3:$367,MATCH(ML$2,DB!$D$3:$D$367),18)</f>
        <v>0</v>
      </c>
      <c r="MM19" s="312">
        <v>1164</v>
      </c>
      <c r="MN19" s="166">
        <v>1075</v>
      </c>
      <c r="MO19" s="166">
        <v>1053</v>
      </c>
      <c r="MP19" s="166">
        <v>921</v>
      </c>
      <c r="MQ19" s="660">
        <f>INDEX(DB!$3:$367,MATCH(MQ$2,DB!$D$3:$D$367),18)</f>
        <v>0</v>
      </c>
      <c r="MR19" s="189">
        <f>SUM(MS19:MY19)</f>
        <v>5091</v>
      </c>
      <c r="MS19" s="166">
        <v>1063</v>
      </c>
      <c r="MT19" s="166">
        <v>1036</v>
      </c>
      <c r="MU19" s="312">
        <v>1066</v>
      </c>
      <c r="MV19" s="166">
        <v>1027</v>
      </c>
      <c r="MW19" s="166">
        <f>INDEX(DB!$3:$367,MATCH(MW$2,DB!$D$3:$D$367),18)</f>
        <v>0</v>
      </c>
      <c r="MX19" s="166">
        <v>899</v>
      </c>
      <c r="MY19" s="660">
        <f>INDEX(DB!$3:$367,MATCH(MY$2,DB!$D$3:$D$367),18)</f>
        <v>0</v>
      </c>
      <c r="MZ19" s="189">
        <f>SUM(NA19:NG19)</f>
        <v>5846</v>
      </c>
      <c r="NA19" s="166">
        <v>1062</v>
      </c>
      <c r="NB19" s="166">
        <v>1070</v>
      </c>
      <c r="NC19" s="312">
        <v>995</v>
      </c>
      <c r="ND19" s="166">
        <v>995</v>
      </c>
      <c r="NE19" s="166">
        <v>960</v>
      </c>
      <c r="NF19" s="166">
        <v>764</v>
      </c>
      <c r="NG19" s="660">
        <f>INDEX(DB!$3:$367,MATCH(NG$2,DB!$D$3:$D$367),18)</f>
        <v>0</v>
      </c>
      <c r="NH19" s="189">
        <f>SUM(NI19:NO19)</f>
        <v>6288</v>
      </c>
      <c r="NI19" s="166">
        <v>1119</v>
      </c>
      <c r="NJ19" s="166">
        <v>998</v>
      </c>
      <c r="NK19" s="312">
        <v>965</v>
      </c>
      <c r="NL19" s="166">
        <v>1115</v>
      </c>
      <c r="NM19" s="166">
        <v>1066</v>
      </c>
      <c r="NN19" s="166">
        <v>1025</v>
      </c>
      <c r="NO19" s="660">
        <f>INDEX(DB!$3:$367,MATCH(NO$2,DB!$D$3:$D$367),18)</f>
        <v>0</v>
      </c>
      <c r="NP19" s="189">
        <f>SUM(NQ19:NW19)</f>
        <v>6825</v>
      </c>
      <c r="NQ19" s="166">
        <v>1130</v>
      </c>
      <c r="NR19" s="166">
        <v>1177</v>
      </c>
      <c r="NS19" s="312">
        <v>1167</v>
      </c>
      <c r="NT19" s="166">
        <v>1225</v>
      </c>
      <c r="NU19" s="166">
        <v>1141</v>
      </c>
      <c r="NV19" s="166">
        <v>985</v>
      </c>
      <c r="NW19" s="660">
        <f>INDEX(DB!$3:$367,MATCH(NW$2,DB!$D$3:$D$367),18)</f>
        <v>0</v>
      </c>
      <c r="NX19" s="189">
        <f>SUM(NY19:OE19)</f>
        <v>6131</v>
      </c>
      <c r="NY19" s="166">
        <v>1173</v>
      </c>
      <c r="NZ19" s="166">
        <v>1100</v>
      </c>
      <c r="OA19" s="312">
        <v>918</v>
      </c>
      <c r="OB19" s="166">
        <v>1015</v>
      </c>
      <c r="OC19" s="166">
        <v>1061</v>
      </c>
      <c r="OD19" s="166">
        <v>864</v>
      </c>
      <c r="OE19" s="660">
        <f>INDEX(DB!$3:$367,MATCH(OE$2,DB!$D$3:$D$367),18)</f>
        <v>0</v>
      </c>
      <c r="OF19" s="189">
        <f>SUM(OG19:OM19)</f>
        <v>6018</v>
      </c>
      <c r="OG19" s="166">
        <v>1147</v>
      </c>
      <c r="OH19" s="166">
        <v>1097</v>
      </c>
      <c r="OI19" s="312">
        <v>965</v>
      </c>
      <c r="OJ19" s="166">
        <v>1047</v>
      </c>
      <c r="OK19" s="166">
        <v>935</v>
      </c>
      <c r="OL19" s="166">
        <v>827</v>
      </c>
      <c r="OM19" s="660">
        <f>INDEX(DB!$3:$367,MATCH(OM$2,DB!$D$3:$D$367),18)</f>
        <v>0</v>
      </c>
      <c r="ON19" s="189">
        <f>SUM(OO19:OU19)</f>
        <v>5679</v>
      </c>
      <c r="OO19" s="166">
        <v>1054</v>
      </c>
      <c r="OP19" s="166">
        <v>1100</v>
      </c>
      <c r="OQ19" s="312">
        <v>1125</v>
      </c>
      <c r="OR19" s="166">
        <v>1185</v>
      </c>
      <c r="OS19" s="166">
        <v>1215</v>
      </c>
      <c r="OT19" s="166">
        <f>INDEX(DB!$3:$367,MATCH(OT$2,DB!$D$3:$D$367),18)</f>
        <v>0</v>
      </c>
      <c r="OU19" s="660">
        <f>INDEX(DB!$3:$367,MATCH(OU$2,DB!$D$3:$D$367),18)</f>
        <v>0</v>
      </c>
      <c r="OV19" s="189">
        <f>SUM(OW19:PC19)</f>
        <v>4497</v>
      </c>
      <c r="OW19" s="166">
        <v>848</v>
      </c>
      <c r="OX19" s="166">
        <v>673</v>
      </c>
      <c r="OY19" s="312">
        <v>862</v>
      </c>
      <c r="OZ19" s="166">
        <v>1042</v>
      </c>
      <c r="PA19" s="166">
        <v>1072</v>
      </c>
      <c r="PB19" s="166">
        <f>INDEX(DB!$3:$367,MATCH(PB$2,DB!$D$3:$D$367),18)</f>
        <v>0</v>
      </c>
      <c r="PC19" s="660">
        <f>INDEX(DB!$3:$367,MATCH(PC$2,DB!$D$3:$D$367),18)</f>
        <v>0</v>
      </c>
    </row>
    <row r="20" spans="1:420" ht="15" thickBot="1" x14ac:dyDescent="0.35">
      <c r="B20" s="978"/>
      <c r="C20" s="700" t="s">
        <v>256</v>
      </c>
      <c r="D20" s="189"/>
      <c r="E20" s="166">
        <v>53.3</v>
      </c>
      <c r="F20" s="166">
        <v>47.8</v>
      </c>
      <c r="G20" s="166">
        <v>48.2</v>
      </c>
      <c r="H20" s="166">
        <v>48.4</v>
      </c>
      <c r="I20" s="166">
        <v>49.7</v>
      </c>
      <c r="J20" s="166">
        <v>51.1</v>
      </c>
      <c r="K20" s="683">
        <f>INDEX(DB!$3:$367,MATCH(K$2,DB!$D$3:$D$367),9)</f>
        <v>57</v>
      </c>
      <c r="L20" s="189"/>
      <c r="M20" s="166">
        <v>51.9</v>
      </c>
      <c r="N20" s="166">
        <v>49.3</v>
      </c>
      <c r="O20" s="166">
        <v>52.2</v>
      </c>
      <c r="P20" s="166">
        <v>53.3</v>
      </c>
      <c r="Q20" s="166">
        <v>51.3</v>
      </c>
      <c r="R20" s="166">
        <v>51.1</v>
      </c>
      <c r="S20" s="683">
        <f>INDEX(DB!$3:$367,MATCH(S$2,DB!$D$3:$D$367),9)</f>
        <v>57</v>
      </c>
      <c r="T20" s="189"/>
      <c r="U20" s="166">
        <v>50</v>
      </c>
      <c r="V20" s="166">
        <v>46.4</v>
      </c>
      <c r="W20" s="166">
        <v>47.7</v>
      </c>
      <c r="X20" s="166">
        <v>47.3</v>
      </c>
      <c r="Y20" s="166">
        <v>50.1</v>
      </c>
      <c r="Z20" s="166">
        <v>50.1</v>
      </c>
      <c r="AA20" s="683">
        <f>INDEX(DB!$3:$367,MATCH(AA$2,DB!$D$3:$D$367),9)</f>
        <v>56</v>
      </c>
      <c r="AB20" s="189"/>
      <c r="AC20" s="166">
        <v>48.7</v>
      </c>
      <c r="AD20" s="166">
        <v>47.2</v>
      </c>
      <c r="AE20" s="166">
        <v>47.6</v>
      </c>
      <c r="AF20" s="166">
        <v>48.7</v>
      </c>
      <c r="AG20" s="166">
        <v>50.3</v>
      </c>
      <c r="AH20" s="166">
        <v>52.9</v>
      </c>
      <c r="AI20" s="683">
        <f>INDEX(DB!$3:$367,MATCH(AI$2,DB!$D$3:$D$367),9)</f>
        <v>56.032863716438641</v>
      </c>
      <c r="AJ20" s="189"/>
      <c r="AK20" s="166">
        <v>50.5</v>
      </c>
      <c r="AL20" s="166">
        <v>49.1</v>
      </c>
      <c r="AM20" s="166">
        <v>50.5</v>
      </c>
      <c r="AN20" s="166">
        <v>49.4</v>
      </c>
      <c r="AO20" s="166">
        <v>51.7</v>
      </c>
      <c r="AP20" s="166">
        <v>50.1</v>
      </c>
      <c r="AQ20" s="683">
        <f>INDEX(DB!$3:$367,MATCH(AQ$2,DB!$D$3:$D$367),9)</f>
        <v>55.799674437386301</v>
      </c>
      <c r="AR20" s="189"/>
      <c r="AS20" s="166">
        <v>49.5</v>
      </c>
      <c r="AT20" s="166">
        <v>47.1</v>
      </c>
      <c r="AU20" s="166">
        <v>48.7</v>
      </c>
      <c r="AV20" s="166">
        <v>48.9</v>
      </c>
      <c r="AW20" s="166">
        <v>50.5</v>
      </c>
      <c r="AX20" s="166">
        <v>49</v>
      </c>
      <c r="AY20" s="683">
        <f>INDEX(DB!$3:$367,MATCH(AY$2,DB!$D$3:$D$367),9)</f>
        <v>53.52513125092981</v>
      </c>
      <c r="AZ20" s="189"/>
      <c r="BA20" s="166">
        <v>48.1</v>
      </c>
      <c r="BB20" s="166">
        <v>48.3</v>
      </c>
      <c r="BC20" s="166">
        <v>48.3</v>
      </c>
      <c r="BD20" s="166">
        <v>49.7</v>
      </c>
      <c r="BE20" s="166">
        <v>50.2</v>
      </c>
      <c r="BF20" s="166">
        <v>49.8</v>
      </c>
      <c r="BG20" s="683">
        <f>INDEX(DB!$3:$367,MATCH(BG$2,DB!$D$3:$D$367),9)</f>
        <v>54.714699446368876</v>
      </c>
      <c r="BH20" s="189"/>
      <c r="BI20" s="166">
        <v>47</v>
      </c>
      <c r="BJ20" s="166">
        <v>46.8</v>
      </c>
      <c r="BK20" s="166">
        <v>47.1</v>
      </c>
      <c r="BL20" s="166">
        <v>49</v>
      </c>
      <c r="BM20" s="166">
        <v>52.9</v>
      </c>
      <c r="BN20" s="166">
        <v>53.6</v>
      </c>
      <c r="BO20" s="683">
        <f>INDEX(DB!$3:$367,MATCH(BO$2,DB!$D$3:$D$367),9)</f>
        <v>54.513742556911666</v>
      </c>
      <c r="BP20" s="189"/>
      <c r="BQ20" s="166">
        <v>53.2</v>
      </c>
      <c r="BR20" s="166">
        <v>50.5</v>
      </c>
      <c r="BS20" s="166">
        <v>53.6</v>
      </c>
      <c r="BT20" s="166">
        <v>51.1</v>
      </c>
      <c r="BU20" s="166">
        <v>51.6</v>
      </c>
      <c r="BV20" s="166">
        <v>52.2</v>
      </c>
      <c r="BW20" s="683">
        <f>INDEX(DB!$3:$367,MATCH(BW$2,DB!$D$3:$D$367),9)</f>
        <v>55.690427427293777</v>
      </c>
      <c r="BX20" s="189"/>
      <c r="BY20" s="166">
        <v>53</v>
      </c>
      <c r="BZ20" s="166">
        <v>50.7</v>
      </c>
      <c r="CA20" s="166">
        <v>50.8</v>
      </c>
      <c r="CB20" s="166">
        <v>52</v>
      </c>
      <c r="CC20" s="166">
        <v>50.2</v>
      </c>
      <c r="CD20" s="166">
        <v>49.8</v>
      </c>
      <c r="CE20" s="683">
        <f>INDEX(DB!$3:$367,MATCH(CE$2,DB!$D$3:$D$367),9)</f>
        <v>55.949211292628334</v>
      </c>
      <c r="CF20" s="189"/>
      <c r="CG20" s="166">
        <v>50.7</v>
      </c>
      <c r="CH20" s="166">
        <v>48.4</v>
      </c>
      <c r="CI20" s="166">
        <v>48.6</v>
      </c>
      <c r="CJ20" s="166">
        <v>49.6</v>
      </c>
      <c r="CK20" s="166">
        <v>51.1</v>
      </c>
      <c r="CL20" s="166">
        <v>51</v>
      </c>
      <c r="CM20" s="683">
        <f>INDEX(DB!$3:$367,MATCH(CM$2,DB!$D$3:$D$367),9)</f>
        <v>57.247041169517644</v>
      </c>
      <c r="CN20" s="189"/>
      <c r="CO20" s="166">
        <v>49.6</v>
      </c>
      <c r="CP20" s="166">
        <v>49</v>
      </c>
      <c r="CQ20" s="166">
        <v>50.1</v>
      </c>
      <c r="CR20" s="166">
        <v>51.7</v>
      </c>
      <c r="CS20" s="166">
        <v>52.7</v>
      </c>
      <c r="CT20" s="166">
        <v>51.5</v>
      </c>
      <c r="CU20" s="683">
        <f>INDEX(DB!$3:$367,MATCH(CU$2,DB!$D$3:$D$367),9)</f>
        <v>59.743213348737669</v>
      </c>
      <c r="CV20" s="189"/>
      <c r="CW20" s="166">
        <v>50.7</v>
      </c>
      <c r="CX20" s="166">
        <v>47.5</v>
      </c>
      <c r="CY20" s="166">
        <v>50.2</v>
      </c>
      <c r="CZ20" s="166">
        <v>50.8</v>
      </c>
      <c r="DA20" s="166">
        <v>51.3</v>
      </c>
      <c r="DB20" s="166">
        <v>51.8</v>
      </c>
      <c r="DC20" s="683">
        <f>INDEX(DB!$3:$367,MATCH(DC$2,DB!$D$3:$D$367),9)</f>
        <v>55.508677759855473</v>
      </c>
      <c r="DD20" s="189"/>
      <c r="DE20" s="166">
        <v>50.9</v>
      </c>
      <c r="DF20" s="166">
        <v>49.1</v>
      </c>
      <c r="DG20" s="166">
        <v>48.9</v>
      </c>
      <c r="DH20" s="166">
        <v>49.7</v>
      </c>
      <c r="DI20" s="166">
        <v>50.1</v>
      </c>
      <c r="DJ20" s="166">
        <v>49</v>
      </c>
      <c r="DK20" s="683">
        <f>INDEX(DB!$3:$367,MATCH(DK$2,DB!$D$3:$D$367),9)</f>
        <v>55.508677759855473</v>
      </c>
      <c r="DL20" s="189"/>
      <c r="DM20" s="166">
        <v>49.3</v>
      </c>
      <c r="DN20" s="166">
        <v>48</v>
      </c>
      <c r="DO20" s="166">
        <v>49.1</v>
      </c>
      <c r="DP20" s="166">
        <v>47.7</v>
      </c>
      <c r="DQ20" s="166">
        <v>51.3</v>
      </c>
      <c r="DR20" s="166">
        <v>49</v>
      </c>
      <c r="DS20" s="683">
        <f>INDEX(DB!$3:$367,MATCH(DS$2,DB!$D$3:$D$367),9)</f>
        <v>54.066665589136321</v>
      </c>
      <c r="DT20" s="189"/>
      <c r="DU20" s="166">
        <f>INDEX(DB!$3:$367,MATCH(DU$2,DB!$D$3:$D$367),9)</f>
        <v>0</v>
      </c>
      <c r="DV20" s="166">
        <v>49.9</v>
      </c>
      <c r="DW20" s="166">
        <v>50.6</v>
      </c>
      <c r="DX20" s="166">
        <v>50</v>
      </c>
      <c r="DY20" s="166">
        <v>50.9</v>
      </c>
      <c r="DZ20" s="166">
        <v>50.1</v>
      </c>
      <c r="EA20" s="683">
        <f>INDEX(DB!$3:$367,MATCH(EA$2,DB!$D$3:$D$367),9)</f>
        <v>53.913768808833602</v>
      </c>
      <c r="EB20" s="189"/>
      <c r="EC20" s="166">
        <v>50.7</v>
      </c>
      <c r="ED20" s="166">
        <v>48.6</v>
      </c>
      <c r="EE20" s="166">
        <v>50.1</v>
      </c>
      <c r="EF20" s="166">
        <v>49.2</v>
      </c>
      <c r="EG20" s="166">
        <v>51.6</v>
      </c>
      <c r="EH20" s="166">
        <v>51.9</v>
      </c>
      <c r="EI20" s="683">
        <f>INDEX(DB!$3:$367,MATCH(EI$2,DB!$D$3:$D$367),9)</f>
        <v>0</v>
      </c>
      <c r="EJ20" s="189"/>
      <c r="EK20" s="166">
        <v>50.7</v>
      </c>
      <c r="EL20" s="166">
        <v>47.9</v>
      </c>
      <c r="EM20" s="166">
        <v>48.5</v>
      </c>
      <c r="EN20" s="166">
        <v>48.9</v>
      </c>
      <c r="EO20" s="166">
        <v>52</v>
      </c>
      <c r="EP20" s="166">
        <v>51.4</v>
      </c>
      <c r="EQ20" s="683">
        <f>INDEX(DB!$3:$367,MATCH(EQ$2,DB!$D$3:$D$367),9)</f>
        <v>55.893814952991569</v>
      </c>
      <c r="ER20" s="189"/>
      <c r="ES20" s="166">
        <v>50.4</v>
      </c>
      <c r="ET20" s="166">
        <v>49.1</v>
      </c>
      <c r="EU20" s="166">
        <v>48.5</v>
      </c>
      <c r="EV20" s="166">
        <v>49.1</v>
      </c>
      <c r="EW20" s="166">
        <v>50.9</v>
      </c>
      <c r="EX20" s="166">
        <v>53.1</v>
      </c>
      <c r="EY20" s="683">
        <f>INDEX(DB!$3:$367,MATCH(EY$2,DB!$D$3:$D$367),9)</f>
        <v>54.175497006192309</v>
      </c>
      <c r="EZ20" s="189"/>
      <c r="FA20" s="166">
        <v>50.3</v>
      </c>
      <c r="FB20" s="166">
        <v>46.9</v>
      </c>
      <c r="FC20" s="166">
        <v>50.3</v>
      </c>
      <c r="FD20" s="166">
        <v>50.7</v>
      </c>
      <c r="FE20" s="166">
        <v>51.3</v>
      </c>
      <c r="FF20" s="166">
        <v>49.6</v>
      </c>
      <c r="FG20" s="683">
        <f>INDEX(DB!$3:$367,MATCH(FG$2,DB!$D$3:$D$367),9)</f>
        <v>53.39240619094776</v>
      </c>
      <c r="FH20" s="189"/>
      <c r="FI20" s="166">
        <v>49.3</v>
      </c>
      <c r="FJ20" s="166">
        <v>48.2</v>
      </c>
      <c r="FK20" s="166">
        <v>49.4</v>
      </c>
      <c r="FL20" s="166">
        <f>INDEX(DB!$3:$367,MATCH(FL$2,DB!$D$3:$D$367),9)</f>
        <v>0</v>
      </c>
      <c r="FM20" s="166">
        <v>51.8</v>
      </c>
      <c r="FN20" s="166">
        <v>51</v>
      </c>
      <c r="FO20" s="683">
        <f>INDEX(DB!$3:$367,MATCH(FO$2,DB!$D$3:$D$367),9)</f>
        <v>53.17665414566661</v>
      </c>
      <c r="FP20" s="189"/>
      <c r="FQ20" s="166">
        <v>51.6</v>
      </c>
      <c r="FR20" s="166">
        <v>48.8</v>
      </c>
      <c r="FS20" s="166">
        <v>51.3</v>
      </c>
      <c r="FT20" s="166">
        <v>52.4</v>
      </c>
      <c r="FU20" s="166">
        <v>54.4</v>
      </c>
      <c r="FV20" s="166">
        <v>53.6</v>
      </c>
      <c r="FW20" s="683">
        <f>INDEX(DB!$3:$367,MATCH(FW$2,DB!$D$3:$D$367),9)</f>
        <v>51.18085773050074</v>
      </c>
      <c r="FX20" s="189"/>
      <c r="FY20" s="166">
        <f>INDEX(DB!$3:$367,MATCH(FY$2,DB!$D$3:$D$367),9)</f>
        <v>0</v>
      </c>
      <c r="FZ20" s="166">
        <v>51.6</v>
      </c>
      <c r="GA20" s="166">
        <v>50.7</v>
      </c>
      <c r="GB20" s="166">
        <v>51.6</v>
      </c>
      <c r="GC20" s="166">
        <v>52.7</v>
      </c>
      <c r="GD20" s="166">
        <v>51.1</v>
      </c>
      <c r="GE20" s="683">
        <f>INDEX(DB!$3:$367,MATCH(GE$2,DB!$D$3:$D$367),9)</f>
        <v>52.404861886218562</v>
      </c>
      <c r="GF20" s="189"/>
      <c r="GG20" s="166">
        <v>50</v>
      </c>
      <c r="GH20" s="166">
        <v>49.2</v>
      </c>
      <c r="GI20" s="166">
        <v>49.4</v>
      </c>
      <c r="GJ20" s="166">
        <v>50.3</v>
      </c>
      <c r="GK20" s="166">
        <v>52.3</v>
      </c>
      <c r="GL20" s="166">
        <v>51.1</v>
      </c>
      <c r="GM20" s="683">
        <f>INDEX(DB!$3:$367,MATCH(GM$2,DB!$D$3:$D$367),9)</f>
        <v>50.132015693995527</v>
      </c>
      <c r="GN20" s="189"/>
      <c r="GO20" s="166">
        <v>51.6</v>
      </c>
      <c r="GP20" s="166">
        <v>48.3</v>
      </c>
      <c r="GQ20" s="166">
        <v>49.7</v>
      </c>
      <c r="GR20" s="166">
        <v>49.2</v>
      </c>
      <c r="GS20" s="166">
        <v>52</v>
      </c>
      <c r="GT20" s="166">
        <v>49.5</v>
      </c>
      <c r="GU20" s="683">
        <f>INDEX(DB!$3:$367,MATCH(GU$2,DB!$D$3:$D$367),9)</f>
        <v>49.962940324500053</v>
      </c>
      <c r="GV20" s="189"/>
      <c r="GW20" s="166">
        <v>49.7</v>
      </c>
      <c r="GX20" s="166">
        <v>48.8</v>
      </c>
      <c r="GY20" s="166">
        <v>51.2</v>
      </c>
      <c r="GZ20" s="166">
        <v>51.1</v>
      </c>
      <c r="HA20" s="166">
        <v>53.2</v>
      </c>
      <c r="HB20" s="166">
        <v>52.1</v>
      </c>
      <c r="HC20" s="683">
        <f>INDEX(DB!$3:$367,MATCH(HC$2,DB!$D$3:$D$367),9)</f>
        <v>51.452853264769338</v>
      </c>
      <c r="HD20" s="189"/>
      <c r="HE20" s="166">
        <v>49.1</v>
      </c>
      <c r="HF20" s="166">
        <v>47.7</v>
      </c>
      <c r="HG20" s="166">
        <v>47.4</v>
      </c>
      <c r="HH20" s="166">
        <v>47.8</v>
      </c>
      <c r="HI20" s="166">
        <v>49.3</v>
      </c>
      <c r="HJ20" s="166">
        <v>49</v>
      </c>
      <c r="HK20" s="683">
        <f>INDEX(DB!$3:$367,MATCH(HK$2,DB!$D$3:$D$367),9)</f>
        <v>0</v>
      </c>
      <c r="HL20" s="189"/>
      <c r="HM20" s="166">
        <v>46.3</v>
      </c>
      <c r="HN20" s="166">
        <v>45.9</v>
      </c>
      <c r="HO20" s="166">
        <v>45.2</v>
      </c>
      <c r="HP20" s="166">
        <v>45.6</v>
      </c>
      <c r="HQ20" s="166">
        <v>48.2</v>
      </c>
      <c r="HR20" s="166">
        <v>47.6</v>
      </c>
      <c r="HS20" s="683">
        <f>INDEX(DB!$3:$367,MATCH(HS$2,DB!$D$3:$D$367),9)</f>
        <v>0</v>
      </c>
      <c r="HT20" s="189"/>
      <c r="HU20" s="166">
        <v>46.8</v>
      </c>
      <c r="HV20" s="166">
        <v>42.7</v>
      </c>
      <c r="HW20" s="166">
        <v>46</v>
      </c>
      <c r="HX20" s="166">
        <f>INDEX(DB!$3:$367,MATCH(HX$2,DB!$D$3:$D$367),9)</f>
        <v>0</v>
      </c>
      <c r="HY20" s="166">
        <v>47.4</v>
      </c>
      <c r="HZ20" s="166">
        <v>48.6</v>
      </c>
      <c r="IA20" s="683">
        <f>INDEX(DB!$3:$367,MATCH(IA$2,DB!$D$3:$D$367),9)</f>
        <v>0</v>
      </c>
      <c r="IB20" s="189"/>
      <c r="IC20" s="166">
        <v>45.3</v>
      </c>
      <c r="ID20" s="166">
        <v>43.4</v>
      </c>
      <c r="IE20" s="166">
        <v>45.4</v>
      </c>
      <c r="IF20" s="166">
        <v>48.1</v>
      </c>
      <c r="IG20" s="166">
        <v>50.2</v>
      </c>
      <c r="IH20" s="166">
        <v>48.6</v>
      </c>
      <c r="II20" s="683">
        <f>INDEX(DB!$3:$367,MATCH(II$2,DB!$D$3:$D$367),9)</f>
        <v>0</v>
      </c>
      <c r="IJ20" s="189"/>
      <c r="IK20" s="166">
        <v>50.7</v>
      </c>
      <c r="IL20" s="166">
        <v>47.3</v>
      </c>
      <c r="IM20" s="166">
        <v>46.9</v>
      </c>
      <c r="IN20" s="166">
        <v>45.3</v>
      </c>
      <c r="IO20" s="166">
        <v>47.2</v>
      </c>
      <c r="IP20" s="166">
        <v>47.2</v>
      </c>
      <c r="IQ20" s="683">
        <f>INDEX(DB!$3:$367,MATCH(IQ$2,DB!$D$3:$D$367),9)</f>
        <v>0</v>
      </c>
      <c r="IR20" s="189"/>
      <c r="IS20" s="166">
        <v>47.1</v>
      </c>
      <c r="IT20" s="166">
        <v>44.7</v>
      </c>
      <c r="IU20" s="166">
        <v>44.5</v>
      </c>
      <c r="IV20" s="166">
        <v>44.5</v>
      </c>
      <c r="IW20" s="166">
        <v>47.3</v>
      </c>
      <c r="IX20" s="166">
        <v>47.6</v>
      </c>
      <c r="IY20" s="683">
        <f>INDEX(DB!$3:$367,MATCH(IY$2,DB!$D$3:$D$367),9)</f>
        <v>0</v>
      </c>
      <c r="IZ20" s="189"/>
      <c r="JA20" s="166">
        <f>INDEX(DB!$3:$367,MATCH(JA$2,DB!$D$3:$D$367),9)</f>
        <v>0</v>
      </c>
      <c r="JB20" s="166">
        <v>45.1</v>
      </c>
      <c r="JC20" s="166">
        <v>45.1</v>
      </c>
      <c r="JD20" s="166">
        <v>45.4</v>
      </c>
      <c r="JE20" s="166">
        <v>49</v>
      </c>
      <c r="JF20" s="166">
        <v>48.8</v>
      </c>
      <c r="JG20" s="683">
        <f>INDEX(DB!$3:$367,MATCH(JG$2,DB!$D$3:$D$367),9)</f>
        <v>0</v>
      </c>
      <c r="JH20" s="189"/>
      <c r="JI20" s="166">
        <v>49.1</v>
      </c>
      <c r="JJ20" s="166">
        <v>46.5</v>
      </c>
      <c r="JK20" s="166">
        <v>46.3</v>
      </c>
      <c r="JL20" s="166">
        <v>48.2</v>
      </c>
      <c r="JM20" s="166">
        <v>51.6</v>
      </c>
      <c r="JN20" s="166">
        <v>52.5</v>
      </c>
      <c r="JO20" s="683">
        <f>INDEX(DB!$3:$367,MATCH(JO$2,DB!$D$3:$D$367),9)</f>
        <v>0</v>
      </c>
      <c r="JP20" s="189"/>
      <c r="JQ20" s="166">
        <v>53.8</v>
      </c>
      <c r="JR20" s="166">
        <v>52.3</v>
      </c>
      <c r="JS20" s="166">
        <v>54.2</v>
      </c>
      <c r="JT20" s="166">
        <v>52.3</v>
      </c>
      <c r="JU20" s="166">
        <v>53.9</v>
      </c>
      <c r="JV20" s="166">
        <v>54</v>
      </c>
      <c r="JW20" s="683">
        <f>INDEX(DB!$3:$367,MATCH(JW$2,DB!$D$3:$D$367),9)</f>
        <v>0</v>
      </c>
      <c r="JX20" s="189"/>
      <c r="JY20" s="166">
        <v>53.3</v>
      </c>
      <c r="JZ20" s="166">
        <v>50.8</v>
      </c>
      <c r="KA20" s="166">
        <v>52.6</v>
      </c>
      <c r="KB20" s="166">
        <v>50.1</v>
      </c>
      <c r="KC20" s="166">
        <v>52</v>
      </c>
      <c r="KD20" s="166">
        <v>48.9</v>
      </c>
      <c r="KE20" s="683">
        <f>INDEX(DB!$3:$367,MATCH(KE$2,DB!$D$3:$D$367),9)</f>
        <v>0</v>
      </c>
      <c r="KF20" s="189"/>
      <c r="KG20" s="166">
        <v>48.3</v>
      </c>
      <c r="KH20" s="166">
        <v>44.7</v>
      </c>
      <c r="KI20" s="166">
        <v>46.1</v>
      </c>
      <c r="KJ20" s="166">
        <v>47.1</v>
      </c>
      <c r="KK20" s="166">
        <v>49</v>
      </c>
      <c r="KL20" s="166">
        <v>48.6</v>
      </c>
      <c r="KM20" s="683">
        <f>INDEX(DB!$3:$367,MATCH(KM$2,DB!$D$3:$D$367),9)</f>
        <v>0</v>
      </c>
      <c r="KN20" s="189"/>
      <c r="KO20" s="166">
        <v>48.7</v>
      </c>
      <c r="KP20" s="166">
        <v>47.8</v>
      </c>
      <c r="KQ20" s="166">
        <v>48.2</v>
      </c>
      <c r="KR20" s="166">
        <v>48</v>
      </c>
      <c r="KS20" s="166">
        <v>50.4</v>
      </c>
      <c r="KT20" s="166">
        <v>50.5</v>
      </c>
      <c r="KU20" s="683">
        <f>INDEX(DB!$3:$367,MATCH(KU$2,DB!$D$3:$D$367),9)</f>
        <v>0</v>
      </c>
      <c r="KV20" s="189"/>
      <c r="KW20" s="166">
        <v>48.9</v>
      </c>
      <c r="KX20" s="166">
        <v>46.2</v>
      </c>
      <c r="KY20" s="166">
        <v>46.9</v>
      </c>
      <c r="KZ20" s="166">
        <v>49.1</v>
      </c>
      <c r="LA20" s="166">
        <v>53.2</v>
      </c>
      <c r="LB20" s="166">
        <v>52.5</v>
      </c>
      <c r="LC20" s="683">
        <f>INDEX(DB!$3:$367,MATCH(LC$2,DB!$D$3:$D$367),9)</f>
        <v>0</v>
      </c>
      <c r="LD20" s="189"/>
      <c r="LE20" s="166">
        <v>50.8</v>
      </c>
      <c r="LF20" s="166">
        <v>48.6</v>
      </c>
      <c r="LG20" s="166">
        <v>49.9</v>
      </c>
      <c r="LH20" s="166">
        <v>48.9</v>
      </c>
      <c r="LI20" s="166">
        <v>51.6</v>
      </c>
      <c r="LJ20" s="166">
        <v>52.7</v>
      </c>
      <c r="LK20" s="683">
        <f>INDEX(DB!$3:$367,MATCH(LK$2,DB!$D$3:$D$367),9)</f>
        <v>0</v>
      </c>
      <c r="LL20" s="189"/>
      <c r="LM20" s="166">
        <v>50.5</v>
      </c>
      <c r="LN20" s="166">
        <v>49.5</v>
      </c>
      <c r="LO20" s="166">
        <v>49.5</v>
      </c>
      <c r="LP20" s="166">
        <v>47.8</v>
      </c>
      <c r="LQ20" s="166">
        <v>50.8</v>
      </c>
      <c r="LR20" s="166">
        <v>50.7</v>
      </c>
      <c r="LS20" s="683">
        <f>INDEX(DB!$3:$367,MATCH(LS$2,DB!$D$3:$D$367),9)</f>
        <v>0</v>
      </c>
      <c r="LT20" s="189"/>
      <c r="LU20" s="166">
        <v>48.9</v>
      </c>
      <c r="LV20" s="166">
        <v>47.2</v>
      </c>
      <c r="LW20" s="166">
        <v>47.4</v>
      </c>
      <c r="LX20" s="166">
        <v>46.7</v>
      </c>
      <c r="LY20" s="166">
        <v>45.2</v>
      </c>
      <c r="LZ20" s="166">
        <v>45.3</v>
      </c>
      <c r="MA20" s="683">
        <f>INDEX(DB!$3:$367,MATCH(MA$2,DB!$D$3:$D$367),9)</f>
        <v>0</v>
      </c>
      <c r="MB20" s="189"/>
      <c r="MC20" s="166">
        <v>45.1</v>
      </c>
      <c r="MD20" s="166">
        <v>44.5</v>
      </c>
      <c r="ME20" s="166">
        <v>44.5</v>
      </c>
      <c r="MF20" s="166">
        <v>46.6</v>
      </c>
      <c r="MG20" s="166">
        <v>51.2</v>
      </c>
      <c r="MH20" s="166">
        <v>51.4</v>
      </c>
      <c r="MI20" s="683">
        <f>INDEX(DB!$3:$367,MATCH(MI$2,DB!$D$3:$D$367),9)</f>
        <v>0</v>
      </c>
      <c r="MJ20" s="189"/>
      <c r="MK20" s="166">
        <v>49.2</v>
      </c>
      <c r="ML20" s="166">
        <f>INDEX(DB!$3:$367,MATCH(ML$2,DB!$D$3:$D$367),9)</f>
        <v>0</v>
      </c>
      <c r="MM20" s="166">
        <v>48.4</v>
      </c>
      <c r="MN20" s="166">
        <v>48.9</v>
      </c>
      <c r="MO20" s="166">
        <v>51</v>
      </c>
      <c r="MP20" s="166">
        <v>51.4</v>
      </c>
      <c r="MQ20" s="683">
        <f>INDEX(DB!$3:$367,MATCH(MQ$2,DB!$D$3:$D$367),9)</f>
        <v>0</v>
      </c>
      <c r="MR20" s="189"/>
      <c r="MS20" s="166">
        <v>51.9</v>
      </c>
      <c r="MT20" s="166">
        <v>49.7</v>
      </c>
      <c r="MU20" s="166">
        <v>50.2</v>
      </c>
      <c r="MV20" s="166">
        <v>51.7</v>
      </c>
      <c r="MW20" s="166">
        <f>INDEX(DB!$3:$367,MATCH(MW$2,DB!$D$3:$D$367),9)</f>
        <v>0</v>
      </c>
      <c r="MX20" s="166">
        <v>52</v>
      </c>
      <c r="MY20" s="683">
        <f>INDEX(DB!$3:$367,MATCH(MY$2,DB!$D$3:$D$367),9)</f>
        <v>0</v>
      </c>
      <c r="MZ20" s="189"/>
      <c r="NA20" s="166">
        <f>INDEX(DB!$3:$367,MATCH(NA$2,DB!$D$3:$D$367),9)</f>
        <v>50.16463529984577</v>
      </c>
      <c r="NB20" s="166">
        <v>47.4</v>
      </c>
      <c r="NC20" s="166">
        <v>49.2</v>
      </c>
      <c r="ND20" s="166">
        <v>47.9</v>
      </c>
      <c r="NE20" s="166">
        <v>50.1</v>
      </c>
      <c r="NF20" s="166">
        <v>50.3</v>
      </c>
      <c r="NG20" s="683">
        <f>INDEX(DB!$3:$367,MATCH(NG$2,DB!$D$3:$D$367),9)</f>
        <v>0</v>
      </c>
      <c r="NH20" s="189"/>
      <c r="NI20" s="166">
        <v>50</v>
      </c>
      <c r="NJ20" s="166">
        <v>48.3</v>
      </c>
      <c r="NK20" s="166">
        <v>49.2</v>
      </c>
      <c r="NL20" s="166">
        <v>48.9</v>
      </c>
      <c r="NM20" s="166">
        <v>50.3</v>
      </c>
      <c r="NN20" s="166">
        <v>51</v>
      </c>
      <c r="NO20" s="683">
        <f>INDEX(DB!$3:$367,MATCH(NO$2,DB!$D$3:$D$367),9)</f>
        <v>0</v>
      </c>
      <c r="NP20" s="189"/>
      <c r="NQ20" s="166">
        <v>50.4</v>
      </c>
      <c r="NR20" s="166">
        <v>50.9</v>
      </c>
      <c r="NS20" s="166">
        <v>52.6</v>
      </c>
      <c r="NT20" s="166">
        <v>52.8</v>
      </c>
      <c r="NU20" s="166">
        <v>52.9</v>
      </c>
      <c r="NV20" s="166">
        <v>52.7</v>
      </c>
      <c r="NW20" s="683">
        <f>INDEX(DB!$3:$367,MATCH(NW$2,DB!$D$3:$D$367),9)</f>
        <v>0</v>
      </c>
      <c r="NX20" s="189"/>
      <c r="NY20" s="166">
        <v>51.7</v>
      </c>
      <c r="NZ20" s="166">
        <v>50.3</v>
      </c>
      <c r="OA20" s="166">
        <v>49.8</v>
      </c>
      <c r="OB20" s="166">
        <v>49.2</v>
      </c>
      <c r="OC20" s="166">
        <v>49.8</v>
      </c>
      <c r="OD20" s="166">
        <v>49.5</v>
      </c>
      <c r="OE20" s="683">
        <f>INDEX(DB!$3:$367,MATCH(OE$2,DB!$D$3:$D$367),9)</f>
        <v>0</v>
      </c>
      <c r="OF20" s="189"/>
      <c r="OG20" s="166">
        <v>48.5</v>
      </c>
      <c r="OH20" s="166">
        <v>47.7</v>
      </c>
      <c r="OI20" s="166">
        <v>48.4</v>
      </c>
      <c r="OJ20" s="166">
        <v>49.1</v>
      </c>
      <c r="OK20" s="166">
        <v>48.1</v>
      </c>
      <c r="OL20" s="166">
        <v>48.8</v>
      </c>
      <c r="OM20" s="683">
        <f>INDEX(DB!$3:$367,MATCH(OM$2,DB!$D$3:$D$367),9)</f>
        <v>0</v>
      </c>
      <c r="ON20" s="189"/>
      <c r="OO20" s="166">
        <v>48.9</v>
      </c>
      <c r="OP20" s="166">
        <v>48.2</v>
      </c>
      <c r="OQ20" s="166">
        <v>50.2</v>
      </c>
      <c r="OR20" s="166">
        <v>48.9</v>
      </c>
      <c r="OS20" s="166">
        <v>47.8</v>
      </c>
      <c r="OT20" s="166">
        <f>INDEX(DB!$3:$367,MATCH(OT$2,DB!$D$3:$D$367),9)</f>
        <v>45.69</v>
      </c>
      <c r="OU20" s="683">
        <f>INDEX(DB!$3:$367,MATCH(OU$2,DB!$D$3:$D$367),9)</f>
        <v>0</v>
      </c>
      <c r="OV20" s="189"/>
      <c r="OW20" s="166">
        <v>45.1</v>
      </c>
      <c r="OX20" s="166">
        <v>45.3</v>
      </c>
      <c r="OY20" s="166">
        <v>45.7</v>
      </c>
      <c r="OZ20" s="166">
        <v>45.4</v>
      </c>
      <c r="PA20" s="166">
        <v>46.2</v>
      </c>
      <c r="PB20" s="166">
        <f>INDEX(DB!$3:$367,MATCH(PB$2,DB!$D$3:$D$367),9)</f>
        <v>45.09</v>
      </c>
      <c r="PC20" s="683">
        <f>INDEX(DB!$3:$367,MATCH(PC$2,DB!$D$3:$D$367),9)</f>
        <v>45.09</v>
      </c>
    </row>
    <row r="21" spans="1:420" ht="15" thickBot="1" x14ac:dyDescent="0.35">
      <c r="B21" s="978"/>
      <c r="C21" s="699" t="s">
        <v>257</v>
      </c>
      <c r="D21" s="696">
        <f t="shared" ref="D21:D25" si="548">SUM(E21:K21)</f>
        <v>273058.73100000003</v>
      </c>
      <c r="E21" s="166">
        <f t="shared" ref="E21:J21" si="549">E19*E20*$C$1</f>
        <v>36989.666999999994</v>
      </c>
      <c r="F21" s="166">
        <f t="shared" si="549"/>
        <v>49214.879999999997</v>
      </c>
      <c r="G21" s="166">
        <f t="shared" si="549"/>
        <v>49769.874000000003</v>
      </c>
      <c r="H21" s="166">
        <f t="shared" si="549"/>
        <v>46574.351999999992</v>
      </c>
      <c r="I21" s="166">
        <f t="shared" si="549"/>
        <v>48268.143000000004</v>
      </c>
      <c r="J21" s="166">
        <f t="shared" si="549"/>
        <v>42241.815000000002</v>
      </c>
      <c r="K21" s="683"/>
      <c r="L21" s="696">
        <f t="shared" ref="L21:L25" si="550">SUM(M21:S21)</f>
        <v>288787.35599999997</v>
      </c>
      <c r="M21" s="166">
        <f t="shared" ref="M21:R21" si="551">M19*M20*$C$1</f>
        <v>43416.945</v>
      </c>
      <c r="N21" s="166">
        <f t="shared" si="551"/>
        <v>43340.615999999995</v>
      </c>
      <c r="O21" s="166">
        <f t="shared" si="551"/>
        <v>52194.78</v>
      </c>
      <c r="P21" s="166">
        <f t="shared" si="551"/>
        <v>52767</v>
      </c>
      <c r="Q21" s="166">
        <f t="shared" si="551"/>
        <v>48755.519999999997</v>
      </c>
      <c r="R21" s="166">
        <f t="shared" si="551"/>
        <v>48312.495000000003</v>
      </c>
      <c r="S21" s="683"/>
      <c r="T21" s="696">
        <f t="shared" ref="T21:T23" si="552">SUM(U21:AA21)</f>
        <v>289018.42200000002</v>
      </c>
      <c r="U21" s="166">
        <f t="shared" ref="U21:Z21" si="553">U19*U20*$C$1</f>
        <v>48510</v>
      </c>
      <c r="V21" s="166">
        <f t="shared" si="553"/>
        <v>47773.440000000002</v>
      </c>
      <c r="W21" s="166">
        <f t="shared" si="553"/>
        <v>49300.812000000005</v>
      </c>
      <c r="X21" s="166">
        <f t="shared" si="553"/>
        <v>48700.08</v>
      </c>
      <c r="Y21" s="166">
        <f>Y19*Y20*$C$1</f>
        <v>49599</v>
      </c>
      <c r="Z21" s="166">
        <f t="shared" si="553"/>
        <v>45135.09</v>
      </c>
      <c r="AA21" s="683"/>
      <c r="AB21" s="696">
        <f t="shared" ref="AB21:AB23" si="554">SUM(AC21:AI21)</f>
        <v>290350.56599999999</v>
      </c>
      <c r="AC21" s="166">
        <f>AC19*AC20*$C$1</f>
        <v>47104.101000000002</v>
      </c>
      <c r="AD21" s="166">
        <f t="shared" ref="AD21:AH21" si="555">AD19*AD20*$C$1</f>
        <v>48410.208000000006</v>
      </c>
      <c r="AE21" s="166">
        <f t="shared" si="555"/>
        <v>44437.932000000001</v>
      </c>
      <c r="AF21" s="166">
        <f t="shared" si="555"/>
        <v>51346.845000000001</v>
      </c>
      <c r="AG21" s="166">
        <f t="shared" si="555"/>
        <v>49299.03</v>
      </c>
      <c r="AH21" s="166">
        <f t="shared" si="555"/>
        <v>49752.45</v>
      </c>
      <c r="AI21" s="683"/>
      <c r="AJ21" s="696">
        <f t="shared" ref="AJ21:AJ23" si="556">SUM(AK21:AQ21)</f>
        <v>298185.12900000002</v>
      </c>
      <c r="AK21" s="166">
        <f t="shared" ref="AK21:AP21" si="557">AK19*AK20*$C$1</f>
        <v>47495.25</v>
      </c>
      <c r="AL21" s="166">
        <f t="shared" si="557"/>
        <v>50893.623000000007</v>
      </c>
      <c r="AM21" s="166">
        <f t="shared" si="557"/>
        <v>52244.775000000001</v>
      </c>
      <c r="AN21" s="166">
        <f t="shared" si="557"/>
        <v>50470.991999999998</v>
      </c>
      <c r="AO21" s="166">
        <f>AO19*AO20*$C$1</f>
        <v>48572.667000000001</v>
      </c>
      <c r="AP21" s="166">
        <f t="shared" si="557"/>
        <v>48507.822</v>
      </c>
      <c r="AQ21" s="683"/>
      <c r="AR21" s="696">
        <f t="shared" ref="AR21:AR22" si="558">SUM(AS21:AY21)</f>
        <v>274929.23700000002</v>
      </c>
      <c r="AS21" s="166">
        <f t="shared" ref="AS21:AX21" si="559">AS19*AS20*$C$1</f>
        <v>50377.14</v>
      </c>
      <c r="AT21" s="166">
        <f t="shared" si="559"/>
        <v>48027.87</v>
      </c>
      <c r="AU21" s="166">
        <f t="shared" si="559"/>
        <v>48213</v>
      </c>
      <c r="AV21" s="166">
        <f t="shared" si="559"/>
        <v>45845.216999999997</v>
      </c>
      <c r="AW21" s="166">
        <f t="shared" si="559"/>
        <v>45695.43</v>
      </c>
      <c r="AX21" s="166">
        <f t="shared" si="559"/>
        <v>36770.58</v>
      </c>
      <c r="AY21" s="683"/>
      <c r="AZ21" s="696">
        <f t="shared" ref="AZ21:AZ23" si="560">SUM(BA21:BG21)</f>
        <v>265672.83600000001</v>
      </c>
      <c r="BA21" s="166">
        <f t="shared" ref="BA21:BF21" si="561">BA19*BA20*$C$1</f>
        <v>44238.050999999999</v>
      </c>
      <c r="BB21" s="166">
        <f>BB19*BB20*$C$1</f>
        <v>49729.68</v>
      </c>
      <c r="BC21" s="166">
        <f t="shared" si="561"/>
        <v>43513.47</v>
      </c>
      <c r="BD21" s="166">
        <f t="shared" si="561"/>
        <v>46496.834999999999</v>
      </c>
      <c r="BE21" s="166">
        <f t="shared" si="561"/>
        <v>43485.75</v>
      </c>
      <c r="BF21" s="166">
        <f t="shared" si="561"/>
        <v>38209.050000000003</v>
      </c>
      <c r="BG21" s="683"/>
      <c r="BH21" s="696">
        <f t="shared" ref="BH21:BH23" si="562">SUM(BI21:BO21)</f>
        <v>272890.03499999997</v>
      </c>
      <c r="BI21" s="166">
        <f t="shared" ref="BI21:BN21" si="563">BI19*BI20*$C$1</f>
        <v>46204.29</v>
      </c>
      <c r="BJ21" s="166">
        <f t="shared" si="563"/>
        <v>48648.6</v>
      </c>
      <c r="BK21" s="166">
        <f t="shared" si="563"/>
        <v>43131.824999999997</v>
      </c>
      <c r="BL21" s="166">
        <f t="shared" si="563"/>
        <v>45599.4</v>
      </c>
      <c r="BM21" s="166">
        <f t="shared" si="563"/>
        <v>48181.32</v>
      </c>
      <c r="BN21" s="166">
        <f t="shared" si="563"/>
        <v>41124.6</v>
      </c>
      <c r="BO21" s="683"/>
      <c r="BP21" s="696">
        <f t="shared" ref="BP21:BP23" si="564">SUM(BQ21:BW21)</f>
        <v>286346.61</v>
      </c>
      <c r="BQ21" s="166">
        <f t="shared" ref="BQ21:BV21" si="565">BQ19*BQ20*$C$1</f>
        <v>47927.88</v>
      </c>
      <c r="BR21" s="166">
        <f t="shared" si="565"/>
        <v>48345.165000000001</v>
      </c>
      <c r="BS21" s="166">
        <f t="shared" si="565"/>
        <v>48818.879999999997</v>
      </c>
      <c r="BT21" s="166">
        <f>BT19*BT20*$C$1</f>
        <v>50841.945</v>
      </c>
      <c r="BU21" s="166">
        <f t="shared" si="565"/>
        <v>46486.44</v>
      </c>
      <c r="BV21" s="166">
        <f t="shared" si="565"/>
        <v>43926.3</v>
      </c>
      <c r="BW21" s="683"/>
      <c r="BX21" s="696">
        <f t="shared" ref="BX21:BX23" si="566">SUM(BY21:CE21)</f>
        <v>282119.90399999998</v>
      </c>
      <c r="BY21" s="166">
        <f t="shared" ref="BY21:CD21" si="567">BY19*BY20*$C$1</f>
        <v>47223</v>
      </c>
      <c r="BZ21" s="166">
        <f t="shared" si="567"/>
        <v>50694.93</v>
      </c>
      <c r="CA21" s="166">
        <f t="shared" si="567"/>
        <v>49286.159999999996</v>
      </c>
      <c r="CB21" s="166">
        <f t="shared" si="567"/>
        <v>46332</v>
      </c>
      <c r="CC21" s="166">
        <f t="shared" si="567"/>
        <v>48008.268000000004</v>
      </c>
      <c r="CD21" s="166">
        <f t="shared" si="567"/>
        <v>40575.545999999995</v>
      </c>
      <c r="CE21" s="683"/>
      <c r="CF21" s="696">
        <f t="shared" ref="CF21:CF23" si="568">SUM(CG21:CM21)</f>
        <v>264576.41099999996</v>
      </c>
      <c r="CG21" s="166">
        <f t="shared" ref="CG21:CL21" si="569">CG19*CG20*$C$1</f>
        <v>43517.330999999998</v>
      </c>
      <c r="CH21" s="166">
        <f t="shared" si="569"/>
        <v>47772.251999999993</v>
      </c>
      <c r="CI21" s="166">
        <f t="shared" si="569"/>
        <v>42388.434000000001</v>
      </c>
      <c r="CJ21" s="166">
        <f t="shared" si="569"/>
        <v>41738.400000000001</v>
      </c>
      <c r="CK21" s="166">
        <f t="shared" si="569"/>
        <v>48868.973999999995</v>
      </c>
      <c r="CL21" s="166">
        <f t="shared" si="569"/>
        <v>40291.019999999997</v>
      </c>
      <c r="CM21" s="683"/>
      <c r="CN21" s="696">
        <f t="shared" ref="CN21:CN23" si="570">SUM(CO21:CU21)</f>
        <v>290710.43100000004</v>
      </c>
      <c r="CO21" s="166">
        <f t="shared" ref="CO21:CT21" si="571">CO19*CO20*$C$1</f>
        <v>47876.4</v>
      </c>
      <c r="CP21" s="166">
        <f t="shared" si="571"/>
        <v>48024.9</v>
      </c>
      <c r="CQ21" s="166">
        <f t="shared" si="571"/>
        <v>48111.03</v>
      </c>
      <c r="CR21" s="166">
        <f t="shared" si="571"/>
        <v>47190.726000000002</v>
      </c>
      <c r="CS21" s="166">
        <f t="shared" si="571"/>
        <v>55303.38</v>
      </c>
      <c r="CT21" s="166">
        <f t="shared" si="571"/>
        <v>44203.995000000003</v>
      </c>
      <c r="CU21" s="683"/>
      <c r="CV21" s="696">
        <f t="shared" ref="CV21:CV23" si="572">SUM(CW21:DC21)</f>
        <v>295796.75400000002</v>
      </c>
      <c r="CW21" s="166">
        <f t="shared" ref="CW21:DB21" si="573">CW20*CW19*$C$1</f>
        <v>44270.226000000002</v>
      </c>
      <c r="CX21" s="166">
        <f t="shared" si="573"/>
        <v>49376.25</v>
      </c>
      <c r="CY21" s="166">
        <f t="shared" si="573"/>
        <v>50294.376000000004</v>
      </c>
      <c r="CZ21" s="166">
        <f t="shared" si="573"/>
        <v>51649.883999999998</v>
      </c>
      <c r="DA21" s="166">
        <f t="shared" si="573"/>
        <v>52513.757999999994</v>
      </c>
      <c r="DB21" s="166">
        <f t="shared" si="573"/>
        <v>47692.26</v>
      </c>
      <c r="DC21" s="683"/>
      <c r="DD21" s="696">
        <f t="shared" ref="DD21:DD23" si="574">SUM(DE21:DK21)</f>
        <v>281949.62400000001</v>
      </c>
      <c r="DE21" s="166">
        <f>DE19*DE20*$C$1</f>
        <v>47014.803</v>
      </c>
      <c r="DF21" s="166">
        <f t="shared" ref="DF21:DJ21" si="575">DF19*DF20*$C$1</f>
        <v>49921.443000000007</v>
      </c>
      <c r="DG21" s="166">
        <f t="shared" si="575"/>
        <v>48265.766999999993</v>
      </c>
      <c r="DH21" s="166">
        <f t="shared" si="575"/>
        <v>49695.03</v>
      </c>
      <c r="DI21" s="166">
        <f t="shared" si="575"/>
        <v>47565.440999999999</v>
      </c>
      <c r="DJ21" s="166">
        <f t="shared" si="575"/>
        <v>39487.14</v>
      </c>
      <c r="DK21" s="683"/>
      <c r="DL21" s="696">
        <f t="shared" ref="DL21:DL23" si="576">SUM(DM21:DS21)</f>
        <v>262996.272</v>
      </c>
      <c r="DM21" s="166">
        <f t="shared" ref="DM21:DR21" si="577">DM19*DM20*$C$1</f>
        <v>45146.474999999999</v>
      </c>
      <c r="DN21" s="166">
        <f t="shared" si="577"/>
        <v>46759.68</v>
      </c>
      <c r="DO21" s="166">
        <f t="shared" si="577"/>
        <v>36019.269</v>
      </c>
      <c r="DP21" s="166">
        <f t="shared" si="577"/>
        <v>43492.383000000002</v>
      </c>
      <c r="DQ21" s="166">
        <f t="shared" si="577"/>
        <v>48501.584999999999</v>
      </c>
      <c r="DR21" s="166">
        <f t="shared" si="577"/>
        <v>43076.88</v>
      </c>
      <c r="DS21" s="683"/>
      <c r="DT21" s="696">
        <f t="shared" ref="DT21:DT23" si="578">SUM(DU21:EA21)</f>
        <v>213816.73499999999</v>
      </c>
      <c r="DU21" s="166">
        <f t="shared" ref="DU21:EH21" si="579">DU19*DU20*$C$1</f>
        <v>0</v>
      </c>
      <c r="DV21" s="166">
        <f t="shared" si="579"/>
        <v>25540.316999999999</v>
      </c>
      <c r="DW21" s="166">
        <f t="shared" si="579"/>
        <v>48641.273999999998</v>
      </c>
      <c r="DX21" s="166">
        <f t="shared" si="579"/>
        <v>46035</v>
      </c>
      <c r="DY21" s="166">
        <f t="shared" si="579"/>
        <v>47770.667999999998</v>
      </c>
      <c r="DZ21" s="166">
        <f t="shared" si="579"/>
        <v>45829.476000000002</v>
      </c>
      <c r="EA21" s="166">
        <f t="shared" si="579"/>
        <v>0</v>
      </c>
      <c r="EB21" s="166">
        <f t="shared" si="579"/>
        <v>0</v>
      </c>
      <c r="EC21" s="166">
        <f t="shared" si="579"/>
        <v>44872.542000000001</v>
      </c>
      <c r="ED21" s="166">
        <f t="shared" si="579"/>
        <v>46766.808000000005</v>
      </c>
      <c r="EE21" s="166">
        <f t="shared" si="579"/>
        <v>45135.09</v>
      </c>
      <c r="EF21" s="166">
        <f t="shared" si="579"/>
        <v>46370.016000000003</v>
      </c>
      <c r="EG21" s="166">
        <f t="shared" si="579"/>
        <v>48018.96</v>
      </c>
      <c r="EH21" s="166">
        <f t="shared" si="579"/>
        <v>46294.281000000003</v>
      </c>
      <c r="EI21" s="683"/>
      <c r="EJ21" s="696">
        <f t="shared" ref="EJ21:EJ23" si="580">SUM(EK21:EQ21)</f>
        <v>280400.37300000002</v>
      </c>
      <c r="EK21" s="166">
        <f t="shared" ref="EK21:EP21" si="581">EK19*EK20*$C$1</f>
        <v>47683.35</v>
      </c>
      <c r="EL21" s="166">
        <f t="shared" si="581"/>
        <v>46994.211000000003</v>
      </c>
      <c r="EM21" s="166">
        <f t="shared" si="581"/>
        <v>47438.82</v>
      </c>
      <c r="EN21" s="166">
        <f t="shared" si="581"/>
        <v>46765.025999999998</v>
      </c>
      <c r="EO21" s="166">
        <f t="shared" si="581"/>
        <v>50759.28</v>
      </c>
      <c r="EP21" s="166">
        <f t="shared" si="581"/>
        <v>40759.686000000002</v>
      </c>
      <c r="EQ21" s="683"/>
      <c r="ER21" s="696">
        <f t="shared" ref="ER21:ER23" si="582">SUM(ES21:EY21)</f>
        <v>273523.83299999998</v>
      </c>
      <c r="ES21" s="166">
        <f t="shared" ref="ES21:EX21" si="583">ES19*ES20*$C$1</f>
        <v>43858.583999999995</v>
      </c>
      <c r="ET21" s="166">
        <f t="shared" si="583"/>
        <v>49240.917000000001</v>
      </c>
      <c r="EU21" s="166">
        <f t="shared" si="583"/>
        <v>46814.625</v>
      </c>
      <c r="EV21" s="166">
        <f t="shared" si="583"/>
        <v>46081.332000000002</v>
      </c>
      <c r="EW21" s="166">
        <f t="shared" si="583"/>
        <v>48627.315000000002</v>
      </c>
      <c r="EX21" s="166">
        <f t="shared" si="583"/>
        <v>38901.06</v>
      </c>
      <c r="EY21" s="683"/>
      <c r="EZ21" s="696">
        <f t="shared" ref="EZ21:EZ23" si="584">SUM(FA21:FG21)</f>
        <v>275100.30900000001</v>
      </c>
      <c r="FA21" s="166">
        <f t="shared" ref="FA21:FF21" si="585">FA19*FA20*$C$1</f>
        <v>47008.367999999995</v>
      </c>
      <c r="FB21" s="166">
        <f t="shared" si="585"/>
        <v>47498.912999999993</v>
      </c>
      <c r="FC21" s="166">
        <f t="shared" si="585"/>
        <v>46809.18</v>
      </c>
      <c r="FD21" s="166">
        <f t="shared" si="585"/>
        <v>46227.753000000004</v>
      </c>
      <c r="FE21" s="166">
        <f t="shared" si="585"/>
        <v>49009.455000000002</v>
      </c>
      <c r="FF21" s="166">
        <f t="shared" si="585"/>
        <v>38546.639999999999</v>
      </c>
      <c r="FG21" s="683"/>
      <c r="FH21" s="696">
        <f t="shared" ref="FH21:FH23" si="586">SUM(FI21:FO21)</f>
        <v>236303.29800000001</v>
      </c>
      <c r="FI21" s="166">
        <f t="shared" ref="FI21:FN21" si="587">FI19*FI20*$C$1</f>
        <v>43340.615999999995</v>
      </c>
      <c r="FJ21" s="166">
        <f t="shared" si="587"/>
        <v>48576.924000000006</v>
      </c>
      <c r="FK21" s="166">
        <f t="shared" si="587"/>
        <v>42401.501999999993</v>
      </c>
      <c r="FL21" s="166">
        <f t="shared" si="587"/>
        <v>0</v>
      </c>
      <c r="FM21" s="166">
        <f t="shared" si="587"/>
        <v>51948.66599999999</v>
      </c>
      <c r="FN21" s="166">
        <f t="shared" si="587"/>
        <v>50035.59</v>
      </c>
      <c r="FO21" s="683"/>
      <c r="FP21" s="696">
        <f t="shared" ref="FP21:FP23" si="588">SUM(FQ21:FW21)</f>
        <v>289226.71800000005</v>
      </c>
      <c r="FQ21" s="166">
        <f t="shared" ref="FQ21:FV21" si="589">FQ19*FQ20*$C$1</f>
        <v>50522.076000000001</v>
      </c>
      <c r="FR21" s="166">
        <f t="shared" si="589"/>
        <v>47780.567999999999</v>
      </c>
      <c r="FS21" s="166">
        <f t="shared" si="589"/>
        <v>52310.61</v>
      </c>
      <c r="FT21" s="166">
        <f t="shared" si="589"/>
        <v>46065.887999999999</v>
      </c>
      <c r="FU21" s="166">
        <f t="shared" si="589"/>
        <v>50786.207999999999</v>
      </c>
      <c r="FV21" s="166">
        <f t="shared" si="589"/>
        <v>41761.368000000002</v>
      </c>
      <c r="FW21" s="683"/>
      <c r="FX21" s="696">
        <f t="shared" ref="FX21:FX23" si="590">SUM(FY21:GE21)</f>
        <v>234967.29300000003</v>
      </c>
      <c r="FY21" s="166">
        <f t="shared" ref="FY21:GD21" si="591">FY19*FY20*$C$1</f>
        <v>0</v>
      </c>
      <c r="FZ21" s="166">
        <f t="shared" si="591"/>
        <v>43268.148000000001</v>
      </c>
      <c r="GA21" s="166">
        <f t="shared" si="591"/>
        <v>49590.684000000008</v>
      </c>
      <c r="GB21" s="166">
        <f>GB19*GB20*$C$1</f>
        <v>48223.296000000002</v>
      </c>
      <c r="GC21" s="166">
        <f t="shared" si="591"/>
        <v>51390.404999999999</v>
      </c>
      <c r="GD21" s="166">
        <f t="shared" si="591"/>
        <v>42494.76</v>
      </c>
      <c r="GE21" s="683"/>
      <c r="GF21" s="696">
        <f t="shared" ref="GF21:GF22" si="592">SUM(GG21:GM21)</f>
        <v>273093.57900000003</v>
      </c>
      <c r="GG21" s="166">
        <f t="shared" ref="GG21:GL21" si="593">GG19*GG20*$C$1</f>
        <v>44401.5</v>
      </c>
      <c r="GH21" s="166">
        <f t="shared" si="593"/>
        <v>48951.54</v>
      </c>
      <c r="GI21" s="166">
        <f>GI19*GI20*$C$1</f>
        <v>45384.767999999996</v>
      </c>
      <c r="GJ21" s="166">
        <f t="shared" si="593"/>
        <v>50743.142999999996</v>
      </c>
      <c r="GK21" s="166">
        <f t="shared" si="593"/>
        <v>45822.644999999997</v>
      </c>
      <c r="GL21" s="166">
        <f t="shared" si="593"/>
        <v>37789.983000000007</v>
      </c>
      <c r="GM21" s="683"/>
      <c r="GN21" s="696">
        <f t="shared" ref="GN21:GN23" si="594">SUM(GO21:GU21)</f>
        <v>280030.80599999998</v>
      </c>
      <c r="GO21" s="166">
        <f t="shared" ref="GO21:GT21" si="595">GO19*GO20*$C$1</f>
        <v>47610.288</v>
      </c>
      <c r="GP21" s="166">
        <f t="shared" si="595"/>
        <v>48534.254999999997</v>
      </c>
      <c r="GQ21" s="166">
        <f t="shared" si="595"/>
        <v>46988.864999999998</v>
      </c>
      <c r="GR21" s="166">
        <f t="shared" si="595"/>
        <v>48513.168000000005</v>
      </c>
      <c r="GS21" s="166">
        <f t="shared" si="595"/>
        <v>48494.159999999996</v>
      </c>
      <c r="GT21" s="166">
        <f t="shared" si="595"/>
        <v>39890.07</v>
      </c>
      <c r="GU21" s="683"/>
      <c r="GV21" s="696">
        <f t="shared" ref="GV21:GV23" si="596">SUM(GW21:HC21)</f>
        <v>269655.90299999999</v>
      </c>
      <c r="GW21" s="166">
        <f t="shared" ref="GW21:HB21" si="597">GW19*GW20*$C$1</f>
        <v>49990.248000000007</v>
      </c>
      <c r="GX21" s="166">
        <f t="shared" si="597"/>
        <v>49568.111999999994</v>
      </c>
      <c r="GY21" s="166">
        <f t="shared" si="597"/>
        <v>43034.112000000001</v>
      </c>
      <c r="GZ21" s="166">
        <f t="shared" si="597"/>
        <v>45074.798999999999</v>
      </c>
      <c r="HA21" s="166">
        <f t="shared" si="597"/>
        <v>41344.379999999997</v>
      </c>
      <c r="HB21" s="166">
        <f t="shared" si="597"/>
        <v>40644.252</v>
      </c>
      <c r="HC21" s="683"/>
      <c r="HD21" s="696">
        <f t="shared" ref="HD21:HD23" si="598">SUM(HE21:HK21)</f>
        <v>256579.68599999999</v>
      </c>
      <c r="HE21" s="166">
        <f t="shared" ref="HE21:HJ21" si="599">HE19*HE20*$C$1</f>
        <v>42873.138000000006</v>
      </c>
      <c r="HF21" s="166">
        <f t="shared" si="599"/>
        <v>47223</v>
      </c>
      <c r="HG21" s="166">
        <f t="shared" si="599"/>
        <v>44955.108</v>
      </c>
      <c r="HH21" s="166">
        <f t="shared" si="599"/>
        <v>42779.087999999996</v>
      </c>
      <c r="HI21" s="166">
        <f t="shared" si="599"/>
        <v>42754.931999999993</v>
      </c>
      <c r="HJ21" s="166">
        <f t="shared" si="599"/>
        <v>35994.42</v>
      </c>
      <c r="HK21" s="683"/>
      <c r="HL21" s="696">
        <f t="shared" ref="HL21:HL23" si="600">SUM(HM21:HS21)</f>
        <v>228106.39499999999</v>
      </c>
      <c r="HM21" s="166">
        <f t="shared" ref="HM21:HR21" si="601">HM19*HM20*$C$1</f>
        <v>38640.590999999993</v>
      </c>
      <c r="HN21" s="166">
        <f t="shared" si="601"/>
        <v>41351.31</v>
      </c>
      <c r="HO21" s="166">
        <f t="shared" si="601"/>
        <v>40407.444000000003</v>
      </c>
      <c r="HP21" s="166">
        <f t="shared" si="601"/>
        <v>38959.272000000004</v>
      </c>
      <c r="HQ21" s="166">
        <f t="shared" si="601"/>
        <v>37363.194000000003</v>
      </c>
      <c r="HR21" s="166">
        <f t="shared" si="601"/>
        <v>31384.584000000003</v>
      </c>
      <c r="HS21" s="683"/>
      <c r="HT21" s="696">
        <f t="shared" ref="HT21:HT23" si="602">SUM(HU21:IA21)</f>
        <v>193141.77299999999</v>
      </c>
      <c r="HU21" s="166">
        <f t="shared" ref="HU21:HZ21" si="603">HU19*HU20*$C$1</f>
        <v>36277.955999999991</v>
      </c>
      <c r="HV21" s="166">
        <f t="shared" si="603"/>
        <v>41216.175000000003</v>
      </c>
      <c r="HW21" s="166">
        <f t="shared" si="603"/>
        <v>36067.68</v>
      </c>
      <c r="HX21" s="166">
        <f t="shared" si="603"/>
        <v>0</v>
      </c>
      <c r="HY21" s="166">
        <f t="shared" si="603"/>
        <v>47536.037999999993</v>
      </c>
      <c r="HZ21" s="166">
        <f t="shared" si="603"/>
        <v>32043.924000000003</v>
      </c>
      <c r="IA21" s="683"/>
      <c r="IB21" s="696">
        <f t="shared" ref="IB21:IB23" si="604">SUM(IC21:II21)</f>
        <v>233271.72</v>
      </c>
      <c r="IC21" s="166">
        <f t="shared" ref="IC21:IH21" si="605">IC19*IC20*$C$1</f>
        <v>39151.430999999997</v>
      </c>
      <c r="ID21" s="166">
        <f t="shared" si="605"/>
        <v>42278.544000000002</v>
      </c>
      <c r="IE21" s="166">
        <f t="shared" si="605"/>
        <v>37215.287999999993</v>
      </c>
      <c r="IF21" s="166">
        <f t="shared" si="605"/>
        <v>40333.293000000005</v>
      </c>
      <c r="IG21" s="166">
        <f t="shared" si="605"/>
        <v>39410.514000000003</v>
      </c>
      <c r="IH21" s="166">
        <f t="shared" si="605"/>
        <v>34882.65</v>
      </c>
      <c r="II21" s="683"/>
      <c r="IJ21" s="696">
        <f t="shared" ref="IJ21:IJ23" si="606">SUM(IK21:IQ21)</f>
        <v>220162.38900000002</v>
      </c>
      <c r="IK21" s="166">
        <v>39752.856</v>
      </c>
      <c r="IL21" s="166">
        <v>39521.987999999998</v>
      </c>
      <c r="IM21" s="166">
        <v>36912.644999999997</v>
      </c>
      <c r="IN21" s="166">
        <f>IN19*IN20</f>
        <v>39546.899999999994</v>
      </c>
      <c r="IO21" s="166">
        <f>IO19*IO20</f>
        <v>36296.800000000003</v>
      </c>
      <c r="IP21" s="166">
        <f>IP19*IP20</f>
        <v>28131.200000000001</v>
      </c>
      <c r="IQ21" s="683"/>
      <c r="IR21" s="696">
        <f t="shared" ref="IR21:IR23" si="607">SUM(IS21:IY21)</f>
        <v>220392.315</v>
      </c>
      <c r="IS21" s="166">
        <f t="shared" ref="IS21:IX21" si="608">IS19*IS20*$C$1</f>
        <v>39075.101999999999</v>
      </c>
      <c r="IT21" s="166">
        <f t="shared" si="608"/>
        <v>39075.399000000005</v>
      </c>
      <c r="IU21" s="166">
        <f t="shared" si="608"/>
        <v>38239.74</v>
      </c>
      <c r="IV21" s="166">
        <f t="shared" si="608"/>
        <v>37270.53</v>
      </c>
      <c r="IW21" s="166">
        <f t="shared" si="608"/>
        <v>36525.06</v>
      </c>
      <c r="IX21" s="166">
        <f t="shared" si="608"/>
        <v>30206.484</v>
      </c>
      <c r="IY21" s="683"/>
      <c r="IZ21" s="696">
        <f>SUM(JA21:JG21)</f>
        <v>194541.83099999998</v>
      </c>
      <c r="JA21" s="166">
        <f t="shared" ref="JA21:JF21" si="609">JA19*JA20*$C$1</f>
        <v>0</v>
      </c>
      <c r="JB21" s="166">
        <f t="shared" si="609"/>
        <v>39737.61</v>
      </c>
      <c r="JC21" s="166">
        <f t="shared" si="609"/>
        <v>41032.431000000004</v>
      </c>
      <c r="JD21" s="166">
        <f t="shared" si="609"/>
        <v>45350.513999999996</v>
      </c>
      <c r="JE21" s="166">
        <f t="shared" si="609"/>
        <v>38322.9</v>
      </c>
      <c r="JF21" s="166">
        <f t="shared" si="609"/>
        <v>30098.375999999997</v>
      </c>
      <c r="JG21" s="683"/>
      <c r="JH21" s="696">
        <f t="shared" ref="JH21:JH23" si="610">SUM(JI21:JO21)</f>
        <v>253742.94000000003</v>
      </c>
      <c r="JI21" s="166">
        <f t="shared" ref="JI21:JN21" si="611">JI19*JI20*$C$1</f>
        <v>41463.476999999999</v>
      </c>
      <c r="JJ21" s="166">
        <f t="shared" si="611"/>
        <v>44147.565000000002</v>
      </c>
      <c r="JK21" s="166">
        <f t="shared" si="611"/>
        <v>40565.745000000003</v>
      </c>
      <c r="JL21" s="166">
        <f t="shared" si="611"/>
        <v>41562.378000000004</v>
      </c>
      <c r="JM21" s="166">
        <f t="shared" si="611"/>
        <v>48529.8</v>
      </c>
      <c r="JN21" s="166">
        <f t="shared" si="611"/>
        <v>37473.974999999999</v>
      </c>
      <c r="JO21" s="683"/>
      <c r="JP21" s="696">
        <f t="shared" ref="JP21:JP23" si="612">SUM(JQ21:JW21)</f>
        <v>270961.02</v>
      </c>
      <c r="JQ21" s="166">
        <f>JQ19*JQ20*$C$1</f>
        <v>45911.843999999997</v>
      </c>
      <c r="JR21" s="166">
        <f>JR19*JR20*$C$1</f>
        <v>42871.355999999992</v>
      </c>
      <c r="JS21" s="166">
        <f>JS19*JS20*$C$1</f>
        <v>45609.3</v>
      </c>
      <c r="JT21" s="166">
        <f t="shared" ref="JT21:JV21" si="613">JT19*JT20*$C$1</f>
        <v>44010.45</v>
      </c>
      <c r="JU21" s="166">
        <f t="shared" si="613"/>
        <v>47491.29</v>
      </c>
      <c r="JV21" s="166">
        <f t="shared" si="613"/>
        <v>45066.78</v>
      </c>
      <c r="JW21" s="683"/>
      <c r="JX21" s="696">
        <f t="shared" ref="JX21:JX23" si="614">SUM(JY21:KE21)</f>
        <v>285180.78600000002</v>
      </c>
      <c r="JY21" s="166">
        <f t="shared" ref="JY21:KD21" si="615">JY19*JY20*$C$1</f>
        <v>46909.862999999998</v>
      </c>
      <c r="JZ21" s="166">
        <f t="shared" si="615"/>
        <v>45665.135999999991</v>
      </c>
      <c r="KA21" s="166">
        <f t="shared" si="615"/>
        <v>50251.409999999996</v>
      </c>
      <c r="KB21" s="166">
        <f t="shared" si="615"/>
        <v>47218.248000000007</v>
      </c>
      <c r="KC21" s="166">
        <f t="shared" si="615"/>
        <v>49678.2</v>
      </c>
      <c r="KD21" s="166">
        <f t="shared" si="615"/>
        <v>45457.928999999996</v>
      </c>
      <c r="KE21" s="683"/>
      <c r="KF21" s="696">
        <f t="shared" ref="KF21:KF23" si="616">SUM(KG21:KM21)</f>
        <v>253736.50500000003</v>
      </c>
      <c r="KG21" s="166">
        <f t="shared" ref="KG21:KL21" si="617">KG19*KG20*$C$1</f>
        <v>47291.012999999999</v>
      </c>
      <c r="KH21" s="166">
        <f t="shared" si="617"/>
        <v>41243.796000000002</v>
      </c>
      <c r="KI21" s="166">
        <f t="shared" si="617"/>
        <v>39203.900999999998</v>
      </c>
      <c r="KJ21" s="166">
        <f t="shared" si="617"/>
        <v>43691.373000000007</v>
      </c>
      <c r="KK21" s="166">
        <f t="shared" si="617"/>
        <v>45114.3</v>
      </c>
      <c r="KL21" s="166">
        <f t="shared" si="617"/>
        <v>37192.122000000003</v>
      </c>
      <c r="KM21" s="683"/>
      <c r="KN21" s="696">
        <f t="shared" ref="KN21:KN23" si="618">SUM(KO21:KU21)</f>
        <v>256339.51199999999</v>
      </c>
      <c r="KO21" s="166">
        <f t="shared" ref="KO21:KT21" si="619">KO19*KO20*$C$1</f>
        <v>49370.112000000001</v>
      </c>
      <c r="KP21" s="166">
        <f t="shared" si="619"/>
        <v>36390.617999999995</v>
      </c>
      <c r="KQ21" s="166">
        <f t="shared" si="619"/>
        <v>38890.17</v>
      </c>
      <c r="KR21" s="166">
        <f t="shared" si="619"/>
        <v>46189.440000000002</v>
      </c>
      <c r="KS21" s="166">
        <f t="shared" si="619"/>
        <v>46503.071999999993</v>
      </c>
      <c r="KT21" s="166">
        <f t="shared" si="619"/>
        <v>38996.1</v>
      </c>
      <c r="KU21" s="683"/>
      <c r="KV21" s="696">
        <f t="shared" ref="KV21:KV23" si="620">SUM(KW21:LC21)</f>
        <v>281017.935</v>
      </c>
      <c r="KW21" s="166">
        <f t="shared" ref="KW21:LB21" si="621">KW19*KW20*$C$1</f>
        <v>49572.864000000001</v>
      </c>
      <c r="KX21" s="166">
        <f t="shared" si="621"/>
        <v>44503.074000000008</v>
      </c>
      <c r="KY21" s="166">
        <f t="shared" si="621"/>
        <v>44666.621999999996</v>
      </c>
      <c r="KZ21" s="166">
        <f t="shared" si="621"/>
        <v>50893.623000000007</v>
      </c>
      <c r="LA21" s="166">
        <f t="shared" si="621"/>
        <v>48138.552000000003</v>
      </c>
      <c r="LB21" s="166">
        <f t="shared" si="621"/>
        <v>43243.199999999997</v>
      </c>
      <c r="LC21" s="683"/>
      <c r="LD21" s="696">
        <f t="shared" ref="LD21:LD23" si="622">SUM(LE21:LK21)</f>
        <v>285623.90999999997</v>
      </c>
      <c r="LE21" s="166">
        <f t="shared" ref="LE21:LJ21" si="623">LE19*LE20*$C$1</f>
        <v>52806.6</v>
      </c>
      <c r="LF21" s="166">
        <f t="shared" si="623"/>
        <v>40800.672000000006</v>
      </c>
      <c r="LG21" s="166">
        <f t="shared" si="623"/>
        <v>45498.321000000004</v>
      </c>
      <c r="LH21" s="166">
        <f t="shared" si="623"/>
        <v>49330.809000000001</v>
      </c>
      <c r="LI21" s="166">
        <f t="shared" si="623"/>
        <v>51901.343999999997</v>
      </c>
      <c r="LJ21" s="166">
        <f t="shared" si="623"/>
        <v>45286.164000000004</v>
      </c>
      <c r="LK21" s="683"/>
      <c r="LL21" s="696">
        <f t="shared" ref="LL21:LL23" si="624">SUM(LM21:LS21)</f>
        <v>286550.451</v>
      </c>
      <c r="LM21" s="166">
        <f t="shared" ref="LM21:LR21" si="625">LM19*LM20*$C$1</f>
        <v>53344.665000000001</v>
      </c>
      <c r="LN21" s="166">
        <f t="shared" si="625"/>
        <v>49005</v>
      </c>
      <c r="LO21" s="166">
        <f t="shared" si="625"/>
        <v>46848.78</v>
      </c>
      <c r="LP21" s="166">
        <f t="shared" si="625"/>
        <v>48363.083999999995</v>
      </c>
      <c r="LQ21" s="166">
        <f t="shared" si="625"/>
        <v>49336.451999999997</v>
      </c>
      <c r="LR21" s="166">
        <f t="shared" si="625"/>
        <v>39652.47</v>
      </c>
      <c r="LS21" s="683"/>
      <c r="LT21" s="696">
        <f t="shared" ref="LT21:LT23" si="626">SUM(LU21:MA21)</f>
        <v>257579.48699999999</v>
      </c>
      <c r="LU21" s="166">
        <f t="shared" ref="LU21:LZ21" si="627">LU19*LU20*$C$1</f>
        <v>51654.536999999997</v>
      </c>
      <c r="LV21" s="166">
        <f t="shared" si="627"/>
        <v>44298.144000000008</v>
      </c>
      <c r="LW21" s="166">
        <f t="shared" si="627"/>
        <v>39089.358</v>
      </c>
      <c r="LX21" s="166">
        <f t="shared" si="627"/>
        <v>42719.292000000001</v>
      </c>
      <c r="LY21" s="166">
        <f t="shared" si="627"/>
        <v>44837.495999999999</v>
      </c>
      <c r="LZ21" s="166">
        <f t="shared" si="627"/>
        <v>34980.659999999996</v>
      </c>
      <c r="MA21" s="683"/>
      <c r="MB21" s="696">
        <f t="shared" ref="MB21:MB23" si="628">SUM(MC21:MI21)</f>
        <v>273282.57</v>
      </c>
      <c r="MC21" s="166">
        <f t="shared" ref="MC21:MH21" si="629">MC19*MC20*$C$1</f>
        <v>47238.642</v>
      </c>
      <c r="MD21" s="166">
        <f t="shared" si="629"/>
        <v>44583.659999999996</v>
      </c>
      <c r="ME21" s="166">
        <f t="shared" si="629"/>
        <v>36125.1</v>
      </c>
      <c r="MF21" s="166">
        <f t="shared" si="629"/>
        <v>46964.412000000004</v>
      </c>
      <c r="MG21" s="166">
        <f t="shared" si="629"/>
        <v>50029.056000000004</v>
      </c>
      <c r="MH21" s="166">
        <f t="shared" si="629"/>
        <v>48341.7</v>
      </c>
      <c r="MI21" s="683"/>
      <c r="MJ21" s="696">
        <f t="shared" ref="MJ21:MJ23" si="630">SUM(MK21:MQ21)</f>
        <v>260550.08099999998</v>
      </c>
      <c r="MK21" s="166">
        <f t="shared" ref="MK21:MP21" si="631">MK19*MK20*$C$1</f>
        <v>52702.056000000004</v>
      </c>
      <c r="ML21" s="166">
        <f t="shared" si="631"/>
        <v>0</v>
      </c>
      <c r="MM21" s="166">
        <f t="shared" si="631"/>
        <v>55774.223999999995</v>
      </c>
      <c r="MN21" s="166">
        <f t="shared" si="631"/>
        <v>52041.824999999997</v>
      </c>
      <c r="MO21" s="166">
        <f t="shared" si="631"/>
        <v>53165.97</v>
      </c>
      <c r="MP21" s="166">
        <f t="shared" si="631"/>
        <v>46866.006000000001</v>
      </c>
      <c r="MQ21" s="683"/>
      <c r="MR21" s="696">
        <f t="shared" ref="MR21:MR23" si="632">SUM(MS21:MY21)</f>
        <v>257415.84</v>
      </c>
      <c r="MS21" s="166">
        <f t="shared" ref="MS21:MX21" si="633">MS19*MS20*$C$1</f>
        <v>54618.002999999997</v>
      </c>
      <c r="MT21" s="166">
        <f t="shared" si="633"/>
        <v>50974.308000000005</v>
      </c>
      <c r="MU21" s="166">
        <f t="shared" si="633"/>
        <v>52978.068000000007</v>
      </c>
      <c r="MV21" s="166">
        <f t="shared" si="633"/>
        <v>52564.940999999999</v>
      </c>
      <c r="MW21" s="166">
        <f t="shared" si="633"/>
        <v>0</v>
      </c>
      <c r="MX21" s="166">
        <f t="shared" si="633"/>
        <v>46280.52</v>
      </c>
      <c r="MY21" s="683"/>
      <c r="MZ21" s="696">
        <f t="shared" ref="MZ21:MZ23" si="634">SUM(NA21:NG21)</f>
        <v>284261.21726155182</v>
      </c>
      <c r="NA21" s="166">
        <f t="shared" ref="NA21:NF21" si="635">NA19*NA20*$C$1</f>
        <v>52742.094261551843</v>
      </c>
      <c r="NB21" s="166">
        <f t="shared" si="635"/>
        <v>50210.82</v>
      </c>
      <c r="NC21" s="166">
        <f t="shared" si="635"/>
        <v>48464.46</v>
      </c>
      <c r="ND21" s="166">
        <f t="shared" si="635"/>
        <v>47183.894999999997</v>
      </c>
      <c r="NE21" s="166">
        <f t="shared" si="635"/>
        <v>47615.040000000001</v>
      </c>
      <c r="NF21" s="166">
        <f t="shared" si="635"/>
        <v>38044.907999999996</v>
      </c>
      <c r="NG21" s="683"/>
      <c r="NH21" s="696">
        <f t="shared" ref="NH21:NH23" si="636">SUM(NI21:NO21)</f>
        <v>308929.20299999998</v>
      </c>
      <c r="NI21" s="166">
        <f t="shared" ref="NI21:NN21" si="637">NI19*NI20*$C$1</f>
        <v>55390.5</v>
      </c>
      <c r="NJ21" s="166">
        <f t="shared" si="637"/>
        <v>47721.365999999995</v>
      </c>
      <c r="NK21" s="166">
        <f>NK19*NK20*$C$1</f>
        <v>47003.22</v>
      </c>
      <c r="NL21" s="166">
        <f t="shared" si="637"/>
        <v>53978.264999999999</v>
      </c>
      <c r="NM21" s="166">
        <f t="shared" si="637"/>
        <v>53083.601999999992</v>
      </c>
      <c r="NN21" s="166">
        <f t="shared" si="637"/>
        <v>51752.25</v>
      </c>
      <c r="NO21" s="683"/>
      <c r="NP21" s="696">
        <f t="shared" ref="NP21:NP22" si="638">SUM(NQ21:NW21)</f>
        <v>351641.96100000001</v>
      </c>
      <c r="NQ21" s="166">
        <f t="shared" ref="NQ21:NV21" si="639">NQ19*NQ20*$C$1</f>
        <v>56382.479999999996</v>
      </c>
      <c r="NR21" s="166">
        <f t="shared" si="639"/>
        <v>59310.206999999995</v>
      </c>
      <c r="NS21" s="166">
        <f t="shared" si="639"/>
        <v>60770.358</v>
      </c>
      <c r="NT21" s="166">
        <f t="shared" si="639"/>
        <v>64033.2</v>
      </c>
      <c r="NU21" s="166">
        <f t="shared" si="639"/>
        <v>59755.311000000002</v>
      </c>
      <c r="NV21" s="166">
        <f t="shared" si="639"/>
        <v>51390.404999999999</v>
      </c>
      <c r="NW21" s="683"/>
      <c r="NX21" s="696">
        <f t="shared" ref="NX21" si="640">SUM(NY21:OE21)</f>
        <v>304161.95699999999</v>
      </c>
      <c r="NY21" s="166">
        <f t="shared" ref="NY21:OD21" si="641">NY19*NY20*$C$1</f>
        <v>60037.659000000007</v>
      </c>
      <c r="NZ21" s="166">
        <f t="shared" si="641"/>
        <v>54776.7</v>
      </c>
      <c r="OA21" s="166">
        <f t="shared" si="641"/>
        <v>45259.235999999997</v>
      </c>
      <c r="OB21" s="166">
        <f t="shared" si="641"/>
        <v>49438.62</v>
      </c>
      <c r="OC21" s="166">
        <f t="shared" si="641"/>
        <v>52309.421999999999</v>
      </c>
      <c r="OD21" s="166">
        <f t="shared" si="641"/>
        <v>42340.32</v>
      </c>
      <c r="OE21" s="683"/>
      <c r="OF21" s="696">
        <f t="shared" ref="OF21:OF23" si="642">SUM(OG21:OM21)</f>
        <v>288487.18800000002</v>
      </c>
      <c r="OG21" s="166">
        <f t="shared" ref="OG21:OL21" si="643">OG19*OG20*$C$1</f>
        <v>55073.205000000002</v>
      </c>
      <c r="OH21" s="166">
        <f t="shared" si="643"/>
        <v>51803.631000000001</v>
      </c>
      <c r="OI21" s="166">
        <f t="shared" si="643"/>
        <v>46238.94</v>
      </c>
      <c r="OJ21" s="166">
        <f t="shared" si="643"/>
        <v>50893.623000000007</v>
      </c>
      <c r="OK21" s="166">
        <f>OK19*OK20*$C$1</f>
        <v>44523.764999999999</v>
      </c>
      <c r="OL21" s="166">
        <f t="shared" si="643"/>
        <v>39954.023999999998</v>
      </c>
      <c r="OM21" s="683"/>
      <c r="ON21" s="696">
        <f t="shared" ref="ON21:ON23" si="644">SUM(OO21:OU21)</f>
        <v>274288.50900000002</v>
      </c>
      <c r="OO21" s="166">
        <f t="shared" ref="OO21:OT21" si="645">OO19*OO20*$C$1</f>
        <v>51025.193999999996</v>
      </c>
      <c r="OP21" s="166">
        <f t="shared" si="645"/>
        <v>52489.8</v>
      </c>
      <c r="OQ21" s="166">
        <f t="shared" si="645"/>
        <v>55910.25</v>
      </c>
      <c r="OR21" s="166">
        <f t="shared" si="645"/>
        <v>57367.034999999996</v>
      </c>
      <c r="OS21" s="166">
        <f>OS19*OS20*$C$1</f>
        <v>57496.229999999996</v>
      </c>
      <c r="OT21" s="166">
        <f t="shared" si="645"/>
        <v>0</v>
      </c>
      <c r="OU21" s="683"/>
      <c r="OV21" s="696">
        <f t="shared" ref="OV21:OV23" si="646">SUM(OW21:PC21)</f>
        <v>202908.717</v>
      </c>
      <c r="OW21" s="166">
        <f t="shared" ref="OW21:PB21" si="647">OW19*OW20*$C$1</f>
        <v>37862.351999999999</v>
      </c>
      <c r="OX21" s="166">
        <f t="shared" si="647"/>
        <v>30182.030999999999</v>
      </c>
      <c r="OY21" s="166">
        <f t="shared" si="647"/>
        <v>38999.466</v>
      </c>
      <c r="OZ21" s="166">
        <f t="shared" si="647"/>
        <v>46833.731999999996</v>
      </c>
      <c r="PA21" s="166">
        <f t="shared" si="647"/>
        <v>49031.135999999999</v>
      </c>
      <c r="PB21" s="166">
        <f t="shared" si="647"/>
        <v>0</v>
      </c>
      <c r="PC21" s="683"/>
    </row>
    <row r="22" spans="1:420" ht="15" thickBot="1" x14ac:dyDescent="0.35">
      <c r="B22" s="978" t="s">
        <v>227</v>
      </c>
      <c r="C22" s="711" t="s">
        <v>135</v>
      </c>
      <c r="D22" s="712">
        <f t="shared" si="548"/>
        <v>762103.77145534696</v>
      </c>
      <c r="E22" s="661">
        <f t="shared" ref="E22:K22" si="648">E6+E12+E18</f>
        <v>74369.71364376237</v>
      </c>
      <c r="F22" s="661">
        <f t="shared" si="648"/>
        <v>133012.71395112149</v>
      </c>
      <c r="G22" s="661">
        <f t="shared" si="648"/>
        <v>132332.89386046308</v>
      </c>
      <c r="H22" s="661">
        <f t="shared" si="648"/>
        <v>123423.3</v>
      </c>
      <c r="I22" s="661">
        <f t="shared" si="648"/>
        <v>146069.54999999999</v>
      </c>
      <c r="J22" s="661">
        <f t="shared" si="648"/>
        <v>142738.20000000001</v>
      </c>
      <c r="K22" s="662">
        <f t="shared" si="648"/>
        <v>10157.4</v>
      </c>
      <c r="L22" s="712">
        <f t="shared" si="550"/>
        <v>784875.80140692997</v>
      </c>
      <c r="M22" s="661">
        <f t="shared" ref="M22:S22" si="649">M6+M12+M18</f>
        <v>107514.23618096906</v>
      </c>
      <c r="N22" s="661">
        <f t="shared" si="649"/>
        <v>127694.58855272703</v>
      </c>
      <c r="O22" s="661">
        <f t="shared" si="649"/>
        <v>122877.97667323389</v>
      </c>
      <c r="P22" s="661">
        <f t="shared" si="649"/>
        <v>123967.8</v>
      </c>
      <c r="Q22" s="661">
        <f t="shared" si="649"/>
        <v>150678</v>
      </c>
      <c r="R22" s="661">
        <f t="shared" si="649"/>
        <v>147064.5</v>
      </c>
      <c r="S22" s="662">
        <f t="shared" si="649"/>
        <v>5078.7</v>
      </c>
      <c r="T22" s="712">
        <f>SUM(U22:AA22)</f>
        <v>812118.37046355952</v>
      </c>
      <c r="U22" s="661">
        <f t="shared" ref="U22:AA22" si="650">U6+U12+U18</f>
        <v>112631.3181433935</v>
      </c>
      <c r="V22" s="661">
        <f t="shared" si="650"/>
        <v>126410.76590602985</v>
      </c>
      <c r="W22" s="661">
        <f t="shared" si="650"/>
        <v>132550.04641413616</v>
      </c>
      <c r="X22" s="661">
        <f t="shared" si="650"/>
        <v>131095.79999999999</v>
      </c>
      <c r="Y22" s="661">
        <f>Y6+Y12+Y18</f>
        <v>155855.69999999998</v>
      </c>
      <c r="Z22" s="661">
        <f t="shared" si="650"/>
        <v>148549.5</v>
      </c>
      <c r="AA22" s="662">
        <f t="shared" si="650"/>
        <v>5025.24</v>
      </c>
      <c r="AB22" s="712">
        <f t="shared" si="554"/>
        <v>811789.04389675474</v>
      </c>
      <c r="AC22" s="661">
        <f t="shared" ref="AC22:AI22" si="651">AC6+AC12+AC18</f>
        <v>110352.94568991775</v>
      </c>
      <c r="AD22" s="661">
        <f t="shared" si="651"/>
        <v>121958.5670623581</v>
      </c>
      <c r="AE22" s="661">
        <f t="shared" si="651"/>
        <v>130680</v>
      </c>
      <c r="AF22" s="661">
        <f t="shared" si="651"/>
        <v>133603.96077252354</v>
      </c>
      <c r="AG22" s="661">
        <f t="shared" si="651"/>
        <v>155674.64745626249</v>
      </c>
      <c r="AH22" s="661">
        <f t="shared" si="651"/>
        <v>149533.86660142365</v>
      </c>
      <c r="AI22" s="662">
        <f t="shared" si="651"/>
        <v>9985.0563142693663</v>
      </c>
      <c r="AJ22" s="712">
        <f t="shared" si="556"/>
        <v>822666.99111706438</v>
      </c>
      <c r="AK22" s="661">
        <f t="shared" ref="AK22:AQ22" si="652">AK6+AK12+AK18</f>
        <v>113991.81410231513</v>
      </c>
      <c r="AL22" s="661">
        <f t="shared" si="652"/>
        <v>125862.07621972427</v>
      </c>
      <c r="AM22" s="661">
        <f t="shared" si="652"/>
        <v>132979.31488160219</v>
      </c>
      <c r="AN22" s="661">
        <f t="shared" si="652"/>
        <v>131769.3006730121</v>
      </c>
      <c r="AO22" s="661">
        <f t="shared" si="652"/>
        <v>156383.68325566838</v>
      </c>
      <c r="AP22" s="661">
        <f t="shared" si="652"/>
        <v>151737.30000000002</v>
      </c>
      <c r="AQ22" s="662">
        <f t="shared" si="652"/>
        <v>9943.5019847422391</v>
      </c>
      <c r="AR22" s="712">
        <f t="shared" si="558"/>
        <v>821473.30645323871</v>
      </c>
      <c r="AS22" s="661">
        <f t="shared" ref="AS22:AY22" si="653">AS6+AS12+AS18</f>
        <v>117498.57695714803</v>
      </c>
      <c r="AT22" s="661">
        <f t="shared" si="653"/>
        <v>127988.42328321363</v>
      </c>
      <c r="AU22" s="661">
        <f t="shared" si="653"/>
        <v>135033.51623971894</v>
      </c>
      <c r="AV22" s="661">
        <f t="shared" si="653"/>
        <v>128934.48997315808</v>
      </c>
      <c r="AW22" s="661">
        <f t="shared" si="653"/>
        <v>154044</v>
      </c>
      <c r="AX22" s="661">
        <f t="shared" si="653"/>
        <v>147084.29999999999</v>
      </c>
      <c r="AY22" s="662">
        <f t="shared" si="653"/>
        <v>10890</v>
      </c>
      <c r="AZ22" s="712">
        <f t="shared" si="560"/>
        <v>811883.74944063893</v>
      </c>
      <c r="BA22" s="661">
        <f t="shared" ref="BA22:BG22" si="654">BA6+BA12+BA18</f>
        <v>111182.63806426202</v>
      </c>
      <c r="BB22" s="661">
        <f t="shared" si="654"/>
        <v>129416.43925231395</v>
      </c>
      <c r="BC22" s="661">
        <f t="shared" si="654"/>
        <v>130324.56326398131</v>
      </c>
      <c r="BD22" s="661">
        <f t="shared" si="654"/>
        <v>124143.33926330844</v>
      </c>
      <c r="BE22" s="661">
        <f t="shared" si="654"/>
        <v>157307.52144977721</v>
      </c>
      <c r="BF22" s="661">
        <f t="shared" si="654"/>
        <v>148675.73765661498</v>
      </c>
      <c r="BG22" s="662">
        <f t="shared" si="654"/>
        <v>10833.510490381037</v>
      </c>
      <c r="BH22" s="712">
        <f t="shared" si="562"/>
        <v>799956.01419560239</v>
      </c>
      <c r="BI22" s="661">
        <f t="shared" ref="BI22:BO22" si="655">BI6+BI12+BI18</f>
        <v>114340.10486977556</v>
      </c>
      <c r="BJ22" s="661">
        <f t="shared" si="655"/>
        <v>121947.76584743116</v>
      </c>
      <c r="BK22" s="661">
        <f t="shared" si="655"/>
        <v>122497.35637022741</v>
      </c>
      <c r="BL22" s="661">
        <f t="shared" si="655"/>
        <v>125032.76049377091</v>
      </c>
      <c r="BM22" s="661">
        <f t="shared" si="655"/>
        <v>158413.13946294121</v>
      </c>
      <c r="BN22" s="661">
        <f t="shared" si="655"/>
        <v>152328.02663832181</v>
      </c>
      <c r="BO22" s="662">
        <f t="shared" si="655"/>
        <v>5396.8605131342547</v>
      </c>
      <c r="BP22" s="712">
        <f t="shared" si="564"/>
        <v>788763.54918883741</v>
      </c>
      <c r="BQ22" s="661">
        <f t="shared" ref="BQ22:BW22" si="656">BQ6+BQ12+BQ18</f>
        <v>119799.10200146859</v>
      </c>
      <c r="BR22" s="661">
        <f t="shared" si="656"/>
        <v>116688.16545881375</v>
      </c>
      <c r="BS22" s="661">
        <f t="shared" si="656"/>
        <v>119315.19058111326</v>
      </c>
      <c r="BT22" s="661">
        <f>BT6+BT12+BT18</f>
        <v>120103.53457407633</v>
      </c>
      <c r="BU22" s="661">
        <f t="shared" si="656"/>
        <v>158013.85977430086</v>
      </c>
      <c r="BV22" s="661">
        <f t="shared" si="656"/>
        <v>149330.34448376248</v>
      </c>
      <c r="BW22" s="662">
        <f t="shared" si="656"/>
        <v>5513.3523153020842</v>
      </c>
      <c r="BX22" s="712">
        <f t="shared" si="566"/>
        <v>774955.26804440212</v>
      </c>
      <c r="BY22" s="661">
        <f t="shared" ref="BY22:CE22" si="657">BY6+BY12+BY18</f>
        <v>113036.15615611977</v>
      </c>
      <c r="BZ22" s="661">
        <f t="shared" si="657"/>
        <v>119626.63428999027</v>
      </c>
      <c r="CA22" s="661">
        <f t="shared" si="657"/>
        <v>117902.4373151004</v>
      </c>
      <c r="CB22" s="661">
        <f t="shared" si="657"/>
        <v>110438.17509044464</v>
      </c>
      <c r="CC22" s="661">
        <f t="shared" si="657"/>
        <v>158707.81284692694</v>
      </c>
      <c r="CD22" s="661">
        <f t="shared" si="657"/>
        <v>149705.0804278499</v>
      </c>
      <c r="CE22" s="662">
        <f t="shared" si="657"/>
        <v>5538.9719179702051</v>
      </c>
      <c r="CF22" s="712">
        <f>SUM(CG22:CM22)</f>
        <v>749639.93635384017</v>
      </c>
      <c r="CG22" s="661">
        <f>CG6+CG12+CG18</f>
        <v>115961.27346793725</v>
      </c>
      <c r="CH22" s="661">
        <f t="shared" ref="CH22:CM22" si="658">CH6+CH12+CH18</f>
        <v>113881.73400788737</v>
      </c>
      <c r="CI22" s="661">
        <f t="shared" si="658"/>
        <v>117817.10837023305</v>
      </c>
      <c r="CJ22" s="661">
        <f t="shared" si="658"/>
        <v>103340.14415736299</v>
      </c>
      <c r="CK22" s="661">
        <f t="shared" si="658"/>
        <v>147099.36608220005</v>
      </c>
      <c r="CL22" s="661">
        <f t="shared" si="658"/>
        <v>145872.85319243718</v>
      </c>
      <c r="CM22" s="662">
        <f t="shared" si="658"/>
        <v>5667.4570757822466</v>
      </c>
      <c r="CN22" s="712">
        <f t="shared" si="570"/>
        <v>778737.62555937737</v>
      </c>
      <c r="CO22" s="661">
        <f t="shared" ref="CO22:CU22" si="659">CO6+CO12+CO18</f>
        <v>114152.66812053486</v>
      </c>
      <c r="CP22" s="661">
        <f t="shared" si="659"/>
        <v>116506.00483294629</v>
      </c>
      <c r="CQ22" s="661">
        <f t="shared" si="659"/>
        <v>120080.66264750049</v>
      </c>
      <c r="CR22" s="661">
        <f t="shared" si="659"/>
        <v>113102.03895773453</v>
      </c>
      <c r="CS22" s="661">
        <f t="shared" si="659"/>
        <v>161606.05808043014</v>
      </c>
      <c r="CT22" s="661">
        <f t="shared" si="659"/>
        <v>147375.61479870614</v>
      </c>
      <c r="CU22" s="662">
        <f t="shared" si="659"/>
        <v>5914.5781215250299</v>
      </c>
      <c r="CV22" s="712">
        <f t="shared" si="572"/>
        <v>794085.65337254107</v>
      </c>
      <c r="CW22" s="661">
        <f t="shared" ref="CW22:DC22" si="660">CW6+CW12+CW18</f>
        <v>116771.79790322777</v>
      </c>
      <c r="CX22" s="661">
        <f t="shared" si="660"/>
        <v>122038.56649793094</v>
      </c>
      <c r="CY22" s="661">
        <f t="shared" si="660"/>
        <v>122653.59081375539</v>
      </c>
      <c r="CZ22" s="661">
        <f t="shared" si="660"/>
        <v>121314.56420607551</v>
      </c>
      <c r="DA22" s="661">
        <f t="shared" si="660"/>
        <v>159616.09915868103</v>
      </c>
      <c r="DB22" s="661">
        <f t="shared" si="660"/>
        <v>145986.5684449343</v>
      </c>
      <c r="DC22" s="662">
        <f t="shared" si="660"/>
        <v>5704.4663479361252</v>
      </c>
      <c r="DD22" s="712">
        <f t="shared" si="574"/>
        <v>768665.6156773566</v>
      </c>
      <c r="DE22" s="661">
        <f t="shared" ref="DE22:DK22" si="661">DE6+DE12+DE18</f>
        <v>113362.70663176008</v>
      </c>
      <c r="DF22" s="661">
        <f t="shared" si="661"/>
        <v>114525.16833252108</v>
      </c>
      <c r="DG22" s="661">
        <f t="shared" si="661"/>
        <v>115558.85014866246</v>
      </c>
      <c r="DH22" s="661">
        <f t="shared" si="661"/>
        <v>123693.24732839415</v>
      </c>
      <c r="DI22" s="661">
        <f t="shared" si="661"/>
        <v>157139.82381566238</v>
      </c>
      <c r="DJ22" s="661">
        <f t="shared" si="661"/>
        <v>138890.46032213073</v>
      </c>
      <c r="DK22" s="662">
        <f t="shared" si="661"/>
        <v>5495.3590982256919</v>
      </c>
      <c r="DL22" s="712">
        <f t="shared" si="576"/>
        <v>807033.68948773609</v>
      </c>
      <c r="DM22" s="661">
        <f t="shared" ref="DM22:DS22" si="662">DM6+DM12+DM18</f>
        <v>115824.84779503549</v>
      </c>
      <c r="DN22" s="661">
        <f t="shared" si="662"/>
        <v>115826.99220894929</v>
      </c>
      <c r="DO22" s="661">
        <f t="shared" si="662"/>
        <v>117477.99992595441</v>
      </c>
      <c r="DP22" s="661">
        <f t="shared" si="662"/>
        <v>126091.32678930898</v>
      </c>
      <c r="DQ22" s="661">
        <f t="shared" si="662"/>
        <v>156654.72621715299</v>
      </c>
      <c r="DR22" s="661">
        <f t="shared" si="662"/>
        <v>145547.16800479073</v>
      </c>
      <c r="DS22" s="662">
        <f t="shared" si="662"/>
        <v>29610.628546544212</v>
      </c>
      <c r="DT22" s="712">
        <f t="shared" si="578"/>
        <v>603551.57115959423</v>
      </c>
      <c r="DU22" s="661">
        <f t="shared" ref="DU22:EA22" si="663">DU6+DU12+DU18</f>
        <v>0</v>
      </c>
      <c r="DV22" s="661">
        <f t="shared" si="663"/>
        <v>64404.352447866062</v>
      </c>
      <c r="DW22" s="661">
        <f t="shared" si="663"/>
        <v>126332.68954372073</v>
      </c>
      <c r="DX22" s="661">
        <f t="shared" si="663"/>
        <v>117657.67906033341</v>
      </c>
      <c r="DY22" s="661">
        <f t="shared" si="663"/>
        <v>150723.07703809396</v>
      </c>
      <c r="DZ22" s="661">
        <f t="shared" si="663"/>
        <v>139096.30995750558</v>
      </c>
      <c r="EA22" s="662">
        <f t="shared" si="663"/>
        <v>5337.4631120745262</v>
      </c>
      <c r="EB22" s="712">
        <f t="shared" ref="EB22:EB23" si="664">SUM(EC22:EI22)</f>
        <v>733745.52335256408</v>
      </c>
      <c r="EC22" s="661">
        <f t="shared" ref="EC22:EI22" si="665">EC6+EC12+EC18</f>
        <v>106476.69824624961</v>
      </c>
      <c r="ED22" s="661">
        <f t="shared" si="665"/>
        <v>110337.58746364272</v>
      </c>
      <c r="EE22" s="661">
        <f t="shared" si="665"/>
        <v>110951.40515325204</v>
      </c>
      <c r="EF22" s="661">
        <f>EF6+EF12+EF18</f>
        <v>111908.79065418096</v>
      </c>
      <c r="EG22" s="661">
        <f t="shared" si="665"/>
        <v>154360.90062966058</v>
      </c>
      <c r="EH22" s="661">
        <f t="shared" si="665"/>
        <v>139710.14120557817</v>
      </c>
      <c r="EI22" s="662">
        <f t="shared" si="665"/>
        <v>0</v>
      </c>
      <c r="EJ22" s="712">
        <f t="shared" si="580"/>
        <v>801112.90061465045</v>
      </c>
      <c r="EK22" s="661">
        <f t="shared" ref="EK22:EQ22" si="666">EK6+EK12+EK18</f>
        <v>116926.3355747223</v>
      </c>
      <c r="EL22" s="661">
        <f t="shared" si="666"/>
        <v>118734.45024055004</v>
      </c>
      <c r="EM22" s="661">
        <f t="shared" si="666"/>
        <v>117361.65582520771</v>
      </c>
      <c r="EN22" s="661">
        <f t="shared" si="666"/>
        <v>113048.79211691927</v>
      </c>
      <c r="EO22" s="661">
        <f t="shared" si="666"/>
        <v>170748.18069785996</v>
      </c>
      <c r="EP22" s="661">
        <f t="shared" si="666"/>
        <v>158759.998479045</v>
      </c>
      <c r="EQ22" s="662">
        <f t="shared" si="666"/>
        <v>5533.4876803461657</v>
      </c>
      <c r="ER22" s="712">
        <f t="shared" si="582"/>
        <v>835079.28250781796</v>
      </c>
      <c r="ES22" s="661">
        <f t="shared" ref="ES22:EY22" si="667">ES6+ES12+ES18</f>
        <v>123309.18545327341</v>
      </c>
      <c r="ET22" s="661">
        <f t="shared" si="667"/>
        <v>129375.71784895862</v>
      </c>
      <c r="EU22" s="661">
        <f t="shared" si="667"/>
        <v>131316.22088419128</v>
      </c>
      <c r="EV22" s="661">
        <f t="shared" si="667"/>
        <v>126094.50767555932</v>
      </c>
      <c r="EW22" s="661">
        <f t="shared" si="667"/>
        <v>169498.30920867773</v>
      </c>
      <c r="EX22" s="661">
        <f t="shared" si="667"/>
        <v>149981.27188843032</v>
      </c>
      <c r="EY22" s="662">
        <f t="shared" si="667"/>
        <v>5504.0695487271996</v>
      </c>
      <c r="EZ22" s="712">
        <f t="shared" si="584"/>
        <v>805092.72520741483</v>
      </c>
      <c r="FA22" s="661">
        <f t="shared" ref="FA22:FG22" si="668">FA6+FA12+FA18</f>
        <v>122106.21295484607</v>
      </c>
      <c r="FB22" s="661">
        <f t="shared" si="668"/>
        <v>123437.19096878005</v>
      </c>
      <c r="FC22" s="661">
        <f t="shared" si="668"/>
        <v>127863.68316628995</v>
      </c>
      <c r="FD22" s="661">
        <f t="shared" si="668"/>
        <v>125732.94701150832</v>
      </c>
      <c r="FE22" s="661">
        <f t="shared" si="668"/>
        <v>157084.40193002028</v>
      </c>
      <c r="FF22" s="661">
        <f t="shared" si="668"/>
        <v>143640.35648734483</v>
      </c>
      <c r="FG22" s="662">
        <f t="shared" si="668"/>
        <v>5227.9326886252993</v>
      </c>
      <c r="FH22" s="712">
        <f t="shared" si="586"/>
        <v>651908.1272937418</v>
      </c>
      <c r="FI22" s="661">
        <f t="shared" ref="FI22:FO22" si="669">FI6+FI12+FI18</f>
        <v>109294.10467955499</v>
      </c>
      <c r="FJ22" s="661">
        <f t="shared" si="669"/>
        <v>112615.03959600189</v>
      </c>
      <c r="FK22" s="661">
        <f t="shared" si="669"/>
        <v>116837.33226751312</v>
      </c>
      <c r="FL22" s="661">
        <f t="shared" si="669"/>
        <v>0</v>
      </c>
      <c r="FM22" s="661">
        <f t="shared" si="669"/>
        <v>138527.96669799279</v>
      </c>
      <c r="FN22" s="661">
        <f t="shared" si="669"/>
        <v>169182.52855323133</v>
      </c>
      <c r="FO22" s="662">
        <f t="shared" si="669"/>
        <v>5451.1554994475882</v>
      </c>
      <c r="FP22" s="712">
        <f t="shared" si="588"/>
        <v>810502.14079987584</v>
      </c>
      <c r="FQ22" s="661">
        <f t="shared" ref="FQ22:FW22" si="670">FQ6+FQ12+FQ18</f>
        <v>122109.61446631583</v>
      </c>
      <c r="FR22" s="661">
        <f t="shared" si="670"/>
        <v>123772.77042725487</v>
      </c>
      <c r="FS22" s="661">
        <f t="shared" si="670"/>
        <v>127055.25527100186</v>
      </c>
      <c r="FT22" s="661">
        <f t="shared" si="670"/>
        <v>126914.49746750959</v>
      </c>
      <c r="FU22" s="661">
        <f t="shared" si="670"/>
        <v>154199.80892687713</v>
      </c>
      <c r="FV22" s="661">
        <f t="shared" si="670"/>
        <v>146079.00573650541</v>
      </c>
      <c r="FW22" s="662">
        <f t="shared" si="670"/>
        <v>10371.188504411088</v>
      </c>
      <c r="FX22" s="712">
        <f t="shared" si="590"/>
        <v>657264.98251032166</v>
      </c>
      <c r="FY22" s="661">
        <f t="shared" ref="FY22:GE22" si="671">FY6+FY12+FY18</f>
        <v>0</v>
      </c>
      <c r="FZ22" s="661">
        <f t="shared" si="671"/>
        <v>80826.798709357434</v>
      </c>
      <c r="GA22" s="661">
        <f t="shared" si="671"/>
        <v>138668.42437307991</v>
      </c>
      <c r="GB22" s="661">
        <f t="shared" si="671"/>
        <v>123311.74666207859</v>
      </c>
      <c r="GC22" s="661">
        <f t="shared" si="671"/>
        <v>160245.71774998799</v>
      </c>
      <c r="GD22" s="661">
        <f t="shared" si="671"/>
        <v>149076.09450234947</v>
      </c>
      <c r="GE22" s="662">
        <f t="shared" si="671"/>
        <v>5136.2005134682804</v>
      </c>
      <c r="GF22" s="712">
        <f t="shared" si="592"/>
        <v>803606.41890111379</v>
      </c>
      <c r="GG22" s="661">
        <f t="shared" ref="GG22:GM22" si="672">GG6+GG12+GG18</f>
        <v>117834.19170416184</v>
      </c>
      <c r="GH22" s="661">
        <f t="shared" si="672"/>
        <v>124294.32465634341</v>
      </c>
      <c r="GI22" s="661">
        <f t="shared" si="672"/>
        <v>127490.94755770572</v>
      </c>
      <c r="GJ22" s="661">
        <f t="shared" si="672"/>
        <v>122769.71295782682</v>
      </c>
      <c r="GK22" s="661">
        <f t="shared" si="672"/>
        <v>158141.31561436079</v>
      </c>
      <c r="GL22" s="661">
        <f t="shared" si="672"/>
        <v>148078.31709354444</v>
      </c>
      <c r="GM22" s="662">
        <f t="shared" si="672"/>
        <v>4997.6093171708653</v>
      </c>
      <c r="GN22" s="712">
        <f t="shared" si="594"/>
        <v>808204.00078154728</v>
      </c>
      <c r="GO22" s="661">
        <f t="shared" ref="GO22:GU22" si="673">GO6+GO12+GO18</f>
        <v>104499.01630377077</v>
      </c>
      <c r="GP22" s="661">
        <f t="shared" si="673"/>
        <v>133983.18710308027</v>
      </c>
      <c r="GQ22" s="661">
        <f t="shared" si="673"/>
        <v>126531.97229339238</v>
      </c>
      <c r="GR22" s="661">
        <f t="shared" si="673"/>
        <v>125614.62499112266</v>
      </c>
      <c r="GS22" s="661">
        <f t="shared" si="673"/>
        <v>162967.90266958263</v>
      </c>
      <c r="GT22" s="661">
        <f t="shared" si="673"/>
        <v>149660.96632847312</v>
      </c>
      <c r="GU22" s="662">
        <f t="shared" si="673"/>
        <v>4946.3310921255052</v>
      </c>
      <c r="GV22" s="712">
        <f t="shared" si="596"/>
        <v>777731.61714728782</v>
      </c>
      <c r="GW22" s="661">
        <f t="shared" ref="GW22:HC22" si="674">GW6+GW12+GW18</f>
        <v>111520.90242924061</v>
      </c>
      <c r="GX22" s="661">
        <f t="shared" si="674"/>
        <v>123424.59759653977</v>
      </c>
      <c r="GY22" s="661">
        <f t="shared" si="674"/>
        <v>125325.54841485065</v>
      </c>
      <c r="GZ22" s="661">
        <f t="shared" si="674"/>
        <v>119140.36280334178</v>
      </c>
      <c r="HA22" s="661">
        <f t="shared" si="674"/>
        <v>152912.75219924148</v>
      </c>
      <c r="HB22" s="661">
        <f t="shared" si="674"/>
        <v>140313.62123086138</v>
      </c>
      <c r="HC22" s="662">
        <f t="shared" si="674"/>
        <v>5093.8324732121646</v>
      </c>
      <c r="HD22" s="712">
        <f t="shared" si="598"/>
        <v>685121.27281667956</v>
      </c>
      <c r="HE22" s="661">
        <f t="shared" ref="HE22:HK22" si="675">HE6+HE12+HE18</f>
        <v>101427.32538376816</v>
      </c>
      <c r="HF22" s="661">
        <f t="shared" si="675"/>
        <v>111657.55624282858</v>
      </c>
      <c r="HG22" s="661">
        <f t="shared" si="675"/>
        <v>111153.40923171332</v>
      </c>
      <c r="HH22" s="661">
        <f t="shared" si="675"/>
        <v>101297.42539831722</v>
      </c>
      <c r="HI22" s="661">
        <f t="shared" si="675"/>
        <v>137265.22858399182</v>
      </c>
      <c r="HJ22" s="661">
        <f t="shared" si="675"/>
        <v>122320.32797606043</v>
      </c>
      <c r="HK22" s="662">
        <f t="shared" si="675"/>
        <v>0</v>
      </c>
      <c r="HL22" s="712">
        <f t="shared" si="600"/>
        <v>633796.20726804691</v>
      </c>
      <c r="HM22" s="661">
        <f t="shared" ref="HM22:HS22" si="676">HM6+HM12+HM18</f>
        <v>95335.89495836047</v>
      </c>
      <c r="HN22" s="661">
        <f t="shared" si="676"/>
        <v>101889.89694665655</v>
      </c>
      <c r="HO22" s="661">
        <f t="shared" si="676"/>
        <v>99981.252857233732</v>
      </c>
      <c r="HP22" s="661">
        <f t="shared" si="676"/>
        <v>98097.64525801182</v>
      </c>
      <c r="HQ22" s="661">
        <f t="shared" si="676"/>
        <v>126279.3164514103</v>
      </c>
      <c r="HR22" s="661">
        <f t="shared" si="676"/>
        <v>112212.200796374</v>
      </c>
      <c r="HS22" s="662">
        <f t="shared" si="676"/>
        <v>0</v>
      </c>
      <c r="HT22" s="712">
        <f t="shared" si="602"/>
        <v>537744.04745834984</v>
      </c>
      <c r="HU22" s="661">
        <f t="shared" ref="HU22:IA22" si="677">HU6+HU12+HU18</f>
        <v>89279.203690537222</v>
      </c>
      <c r="HV22" s="661">
        <f t="shared" si="677"/>
        <v>100186.09528613777</v>
      </c>
      <c r="HW22" s="661">
        <f t="shared" si="677"/>
        <v>97524.210482913171</v>
      </c>
      <c r="HX22" s="661">
        <f t="shared" si="677"/>
        <v>0</v>
      </c>
      <c r="HY22" s="661">
        <f t="shared" si="677"/>
        <v>133688.30121931739</v>
      </c>
      <c r="HZ22" s="661">
        <f t="shared" si="677"/>
        <v>117066.2367794443</v>
      </c>
      <c r="IA22" s="662">
        <f t="shared" si="677"/>
        <v>0</v>
      </c>
      <c r="IB22" s="712">
        <f t="shared" si="604"/>
        <v>610359.48071489413</v>
      </c>
      <c r="IC22" s="661">
        <f t="shared" ref="IC22:II22" si="678">IC6+IC12+IC18</f>
        <v>88204.696903321179</v>
      </c>
      <c r="ID22" s="661">
        <f t="shared" si="678"/>
        <v>101171.74201383867</v>
      </c>
      <c r="IE22" s="661">
        <f t="shared" si="678"/>
        <v>100346.66239732489</v>
      </c>
      <c r="IF22" s="661">
        <f t="shared" si="678"/>
        <v>96826.110219006383</v>
      </c>
      <c r="IG22" s="661">
        <f t="shared" si="678"/>
        <v>117924.91834087917</v>
      </c>
      <c r="IH22" s="661">
        <f t="shared" si="678"/>
        <v>105885.3508405238</v>
      </c>
      <c r="II22" s="662">
        <f t="shared" si="678"/>
        <v>0</v>
      </c>
      <c r="IJ22" s="712">
        <f t="shared" si="606"/>
        <v>601145.30736796593</v>
      </c>
      <c r="IK22" s="661">
        <f t="shared" ref="IK22:IQ22" si="679">IK6+IK12+IK18</f>
        <v>89973.256786554586</v>
      </c>
      <c r="IL22" s="661">
        <f t="shared" si="679"/>
        <v>97021.921581387476</v>
      </c>
      <c r="IM22" s="661">
        <f t="shared" si="679"/>
        <v>98863.732849269523</v>
      </c>
      <c r="IN22" s="661">
        <f t="shared" si="679"/>
        <v>93164.078750258632</v>
      </c>
      <c r="IO22" s="661">
        <f t="shared" si="679"/>
        <v>115325.00810369779</v>
      </c>
      <c r="IP22" s="661">
        <f t="shared" si="679"/>
        <v>106797.30929679793</v>
      </c>
      <c r="IQ22" s="662">
        <f t="shared" si="679"/>
        <v>0</v>
      </c>
      <c r="IR22" s="712">
        <f t="shared" si="607"/>
        <v>601290.69197116094</v>
      </c>
      <c r="IS22" s="661">
        <f t="shared" ref="IS22:IY22" si="680">IS6+IS12+IS18</f>
        <v>92749.227059504832</v>
      </c>
      <c r="IT22" s="661">
        <f t="shared" si="680"/>
        <v>94892.170149439116</v>
      </c>
      <c r="IU22" s="661">
        <f t="shared" si="680"/>
        <v>96228.538171618944</v>
      </c>
      <c r="IV22" s="661">
        <f t="shared" si="680"/>
        <v>95676.708667968094</v>
      </c>
      <c r="IW22" s="661">
        <f t="shared" si="680"/>
        <v>114678.61221149749</v>
      </c>
      <c r="IX22" s="661">
        <f t="shared" si="680"/>
        <v>107065.43571113236</v>
      </c>
      <c r="IY22" s="662">
        <f t="shared" si="680"/>
        <v>0</v>
      </c>
      <c r="IZ22" s="712">
        <f>SUM(JA22:JG22)</f>
        <v>521411.33094689716</v>
      </c>
      <c r="JA22" s="661">
        <f t="shared" ref="JA22:JG22" si="681">JA6+JA12+JA18</f>
        <v>0</v>
      </c>
      <c r="JB22" s="661">
        <f t="shared" si="681"/>
        <v>77407.826482672739</v>
      </c>
      <c r="JC22" s="661">
        <f t="shared" si="681"/>
        <v>105691.00064836902</v>
      </c>
      <c r="JD22" s="661">
        <f t="shared" si="681"/>
        <v>100900.32357650285</v>
      </c>
      <c r="JE22" s="661">
        <f t="shared" si="681"/>
        <v>124420.12887160626</v>
      </c>
      <c r="JF22" s="661">
        <f t="shared" si="681"/>
        <v>112992.05136774629</v>
      </c>
      <c r="JG22" s="662">
        <f t="shared" si="681"/>
        <v>0</v>
      </c>
      <c r="JH22" s="712">
        <f t="shared" si="610"/>
        <v>726376.48139045318</v>
      </c>
      <c r="JI22" s="661">
        <f t="shared" ref="JI22:JO22" si="682">JI6+JI12+JI18</f>
        <v>102127.22205283598</v>
      </c>
      <c r="JJ22" s="661">
        <f t="shared" si="682"/>
        <v>105247.60769115787</v>
      </c>
      <c r="JK22" s="661">
        <f t="shared" si="682"/>
        <v>106582.92447225429</v>
      </c>
      <c r="JL22" s="661">
        <f t="shared" si="682"/>
        <v>112579.31914381511</v>
      </c>
      <c r="JM22" s="661">
        <f t="shared" si="682"/>
        <v>157037.61224967049</v>
      </c>
      <c r="JN22" s="661">
        <f t="shared" si="682"/>
        <v>142801.79578071946</v>
      </c>
      <c r="JO22" s="662">
        <f t="shared" si="682"/>
        <v>0</v>
      </c>
      <c r="JP22" s="712">
        <f t="shared" si="612"/>
        <v>794843.92475447874</v>
      </c>
      <c r="JQ22" s="661">
        <f>JQ6+JQ12+JQ18</f>
        <v>117249.22936244746</v>
      </c>
      <c r="JR22" s="661">
        <f>JR6+JR12+JR18</f>
        <v>124670.96838009954</v>
      </c>
      <c r="JS22" s="661">
        <f>JS6+JS12+JS18</f>
        <v>124151.41326625994</v>
      </c>
      <c r="JT22" s="661">
        <f t="shared" ref="JT22:JW22" si="683">JT6+JT12+JT18</f>
        <v>125626.3137456718</v>
      </c>
      <c r="JU22" s="661">
        <v>159343</v>
      </c>
      <c r="JV22" s="661">
        <v>143803</v>
      </c>
      <c r="JW22" s="662">
        <f t="shared" si="683"/>
        <v>0</v>
      </c>
      <c r="JX22" s="712">
        <f t="shared" si="614"/>
        <v>826935.27576009999</v>
      </c>
      <c r="JY22" s="661">
        <f t="shared" ref="JY22:KE22" si="684">JY6+JY12+JY18</f>
        <v>125513.62077939698</v>
      </c>
      <c r="JZ22" s="661">
        <f t="shared" si="684"/>
        <v>134308.55079588585</v>
      </c>
      <c r="KA22" s="661">
        <f t="shared" si="684"/>
        <v>134461.10418481714</v>
      </c>
      <c r="KB22" s="661">
        <f t="shared" si="684"/>
        <v>126027</v>
      </c>
      <c r="KC22" s="661">
        <v>160223</v>
      </c>
      <c r="KD22" s="661">
        <v>146402</v>
      </c>
      <c r="KE22" s="662">
        <f t="shared" si="684"/>
        <v>0</v>
      </c>
      <c r="KF22" s="712">
        <f t="shared" si="616"/>
        <v>823932.25526075158</v>
      </c>
      <c r="KG22" s="661">
        <f t="shared" ref="KG22:KM22" si="685">KG6+KG12+KG18</f>
        <v>126601.46965112483</v>
      </c>
      <c r="KH22" s="661">
        <f t="shared" si="685"/>
        <v>129842.13129775575</v>
      </c>
      <c r="KI22" s="661">
        <f t="shared" si="685"/>
        <v>134050.77091238074</v>
      </c>
      <c r="KJ22" s="661">
        <f t="shared" si="685"/>
        <v>126066.70950682368</v>
      </c>
      <c r="KK22" s="661">
        <f t="shared" si="685"/>
        <v>160950.17389266656</v>
      </c>
      <c r="KL22" s="661">
        <f t="shared" si="685"/>
        <v>146421</v>
      </c>
      <c r="KM22" s="662">
        <f t="shared" si="685"/>
        <v>0</v>
      </c>
      <c r="KN22" s="712">
        <f t="shared" si="618"/>
        <v>758863.04098653561</v>
      </c>
      <c r="KO22" s="661">
        <f t="shared" ref="KO22:KU22" si="686">KO6+KO12+KO18</f>
        <v>116667.88665735687</v>
      </c>
      <c r="KP22" s="661">
        <f t="shared" si="686"/>
        <v>106958.9640001603</v>
      </c>
      <c r="KQ22" s="661">
        <f t="shared" si="686"/>
        <v>111781.68867090569</v>
      </c>
      <c r="KR22" s="661">
        <f t="shared" si="686"/>
        <v>126641.96879077221</v>
      </c>
      <c r="KS22" s="661">
        <f t="shared" si="686"/>
        <v>151814.87369234738</v>
      </c>
      <c r="KT22" s="661">
        <f t="shared" si="686"/>
        <v>144997.65917499317</v>
      </c>
      <c r="KU22" s="662">
        <f t="shared" si="686"/>
        <v>0</v>
      </c>
      <c r="KV22" s="712">
        <f t="shared" si="620"/>
        <v>772219.27131758956</v>
      </c>
      <c r="KW22" s="661">
        <f t="shared" ref="KW22:LC22" si="687">KW6+KW12+KW18</f>
        <v>112509.1444871804</v>
      </c>
      <c r="KX22" s="661">
        <f t="shared" si="687"/>
        <v>119067.90311462295</v>
      </c>
      <c r="KY22" s="661">
        <f t="shared" si="687"/>
        <v>121452.8384733175</v>
      </c>
      <c r="KZ22" s="661">
        <f t="shared" si="687"/>
        <v>121472.65508472678</v>
      </c>
      <c r="LA22" s="661">
        <f t="shared" si="687"/>
        <v>151023.60069285842</v>
      </c>
      <c r="LB22" s="661">
        <f t="shared" si="687"/>
        <v>146693.1294648835</v>
      </c>
      <c r="LC22" s="662">
        <f t="shared" si="687"/>
        <v>0</v>
      </c>
      <c r="LD22" s="712">
        <f t="shared" si="622"/>
        <v>770528.62893990648</v>
      </c>
      <c r="LE22" s="661">
        <f t="shared" ref="LE22:LK22" si="688">LE6+LE12+LE18</f>
        <v>118675.58750715235</v>
      </c>
      <c r="LF22" s="661">
        <f t="shared" si="688"/>
        <v>117786.30650407659</v>
      </c>
      <c r="LG22" s="661">
        <f t="shared" si="688"/>
        <v>124365.76758826012</v>
      </c>
      <c r="LH22" s="661">
        <f t="shared" si="688"/>
        <v>121776.18971599184</v>
      </c>
      <c r="LI22" s="661">
        <f t="shared" si="688"/>
        <v>151983.77562597088</v>
      </c>
      <c r="LJ22" s="661">
        <f t="shared" si="688"/>
        <v>135941.00199845465</v>
      </c>
      <c r="LK22" s="662">
        <f t="shared" si="688"/>
        <v>0</v>
      </c>
      <c r="LL22" s="712">
        <f t="shared" si="624"/>
        <v>818851.33237469534</v>
      </c>
      <c r="LM22" s="661">
        <f t="shared" ref="LM22:LS22" si="689">LM6+LM12+LM18</f>
        <v>127429.5782139315</v>
      </c>
      <c r="LN22" s="661">
        <f t="shared" si="689"/>
        <v>124424.16263872423</v>
      </c>
      <c r="LO22" s="661">
        <f t="shared" si="689"/>
        <v>130123.61908302142</v>
      </c>
      <c r="LP22" s="661">
        <f t="shared" si="689"/>
        <v>127578.07181733017</v>
      </c>
      <c r="LQ22" s="661">
        <f t="shared" si="689"/>
        <v>160236.06108036113</v>
      </c>
      <c r="LR22" s="661">
        <f t="shared" si="689"/>
        <v>149059.83954132683</v>
      </c>
      <c r="LS22" s="662">
        <f t="shared" si="689"/>
        <v>0</v>
      </c>
      <c r="LT22" s="712">
        <f t="shared" si="626"/>
        <v>810414.79560929677</v>
      </c>
      <c r="LU22" s="661">
        <f t="shared" ref="LU22:MA22" si="690">LU6+LU12+LU18</f>
        <v>125451.4490516434</v>
      </c>
      <c r="LV22" s="661">
        <f t="shared" si="690"/>
        <v>126028.7537916867</v>
      </c>
      <c r="LW22" s="661">
        <f t="shared" si="690"/>
        <v>124882.67169051041</v>
      </c>
      <c r="LX22" s="661">
        <f t="shared" si="690"/>
        <v>120131.88095373943</v>
      </c>
      <c r="LY22" s="661">
        <f t="shared" si="690"/>
        <v>163836.93629516481</v>
      </c>
      <c r="LZ22" s="661">
        <f t="shared" si="690"/>
        <v>150083.10382655193</v>
      </c>
      <c r="MA22" s="662">
        <f t="shared" si="690"/>
        <v>0</v>
      </c>
      <c r="MB22" s="712">
        <f t="shared" si="628"/>
        <v>815954.93158417416</v>
      </c>
      <c r="MC22" s="661">
        <f t="shared" ref="MC22:MI22" si="691">MC6+MC12+MC18</f>
        <v>133302.95787801009</v>
      </c>
      <c r="MD22" s="661">
        <f t="shared" si="691"/>
        <v>129896.91867559566</v>
      </c>
      <c r="ME22" s="661">
        <f t="shared" si="691"/>
        <v>129060.40634565803</v>
      </c>
      <c r="MF22" s="661">
        <f t="shared" si="691"/>
        <v>123104.05043269633</v>
      </c>
      <c r="MG22" s="661">
        <f t="shared" si="691"/>
        <v>156591.34498078463</v>
      </c>
      <c r="MH22" s="661">
        <f t="shared" si="691"/>
        <v>143999.25327142948</v>
      </c>
      <c r="MI22" s="662">
        <f t="shared" si="691"/>
        <v>0</v>
      </c>
      <c r="MJ22" s="712">
        <f t="shared" si="630"/>
        <v>710474.20830295654</v>
      </c>
      <c r="MK22" s="661">
        <f t="shared" ref="MK22:MQ22" si="692">MK6+MK12+MK18</f>
        <v>127066.79376287907</v>
      </c>
      <c r="ML22" s="661">
        <f t="shared" si="692"/>
        <v>0</v>
      </c>
      <c r="MM22" s="661">
        <f t="shared" si="692"/>
        <v>123272.41464470551</v>
      </c>
      <c r="MN22" s="661">
        <f t="shared" si="692"/>
        <v>129953.11283826374</v>
      </c>
      <c r="MO22" s="661">
        <f t="shared" si="692"/>
        <v>170238.3814204185</v>
      </c>
      <c r="MP22" s="661">
        <f t="shared" si="692"/>
        <v>159943.50563668978</v>
      </c>
      <c r="MQ22" s="662">
        <f t="shared" si="692"/>
        <v>0</v>
      </c>
      <c r="MR22" s="712">
        <f t="shared" si="632"/>
        <v>698121.30740958382</v>
      </c>
      <c r="MS22" s="661">
        <f t="shared" ref="MS22:MY22" si="693">MS6+MS12+MS18</f>
        <v>134864.20102563515</v>
      </c>
      <c r="MT22" s="661">
        <f t="shared" si="693"/>
        <v>141507.80447865621</v>
      </c>
      <c r="MU22" s="661">
        <f t="shared" si="693"/>
        <v>128051.23026679337</v>
      </c>
      <c r="MV22" s="661">
        <f t="shared" si="693"/>
        <v>151832.78245034916</v>
      </c>
      <c r="MW22" s="661">
        <f t="shared" si="693"/>
        <v>0</v>
      </c>
      <c r="MX22" s="661">
        <f t="shared" si="693"/>
        <v>141865.28918814991</v>
      </c>
      <c r="MY22" s="662">
        <f t="shared" si="693"/>
        <v>0</v>
      </c>
      <c r="MZ22" s="712">
        <f t="shared" si="634"/>
        <v>836374.82000392117</v>
      </c>
      <c r="NA22" s="661">
        <f>NA6+NA12+NA18</f>
        <v>126882.06104014584</v>
      </c>
      <c r="NB22" s="661">
        <f t="shared" ref="NB22:NG22" si="694">NB6+NB12+NB18</f>
        <v>142702.00281213934</v>
      </c>
      <c r="NC22" s="661">
        <f t="shared" si="694"/>
        <v>138559.78454215531</v>
      </c>
      <c r="ND22" s="661">
        <f t="shared" si="694"/>
        <v>128512.22558895085</v>
      </c>
      <c r="NE22" s="661">
        <f t="shared" si="694"/>
        <v>156835.21833541099</v>
      </c>
      <c r="NF22" s="661">
        <f t="shared" si="694"/>
        <v>142883.52768511878</v>
      </c>
      <c r="NG22" s="662">
        <f t="shared" si="694"/>
        <v>0</v>
      </c>
      <c r="NH22" s="712">
        <f t="shared" si="636"/>
        <v>995577.82124964823</v>
      </c>
      <c r="NI22" s="661">
        <f t="shared" ref="NI22:NO22" si="695">NI6+NI12+NI18</f>
        <v>124711.29280968042</v>
      </c>
      <c r="NJ22" s="661">
        <f t="shared" si="695"/>
        <v>165209.8679536671</v>
      </c>
      <c r="NK22" s="661">
        <f t="shared" si="695"/>
        <v>170195.45125148221</v>
      </c>
      <c r="NL22" s="661">
        <f t="shared" si="695"/>
        <v>164878.79802321515</v>
      </c>
      <c r="NM22" s="661">
        <f t="shared" si="695"/>
        <v>191075.84633019692</v>
      </c>
      <c r="NN22" s="661">
        <f t="shared" si="695"/>
        <v>179506.56488140643</v>
      </c>
      <c r="NO22" s="662">
        <f t="shared" si="695"/>
        <v>0</v>
      </c>
      <c r="NP22" s="712">
        <f t="shared" si="638"/>
        <v>1018839.0198762467</v>
      </c>
      <c r="NQ22" s="661">
        <f>NQ6+NQ12+NQ18</f>
        <v>155897.47833106783</v>
      </c>
      <c r="NR22" s="661">
        <f t="shared" ref="NR22:NW22" si="696">NR6+NR12+NR18</f>
        <v>186428.45020032872</v>
      </c>
      <c r="NS22" s="661">
        <f t="shared" si="696"/>
        <v>179057.40312439227</v>
      </c>
      <c r="NT22" s="661">
        <f t="shared" si="696"/>
        <v>168595.05963484946</v>
      </c>
      <c r="NU22" s="661">
        <f t="shared" si="696"/>
        <v>170493.94023687765</v>
      </c>
      <c r="NV22" s="661">
        <f t="shared" si="696"/>
        <v>158366.68834873082</v>
      </c>
      <c r="NW22" s="662">
        <f t="shared" si="696"/>
        <v>0</v>
      </c>
      <c r="NX22" s="712">
        <f>SUM(NY22:OE22)</f>
        <v>863871.14764978981</v>
      </c>
      <c r="NY22" s="661">
        <f>NY6+NY12+NY18</f>
        <v>132739.98185096344</v>
      </c>
      <c r="NZ22" s="661">
        <f t="shared" ref="NZ22:OE22" si="697">NZ6+NZ12+NZ18</f>
        <v>145761.75324381769</v>
      </c>
      <c r="OA22" s="661">
        <f t="shared" si="697"/>
        <v>149190.01353212181</v>
      </c>
      <c r="OB22" s="661">
        <f t="shared" si="697"/>
        <v>133192.6323224144</v>
      </c>
      <c r="OC22" s="661">
        <f t="shared" si="697"/>
        <v>157617.39828539541</v>
      </c>
      <c r="OD22" s="661">
        <f t="shared" si="697"/>
        <v>145369.3684150771</v>
      </c>
      <c r="OE22" s="662">
        <f t="shared" si="697"/>
        <v>0</v>
      </c>
      <c r="OF22" s="712">
        <f t="shared" si="642"/>
        <v>818501.16767600807</v>
      </c>
      <c r="OG22" s="661">
        <f t="shared" ref="OG22:OM22" si="698">OG6+OG12+OG18</f>
        <v>125502.4420331757</v>
      </c>
      <c r="OH22" s="661">
        <f t="shared" si="698"/>
        <v>136914.98107454702</v>
      </c>
      <c r="OI22" s="661">
        <f t="shared" si="698"/>
        <v>130857.09576206413</v>
      </c>
      <c r="OJ22" s="661">
        <f t="shared" si="698"/>
        <v>123517.25539068617</v>
      </c>
      <c r="OK22" s="661">
        <f t="shared" si="698"/>
        <v>159647.90694844234</v>
      </c>
      <c r="OL22" s="661">
        <f t="shared" si="698"/>
        <v>142061.48646709271</v>
      </c>
      <c r="OM22" s="662">
        <f t="shared" si="698"/>
        <v>0</v>
      </c>
      <c r="ON22" s="712">
        <f t="shared" si="644"/>
        <v>976792.65750000009</v>
      </c>
      <c r="OO22" s="661">
        <f>OO6+OO12+OO18</f>
        <v>134221.72500000001</v>
      </c>
      <c r="OP22" s="661">
        <f t="shared" ref="OP22:OU22" si="699">OP6+OP12+OP18</f>
        <v>163892.52000000002</v>
      </c>
      <c r="OQ22" s="661">
        <f t="shared" si="699"/>
        <v>158332.68000000002</v>
      </c>
      <c r="OR22" s="661">
        <f t="shared" si="699"/>
        <v>190307.69999999998</v>
      </c>
      <c r="OS22" s="661">
        <f>OS6+OS12+OS18</f>
        <v>199653.30000000002</v>
      </c>
      <c r="OT22" s="661">
        <f t="shared" si="699"/>
        <v>130384.7325</v>
      </c>
      <c r="OU22" s="662">
        <f t="shared" si="699"/>
        <v>0</v>
      </c>
      <c r="OV22" s="712">
        <f t="shared" si="646"/>
        <v>915466.8600000001</v>
      </c>
      <c r="OW22" s="661">
        <f t="shared" ref="OW22:PC22" si="700">OW6+OW12+OW18</f>
        <v>106646.5125</v>
      </c>
      <c r="OX22" s="661">
        <f t="shared" si="700"/>
        <v>155528.01</v>
      </c>
      <c r="OY22" s="661">
        <f t="shared" si="700"/>
        <v>158046.32250000001</v>
      </c>
      <c r="OZ22" s="661">
        <f t="shared" si="700"/>
        <v>176221.23749999999</v>
      </c>
      <c r="PA22" s="661">
        <f t="shared" si="700"/>
        <v>196268.73749999999</v>
      </c>
      <c r="PB22" s="661">
        <f t="shared" si="700"/>
        <v>122756.04000000001</v>
      </c>
      <c r="PC22" s="662">
        <f t="shared" si="700"/>
        <v>0</v>
      </c>
    </row>
    <row r="23" spans="1:420" ht="15" thickBot="1" x14ac:dyDescent="0.35">
      <c r="B23" s="978"/>
      <c r="C23" s="676" t="s">
        <v>137</v>
      </c>
      <c r="D23" s="696">
        <f t="shared" si="548"/>
        <v>760009.14</v>
      </c>
      <c r="E23" s="697">
        <f>E9+E15+E21</f>
        <v>74567.888999999996</v>
      </c>
      <c r="F23" s="697">
        <f t="shared" ref="F23:K23" si="701">F9+F15+F21</f>
        <v>131848.00199999998</v>
      </c>
      <c r="G23" s="734">
        <f t="shared" si="701"/>
        <v>127975.122</v>
      </c>
      <c r="H23" s="697">
        <f t="shared" si="701"/>
        <v>122116.40099999998</v>
      </c>
      <c r="I23" s="697">
        <f t="shared" si="701"/>
        <v>148452.084</v>
      </c>
      <c r="J23" s="697">
        <f t="shared" si="701"/>
        <v>145360.71</v>
      </c>
      <c r="K23" s="701">
        <f t="shared" si="701"/>
        <v>9688.9319999999989</v>
      </c>
      <c r="L23" s="696">
        <f t="shared" si="550"/>
        <v>803374.50600000005</v>
      </c>
      <c r="M23" s="697">
        <f t="shared" ref="M23:S23" si="702">M9+M15+M21</f>
        <v>107573.89499999999</v>
      </c>
      <c r="N23" s="697">
        <f t="shared" si="702"/>
        <v>112075.52399999999</v>
      </c>
      <c r="O23" s="734">
        <f t="shared" si="702"/>
        <v>136225.584</v>
      </c>
      <c r="P23" s="838">
        <f t="shared" si="702"/>
        <v>138122.32500000001</v>
      </c>
      <c r="Q23" s="697">
        <f>Q9+Q15+Q21</f>
        <v>157427.81999999998</v>
      </c>
      <c r="R23" s="697">
        <f t="shared" si="702"/>
        <v>146915.20800000001</v>
      </c>
      <c r="S23" s="701">
        <f t="shared" si="702"/>
        <v>5034.1499999999996</v>
      </c>
      <c r="T23" s="696">
        <f t="shared" si="552"/>
        <v>805060.87199999986</v>
      </c>
      <c r="U23" s="697">
        <f t="shared" ref="U23:AA23" si="703">U9+U15+U21</f>
        <v>111959.09999999999</v>
      </c>
      <c r="V23" s="697">
        <f t="shared" si="703"/>
        <v>126562.39199999999</v>
      </c>
      <c r="W23" s="734">
        <f t="shared" si="703"/>
        <v>130309.641</v>
      </c>
      <c r="X23" s="697">
        <f t="shared" si="703"/>
        <v>121634.37000000001</v>
      </c>
      <c r="Y23" s="697">
        <f>Y9+Y15+Y21</f>
        <v>158661.459</v>
      </c>
      <c r="Z23" s="697">
        <f t="shared" si="703"/>
        <v>146226.16800000001</v>
      </c>
      <c r="AA23" s="701">
        <f t="shared" si="703"/>
        <v>9707.7419999999984</v>
      </c>
      <c r="AB23" s="696">
        <f t="shared" si="554"/>
        <v>815489.03700000001</v>
      </c>
      <c r="AC23" s="697">
        <f t="shared" ref="AC23:AI23" si="704">AC9+AC15+AC21</f>
        <v>114471.12599999999</v>
      </c>
      <c r="AD23" s="697">
        <f t="shared" si="704"/>
        <v>124130.25900000002</v>
      </c>
      <c r="AE23" s="734">
        <f t="shared" si="704"/>
        <v>125832.26699999999</v>
      </c>
      <c r="AF23" s="697">
        <f t="shared" si="704"/>
        <v>126959.77800000001</v>
      </c>
      <c r="AG23" s="697">
        <f t="shared" si="704"/>
        <v>155818.77299999999</v>
      </c>
      <c r="AH23" s="697">
        <f t="shared" si="704"/>
        <v>157652.54999999999</v>
      </c>
      <c r="AI23" s="701">
        <f t="shared" si="704"/>
        <v>10624.284</v>
      </c>
      <c r="AJ23" s="696">
        <f t="shared" si="556"/>
        <v>831295.77299999993</v>
      </c>
      <c r="AK23" s="697">
        <f>AK9+AK15+AK21</f>
        <v>117053.14499999999</v>
      </c>
      <c r="AL23" s="697">
        <f t="shared" ref="AL23:AQ23" si="705">AL9+AL15+AL21</f>
        <v>132637.22999999998</v>
      </c>
      <c r="AM23" s="734">
        <f t="shared" si="705"/>
        <v>138447.04500000001</v>
      </c>
      <c r="AN23" s="697">
        <f t="shared" si="705"/>
        <v>128900.37599999999</v>
      </c>
      <c r="AO23" s="697">
        <f t="shared" si="705"/>
        <v>156577.50900000002</v>
      </c>
      <c r="AP23" s="697">
        <f t="shared" si="705"/>
        <v>151233.09299999999</v>
      </c>
      <c r="AQ23" s="701">
        <f t="shared" si="705"/>
        <v>6447.375</v>
      </c>
      <c r="AR23" s="696">
        <f>SUM(AS23:AY23)</f>
        <v>739579.50000000012</v>
      </c>
      <c r="AS23" s="697">
        <f t="shared" ref="AS23:AY23" si="706">AS9+AS15+AS21</f>
        <v>115696.845</v>
      </c>
      <c r="AT23" s="697">
        <f t="shared" si="706"/>
        <v>114003.94500000001</v>
      </c>
      <c r="AU23" s="734">
        <f t="shared" si="706"/>
        <v>116002.95300000001</v>
      </c>
      <c r="AV23" s="697">
        <f t="shared" si="706"/>
        <v>107919.20699999999</v>
      </c>
      <c r="AW23" s="697">
        <f t="shared" si="706"/>
        <v>151284.87</v>
      </c>
      <c r="AX23" s="697">
        <f t="shared" si="706"/>
        <v>129602.87999999999</v>
      </c>
      <c r="AY23" s="701">
        <f t="shared" si="706"/>
        <v>5068.8</v>
      </c>
      <c r="AZ23" s="696">
        <f t="shared" si="560"/>
        <v>709369.94700000004</v>
      </c>
      <c r="BA23" s="697">
        <f t="shared" ref="BA23:BG23" si="707">BA9+BA15+BA21</f>
        <v>105293.43</v>
      </c>
      <c r="BB23" s="697">
        <f t="shared" si="707"/>
        <v>114595.47</v>
      </c>
      <c r="BC23" s="734">
        <f t="shared" si="707"/>
        <v>106351.542</v>
      </c>
      <c r="BD23" s="697">
        <f t="shared" si="707"/>
        <v>104788.53</v>
      </c>
      <c r="BE23" s="697">
        <f t="shared" si="707"/>
        <v>144231.12</v>
      </c>
      <c r="BF23" s="697">
        <f t="shared" si="707"/>
        <v>129523.68000000001</v>
      </c>
      <c r="BG23" s="701">
        <f t="shared" si="707"/>
        <v>4586.1750000000002</v>
      </c>
      <c r="BH23" s="696">
        <f t="shared" si="562"/>
        <v>735727.01399999997</v>
      </c>
      <c r="BI23" s="697">
        <f t="shared" ref="BI23:BO23" si="708">BI9+BI15+BI21</f>
        <v>110989.89000000001</v>
      </c>
      <c r="BJ23" s="697">
        <f t="shared" si="708"/>
        <v>111303.22500000001</v>
      </c>
      <c r="BK23" s="734">
        <f t="shared" si="708"/>
        <v>102908.02499999999</v>
      </c>
      <c r="BL23" s="697">
        <f t="shared" si="708"/>
        <v>103508.45999999999</v>
      </c>
      <c r="BM23" s="697">
        <f t="shared" si="708"/>
        <v>156633.84</v>
      </c>
      <c r="BN23" s="697">
        <f>BN9+BN15+BN21</f>
        <v>144832.644</v>
      </c>
      <c r="BO23" s="701">
        <f t="shared" si="708"/>
        <v>5550.93</v>
      </c>
      <c r="BP23" s="696">
        <f t="shared" si="564"/>
        <v>773864.58600000001</v>
      </c>
      <c r="BQ23" s="697">
        <f t="shared" ref="BQ23:BW23" si="709">BQ9+BQ15+BQ21</f>
        <v>121076.01000000001</v>
      </c>
      <c r="BR23" s="697">
        <f t="shared" si="709"/>
        <v>118506.465</v>
      </c>
      <c r="BS23" s="734">
        <f t="shared" si="709"/>
        <v>122056.30800000002</v>
      </c>
      <c r="BT23" s="697">
        <f>BT9+BT15+BT21</f>
        <v>114697.14300000001</v>
      </c>
      <c r="BU23" s="697">
        <f t="shared" si="709"/>
        <v>150097.85999999999</v>
      </c>
      <c r="BV23" s="697">
        <f t="shared" si="709"/>
        <v>141401.70000000001</v>
      </c>
      <c r="BW23" s="701">
        <f t="shared" si="709"/>
        <v>6029.1</v>
      </c>
      <c r="BX23" s="696">
        <f t="shared" si="566"/>
        <v>764920.13400000008</v>
      </c>
      <c r="BY23" s="697">
        <f t="shared" ref="BY23:CE23" si="710">BY9+BY15+BY21</f>
        <v>117707.04000000001</v>
      </c>
      <c r="BZ23" s="697">
        <f t="shared" si="710"/>
        <v>121580.31599999999</v>
      </c>
      <c r="CA23" s="734">
        <f t="shared" si="710"/>
        <v>120403.99799999999</v>
      </c>
      <c r="CB23" s="697">
        <f t="shared" si="710"/>
        <v>115384.5</v>
      </c>
      <c r="CC23" s="697">
        <f t="shared" si="710"/>
        <v>151737.10200000001</v>
      </c>
      <c r="CD23" s="697">
        <f t="shared" si="710"/>
        <v>132669.70199999999</v>
      </c>
      <c r="CE23" s="701">
        <f t="shared" si="710"/>
        <v>5437.4760000000006</v>
      </c>
      <c r="CF23" s="696">
        <f t="shared" si="568"/>
        <v>726991.65</v>
      </c>
      <c r="CG23" s="697">
        <f t="shared" ref="CG23:CM23" si="711">CG9+CG15+CG21</f>
        <v>113480.53200000001</v>
      </c>
      <c r="CH23" s="697">
        <f t="shared" si="711"/>
        <v>111936.13199999998</v>
      </c>
      <c r="CI23" s="734">
        <f t="shared" si="711"/>
        <v>109985.04000000001</v>
      </c>
      <c r="CJ23" s="697">
        <f t="shared" si="711"/>
        <v>103010.193</v>
      </c>
      <c r="CK23" s="697">
        <f t="shared" si="711"/>
        <v>150970.74299999999</v>
      </c>
      <c r="CL23" s="697">
        <f t="shared" si="711"/>
        <v>133207.76699999999</v>
      </c>
      <c r="CM23" s="701">
        <f t="shared" si="711"/>
        <v>4401.2429999999995</v>
      </c>
      <c r="CN23" s="696">
        <f t="shared" si="570"/>
        <v>757851.92999999993</v>
      </c>
      <c r="CO23" s="697">
        <f t="shared" ref="CO23:CU23" si="712">CO9+CO15+CO21</f>
        <v>110187</v>
      </c>
      <c r="CP23" s="697">
        <f t="shared" si="712"/>
        <v>110686.95000000001</v>
      </c>
      <c r="CQ23" s="734">
        <f t="shared" si="712"/>
        <v>114198.48000000001</v>
      </c>
      <c r="CR23" s="697">
        <f t="shared" si="712"/>
        <v>112295.50200000001</v>
      </c>
      <c r="CS23" s="697">
        <f t="shared" si="712"/>
        <v>162758.47500000001</v>
      </c>
      <c r="CT23" s="697">
        <f t="shared" si="712"/>
        <v>143108.95499999999</v>
      </c>
      <c r="CU23" s="701">
        <f t="shared" si="712"/>
        <v>4616.5680000000002</v>
      </c>
      <c r="CV23" s="696">
        <f t="shared" si="572"/>
        <v>777916.16099999996</v>
      </c>
      <c r="CW23" s="697">
        <f t="shared" ref="CW23:DC23" si="713">CW9+CW15+CW21</f>
        <v>111010.58100000001</v>
      </c>
      <c r="CX23" s="697">
        <f t="shared" si="713"/>
        <v>112904.55</v>
      </c>
      <c r="CY23" s="734">
        <f t="shared" si="713"/>
        <v>122517.84600000001</v>
      </c>
      <c r="CZ23" s="697">
        <f t="shared" si="713"/>
        <v>119552.00399999999</v>
      </c>
      <c r="DA23" s="697">
        <f t="shared" si="713"/>
        <v>159676.704</v>
      </c>
      <c r="DB23" s="697">
        <f t="shared" si="713"/>
        <v>146828.78100000002</v>
      </c>
      <c r="DC23" s="701">
        <f t="shared" si="713"/>
        <v>5425.6949999999997</v>
      </c>
      <c r="DD23" s="696">
        <f t="shared" si="574"/>
        <v>715286.48399999994</v>
      </c>
      <c r="DE23" s="697">
        <f t="shared" ref="DE23:DK23" si="714">DE9+DE15+DE21</f>
        <v>111591.018</v>
      </c>
      <c r="DF23" s="697">
        <f t="shared" si="714"/>
        <v>113857.524</v>
      </c>
      <c r="DG23" s="734">
        <f t="shared" si="714"/>
        <v>114455.18699999999</v>
      </c>
      <c r="DH23" s="697">
        <f t="shared" si="714"/>
        <v>109485.486</v>
      </c>
      <c r="DI23" s="697">
        <f t="shared" si="714"/>
        <v>138616.82999999999</v>
      </c>
      <c r="DJ23" s="697">
        <f t="shared" si="714"/>
        <v>123441.71399999999</v>
      </c>
      <c r="DK23" s="701">
        <f t="shared" si="714"/>
        <v>3838.7249999999999</v>
      </c>
      <c r="DL23" s="696">
        <f t="shared" si="576"/>
        <v>707455.58399999992</v>
      </c>
      <c r="DM23" s="697">
        <f t="shared" ref="DM23:DS23" si="715">DM9+DM15+DM21</f>
        <v>106616.26799999998</v>
      </c>
      <c r="DN23" s="697">
        <f t="shared" si="715"/>
        <v>107508.15899999999</v>
      </c>
      <c r="DO23" s="734">
        <f t="shared" si="715"/>
        <v>91594.799999999988</v>
      </c>
      <c r="DP23" s="697">
        <f t="shared" si="715"/>
        <v>99366.399000000005</v>
      </c>
      <c r="DQ23" s="697">
        <f t="shared" si="715"/>
        <v>151892.43299999999</v>
      </c>
      <c r="DR23" s="697">
        <f t="shared" si="715"/>
        <v>140277.45600000001</v>
      </c>
      <c r="DS23" s="701">
        <f t="shared" si="715"/>
        <v>10200.068999999998</v>
      </c>
      <c r="DT23" s="696">
        <f t="shared" si="578"/>
        <v>625585.554</v>
      </c>
      <c r="DU23" s="697">
        <f t="shared" ref="DU23:EA23" si="716">DU9+DU15+DU21</f>
        <v>0</v>
      </c>
      <c r="DV23" s="697">
        <f t="shared" si="716"/>
        <v>73842.812999999995</v>
      </c>
      <c r="DW23" s="734">
        <f t="shared" si="716"/>
        <v>127318.75200000001</v>
      </c>
      <c r="DX23" s="697">
        <f t="shared" si="716"/>
        <v>121527.648</v>
      </c>
      <c r="DY23" s="697">
        <f t="shared" si="716"/>
        <v>154657.40400000001</v>
      </c>
      <c r="DZ23" s="697">
        <f t="shared" si="716"/>
        <v>142990.353</v>
      </c>
      <c r="EA23" s="701">
        <f t="shared" si="716"/>
        <v>5248.5839999999998</v>
      </c>
      <c r="EB23" s="696">
        <f t="shared" si="664"/>
        <v>743786.60400000005</v>
      </c>
      <c r="EC23" s="697">
        <f t="shared" ref="EC23:EI23" si="717">EC9+EC15+EC21</f>
        <v>114038.496</v>
      </c>
      <c r="ED23" s="697">
        <f t="shared" si="717"/>
        <v>111911.97600000001</v>
      </c>
      <c r="EE23" s="734">
        <f t="shared" si="717"/>
        <v>113157.693</v>
      </c>
      <c r="EF23" s="697">
        <f>EF9+EF15+EF21</f>
        <v>108018.50400000002</v>
      </c>
      <c r="EG23" s="697">
        <f t="shared" si="717"/>
        <v>150616.22399999999</v>
      </c>
      <c r="EH23" s="697">
        <f t="shared" si="717"/>
        <v>146043.71100000001</v>
      </c>
      <c r="EI23" s="701">
        <f t="shared" si="717"/>
        <v>0</v>
      </c>
      <c r="EJ23" s="696">
        <f t="shared" si="580"/>
        <v>773873.99100000004</v>
      </c>
      <c r="EK23" s="697">
        <f t="shared" ref="EK23:EQ23" si="718">EK9+EK15+EK21</f>
        <v>116346.087</v>
      </c>
      <c r="EL23" s="697">
        <f t="shared" si="718"/>
        <v>116806.43700000001</v>
      </c>
      <c r="EM23" s="734">
        <f t="shared" si="718"/>
        <v>116187.39000000001</v>
      </c>
      <c r="EN23" s="697">
        <f t="shared" si="718"/>
        <v>111828.22199999999</v>
      </c>
      <c r="EO23" s="697">
        <f t="shared" si="718"/>
        <v>162870.84</v>
      </c>
      <c r="EP23" s="697">
        <f>EP9+EP15+EP21</f>
        <v>146069.74799999999</v>
      </c>
      <c r="EQ23" s="701">
        <f t="shared" si="718"/>
        <v>3765.2670000000003</v>
      </c>
      <c r="ER23" s="696">
        <f t="shared" si="582"/>
        <v>741435.90807508363</v>
      </c>
      <c r="ES23" s="697">
        <f t="shared" ref="ES23:EY23" si="719">ES9+ES15+ES21</f>
        <v>109201.75200000001</v>
      </c>
      <c r="ET23" s="697">
        <f t="shared" si="719"/>
        <v>115332.52499999999</v>
      </c>
      <c r="EU23" s="734">
        <f t="shared" si="719"/>
        <v>109716.255</v>
      </c>
      <c r="EV23" s="697">
        <f t="shared" si="719"/>
        <v>110652.102</v>
      </c>
      <c r="EW23" s="697">
        <f t="shared" si="719"/>
        <v>154141.81200000001</v>
      </c>
      <c r="EX23" s="697">
        <f t="shared" si="719"/>
        <v>138428.53200000001</v>
      </c>
      <c r="EY23" s="701">
        <f t="shared" si="719"/>
        <v>3962.9300750835837</v>
      </c>
      <c r="EZ23" s="696">
        <f t="shared" si="584"/>
        <v>718325.90088203771</v>
      </c>
      <c r="FA23" s="697">
        <f t="shared" ref="FA23:FG23" si="720">FA9+FA15+FA21</f>
        <v>112125.02399999999</v>
      </c>
      <c r="FB23" s="697">
        <f t="shared" si="720"/>
        <v>107358.768</v>
      </c>
      <c r="FC23" s="734">
        <f t="shared" si="720"/>
        <v>112049.48699999999</v>
      </c>
      <c r="FD23" s="697">
        <f t="shared" si="720"/>
        <v>107674.08300000001</v>
      </c>
      <c r="FE23" s="697">
        <f t="shared" si="720"/>
        <v>142114.005</v>
      </c>
      <c r="FF23" s="697">
        <f t="shared" si="720"/>
        <v>133344.981</v>
      </c>
      <c r="FG23" s="701">
        <f t="shared" si="720"/>
        <v>3659.5528820377099</v>
      </c>
      <c r="FH23" s="696">
        <f t="shared" si="586"/>
        <v>640730.39349944761</v>
      </c>
      <c r="FI23" s="697">
        <f t="shared" ref="FI23:FO23" si="721">FI9+FI15+FI21</f>
        <v>103860.9</v>
      </c>
      <c r="FJ23" s="697">
        <f t="shared" si="721"/>
        <v>114364.60200000001</v>
      </c>
      <c r="FK23" s="734">
        <f t="shared" si="721"/>
        <v>118966.518</v>
      </c>
      <c r="FL23" s="697">
        <f t="shared" si="721"/>
        <v>0</v>
      </c>
      <c r="FM23" s="697">
        <f t="shared" si="721"/>
        <v>141155.38799999998</v>
      </c>
      <c r="FN23" s="697">
        <f t="shared" si="721"/>
        <v>156931.83000000002</v>
      </c>
      <c r="FO23" s="701">
        <f t="shared" si="721"/>
        <v>5451.1554994475882</v>
      </c>
      <c r="FP23" s="696">
        <f t="shared" si="588"/>
        <v>818404.58700000006</v>
      </c>
      <c r="FQ23" s="697">
        <f t="shared" ref="FQ23:FW23" si="722">FQ9+FQ15+FQ21</f>
        <v>128479.23000000001</v>
      </c>
      <c r="FR23" s="697">
        <f t="shared" si="722"/>
        <v>123022.152</v>
      </c>
      <c r="FS23" s="734">
        <f t="shared" si="722"/>
        <v>132741.27899999998</v>
      </c>
      <c r="FT23" s="697">
        <f t="shared" si="722"/>
        <v>121607.24400000001</v>
      </c>
      <c r="FU23" s="697">
        <f t="shared" si="722"/>
        <v>155814.91200000001</v>
      </c>
      <c r="FV23" s="697">
        <f t="shared" si="722"/>
        <v>146464.56</v>
      </c>
      <c r="FW23" s="701">
        <f t="shared" si="722"/>
        <v>10275.209999999999</v>
      </c>
      <c r="FX23" s="696">
        <f t="shared" si="590"/>
        <v>665188.326</v>
      </c>
      <c r="FY23" s="697">
        <f t="shared" ref="FY23:GE23" si="723">FY9+FY15+FY21</f>
        <v>0</v>
      </c>
      <c r="FZ23" s="697">
        <f t="shared" si="723"/>
        <v>90932.192999999999</v>
      </c>
      <c r="GA23" s="734">
        <f t="shared" si="723"/>
        <v>137163.609</v>
      </c>
      <c r="GB23" s="734">
        <f t="shared" si="723"/>
        <v>121980.67200000001</v>
      </c>
      <c r="GC23" s="697">
        <f t="shared" si="723"/>
        <v>159841.242</v>
      </c>
      <c r="GD23" s="697">
        <f t="shared" si="723"/>
        <v>149538.51</v>
      </c>
      <c r="GE23" s="701">
        <f t="shared" si="723"/>
        <v>5732.1</v>
      </c>
      <c r="GF23" s="696">
        <f>SUM(GG23:GM23)</f>
        <v>770795.88300000003</v>
      </c>
      <c r="GG23" s="697">
        <f t="shared" ref="GG23:GM23" si="724">GG9+GG15+GG21</f>
        <v>115301.04300000001</v>
      </c>
      <c r="GH23" s="697">
        <f t="shared" si="724"/>
        <v>122968.89000000001</v>
      </c>
      <c r="GI23" s="734">
        <f t="shared" si="724"/>
        <v>116161.254</v>
      </c>
      <c r="GJ23" s="697">
        <f t="shared" si="724"/>
        <v>121316.48099999999</v>
      </c>
      <c r="GK23" s="697">
        <f t="shared" si="724"/>
        <v>149757.39899999998</v>
      </c>
      <c r="GL23" s="697">
        <f t="shared" si="724"/>
        <v>139519.413</v>
      </c>
      <c r="GM23" s="701">
        <f t="shared" si="724"/>
        <v>5771.4029999999993</v>
      </c>
      <c r="GN23" s="696">
        <f t="shared" si="594"/>
        <v>762241.8870000001</v>
      </c>
      <c r="GO23" s="697">
        <f t="shared" ref="GO23:GU23" si="725">GO9+GO15+GO21</f>
        <v>104140.08</v>
      </c>
      <c r="GP23" s="697">
        <f t="shared" si="725"/>
        <v>126130.65299999999</v>
      </c>
      <c r="GQ23" s="734">
        <f t="shared" si="725"/>
        <v>120449.34</v>
      </c>
      <c r="GR23" s="697">
        <f t="shared" si="725"/>
        <v>118565.96400000001</v>
      </c>
      <c r="GS23" s="697">
        <f t="shared" si="725"/>
        <v>150298.83000000002</v>
      </c>
      <c r="GT23" s="697">
        <f t="shared" si="725"/>
        <v>137943.63</v>
      </c>
      <c r="GU23" s="701">
        <f t="shared" si="725"/>
        <v>4713.3900000000003</v>
      </c>
      <c r="GV23" s="696">
        <f t="shared" si="596"/>
        <v>750287.43900000001</v>
      </c>
      <c r="GW23" s="697">
        <f t="shared" ref="GW23:HC23" si="726">GW9+GW15+GW21</f>
        <v>114149.178</v>
      </c>
      <c r="GX23" s="697">
        <f t="shared" si="726"/>
        <v>121186.098</v>
      </c>
      <c r="GY23" s="734">
        <f t="shared" si="726"/>
        <v>118018.69200000001</v>
      </c>
      <c r="GZ23" s="697">
        <f t="shared" si="726"/>
        <v>118318.167</v>
      </c>
      <c r="HA23" s="697">
        <f t="shared" si="726"/>
        <v>141289.63200000001</v>
      </c>
      <c r="HB23" s="697">
        <f t="shared" si="726"/>
        <v>131969.772</v>
      </c>
      <c r="HC23" s="701">
        <f t="shared" si="726"/>
        <v>5355.9</v>
      </c>
      <c r="HD23" s="696">
        <f t="shared" si="598"/>
        <v>663470.08199999994</v>
      </c>
      <c r="HE23" s="697">
        <f t="shared" ref="HE23:HK23" si="727">HE9+HE15+HE21</f>
        <v>101618.94600000001</v>
      </c>
      <c r="HF23" s="697">
        <f t="shared" si="727"/>
        <v>112516.07399999999</v>
      </c>
      <c r="HG23" s="734">
        <f t="shared" si="727"/>
        <v>106715.86199999999</v>
      </c>
      <c r="HH23" s="697">
        <f t="shared" si="727"/>
        <v>99699.93</v>
      </c>
      <c r="HI23" s="697">
        <f t="shared" si="727"/>
        <v>128366.17199999999</v>
      </c>
      <c r="HJ23" s="697">
        <f t="shared" si="727"/>
        <v>114553.098</v>
      </c>
      <c r="HK23" s="701">
        <f t="shared" si="727"/>
        <v>0</v>
      </c>
      <c r="HL23" s="696">
        <f t="shared" si="600"/>
        <v>616798.51199999999</v>
      </c>
      <c r="HM23" s="697">
        <f t="shared" ref="HM23:HS23" si="728">HM9+HM15+HM21</f>
        <v>91968.623999999982</v>
      </c>
      <c r="HN23" s="697">
        <f t="shared" si="728"/>
        <v>105155.52299999999</v>
      </c>
      <c r="HO23" s="734">
        <f t="shared" si="728"/>
        <v>101620.629</v>
      </c>
      <c r="HP23" s="697">
        <f t="shared" si="728"/>
        <v>96799.823999999993</v>
      </c>
      <c r="HQ23" s="697">
        <f t="shared" si="728"/>
        <v>114964.344</v>
      </c>
      <c r="HR23" s="697">
        <f t="shared" si="728"/>
        <v>106289.568</v>
      </c>
      <c r="HS23" s="701">
        <f t="shared" si="728"/>
        <v>0</v>
      </c>
      <c r="HT23" s="696">
        <f t="shared" si="602"/>
        <v>510171.65099999995</v>
      </c>
      <c r="HU23" s="697">
        <f t="shared" ref="HU23:IA23" si="729">HU9+HU15+HU21</f>
        <v>82609.361999999994</v>
      </c>
      <c r="HV23" s="697">
        <f t="shared" si="729"/>
        <v>97146.323999999993</v>
      </c>
      <c r="HW23" s="734">
        <f t="shared" si="729"/>
        <v>102469.554</v>
      </c>
      <c r="HX23" s="697">
        <f t="shared" si="729"/>
        <v>0</v>
      </c>
      <c r="HY23" s="697">
        <f t="shared" si="729"/>
        <v>119463.201</v>
      </c>
      <c r="HZ23" s="697">
        <f t="shared" si="729"/>
        <v>108483.20999999999</v>
      </c>
      <c r="IA23" s="701">
        <f t="shared" si="729"/>
        <v>0</v>
      </c>
      <c r="IB23" s="696">
        <f t="shared" si="604"/>
        <v>603843.47100000002</v>
      </c>
      <c r="IC23" s="697">
        <f t="shared" ref="IC23:II23" si="730">IC9+IC15+IC21</f>
        <v>88651.331999999995</v>
      </c>
      <c r="ID23" s="697">
        <f t="shared" si="730"/>
        <v>97543.512000000002</v>
      </c>
      <c r="IE23" s="734">
        <f t="shared" si="730"/>
        <v>86970.905999999988</v>
      </c>
      <c r="IF23" s="697">
        <f t="shared" si="730"/>
        <v>93466.791000000012</v>
      </c>
      <c r="IG23" s="697">
        <f>IG9+IG15+IG21</f>
        <v>124044.42600000001</v>
      </c>
      <c r="IH23" s="697">
        <f t="shared" si="730"/>
        <v>113166.50399999999</v>
      </c>
      <c r="II23" s="701">
        <f t="shared" si="730"/>
        <v>0</v>
      </c>
      <c r="IJ23" s="696">
        <f t="shared" si="606"/>
        <v>619969.65599999996</v>
      </c>
      <c r="IK23" s="697">
        <f t="shared" ref="IK23:IQ23" si="731">IK9+IK15+IK21</f>
        <v>99139.194000000003</v>
      </c>
      <c r="IL23" s="697">
        <f t="shared" si="731"/>
        <v>104152.554</v>
      </c>
      <c r="IM23" s="734">
        <f t="shared" si="731"/>
        <v>102602.80799999999</v>
      </c>
      <c r="IN23" s="697">
        <f t="shared" si="731"/>
        <v>98211</v>
      </c>
      <c r="IO23" s="697">
        <f t="shared" si="731"/>
        <v>114230</v>
      </c>
      <c r="IP23" s="697">
        <f t="shared" si="731"/>
        <v>101634.09999999999</v>
      </c>
      <c r="IQ23" s="701">
        <f t="shared" si="731"/>
        <v>0</v>
      </c>
      <c r="IR23" s="696">
        <f t="shared" si="607"/>
        <v>592563.01500000001</v>
      </c>
      <c r="IS23" s="697">
        <f t="shared" ref="IS23:IY23" si="732">IS9+IS15+IS21</f>
        <v>94386.203999999998</v>
      </c>
      <c r="IT23" s="697">
        <f t="shared" si="732"/>
        <v>96704.19</v>
      </c>
      <c r="IU23" s="734">
        <f t="shared" si="732"/>
        <v>89274.141000000003</v>
      </c>
      <c r="IV23" s="697">
        <f t="shared" si="732"/>
        <v>90567.377999999997</v>
      </c>
      <c r="IW23" s="697">
        <f t="shared" si="732"/>
        <v>113700.114</v>
      </c>
      <c r="IX23" s="697">
        <f t="shared" si="732"/>
        <v>107930.98799999998</v>
      </c>
      <c r="IY23" s="701">
        <f t="shared" si="732"/>
        <v>0</v>
      </c>
      <c r="IZ23" s="696">
        <f t="shared" ref="IZ23" si="733">SUM(JA23:JG23)</f>
        <v>514947.31199999998</v>
      </c>
      <c r="JA23" s="697">
        <f t="shared" ref="JA23:JD23" si="734">JA9+JA15+JA21</f>
        <v>0</v>
      </c>
      <c r="JB23" s="697">
        <f t="shared" si="734"/>
        <v>75662.828999999998</v>
      </c>
      <c r="JC23" s="734">
        <f t="shared" si="734"/>
        <v>108077.508</v>
      </c>
      <c r="JD23" s="697">
        <f t="shared" si="734"/>
        <v>102966.633</v>
      </c>
      <c r="JE23" s="697">
        <f>JE9+JE15+JE21</f>
        <v>121120.758</v>
      </c>
      <c r="JF23" s="697">
        <f>JF9+JF15+JF21</f>
        <v>107119.58399999997</v>
      </c>
      <c r="JG23" s="701">
        <f>JG9+JG15+JG21</f>
        <v>0</v>
      </c>
      <c r="JH23" s="696">
        <f t="shared" si="610"/>
        <v>685194.64199999999</v>
      </c>
      <c r="JI23" s="697">
        <f t="shared" ref="JI23:JO23" si="735">JI9+JI15+JI21</f>
        <v>99083.16</v>
      </c>
      <c r="JJ23" s="697">
        <f t="shared" si="735"/>
        <v>96065.64</v>
      </c>
      <c r="JK23" s="734">
        <f t="shared" si="735"/>
        <v>99954.062999999995</v>
      </c>
      <c r="JL23" s="697">
        <f t="shared" si="735"/>
        <v>98573.90400000001</v>
      </c>
      <c r="JM23" s="697">
        <f t="shared" si="735"/>
        <v>151489.79999999999</v>
      </c>
      <c r="JN23" s="697">
        <f t="shared" si="735"/>
        <v>140028.07500000001</v>
      </c>
      <c r="JO23" s="701">
        <f t="shared" si="735"/>
        <v>0</v>
      </c>
      <c r="JP23" s="696">
        <f t="shared" si="612"/>
        <v>801141.56099999999</v>
      </c>
      <c r="JQ23" s="697">
        <f>JQ9+JQ15+JQ21</f>
        <v>118932.06599999999</v>
      </c>
      <c r="JR23" s="697">
        <f>JR9+JR15+JR21</f>
        <v>123849.693</v>
      </c>
      <c r="JS23" s="734">
        <f>JS9+JS15+JS21</f>
        <v>125784.45</v>
      </c>
      <c r="JT23" s="697">
        <f t="shared" ref="JT23:JW23" si="736">JT9+JT15+JT21</f>
        <v>124636.05</v>
      </c>
      <c r="JU23" s="697">
        <f t="shared" si="736"/>
        <v>159098.742</v>
      </c>
      <c r="JV23" s="697">
        <f t="shared" si="736"/>
        <v>148840.56</v>
      </c>
      <c r="JW23" s="701">
        <f t="shared" si="736"/>
        <v>0</v>
      </c>
      <c r="JX23" s="696">
        <f t="shared" si="614"/>
        <v>837956.39399999985</v>
      </c>
      <c r="JY23" s="697">
        <f t="shared" ref="JY23:KE23" si="737">JY9+JY15+JY21</f>
        <v>127599.318</v>
      </c>
      <c r="JZ23" s="697">
        <f t="shared" si="737"/>
        <v>139307.454</v>
      </c>
      <c r="KA23" s="734">
        <f t="shared" si="737"/>
        <v>141434.37</v>
      </c>
      <c r="KB23" s="697">
        <f t="shared" si="737"/>
        <v>127794.05100000001</v>
      </c>
      <c r="KC23" s="697">
        <f t="shared" si="737"/>
        <v>155212.20000000001</v>
      </c>
      <c r="KD23" s="697">
        <f t="shared" si="737"/>
        <v>146609.00099999999</v>
      </c>
      <c r="KE23" s="701">
        <f t="shared" si="737"/>
        <v>0</v>
      </c>
      <c r="KF23" s="696">
        <f t="shared" si="616"/>
        <v>711169.27200000011</v>
      </c>
      <c r="KG23" s="697">
        <f t="shared" ref="KG23:KM23" si="738">KG9+KG15+KG21</f>
        <v>119458.25099999999</v>
      </c>
      <c r="KH23" s="697">
        <f t="shared" si="738"/>
        <v>107005.734</v>
      </c>
      <c r="KI23" s="734">
        <f t="shared" si="738"/>
        <v>110185.713</v>
      </c>
      <c r="KJ23" s="697">
        <f t="shared" si="738"/>
        <v>105009.59700000001</v>
      </c>
      <c r="KK23" s="697">
        <f t="shared" si="738"/>
        <v>142149.15000000002</v>
      </c>
      <c r="KL23" s="697">
        <f t="shared" si="738"/>
        <v>127360.82699999999</v>
      </c>
      <c r="KM23" s="701">
        <f t="shared" si="738"/>
        <v>0</v>
      </c>
      <c r="KN23" s="696">
        <f t="shared" si="618"/>
        <v>725218.95600000001</v>
      </c>
      <c r="KO23" s="697">
        <f t="shared" ref="KO23:KU23" si="739">KO9+KO15+KO21</f>
        <v>115451.424</v>
      </c>
      <c r="KP23" s="697">
        <f t="shared" si="739"/>
        <v>111263.12999999998</v>
      </c>
      <c r="KQ23" s="734">
        <f t="shared" si="739"/>
        <v>111335.796</v>
      </c>
      <c r="KR23" s="697">
        <f t="shared" si="739"/>
        <v>108176.01300000001</v>
      </c>
      <c r="KS23" s="697">
        <f t="shared" si="739"/>
        <v>145767.59999999998</v>
      </c>
      <c r="KT23" s="697">
        <f t="shared" si="739"/>
        <v>133224.99299999999</v>
      </c>
      <c r="KU23" s="701">
        <f t="shared" si="739"/>
        <v>0</v>
      </c>
      <c r="KV23" s="696">
        <f t="shared" si="620"/>
        <v>773386.11900000006</v>
      </c>
      <c r="KW23" s="697">
        <f>KW9+KW15+KW21</f>
        <v>116476.07399999999</v>
      </c>
      <c r="KX23" s="697">
        <f t="shared" ref="KX23:LC23" si="740">KX9+KX15+KX21</f>
        <v>118464.88500000001</v>
      </c>
      <c r="KY23" s="734">
        <f t="shared" si="740"/>
        <v>120251.83499999999</v>
      </c>
      <c r="KZ23" s="697">
        <f t="shared" si="740"/>
        <v>116303.913</v>
      </c>
      <c r="LA23" s="697">
        <f t="shared" si="740"/>
        <v>150338.03400000001</v>
      </c>
      <c r="LB23" s="697">
        <f t="shared" si="740"/>
        <v>151551.378</v>
      </c>
      <c r="LC23" s="701">
        <f t="shared" si="740"/>
        <v>0</v>
      </c>
      <c r="LD23" s="696">
        <f t="shared" si="622"/>
        <v>804488.15699999989</v>
      </c>
      <c r="LE23" s="697">
        <f t="shared" ref="LE23:LK23" si="741">LE9+LE15+LE21</f>
        <v>130719.6</v>
      </c>
      <c r="LF23" s="697">
        <f t="shared" si="741"/>
        <v>119673.97200000001</v>
      </c>
      <c r="LG23" s="734">
        <f t="shared" si="741"/>
        <v>124683.27299999999</v>
      </c>
      <c r="LH23" s="697">
        <f t="shared" si="741"/>
        <v>124550.31600000002</v>
      </c>
      <c r="LI23" s="697">
        <f t="shared" si="741"/>
        <v>158672.25</v>
      </c>
      <c r="LJ23" s="697">
        <f t="shared" si="741"/>
        <v>146188.74599999998</v>
      </c>
      <c r="LK23" s="701">
        <f t="shared" si="741"/>
        <v>0</v>
      </c>
      <c r="LL23" s="696">
        <f t="shared" si="624"/>
        <v>796536.2790000001</v>
      </c>
      <c r="LM23" s="697">
        <f t="shared" ref="LM23:LS23" si="742">LM9+LM15+LM21</f>
        <v>128572.785</v>
      </c>
      <c r="LN23" s="697">
        <f t="shared" si="742"/>
        <v>125810.19</v>
      </c>
      <c r="LO23" s="734">
        <f t="shared" si="742"/>
        <v>127730.295</v>
      </c>
      <c r="LP23" s="697">
        <f t="shared" si="742"/>
        <v>113967.01800000001</v>
      </c>
      <c r="LQ23" s="697">
        <f t="shared" si="742"/>
        <v>157789.269</v>
      </c>
      <c r="LR23" s="697">
        <f t="shared" si="742"/>
        <v>142666.72200000001</v>
      </c>
      <c r="LS23" s="701">
        <f t="shared" si="742"/>
        <v>0</v>
      </c>
      <c r="LT23" s="696">
        <f t="shared" si="626"/>
        <v>717543.48600000003</v>
      </c>
      <c r="LU23" s="697">
        <f t="shared" ref="LU23:MA23" si="743">LU9+LU15+LU21</f>
        <v>119117.79</v>
      </c>
      <c r="LV23" s="697">
        <f t="shared" si="743"/>
        <v>118534.28400000001</v>
      </c>
      <c r="LW23" s="734">
        <f t="shared" si="743"/>
        <v>107961.28200000001</v>
      </c>
      <c r="LX23" s="697">
        <f t="shared" si="743"/>
        <v>101721.51000000001</v>
      </c>
      <c r="LY23" s="697">
        <f t="shared" si="743"/>
        <v>141236.96399999998</v>
      </c>
      <c r="LZ23" s="697">
        <f t="shared" si="743"/>
        <v>128971.65599999999</v>
      </c>
      <c r="MA23" s="701">
        <f t="shared" si="743"/>
        <v>0</v>
      </c>
      <c r="MB23" s="696">
        <f t="shared" si="628"/>
        <v>744371.39700000011</v>
      </c>
      <c r="MC23" s="697">
        <f t="shared" ref="MC23:MI23" si="744">MC9+MC15+MC21</f>
        <v>118688.823</v>
      </c>
      <c r="MD23" s="697">
        <f t="shared" si="744"/>
        <v>121031.45999999999</v>
      </c>
      <c r="ME23" s="734">
        <f t="shared" si="744"/>
        <v>107880.29999999999</v>
      </c>
      <c r="MF23" s="697">
        <f t="shared" si="744"/>
        <v>104420.052</v>
      </c>
      <c r="MG23" s="697">
        <f t="shared" si="744"/>
        <v>148932.432</v>
      </c>
      <c r="MH23" s="697">
        <f t="shared" si="744"/>
        <v>143418.33000000002</v>
      </c>
      <c r="MI23" s="701">
        <f t="shared" si="744"/>
        <v>0</v>
      </c>
      <c r="MJ23" s="696">
        <f t="shared" si="630"/>
        <v>693184.93200000003</v>
      </c>
      <c r="MK23" s="697">
        <f t="shared" ref="MK23:MQ23" si="745">MK9+MK15+MK21</f>
        <v>125005.617</v>
      </c>
      <c r="ML23" s="697">
        <f t="shared" si="745"/>
        <v>0</v>
      </c>
      <c r="MM23" s="734">
        <f t="shared" si="745"/>
        <v>121708.818</v>
      </c>
      <c r="MN23" s="697">
        <f t="shared" si="745"/>
        <v>128640.501</v>
      </c>
      <c r="MO23" s="697">
        <f t="shared" si="745"/>
        <v>161638.68599999999</v>
      </c>
      <c r="MP23" s="697">
        <f>MP9+MP15+MP21</f>
        <v>156191.31</v>
      </c>
      <c r="MQ23" s="701">
        <f t="shared" si="745"/>
        <v>0</v>
      </c>
      <c r="MR23" s="696">
        <f t="shared" si="632"/>
        <v>716885.63099999994</v>
      </c>
      <c r="MS23" s="697">
        <f t="shared" ref="MS23:MY23" si="746">MS9+MS15+MS21</f>
        <v>135265.185</v>
      </c>
      <c r="MT23" s="697">
        <f t="shared" si="746"/>
        <v>145003.71600000001</v>
      </c>
      <c r="MU23" s="734">
        <f t="shared" si="746"/>
        <v>123985.22400000002</v>
      </c>
      <c r="MV23" s="697">
        <f t="shared" si="746"/>
        <v>155714.52599999998</v>
      </c>
      <c r="MW23" s="697">
        <f>MW9+MW15+MW21</f>
        <v>0</v>
      </c>
      <c r="MX23" s="697">
        <f>MX9+MX15+MX21</f>
        <v>156916.97999999998</v>
      </c>
      <c r="MY23" s="701">
        <f t="shared" si="746"/>
        <v>0</v>
      </c>
      <c r="MZ23" s="696">
        <f t="shared" si="634"/>
        <v>794319.39060619264</v>
      </c>
      <c r="NA23" s="697">
        <f t="shared" ref="NA23:NG23" si="747">NA9+NA15+NA21</f>
        <v>130788.62160619271</v>
      </c>
      <c r="NB23" s="697">
        <f t="shared" si="747"/>
        <v>131411.41199999998</v>
      </c>
      <c r="NC23" s="734">
        <f t="shared" si="747"/>
        <v>129224.70000000001</v>
      </c>
      <c r="ND23" s="697">
        <f t="shared" si="747"/>
        <v>111629.628</v>
      </c>
      <c r="NE23" s="697">
        <f t="shared" si="747"/>
        <v>148854.61799999999</v>
      </c>
      <c r="NF23" s="697">
        <f t="shared" si="747"/>
        <v>142410.41099999999</v>
      </c>
      <c r="NG23" s="701">
        <f t="shared" si="747"/>
        <v>0</v>
      </c>
      <c r="NH23" s="696">
        <f t="shared" si="636"/>
        <v>882862.59600000002</v>
      </c>
      <c r="NI23" s="697">
        <f t="shared" ref="NI23:NO23" si="748">NI9+NI15+NI21</f>
        <v>128185.2</v>
      </c>
      <c r="NJ23" s="697">
        <f t="shared" si="748"/>
        <v>133771.07699999999</v>
      </c>
      <c r="NK23" s="734">
        <f t="shared" si="748"/>
        <v>133767.41399999999</v>
      </c>
      <c r="NL23" s="697">
        <f t="shared" si="748"/>
        <v>128027.493</v>
      </c>
      <c r="NM23" s="697">
        <f t="shared" si="748"/>
        <v>175080.31200000001</v>
      </c>
      <c r="NN23" s="697">
        <f t="shared" si="748"/>
        <v>184031.1</v>
      </c>
      <c r="NO23" s="701">
        <f t="shared" si="748"/>
        <v>0</v>
      </c>
      <c r="NP23" s="911">
        <f>SUM(NQ23:NW23)</f>
        <v>1016222.883</v>
      </c>
      <c r="NQ23" s="697">
        <v>153569</v>
      </c>
      <c r="NR23" s="697">
        <v>171239</v>
      </c>
      <c r="NS23" s="734">
        <v>176185</v>
      </c>
      <c r="NT23" s="734">
        <v>166668</v>
      </c>
      <c r="NU23" s="697">
        <v>181369</v>
      </c>
      <c r="NV23" s="697">
        <f t="shared" ref="NV23:NW23" si="749">NV9+NV15+NV21</f>
        <v>167192.883</v>
      </c>
      <c r="NW23" s="701">
        <f t="shared" si="749"/>
        <v>0</v>
      </c>
      <c r="NX23" s="696">
        <f>SUM(NY23:OE23)</f>
        <v>832666.55599999998</v>
      </c>
      <c r="NY23" s="697">
        <f>NY9+NY15+NY21</f>
        <v>142470.30600000001</v>
      </c>
      <c r="NZ23" s="697">
        <v>142850</v>
      </c>
      <c r="OA23" s="734">
        <f t="shared" ref="OA23:OE23" si="750">OA9+OA15+OA21</f>
        <v>130606.93799999999</v>
      </c>
      <c r="OB23" s="697">
        <f t="shared" si="750"/>
        <v>115624.08000000002</v>
      </c>
      <c r="OC23" s="697">
        <f t="shared" si="750"/>
        <v>155765.60999999999</v>
      </c>
      <c r="OD23" s="697">
        <f t="shared" si="750"/>
        <v>145349.622</v>
      </c>
      <c r="OE23" s="701">
        <f t="shared" si="750"/>
        <v>0</v>
      </c>
      <c r="OF23" s="696">
        <f t="shared" si="642"/>
        <v>790775.37</v>
      </c>
      <c r="OG23" s="697">
        <f t="shared" ref="OG23:OM23" si="751">OG9+OG15+OG21</f>
        <v>127856.02500000001</v>
      </c>
      <c r="OH23" s="697">
        <f t="shared" si="751"/>
        <v>135726.32699999999</v>
      </c>
      <c r="OI23" s="734">
        <f t="shared" si="751"/>
        <v>128150.15399999999</v>
      </c>
      <c r="OJ23" s="697">
        <f t="shared" si="751"/>
        <v>121391.91900000001</v>
      </c>
      <c r="OK23" s="697">
        <f t="shared" si="751"/>
        <v>143385.16499999998</v>
      </c>
      <c r="OL23" s="697">
        <f t="shared" si="751"/>
        <v>134265.78</v>
      </c>
      <c r="OM23" s="701">
        <f t="shared" si="751"/>
        <v>0</v>
      </c>
      <c r="ON23" s="696">
        <f t="shared" si="644"/>
        <v>923696.43299999996</v>
      </c>
      <c r="OO23" s="697">
        <f t="shared" ref="OO23:OU23" si="752">OO9+OO15+OO21</f>
        <v>123254.505</v>
      </c>
      <c r="OP23" s="697">
        <f t="shared" si="752"/>
        <v>141148.65600000002</v>
      </c>
      <c r="OQ23" s="734">
        <f t="shared" si="752"/>
        <v>164409.29999999999</v>
      </c>
      <c r="OR23" s="697">
        <f t="shared" si="752"/>
        <v>180055.755</v>
      </c>
      <c r="OS23" s="697">
        <f>OS9+OS15+OS21</f>
        <v>201136.51799999998</v>
      </c>
      <c r="OT23" s="697">
        <f t="shared" si="752"/>
        <v>113691.69899999999</v>
      </c>
      <c r="OU23" s="701">
        <f t="shared" si="752"/>
        <v>0</v>
      </c>
      <c r="OV23" s="696">
        <f t="shared" si="646"/>
        <v>681145.93799999997</v>
      </c>
      <c r="OW23" s="697">
        <f>OW9+OW15+OW21</f>
        <v>69139.224000000002</v>
      </c>
      <c r="OX23" s="697">
        <f t="shared" ref="OX23:PC23" si="753">OX9+OX15+OX21</f>
        <v>95963.67</v>
      </c>
      <c r="OY23" s="734">
        <f t="shared" si="753"/>
        <v>125433.39599999999</v>
      </c>
      <c r="OZ23" s="697">
        <f t="shared" si="753"/>
        <v>118828.413</v>
      </c>
      <c r="PA23" s="697">
        <f t="shared" si="753"/>
        <v>172071.10800000001</v>
      </c>
      <c r="PB23" s="697">
        <f t="shared" si="753"/>
        <v>99710.126999999979</v>
      </c>
      <c r="PC23" s="701">
        <f t="shared" si="753"/>
        <v>0</v>
      </c>
    </row>
    <row r="24" spans="1:420" ht="15" hidden="1" outlineLevel="1" thickBot="1" x14ac:dyDescent="0.35">
      <c r="B24" s="982" t="s">
        <v>159</v>
      </c>
      <c r="C24" s="680" t="s">
        <v>258</v>
      </c>
      <c r="D24" s="691">
        <f t="shared" si="548"/>
        <v>0</v>
      </c>
      <c r="E24" s="663">
        <f>INDEX(DB!$3:$367,MATCH(E$2,DB!$D$3:$D$367),48)</f>
        <v>0</v>
      </c>
      <c r="F24" s="663">
        <f>INDEX(DB!$3:$367,MATCH(F$2,DB!$D$3:$D$367),48)</f>
        <v>0</v>
      </c>
      <c r="G24" s="663">
        <f>INDEX(DB!$3:$367,MATCH(G$2,DB!$D$3:$D$367),48)</f>
        <v>0</v>
      </c>
      <c r="H24" s="663">
        <f>INDEX(DB!$3:$367,MATCH(H$2,DB!$D$3:$D$367),48)</f>
        <v>0</v>
      </c>
      <c r="I24" s="663">
        <f>INDEX(DB!$3:$367,MATCH(I$2,DB!$D$3:$D$367),48)</f>
        <v>0</v>
      </c>
      <c r="J24" s="663">
        <f>INDEX(DB!$3:$367,MATCH(J$2,DB!$D$3:$D$367),48)</f>
        <v>0</v>
      </c>
      <c r="K24" s="664">
        <f>INDEX(DB!$3:$367,MATCH(K$2,DB!$D$3:$D$367),48)</f>
        <v>0</v>
      </c>
      <c r="L24" s="691">
        <f t="shared" si="550"/>
        <v>0</v>
      </c>
      <c r="M24" s="663">
        <f>INDEX(DB!$3:$367,MATCH(M$2,DB!$D$3:$D$367),48)</f>
        <v>0</v>
      </c>
      <c r="N24" s="663">
        <f>INDEX(DB!$3:$367,MATCH(N$2,DB!$D$3:$D$367),48)</f>
        <v>0</v>
      </c>
      <c r="O24" s="663">
        <f>INDEX(DB!$3:$367,MATCH(O$2,DB!$D$3:$D$367),48)</f>
        <v>0</v>
      </c>
      <c r="P24" s="663">
        <f>INDEX(DB!$3:$367,MATCH(P$2,DB!$D$3:$D$367),48)</f>
        <v>0</v>
      </c>
      <c r="Q24" s="663">
        <f>INDEX(DB!$3:$367,MATCH(Q$2,DB!$D$3:$D$367),48)</f>
        <v>0</v>
      </c>
      <c r="R24" s="663">
        <f>INDEX(DB!$3:$367,MATCH(R$2,DB!$D$3:$D$367),48)</f>
        <v>0</v>
      </c>
      <c r="S24" s="664">
        <f>INDEX(DB!$3:$367,MATCH(S$2,DB!$D$3:$D$367),48)</f>
        <v>0</v>
      </c>
      <c r="T24" s="691">
        <f t="shared" ref="T24:T25" si="754">SUM(U24:AA24)</f>
        <v>0</v>
      </c>
      <c r="U24" s="663">
        <f>INDEX(DB!$3:$367,MATCH(U$2,DB!$D$3:$D$367),48)</f>
        <v>0</v>
      </c>
      <c r="V24" s="663">
        <f>INDEX(DB!$3:$367,MATCH(V$2,DB!$D$3:$D$367),48)</f>
        <v>0</v>
      </c>
      <c r="W24" s="663">
        <f>INDEX(DB!$3:$367,MATCH(W$2,DB!$D$3:$D$367),48)</f>
        <v>0</v>
      </c>
      <c r="X24" s="663">
        <f>INDEX(DB!$3:$367,MATCH(X$2,DB!$D$3:$D$367),48)</f>
        <v>0</v>
      </c>
      <c r="Y24" s="663">
        <f>INDEX(DB!$3:$367,MATCH(Y$2,DB!$D$3:$D$367),48)</f>
        <v>0</v>
      </c>
      <c r="Z24" s="663">
        <f>INDEX(DB!$3:$367,MATCH(Z$2,DB!$D$3:$D$367),48)</f>
        <v>0</v>
      </c>
      <c r="AA24" s="664">
        <f>INDEX(DB!$3:$367,MATCH(AA$2,DB!$D$3:$D$367),48)</f>
        <v>0</v>
      </c>
      <c r="AB24" s="691">
        <f t="shared" ref="AB24:AB25" si="755">SUM(AC24:AI24)</f>
        <v>0</v>
      </c>
      <c r="AC24" s="663">
        <f>INDEX(DB!$3:$367,MATCH(AC$2,DB!$D$3:$D$367),48)</f>
        <v>0</v>
      </c>
      <c r="AD24" s="663">
        <f>INDEX(DB!$3:$367,MATCH(AD$2,DB!$D$3:$D$367),48)</f>
        <v>0</v>
      </c>
      <c r="AE24" s="663">
        <f>INDEX(DB!$3:$367,MATCH(AE$2,DB!$D$3:$D$367),48)</f>
        <v>0</v>
      </c>
      <c r="AF24" s="663">
        <f>INDEX(DB!$3:$367,MATCH(AF$2,DB!$D$3:$D$367),48)</f>
        <v>0</v>
      </c>
      <c r="AG24" s="663">
        <f>INDEX(DB!$3:$367,MATCH(AG$2,DB!$D$3:$D$367),48)</f>
        <v>0</v>
      </c>
      <c r="AH24" s="663">
        <f>INDEX(DB!$3:$367,MATCH(AH$2,DB!$D$3:$D$367),48)</f>
        <v>0</v>
      </c>
      <c r="AI24" s="664">
        <f>INDEX(DB!$3:$367,MATCH(AI$2,DB!$D$3:$D$367),48)</f>
        <v>0</v>
      </c>
      <c r="AJ24" s="691">
        <f t="shared" ref="AJ24:AJ25" si="756">SUM(AK24:AQ24)</f>
        <v>0</v>
      </c>
      <c r="AK24" s="663">
        <f>INDEX(DB!$3:$367,MATCH(AK$2,DB!$D$3:$D$367),48)</f>
        <v>0</v>
      </c>
      <c r="AL24" s="663">
        <f>INDEX(DB!$3:$367,MATCH(AL$2,DB!$D$3:$D$367),48)</f>
        <v>0</v>
      </c>
      <c r="AM24" s="663">
        <f>INDEX(DB!$3:$367,MATCH(AM$2,DB!$D$3:$D$367),48)</f>
        <v>0</v>
      </c>
      <c r="AN24" s="663">
        <f>INDEX(DB!$3:$367,MATCH(AN$2,DB!$D$3:$D$367),48)</f>
        <v>0</v>
      </c>
      <c r="AO24" s="663">
        <f>INDEX(DB!$3:$367,MATCH(AO$2,DB!$D$3:$D$367),48)</f>
        <v>0</v>
      </c>
      <c r="AP24" s="663">
        <f>INDEX(DB!$3:$367,MATCH(AP$2,DB!$D$3:$D$367),48)</f>
        <v>0</v>
      </c>
      <c r="AQ24" s="664">
        <f>INDEX(DB!$3:$367,MATCH(AQ$2,DB!$D$3:$D$367),48)</f>
        <v>0</v>
      </c>
      <c r="AR24" s="691">
        <f t="shared" ref="AR24:AR25" si="757">SUM(AS24:AY24)</f>
        <v>0</v>
      </c>
      <c r="AS24" s="663">
        <f>INDEX(DB!$3:$367,MATCH(AS$2,DB!$D$3:$D$367),48)</f>
        <v>0</v>
      </c>
      <c r="AT24" s="663">
        <f>INDEX(DB!$3:$367,MATCH(AT$2,DB!$D$3:$D$367),48)</f>
        <v>0</v>
      </c>
      <c r="AU24" s="663">
        <f>INDEX(DB!$3:$367,MATCH(AU$2,DB!$D$3:$D$367),48)</f>
        <v>0</v>
      </c>
      <c r="AV24" s="663">
        <f>INDEX(DB!$3:$367,MATCH(AV$2,DB!$D$3:$D$367),48)</f>
        <v>0</v>
      </c>
      <c r="AW24" s="663">
        <f>INDEX(DB!$3:$367,MATCH(AW$2,DB!$D$3:$D$367),48)</f>
        <v>0</v>
      </c>
      <c r="AX24" s="663">
        <f>INDEX(DB!$3:$367,MATCH(AX$2,DB!$D$3:$D$367),48)</f>
        <v>0</v>
      </c>
      <c r="AY24" s="664">
        <f>INDEX(DB!$3:$367,MATCH(AY$2,DB!$D$3:$D$367),48)</f>
        <v>0</v>
      </c>
      <c r="AZ24" s="691">
        <f t="shared" ref="AZ24:AZ25" si="758">SUM(BA24:BG24)</f>
        <v>0</v>
      </c>
      <c r="BA24" s="663">
        <f>INDEX(DB!$3:$367,MATCH(BA$2,DB!$D$3:$D$367),48)</f>
        <v>0</v>
      </c>
      <c r="BB24" s="663">
        <f>INDEX(DB!$3:$367,MATCH(BB$2,DB!$D$3:$D$367),48)</f>
        <v>0</v>
      </c>
      <c r="BC24" s="663">
        <f>INDEX(DB!$3:$367,MATCH(BC$2,DB!$D$3:$D$367),48)</f>
        <v>0</v>
      </c>
      <c r="BD24" s="663">
        <f>INDEX(DB!$3:$367,MATCH(BD$2,DB!$D$3:$D$367),48)</f>
        <v>0</v>
      </c>
      <c r="BE24" s="663">
        <f>INDEX(DB!$3:$367,MATCH(BE$2,DB!$D$3:$D$367),48)</f>
        <v>0</v>
      </c>
      <c r="BF24" s="663">
        <f>INDEX(DB!$3:$367,MATCH(BF$2,DB!$D$3:$D$367),48)</f>
        <v>0</v>
      </c>
      <c r="BG24" s="664">
        <f>INDEX(DB!$3:$367,MATCH(BG$2,DB!$D$3:$D$367),48)</f>
        <v>0</v>
      </c>
      <c r="BH24" s="691">
        <f t="shared" ref="BH24:BH25" si="759">SUM(BI24:BO24)</f>
        <v>0</v>
      </c>
      <c r="BI24" s="663">
        <f>INDEX(DB!$3:$367,MATCH(BI$2,DB!$D$3:$D$367),48)</f>
        <v>0</v>
      </c>
      <c r="BJ24" s="663">
        <f>INDEX(DB!$3:$367,MATCH(BJ$2,DB!$D$3:$D$367),48)</f>
        <v>0</v>
      </c>
      <c r="BK24" s="663">
        <f>INDEX(DB!$3:$367,MATCH(BK$2,DB!$D$3:$D$367),48)</f>
        <v>0</v>
      </c>
      <c r="BL24" s="663">
        <f>INDEX(DB!$3:$367,MATCH(BL$2,DB!$D$3:$D$367),48)</f>
        <v>0</v>
      </c>
      <c r="BM24" s="663">
        <f>INDEX(DB!$3:$367,MATCH(BM$2,DB!$D$3:$D$367),48)</f>
        <v>0</v>
      </c>
      <c r="BN24" s="663">
        <f>INDEX(DB!$3:$367,MATCH(BN$2,DB!$D$3:$D$367),48)</f>
        <v>0</v>
      </c>
      <c r="BO24" s="664">
        <f>INDEX(DB!$3:$367,MATCH(BO$2,DB!$D$3:$D$367),48)</f>
        <v>0</v>
      </c>
      <c r="BP24" s="691">
        <f t="shared" ref="BP24:BP25" si="760">SUM(BQ24:BW24)</f>
        <v>0</v>
      </c>
      <c r="BQ24" s="663">
        <f>INDEX(DB!$3:$367,MATCH(BQ$2,DB!$D$3:$D$367),48)</f>
        <v>0</v>
      </c>
      <c r="BR24" s="663">
        <f>INDEX(DB!$3:$367,MATCH(BR$2,DB!$D$3:$D$367),48)</f>
        <v>0</v>
      </c>
      <c r="BS24" s="663">
        <f>INDEX(DB!$3:$367,MATCH(BS$2,DB!$D$3:$D$367),48)</f>
        <v>0</v>
      </c>
      <c r="BT24" s="663">
        <f>INDEX(DB!$3:$367,MATCH(BT$2,DB!$D$3:$D$367),48)</f>
        <v>0</v>
      </c>
      <c r="BU24" s="663">
        <f>INDEX(DB!$3:$367,MATCH(BU$2,DB!$D$3:$D$367),48)</f>
        <v>0</v>
      </c>
      <c r="BV24" s="663">
        <f>INDEX(DB!$3:$367,MATCH(BV$2,DB!$D$3:$D$367),48)</f>
        <v>0</v>
      </c>
      <c r="BW24" s="664">
        <f>INDEX(DB!$3:$367,MATCH(BW$2,DB!$D$3:$D$367),48)</f>
        <v>0</v>
      </c>
      <c r="BX24" s="691">
        <f t="shared" ref="BX24:BX25" si="761">SUM(BY24:CE24)</f>
        <v>0</v>
      </c>
      <c r="BY24" s="663">
        <f>INDEX(DB!$3:$367,MATCH(BY$2,DB!$D$3:$D$367),48)</f>
        <v>0</v>
      </c>
      <c r="BZ24" s="663">
        <f>INDEX(DB!$3:$367,MATCH(BZ$2,DB!$D$3:$D$367),48)</f>
        <v>0</v>
      </c>
      <c r="CA24" s="663">
        <f>INDEX(DB!$3:$367,MATCH(CA$2,DB!$D$3:$D$367),48)</f>
        <v>0</v>
      </c>
      <c r="CB24" s="663">
        <f>INDEX(DB!$3:$367,MATCH(CB$2,DB!$D$3:$D$367),48)</f>
        <v>0</v>
      </c>
      <c r="CC24" s="663">
        <f>INDEX(DB!$3:$367,MATCH(CC$2,DB!$D$3:$D$367),48)</f>
        <v>0</v>
      </c>
      <c r="CD24" s="663">
        <f>INDEX(DB!$3:$367,MATCH(CD$2,DB!$D$3:$D$367),48)</f>
        <v>0</v>
      </c>
      <c r="CE24" s="664">
        <f>INDEX(DB!$3:$367,MATCH(CE$2,DB!$D$3:$D$367),48)</f>
        <v>0</v>
      </c>
      <c r="CF24" s="691">
        <f t="shared" ref="CF24:CF25" si="762">SUM(CG24:CM24)</f>
        <v>0</v>
      </c>
      <c r="CG24" s="663">
        <f>INDEX(DB!$3:$367,MATCH(CG$2,DB!$D$3:$D$367),48)</f>
        <v>0</v>
      </c>
      <c r="CH24" s="663">
        <f>INDEX(DB!$3:$367,MATCH(CH$2,DB!$D$3:$D$367),48)</f>
        <v>0</v>
      </c>
      <c r="CI24" s="663">
        <f>INDEX(DB!$3:$367,MATCH(CI$2,DB!$D$3:$D$367),48)</f>
        <v>0</v>
      </c>
      <c r="CJ24" s="663">
        <f>INDEX(DB!$3:$367,MATCH(CJ$2,DB!$D$3:$D$367),48)</f>
        <v>0</v>
      </c>
      <c r="CK24" s="663">
        <f>INDEX(DB!$3:$367,MATCH(CK$2,DB!$D$3:$D$367),48)</f>
        <v>0</v>
      </c>
      <c r="CL24" s="663">
        <f>INDEX(DB!$3:$367,MATCH(CL$2,DB!$D$3:$D$367),48)</f>
        <v>0</v>
      </c>
      <c r="CM24" s="664">
        <f>INDEX(DB!$3:$367,MATCH(CM$2,DB!$D$3:$D$367),48)</f>
        <v>0</v>
      </c>
      <c r="CN24" s="691">
        <f t="shared" ref="CN24:CN25" si="763">SUM(CO24:CU24)</f>
        <v>0</v>
      </c>
      <c r="CO24" s="663">
        <f>INDEX(DB!$3:$367,MATCH(CO$2,DB!$D$3:$D$367),48)</f>
        <v>0</v>
      </c>
      <c r="CP24" s="663">
        <f>INDEX(DB!$3:$367,MATCH(CP$2,DB!$D$3:$D$367),48)</f>
        <v>0</v>
      </c>
      <c r="CQ24" s="663">
        <f>INDEX(DB!$3:$367,MATCH(CQ$2,DB!$D$3:$D$367),48)</f>
        <v>0</v>
      </c>
      <c r="CR24" s="663">
        <f>INDEX(DB!$3:$367,MATCH(CR$2,DB!$D$3:$D$367),48)</f>
        <v>0</v>
      </c>
      <c r="CS24" s="663">
        <f>INDEX(DB!$3:$367,MATCH(CS$2,DB!$D$3:$D$367),48)</f>
        <v>0</v>
      </c>
      <c r="CT24" s="663">
        <f>INDEX(DB!$3:$367,MATCH(CT$2,DB!$D$3:$D$367),48)</f>
        <v>0</v>
      </c>
      <c r="CU24" s="664">
        <f>INDEX(DB!$3:$367,MATCH(CU$2,DB!$D$3:$D$367),48)</f>
        <v>0</v>
      </c>
      <c r="CV24" s="691">
        <f t="shared" ref="CV24:CV25" si="764">SUM(CW24:DC24)</f>
        <v>0</v>
      </c>
      <c r="CW24" s="663">
        <f>INDEX(DB!$3:$367,MATCH(CW$2,DB!$D$3:$D$367),48)</f>
        <v>0</v>
      </c>
      <c r="CX24" s="663">
        <f>INDEX(DB!$3:$367,MATCH(CX$2,DB!$D$3:$D$367),48)</f>
        <v>0</v>
      </c>
      <c r="CY24" s="663">
        <f>INDEX(DB!$3:$367,MATCH(CY$2,DB!$D$3:$D$367),48)</f>
        <v>0</v>
      </c>
      <c r="CZ24" s="663">
        <f>INDEX(DB!$3:$367,MATCH(CZ$2,DB!$D$3:$D$367),48)</f>
        <v>0</v>
      </c>
      <c r="DA24" s="663">
        <f>INDEX(DB!$3:$367,MATCH(DA$2,DB!$D$3:$D$367),48)</f>
        <v>0</v>
      </c>
      <c r="DB24" s="663">
        <f>INDEX(DB!$3:$367,MATCH(DB$2,DB!$D$3:$D$367),48)</f>
        <v>0</v>
      </c>
      <c r="DC24" s="664">
        <f>INDEX(DB!$3:$367,MATCH(DC$2,DB!$D$3:$D$367),48)</f>
        <v>0</v>
      </c>
      <c r="DD24" s="691">
        <f t="shared" ref="DD24:DD25" si="765">SUM(DE24:DK24)</f>
        <v>0</v>
      </c>
      <c r="DE24" s="663">
        <f>INDEX(DB!$3:$367,MATCH(DE$2,DB!$D$3:$D$367),48)</f>
        <v>0</v>
      </c>
      <c r="DF24" s="663">
        <f>INDEX(DB!$3:$367,MATCH(DF$2,DB!$D$3:$D$367),48)</f>
        <v>0</v>
      </c>
      <c r="DG24" s="663">
        <f>INDEX(DB!$3:$367,MATCH(DG$2,DB!$D$3:$D$367),48)</f>
        <v>0</v>
      </c>
      <c r="DH24" s="663">
        <f>INDEX(DB!$3:$367,MATCH(DH$2,DB!$D$3:$D$367),48)</f>
        <v>0</v>
      </c>
      <c r="DI24" s="663">
        <f>INDEX(DB!$3:$367,MATCH(DI$2,DB!$D$3:$D$367),48)</f>
        <v>0</v>
      </c>
      <c r="DJ24" s="663">
        <f>INDEX(DB!$3:$367,MATCH(DJ$2,DB!$D$3:$D$367),48)</f>
        <v>0</v>
      </c>
      <c r="DK24" s="664">
        <f>INDEX(DB!$3:$367,MATCH(DK$2,DB!$D$3:$D$367),48)</f>
        <v>0</v>
      </c>
      <c r="DL24" s="691">
        <f t="shared" ref="DL24:DL25" si="766">SUM(DM24:DS24)</f>
        <v>0</v>
      </c>
      <c r="DM24" s="663">
        <f>INDEX(DB!$3:$367,MATCH(DM$2,DB!$D$3:$D$367),48)</f>
        <v>0</v>
      </c>
      <c r="DN24" s="663">
        <f>INDEX(DB!$3:$367,MATCH(DN$2,DB!$D$3:$D$367),48)</f>
        <v>0</v>
      </c>
      <c r="DO24" s="663">
        <f>INDEX(DB!$3:$367,MATCH(DO$2,DB!$D$3:$D$367),48)</f>
        <v>0</v>
      </c>
      <c r="DP24" s="663">
        <f>INDEX(DB!$3:$367,MATCH(DP$2,DB!$D$3:$D$367),48)</f>
        <v>0</v>
      </c>
      <c r="DQ24" s="663">
        <f>INDEX(DB!$3:$367,MATCH(DQ$2,DB!$D$3:$D$367),48)</f>
        <v>0</v>
      </c>
      <c r="DR24" s="663">
        <f>INDEX(DB!$3:$367,MATCH(DR$2,DB!$D$3:$D$367),48)</f>
        <v>0</v>
      </c>
      <c r="DS24" s="664">
        <f>INDEX(DB!$3:$367,MATCH(DS$2,DB!$D$3:$D$367),48)</f>
        <v>0</v>
      </c>
      <c r="DT24" s="691">
        <f t="shared" ref="DT24:DT25" si="767">SUM(DU24:EA24)</f>
        <v>0</v>
      </c>
      <c r="DU24" s="663">
        <f>INDEX(DB!$3:$367,MATCH(DU$2,DB!$D$3:$D$367),48)</f>
        <v>0</v>
      </c>
      <c r="DV24" s="663">
        <f>INDEX(DB!$3:$367,MATCH(DV$2,DB!$D$3:$D$367),48)</f>
        <v>0</v>
      </c>
      <c r="DW24" s="663">
        <f>INDEX(DB!$3:$367,MATCH(DW$2,DB!$D$3:$D$367),48)</f>
        <v>0</v>
      </c>
      <c r="DX24" s="663">
        <f>INDEX(DB!$3:$367,MATCH(DX$2,DB!$D$3:$D$367),48)</f>
        <v>0</v>
      </c>
      <c r="DY24" s="663">
        <f>INDEX(DB!$3:$367,MATCH(DY$2,DB!$D$3:$D$367),48)</f>
        <v>0</v>
      </c>
      <c r="DZ24" s="663">
        <f>INDEX(DB!$3:$367,MATCH(DZ$2,DB!$D$3:$D$367),48)</f>
        <v>0</v>
      </c>
      <c r="EA24" s="664">
        <f>INDEX(DB!$3:$367,MATCH(EA$2,DB!$D$3:$D$367),48)</f>
        <v>0</v>
      </c>
      <c r="EB24" s="691">
        <f t="shared" ref="EB24:EB25" si="768">SUM(EC24:EI24)</f>
        <v>0</v>
      </c>
      <c r="EC24" s="663">
        <f>INDEX(DB!$3:$367,MATCH(EC$2,DB!$D$3:$D$367),48)</f>
        <v>0</v>
      </c>
      <c r="ED24" s="663">
        <f>INDEX(DB!$3:$367,MATCH(ED$2,DB!$D$3:$D$367),48)</f>
        <v>0</v>
      </c>
      <c r="EE24" s="663">
        <f>INDEX(DB!$3:$367,MATCH(EE$2,DB!$D$3:$D$367),48)</f>
        <v>0</v>
      </c>
      <c r="EF24" s="663">
        <f>INDEX(DB!$3:$367,MATCH(EF$2,DB!$D$3:$D$367),48)</f>
        <v>0</v>
      </c>
      <c r="EG24" s="663">
        <f>INDEX(DB!$3:$367,MATCH(EG$2,DB!$D$3:$D$367),48)</f>
        <v>0</v>
      </c>
      <c r="EH24" s="663">
        <f>INDEX(DB!$3:$367,MATCH(EH$2,DB!$D$3:$D$367),48)</f>
        <v>0</v>
      </c>
      <c r="EI24" s="664">
        <f>INDEX(DB!$3:$367,MATCH(EI$2,DB!$D$3:$D$367),48)</f>
        <v>0</v>
      </c>
      <c r="EJ24" s="691">
        <f t="shared" ref="EJ24:EJ25" si="769">SUM(EK24:EQ24)</f>
        <v>0</v>
      </c>
      <c r="EK24" s="663">
        <f>INDEX(DB!$3:$367,MATCH(EK$2,DB!$D$3:$D$367),48)</f>
        <v>0</v>
      </c>
      <c r="EL24" s="663">
        <f>INDEX(DB!$3:$367,MATCH(EL$2,DB!$D$3:$D$367),48)</f>
        <v>0</v>
      </c>
      <c r="EM24" s="663">
        <f>INDEX(DB!$3:$367,MATCH(EM$2,DB!$D$3:$D$367),48)</f>
        <v>0</v>
      </c>
      <c r="EN24" s="663">
        <f>INDEX(DB!$3:$367,MATCH(EN$2,DB!$D$3:$D$367),48)</f>
        <v>0</v>
      </c>
      <c r="EO24" s="663">
        <f>INDEX(DB!$3:$367,MATCH(EO$2,DB!$D$3:$D$367),48)</f>
        <v>0</v>
      </c>
      <c r="EP24" s="663">
        <f>INDEX(DB!$3:$367,MATCH(EP$2,DB!$D$3:$D$367),48)</f>
        <v>0</v>
      </c>
      <c r="EQ24" s="664">
        <f>INDEX(DB!$3:$367,MATCH(EQ$2,DB!$D$3:$D$367),48)</f>
        <v>0</v>
      </c>
      <c r="ER24" s="691">
        <f t="shared" ref="ER24:ER25" si="770">SUM(ES24:EY24)</f>
        <v>0</v>
      </c>
      <c r="ES24" s="663">
        <f>INDEX(DB!$3:$367,MATCH(ES$2,DB!$D$3:$D$367),48)</f>
        <v>0</v>
      </c>
      <c r="ET24" s="663">
        <f>INDEX(DB!$3:$367,MATCH(ET$2,DB!$D$3:$D$367),48)</f>
        <v>0</v>
      </c>
      <c r="EU24" s="663">
        <f>INDEX(DB!$3:$367,MATCH(EU$2,DB!$D$3:$D$367),48)</f>
        <v>0</v>
      </c>
      <c r="EV24" s="663">
        <f>INDEX(DB!$3:$367,MATCH(EV$2,DB!$D$3:$D$367),48)</f>
        <v>0</v>
      </c>
      <c r="EW24" s="663">
        <f>INDEX(DB!$3:$367,MATCH(EW$2,DB!$D$3:$D$367),48)</f>
        <v>0</v>
      </c>
      <c r="EX24" s="663">
        <f>INDEX(DB!$3:$367,MATCH(EX$2,DB!$D$3:$D$367),48)</f>
        <v>0</v>
      </c>
      <c r="EY24" s="664">
        <f>INDEX(DB!$3:$367,MATCH(EY$2,DB!$D$3:$D$367),48)</f>
        <v>0</v>
      </c>
      <c r="EZ24" s="691">
        <f t="shared" ref="EZ24:EZ25" si="771">SUM(FA24:FG24)</f>
        <v>0</v>
      </c>
      <c r="FA24" s="663">
        <f>INDEX(DB!$3:$367,MATCH(FA$2,DB!$D$3:$D$367),48)</f>
        <v>0</v>
      </c>
      <c r="FB24" s="663">
        <f>INDEX(DB!$3:$367,MATCH(FB$2,DB!$D$3:$D$367),48)</f>
        <v>0</v>
      </c>
      <c r="FC24" s="663">
        <f>INDEX(DB!$3:$367,MATCH(FC$2,DB!$D$3:$D$367),48)</f>
        <v>0</v>
      </c>
      <c r="FD24" s="663">
        <f>INDEX(DB!$3:$367,MATCH(FD$2,DB!$D$3:$D$367),48)</f>
        <v>0</v>
      </c>
      <c r="FE24" s="663">
        <f>INDEX(DB!$3:$367,MATCH(FE$2,DB!$D$3:$D$367),48)</f>
        <v>0</v>
      </c>
      <c r="FF24" s="663">
        <f>INDEX(DB!$3:$367,MATCH(FF$2,DB!$D$3:$D$367),48)</f>
        <v>0</v>
      </c>
      <c r="FG24" s="664">
        <f>INDEX(DB!$3:$367,MATCH(FG$2,DB!$D$3:$D$367),48)</f>
        <v>0</v>
      </c>
      <c r="FH24" s="691">
        <f t="shared" ref="FH24:FH25" si="772">SUM(FI24:FO24)</f>
        <v>0</v>
      </c>
      <c r="FI24" s="663">
        <f>INDEX(DB!$3:$367,MATCH(FI$2,DB!$D$3:$D$367),48)</f>
        <v>0</v>
      </c>
      <c r="FJ24" s="663">
        <f>INDEX(DB!$3:$367,MATCH(FJ$2,DB!$D$3:$D$367),48)</f>
        <v>0</v>
      </c>
      <c r="FK24" s="663">
        <f>INDEX(DB!$3:$367,MATCH(FK$2,DB!$D$3:$D$367),48)</f>
        <v>0</v>
      </c>
      <c r="FL24" s="663">
        <f>INDEX(DB!$3:$367,MATCH(FL$2,DB!$D$3:$D$367),48)</f>
        <v>0</v>
      </c>
      <c r="FM24" s="663">
        <f>INDEX(DB!$3:$367,MATCH(FM$2,DB!$D$3:$D$367),48)</f>
        <v>0</v>
      </c>
      <c r="FN24" s="663">
        <f>INDEX(DB!$3:$367,MATCH(FN$2,DB!$D$3:$D$367),48)</f>
        <v>0</v>
      </c>
      <c r="FO24" s="664">
        <f>INDEX(DB!$3:$367,MATCH(FO$2,DB!$D$3:$D$367),48)</f>
        <v>0</v>
      </c>
      <c r="FP24" s="691">
        <f t="shared" ref="FP24:FP25" si="773">SUM(FQ24:FW24)</f>
        <v>0</v>
      </c>
      <c r="FQ24" s="663">
        <f>INDEX(DB!$3:$367,MATCH(FQ$2,DB!$D$3:$D$367),48)</f>
        <v>0</v>
      </c>
      <c r="FR24" s="663">
        <f>INDEX(DB!$3:$367,MATCH(FR$2,DB!$D$3:$D$367),48)</f>
        <v>0</v>
      </c>
      <c r="FS24" s="663">
        <f>INDEX(DB!$3:$367,MATCH(FS$2,DB!$D$3:$D$367),48)</f>
        <v>0</v>
      </c>
      <c r="FT24" s="663">
        <f>INDEX(DB!$3:$367,MATCH(FT$2,DB!$D$3:$D$367),48)</f>
        <v>0</v>
      </c>
      <c r="FU24" s="663">
        <f>INDEX(DB!$3:$367,MATCH(FU$2,DB!$D$3:$D$367),48)</f>
        <v>0</v>
      </c>
      <c r="FV24" s="663">
        <f>INDEX(DB!$3:$367,MATCH(FV$2,DB!$D$3:$D$367),48)</f>
        <v>0</v>
      </c>
      <c r="FW24" s="664">
        <f>INDEX(DB!$3:$367,MATCH(FW$2,DB!$D$3:$D$367),48)</f>
        <v>0</v>
      </c>
      <c r="FX24" s="691">
        <f t="shared" ref="FX24:FX25" si="774">SUM(FY24:GE24)</f>
        <v>0</v>
      </c>
      <c r="FY24" s="663">
        <f>INDEX(DB!$3:$367,MATCH(FY$2,DB!$D$3:$D$367),48)</f>
        <v>0</v>
      </c>
      <c r="FZ24" s="663">
        <f>INDEX(DB!$3:$367,MATCH(FZ$2,DB!$D$3:$D$367),48)</f>
        <v>0</v>
      </c>
      <c r="GA24" s="663">
        <f>INDEX(DB!$3:$367,MATCH(GA$2,DB!$D$3:$D$367),48)</f>
        <v>0</v>
      </c>
      <c r="GB24" s="663">
        <f>INDEX(DB!$3:$367,MATCH(GB$2,DB!$D$3:$D$367),48)</f>
        <v>0</v>
      </c>
      <c r="GC24" s="663">
        <f>INDEX(DB!$3:$367,MATCH(GC$2,DB!$D$3:$D$367),48)</f>
        <v>0</v>
      </c>
      <c r="GD24" s="663">
        <f>INDEX(DB!$3:$367,MATCH(GD$2,DB!$D$3:$D$367),48)</f>
        <v>0</v>
      </c>
      <c r="GE24" s="664">
        <f>INDEX(DB!$3:$367,MATCH(GE$2,DB!$D$3:$D$367),48)</f>
        <v>0</v>
      </c>
      <c r="GF24" s="691">
        <f t="shared" ref="GF24:GF25" si="775">SUM(GG24:GM24)</f>
        <v>0</v>
      </c>
      <c r="GG24" s="663">
        <f>INDEX(DB!$3:$367,MATCH(GG$2,DB!$D$3:$D$367),48)</f>
        <v>0</v>
      </c>
      <c r="GH24" s="663">
        <f>INDEX(DB!$3:$367,MATCH(GH$2,DB!$D$3:$D$367),48)</f>
        <v>0</v>
      </c>
      <c r="GI24" s="663">
        <f>INDEX(DB!$3:$367,MATCH(GI$2,DB!$D$3:$D$367),48)</f>
        <v>0</v>
      </c>
      <c r="GJ24" s="663">
        <f>INDEX(DB!$3:$367,MATCH(GJ$2,DB!$D$3:$D$367),48)</f>
        <v>0</v>
      </c>
      <c r="GK24" s="663">
        <f>INDEX(DB!$3:$367,MATCH(GK$2,DB!$D$3:$D$367),48)</f>
        <v>0</v>
      </c>
      <c r="GL24" s="663">
        <f>INDEX(DB!$3:$367,MATCH(GL$2,DB!$D$3:$D$367),48)</f>
        <v>0</v>
      </c>
      <c r="GM24" s="664">
        <f>INDEX(DB!$3:$367,MATCH(GM$2,DB!$D$3:$D$367),48)</f>
        <v>0</v>
      </c>
      <c r="GN24" s="691">
        <f t="shared" ref="GN24:GN25" si="776">SUM(GO24:GU24)</f>
        <v>0</v>
      </c>
      <c r="GO24" s="663">
        <f>INDEX(DB!$3:$367,MATCH(GO$2,DB!$D$3:$D$367),48)</f>
        <v>0</v>
      </c>
      <c r="GP24" s="663">
        <f>INDEX(DB!$3:$367,MATCH(GP$2,DB!$D$3:$D$367),48)</f>
        <v>0</v>
      </c>
      <c r="GQ24" s="663">
        <f>INDEX(DB!$3:$367,MATCH(GQ$2,DB!$D$3:$D$367),48)</f>
        <v>0</v>
      </c>
      <c r="GR24" s="663">
        <f>INDEX(DB!$3:$367,MATCH(GR$2,DB!$D$3:$D$367),48)</f>
        <v>0</v>
      </c>
      <c r="GS24" s="663">
        <f>INDEX(DB!$3:$367,MATCH(GS$2,DB!$D$3:$D$367),48)</f>
        <v>0</v>
      </c>
      <c r="GT24" s="663">
        <f>INDEX(DB!$3:$367,MATCH(GT$2,DB!$D$3:$D$367),48)</f>
        <v>0</v>
      </c>
      <c r="GU24" s="664">
        <f>INDEX(DB!$3:$367,MATCH(GU$2,DB!$D$3:$D$367),48)</f>
        <v>0</v>
      </c>
      <c r="GV24" s="691">
        <f t="shared" ref="GV24:GV25" si="777">SUM(GW24:HC24)</f>
        <v>0</v>
      </c>
      <c r="GW24" s="663">
        <f>INDEX(DB!$3:$367,MATCH(GW$2,DB!$D$3:$D$367),48)</f>
        <v>0</v>
      </c>
      <c r="GX24" s="663">
        <f>INDEX(DB!$3:$367,MATCH(GX$2,DB!$D$3:$D$367),48)</f>
        <v>0</v>
      </c>
      <c r="GY24" s="663">
        <f>INDEX(DB!$3:$367,MATCH(GY$2,DB!$D$3:$D$367),48)</f>
        <v>0</v>
      </c>
      <c r="GZ24" s="663">
        <f>INDEX(DB!$3:$367,MATCH(GZ$2,DB!$D$3:$D$367),48)</f>
        <v>0</v>
      </c>
      <c r="HA24" s="663">
        <f>INDEX(DB!$3:$367,MATCH(HA$2,DB!$D$3:$D$367),48)</f>
        <v>0</v>
      </c>
      <c r="HB24" s="663">
        <f>INDEX(DB!$3:$367,MATCH(HB$2,DB!$D$3:$D$367),48)</f>
        <v>0</v>
      </c>
      <c r="HC24" s="664">
        <f>INDEX(DB!$3:$367,MATCH(HC$2,DB!$D$3:$D$367),48)</f>
        <v>0</v>
      </c>
      <c r="HD24" s="691">
        <f t="shared" ref="HD24:HD25" si="778">SUM(HE24:HK24)</f>
        <v>0</v>
      </c>
      <c r="HE24" s="663">
        <f>INDEX(DB!$3:$367,MATCH(HE$2,DB!$D$3:$D$367),48)</f>
        <v>0</v>
      </c>
      <c r="HF24" s="663">
        <f>INDEX(DB!$3:$367,MATCH(HF$2,DB!$D$3:$D$367),48)</f>
        <v>0</v>
      </c>
      <c r="HG24" s="663">
        <f>INDEX(DB!$3:$367,MATCH(HG$2,DB!$D$3:$D$367),48)</f>
        <v>0</v>
      </c>
      <c r="HH24" s="663">
        <f>INDEX(DB!$3:$367,MATCH(HH$2,DB!$D$3:$D$367),48)</f>
        <v>0</v>
      </c>
      <c r="HI24" s="663">
        <f>INDEX(DB!$3:$367,MATCH(HI$2,DB!$D$3:$D$367),48)</f>
        <v>0</v>
      </c>
      <c r="HJ24" s="663">
        <f>INDEX(DB!$3:$367,MATCH(HJ$2,DB!$D$3:$D$367),48)</f>
        <v>0</v>
      </c>
      <c r="HK24" s="664">
        <f>INDEX(DB!$3:$367,MATCH(HK$2,DB!$D$3:$D$367),48)</f>
        <v>0</v>
      </c>
      <c r="HL24" s="691">
        <f t="shared" ref="HL24:HL25" si="779">SUM(HM24:HS24)</f>
        <v>0</v>
      </c>
      <c r="HM24" s="663">
        <f>INDEX(DB!$3:$367,MATCH(HM$2,DB!$D$3:$D$367),48)</f>
        <v>0</v>
      </c>
      <c r="HN24" s="663">
        <f>INDEX(DB!$3:$367,MATCH(HN$2,DB!$D$3:$D$367),48)</f>
        <v>0</v>
      </c>
      <c r="HO24" s="663">
        <f>INDEX(DB!$3:$367,MATCH(HO$2,DB!$D$3:$D$367),48)</f>
        <v>0</v>
      </c>
      <c r="HP24" s="663">
        <f>INDEX(DB!$3:$367,MATCH(HP$2,DB!$D$3:$D$367),48)</f>
        <v>0</v>
      </c>
      <c r="HQ24" s="663">
        <f>INDEX(DB!$3:$367,MATCH(HQ$2,DB!$D$3:$D$367),48)</f>
        <v>0</v>
      </c>
      <c r="HR24" s="663">
        <f>INDEX(DB!$3:$367,MATCH(HR$2,DB!$D$3:$D$367),48)</f>
        <v>0</v>
      </c>
      <c r="HS24" s="664">
        <f>INDEX(DB!$3:$367,MATCH(HS$2,DB!$D$3:$D$367),48)</f>
        <v>0</v>
      </c>
      <c r="HT24" s="691">
        <f t="shared" ref="HT24:HT25" si="780">SUM(HU24:IA24)</f>
        <v>0</v>
      </c>
      <c r="HU24" s="663">
        <f>INDEX(DB!$3:$367,MATCH(HU$2,DB!$D$3:$D$367),48)</f>
        <v>0</v>
      </c>
      <c r="HV24" s="663">
        <f>INDEX(DB!$3:$367,MATCH(HV$2,DB!$D$3:$D$367),48)</f>
        <v>0</v>
      </c>
      <c r="HW24" s="663">
        <f>INDEX(DB!$3:$367,MATCH(HW$2,DB!$D$3:$D$367),48)</f>
        <v>0</v>
      </c>
      <c r="HX24" s="663">
        <f>INDEX(DB!$3:$367,MATCH(HX$2,DB!$D$3:$D$367),48)</f>
        <v>0</v>
      </c>
      <c r="HY24" s="663">
        <f>INDEX(DB!$3:$367,MATCH(HY$2,DB!$D$3:$D$367),48)</f>
        <v>0</v>
      </c>
      <c r="HZ24" s="663">
        <f>INDEX(DB!$3:$367,MATCH(HZ$2,DB!$D$3:$D$367),48)</f>
        <v>0</v>
      </c>
      <c r="IA24" s="664">
        <f>INDEX(DB!$3:$367,MATCH(IA$2,DB!$D$3:$D$367),48)</f>
        <v>0</v>
      </c>
      <c r="IB24" s="691">
        <f t="shared" ref="IB24:IB25" si="781">SUM(IC24:II24)</f>
        <v>0</v>
      </c>
      <c r="IC24" s="663">
        <f>INDEX(DB!$3:$367,MATCH(IC$2,DB!$D$3:$D$367),48)</f>
        <v>0</v>
      </c>
      <c r="ID24" s="663">
        <f>INDEX(DB!$3:$367,MATCH(ID$2,DB!$D$3:$D$367),48)</f>
        <v>0</v>
      </c>
      <c r="IE24" s="663">
        <f>INDEX(DB!$3:$367,MATCH(IE$2,DB!$D$3:$D$367),48)</f>
        <v>0</v>
      </c>
      <c r="IF24" s="663">
        <f>INDEX(DB!$3:$367,MATCH(IF$2,DB!$D$3:$D$367),48)</f>
        <v>0</v>
      </c>
      <c r="IG24" s="663">
        <f>INDEX(DB!$3:$367,MATCH(IG$2,DB!$D$3:$D$367),48)</f>
        <v>0</v>
      </c>
      <c r="IH24" s="663">
        <f>INDEX(DB!$3:$367,MATCH(IH$2,DB!$D$3:$D$367),48)</f>
        <v>0</v>
      </c>
      <c r="II24" s="664">
        <f>INDEX(DB!$3:$367,MATCH(II$2,DB!$D$3:$D$367),48)</f>
        <v>0</v>
      </c>
      <c r="IJ24" s="691">
        <f t="shared" ref="IJ24:IJ25" si="782">SUM(IK24:IQ24)</f>
        <v>0</v>
      </c>
      <c r="IK24" s="663">
        <f>INDEX(DB!$3:$367,MATCH(IK$2,DB!$D$3:$D$367),48)</f>
        <v>0</v>
      </c>
      <c r="IL24" s="663">
        <f>INDEX(DB!$3:$367,MATCH(IL$2,DB!$D$3:$D$367),48)</f>
        <v>0</v>
      </c>
      <c r="IM24" s="663">
        <f>INDEX(DB!$3:$367,MATCH(IM$2,DB!$D$3:$D$367),48)</f>
        <v>0</v>
      </c>
      <c r="IN24" s="663">
        <f>INDEX(DB!$3:$367,MATCH(IN$2,DB!$D$3:$D$367),48)</f>
        <v>0</v>
      </c>
      <c r="IO24" s="663">
        <f>INDEX(DB!$3:$367,MATCH(IO$2,DB!$D$3:$D$367),48)</f>
        <v>0</v>
      </c>
      <c r="IP24" s="663">
        <f>INDEX(DB!$3:$367,MATCH(IP$2,DB!$D$3:$D$367),48)</f>
        <v>0</v>
      </c>
      <c r="IQ24" s="664">
        <f>INDEX(DB!$3:$367,MATCH(IQ$2,DB!$D$3:$D$367),48)</f>
        <v>0</v>
      </c>
      <c r="IR24" s="691">
        <f t="shared" ref="IR24:IR25" si="783">SUM(IS24:IY24)</f>
        <v>0</v>
      </c>
      <c r="IS24" s="663">
        <f>INDEX(DB!$3:$367,MATCH(IS$2,DB!$D$3:$D$367),48)</f>
        <v>0</v>
      </c>
      <c r="IT24" s="663">
        <f>INDEX(DB!$3:$367,MATCH(IT$2,DB!$D$3:$D$367),48)</f>
        <v>0</v>
      </c>
      <c r="IU24" s="663">
        <f>INDEX(DB!$3:$367,MATCH(IU$2,DB!$D$3:$D$367),48)</f>
        <v>0</v>
      </c>
      <c r="IV24" s="663">
        <f>INDEX(DB!$3:$367,MATCH(IV$2,DB!$D$3:$D$367),48)</f>
        <v>0</v>
      </c>
      <c r="IW24" s="663">
        <f>INDEX(DB!$3:$367,MATCH(IW$2,DB!$D$3:$D$367),48)</f>
        <v>0</v>
      </c>
      <c r="IX24" s="663">
        <f>INDEX(DB!$3:$367,MATCH(IX$2,DB!$D$3:$D$367),48)</f>
        <v>0</v>
      </c>
      <c r="IY24" s="664">
        <f>INDEX(DB!$3:$367,MATCH(IY$2,DB!$D$3:$D$367),48)</f>
        <v>0</v>
      </c>
      <c r="IZ24" s="691">
        <f t="shared" ref="IZ24:IZ25" si="784">SUM(JA24:JG24)</f>
        <v>0</v>
      </c>
      <c r="JA24" s="663">
        <f>INDEX(DB!$3:$367,MATCH(JA$2,DB!$D$3:$D$367),48)</f>
        <v>0</v>
      </c>
      <c r="JB24" s="663">
        <f>INDEX(DB!$3:$367,MATCH(JB$2,DB!$D$3:$D$367),48)</f>
        <v>0</v>
      </c>
      <c r="JC24" s="663">
        <f>INDEX(DB!$3:$367,MATCH(JC$2,DB!$D$3:$D$367),48)</f>
        <v>0</v>
      </c>
      <c r="JD24" s="663">
        <f>INDEX(DB!$3:$367,MATCH(JD$2,DB!$D$3:$D$367),48)</f>
        <v>0</v>
      </c>
      <c r="JE24" s="663">
        <f>INDEX(DB!$3:$367,MATCH(JE$2,DB!$D$3:$D$367),48)</f>
        <v>0</v>
      </c>
      <c r="JF24" s="663">
        <f>INDEX(DB!$3:$367,MATCH(JF$2,DB!$D$3:$D$367),48)</f>
        <v>0</v>
      </c>
      <c r="JG24" s="664">
        <f>INDEX(DB!$3:$367,MATCH(JG$2,DB!$D$3:$D$367),48)</f>
        <v>0</v>
      </c>
      <c r="JH24" s="691">
        <f t="shared" ref="JH24:JH25" si="785">SUM(JI24:JO24)</f>
        <v>0</v>
      </c>
      <c r="JI24" s="663">
        <f>INDEX(DB!$3:$367,MATCH(JI$2,DB!$D$3:$D$367),48)</f>
        <v>0</v>
      </c>
      <c r="JJ24" s="663">
        <f>INDEX(DB!$3:$367,MATCH(JJ$2,DB!$D$3:$D$367),48)</f>
        <v>0</v>
      </c>
      <c r="JK24" s="663">
        <f>INDEX(DB!$3:$367,MATCH(JK$2,DB!$D$3:$D$367),48)</f>
        <v>0</v>
      </c>
      <c r="JL24" s="663">
        <f>INDEX(DB!$3:$367,MATCH(JL$2,DB!$D$3:$D$367),48)</f>
        <v>0</v>
      </c>
      <c r="JM24" s="663">
        <f>INDEX(DB!$3:$367,MATCH(JM$2,DB!$D$3:$D$367),48)</f>
        <v>0</v>
      </c>
      <c r="JN24" s="663">
        <f>INDEX(DB!$3:$367,MATCH(JN$2,DB!$D$3:$D$367),48)</f>
        <v>0</v>
      </c>
      <c r="JO24" s="664">
        <f>INDEX(DB!$3:$367,MATCH(JO$2,DB!$D$3:$D$367),48)</f>
        <v>0</v>
      </c>
      <c r="JP24" s="691">
        <f t="shared" ref="JP24:JP25" si="786">SUM(JQ24:JW24)</f>
        <v>0</v>
      </c>
      <c r="JQ24" s="663">
        <f>INDEX(DB!$3:$367,MATCH(JQ$2,DB!$D$3:$D$367),48)</f>
        <v>0</v>
      </c>
      <c r="JR24" s="663">
        <f>INDEX(DB!$3:$367,MATCH(JR$2,DB!$D$3:$D$367),48)</f>
        <v>0</v>
      </c>
      <c r="JS24" s="663">
        <f>INDEX(DB!$3:$367,MATCH(JS$2,DB!$D$3:$D$367),48)</f>
        <v>0</v>
      </c>
      <c r="JT24" s="663">
        <f>INDEX(DB!$3:$367,MATCH(JT$2,DB!$D$3:$D$367),48)</f>
        <v>0</v>
      </c>
      <c r="JU24" s="663">
        <f>INDEX(DB!$3:$367,MATCH(JU$2,DB!$D$3:$D$367),48)</f>
        <v>0</v>
      </c>
      <c r="JV24" s="663">
        <f>INDEX(DB!$3:$367,MATCH(JV$2,DB!$D$3:$D$367),48)</f>
        <v>0</v>
      </c>
      <c r="JW24" s="664">
        <f>INDEX(DB!$3:$367,MATCH(JW$2,DB!$D$3:$D$367),48)</f>
        <v>0</v>
      </c>
      <c r="JX24" s="691">
        <f t="shared" ref="JX24:JX25" si="787">SUM(JY24:KE24)</f>
        <v>0</v>
      </c>
      <c r="JY24" s="663">
        <f>INDEX(DB!$3:$367,MATCH(JY$2,DB!$D$3:$D$367),48)</f>
        <v>0</v>
      </c>
      <c r="JZ24" s="663">
        <f>INDEX(DB!$3:$367,MATCH(JZ$2,DB!$D$3:$D$367),48)</f>
        <v>0</v>
      </c>
      <c r="KA24" s="663">
        <f>INDEX(DB!$3:$367,MATCH(KA$2,DB!$D$3:$D$367),48)</f>
        <v>0</v>
      </c>
      <c r="KB24" s="663">
        <f>INDEX(DB!$3:$367,MATCH(KB$2,DB!$D$3:$D$367),48)</f>
        <v>0</v>
      </c>
      <c r="KC24" s="663">
        <f>INDEX(DB!$3:$367,MATCH(KC$2,DB!$D$3:$D$367),48)</f>
        <v>0</v>
      </c>
      <c r="KD24" s="663">
        <f>INDEX(DB!$3:$367,MATCH(KD$2,DB!$D$3:$D$367),48)</f>
        <v>0</v>
      </c>
      <c r="KE24" s="664">
        <f>INDEX(DB!$3:$367,MATCH(KE$2,DB!$D$3:$D$367),48)</f>
        <v>0</v>
      </c>
      <c r="KF24" s="691">
        <f t="shared" ref="KF24:KF25" si="788">SUM(KG24:KM24)</f>
        <v>0</v>
      </c>
      <c r="KG24" s="663">
        <f>INDEX(DB!$3:$367,MATCH(KG$2,DB!$D$3:$D$367),48)</f>
        <v>0</v>
      </c>
      <c r="KH24" s="663">
        <f>INDEX(DB!$3:$367,MATCH(KH$2,DB!$D$3:$D$367),48)</f>
        <v>0</v>
      </c>
      <c r="KI24" s="663">
        <f>INDEX(DB!$3:$367,MATCH(KI$2,DB!$D$3:$D$367),48)</f>
        <v>0</v>
      </c>
      <c r="KJ24" s="663">
        <f>INDEX(DB!$3:$367,MATCH(KJ$2,DB!$D$3:$D$367),48)</f>
        <v>0</v>
      </c>
      <c r="KK24" s="663">
        <f>INDEX(DB!$3:$367,MATCH(KK$2,DB!$D$3:$D$367),48)</f>
        <v>0</v>
      </c>
      <c r="KL24" s="663">
        <f>INDEX(DB!$3:$367,MATCH(KL$2,DB!$D$3:$D$367),48)</f>
        <v>0</v>
      </c>
      <c r="KM24" s="664">
        <f>INDEX(DB!$3:$367,MATCH(KM$2,DB!$D$3:$D$367),48)</f>
        <v>0</v>
      </c>
      <c r="KN24" s="691">
        <f t="shared" ref="KN24:KN25" si="789">SUM(KO24:KU24)</f>
        <v>0</v>
      </c>
      <c r="KO24" s="663">
        <f>INDEX(DB!$3:$367,MATCH(KO$2,DB!$D$3:$D$367),48)</f>
        <v>0</v>
      </c>
      <c r="KP24" s="663">
        <f>INDEX(DB!$3:$367,MATCH(KP$2,DB!$D$3:$D$367),48)</f>
        <v>0</v>
      </c>
      <c r="KQ24" s="663">
        <f>INDEX(DB!$3:$367,MATCH(KQ$2,DB!$D$3:$D$367),48)</f>
        <v>0</v>
      </c>
      <c r="KR24" s="663">
        <f>INDEX(DB!$3:$367,MATCH(KR$2,DB!$D$3:$D$367),48)</f>
        <v>0</v>
      </c>
      <c r="KS24" s="663">
        <f>INDEX(DB!$3:$367,MATCH(KS$2,DB!$D$3:$D$367),48)</f>
        <v>0</v>
      </c>
      <c r="KT24" s="663">
        <f>INDEX(DB!$3:$367,MATCH(KT$2,DB!$D$3:$D$367),48)</f>
        <v>0</v>
      </c>
      <c r="KU24" s="664">
        <f>INDEX(DB!$3:$367,MATCH(KU$2,DB!$D$3:$D$367),48)</f>
        <v>0</v>
      </c>
      <c r="KV24" s="691">
        <f t="shared" ref="KV24:KV25" si="790">SUM(KW24:LC24)</f>
        <v>0</v>
      </c>
      <c r="KW24" s="663">
        <f>INDEX(DB!$3:$367,MATCH(KW$2,DB!$D$3:$D$367),48)</f>
        <v>0</v>
      </c>
      <c r="KX24" s="663">
        <f>INDEX(DB!$3:$367,MATCH(KX$2,DB!$D$3:$D$367),48)</f>
        <v>0</v>
      </c>
      <c r="KY24" s="663">
        <f>INDEX(DB!$3:$367,MATCH(KY$2,DB!$D$3:$D$367),48)</f>
        <v>0</v>
      </c>
      <c r="KZ24" s="663">
        <f>INDEX(DB!$3:$367,MATCH(KZ$2,DB!$D$3:$D$367),48)</f>
        <v>0</v>
      </c>
      <c r="LA24" s="663">
        <f>INDEX(DB!$3:$367,MATCH(LA$2,DB!$D$3:$D$367),48)</f>
        <v>0</v>
      </c>
      <c r="LB24" s="663">
        <f>INDEX(DB!$3:$367,MATCH(LB$2,DB!$D$3:$D$367),48)</f>
        <v>0</v>
      </c>
      <c r="LC24" s="664">
        <f>INDEX(DB!$3:$367,MATCH(LC$2,DB!$D$3:$D$367),48)</f>
        <v>0</v>
      </c>
      <c r="LD24" s="691">
        <f t="shared" ref="LD24:LD25" si="791">SUM(LE24:LK24)</f>
        <v>0</v>
      </c>
      <c r="LE24" s="663">
        <f>INDEX(DB!$3:$367,MATCH(LE$2,DB!$D$3:$D$367),48)</f>
        <v>0</v>
      </c>
      <c r="LF24" s="663">
        <f>INDEX(DB!$3:$367,MATCH(LF$2,DB!$D$3:$D$367),48)</f>
        <v>0</v>
      </c>
      <c r="LG24" s="663">
        <f>INDEX(DB!$3:$367,MATCH(LG$2,DB!$D$3:$D$367),48)</f>
        <v>0</v>
      </c>
      <c r="LH24" s="663">
        <f>INDEX(DB!$3:$367,MATCH(LH$2,DB!$D$3:$D$367),48)</f>
        <v>0</v>
      </c>
      <c r="LI24" s="663">
        <f>INDEX(DB!$3:$367,MATCH(LI$2,DB!$D$3:$D$367),48)</f>
        <v>0</v>
      </c>
      <c r="LJ24" s="663">
        <f>INDEX(DB!$3:$367,MATCH(LJ$2,DB!$D$3:$D$367),48)</f>
        <v>0</v>
      </c>
      <c r="LK24" s="664">
        <f>INDEX(DB!$3:$367,MATCH(LK$2,DB!$D$3:$D$367),48)</f>
        <v>0</v>
      </c>
      <c r="LL24" s="691">
        <f t="shared" ref="LL24:LL25" si="792">SUM(LM24:LS24)</f>
        <v>0</v>
      </c>
      <c r="LM24" s="663">
        <f>INDEX(DB!$3:$367,MATCH(LM$2,DB!$D$3:$D$367),48)</f>
        <v>0</v>
      </c>
      <c r="LN24" s="663">
        <f>INDEX(DB!$3:$367,MATCH(LN$2,DB!$D$3:$D$367),48)</f>
        <v>0</v>
      </c>
      <c r="LO24" s="663">
        <f>INDEX(DB!$3:$367,MATCH(LO$2,DB!$D$3:$D$367),48)</f>
        <v>0</v>
      </c>
      <c r="LP24" s="663">
        <f>INDEX(DB!$3:$367,MATCH(LP$2,DB!$D$3:$D$367),48)</f>
        <v>0</v>
      </c>
      <c r="LQ24" s="663">
        <f>INDEX(DB!$3:$367,MATCH(LQ$2,DB!$D$3:$D$367),48)</f>
        <v>0</v>
      </c>
      <c r="LR24" s="663">
        <f>INDEX(DB!$3:$367,MATCH(LR$2,DB!$D$3:$D$367),48)</f>
        <v>0</v>
      </c>
      <c r="LS24" s="664">
        <f>INDEX(DB!$3:$367,MATCH(LS$2,DB!$D$3:$D$367),48)</f>
        <v>0</v>
      </c>
      <c r="LT24" s="691">
        <f t="shared" ref="LT24:LT25" si="793">SUM(LU24:MA24)</f>
        <v>0</v>
      </c>
      <c r="LU24" s="663">
        <f>INDEX(DB!$3:$367,MATCH(LU$2,DB!$D$3:$D$367),48)</f>
        <v>0</v>
      </c>
      <c r="LV24" s="663">
        <f>INDEX(DB!$3:$367,MATCH(LV$2,DB!$D$3:$D$367),48)</f>
        <v>0</v>
      </c>
      <c r="LW24" s="663">
        <f>INDEX(DB!$3:$367,MATCH(LW$2,DB!$D$3:$D$367),48)</f>
        <v>0</v>
      </c>
      <c r="LX24" s="663">
        <f>INDEX(DB!$3:$367,MATCH(LX$2,DB!$D$3:$D$367),48)</f>
        <v>0</v>
      </c>
      <c r="LY24" s="663">
        <f>INDEX(DB!$3:$367,MATCH(LY$2,DB!$D$3:$D$367),48)</f>
        <v>0</v>
      </c>
      <c r="LZ24" s="663">
        <f>INDEX(DB!$3:$367,MATCH(LZ$2,DB!$D$3:$D$367),48)</f>
        <v>0</v>
      </c>
      <c r="MA24" s="664">
        <f>INDEX(DB!$3:$367,MATCH(MA$2,DB!$D$3:$D$367),48)</f>
        <v>0</v>
      </c>
      <c r="MB24" s="691">
        <f t="shared" ref="MB24:MB25" si="794">SUM(MC24:MI24)</f>
        <v>0</v>
      </c>
      <c r="MC24" s="663">
        <f>INDEX(DB!$3:$367,MATCH(MC$2,DB!$D$3:$D$367),48)</f>
        <v>0</v>
      </c>
      <c r="MD24" s="663">
        <f>INDEX(DB!$3:$367,MATCH(MD$2,DB!$D$3:$D$367),48)</f>
        <v>0</v>
      </c>
      <c r="ME24" s="663">
        <f>INDEX(DB!$3:$367,MATCH(ME$2,DB!$D$3:$D$367),48)</f>
        <v>0</v>
      </c>
      <c r="MF24" s="663">
        <f>INDEX(DB!$3:$367,MATCH(MF$2,DB!$D$3:$D$367),48)</f>
        <v>0</v>
      </c>
      <c r="MG24" s="663">
        <f>INDEX(DB!$3:$367,MATCH(MG$2,DB!$D$3:$D$367),48)</f>
        <v>0</v>
      </c>
      <c r="MH24" s="663">
        <f>INDEX(DB!$3:$367,MATCH(MH$2,DB!$D$3:$D$367),48)</f>
        <v>0</v>
      </c>
      <c r="MI24" s="664">
        <f>INDEX(DB!$3:$367,MATCH(MI$2,DB!$D$3:$D$367),48)</f>
        <v>0</v>
      </c>
      <c r="MJ24" s="691">
        <f t="shared" ref="MJ24:MJ25" si="795">SUM(MK24:MQ24)</f>
        <v>126821</v>
      </c>
      <c r="MK24" s="663">
        <f>INDEX(DB!$3:$367,MATCH(MK$2,DB!$D$3:$D$367),48)</f>
        <v>55499</v>
      </c>
      <c r="ML24" s="663">
        <f>INDEX(DB!$3:$367,MATCH(ML$2,DB!$D$3:$D$367),48)</f>
        <v>0</v>
      </c>
      <c r="MM24" s="663">
        <f>INDEX(DB!$3:$367,MATCH(MM$2,DB!$D$3:$D$367),48)</f>
        <v>42654</v>
      </c>
      <c r="MN24" s="663">
        <f>INDEX(DB!$3:$367,MATCH(MN$2,DB!$D$3:$D$367),48)</f>
        <v>0</v>
      </c>
      <c r="MO24" s="663">
        <f>INDEX(DB!$3:$367,MATCH(MO$2,DB!$D$3:$D$367),48)</f>
        <v>28668</v>
      </c>
      <c r="MP24" s="663">
        <f>INDEX(DB!$3:$367,MATCH(MP$2,DB!$D$3:$D$367),48)</f>
        <v>0</v>
      </c>
      <c r="MQ24" s="664">
        <f>INDEX(DB!$3:$367,MATCH(MQ$2,DB!$D$3:$D$367),48)</f>
        <v>0</v>
      </c>
      <c r="MR24" s="691">
        <f t="shared" ref="MR24:MR25" si="796">SUM(MS24:MY24)</f>
        <v>134407</v>
      </c>
      <c r="MS24" s="663">
        <f>INDEX(DB!$3:$367,MATCH(MS$2,DB!$D$3:$D$367),48)</f>
        <v>36283</v>
      </c>
      <c r="MT24" s="663">
        <f>INDEX(DB!$3:$367,MATCH(MT$2,DB!$D$3:$D$367),48)</f>
        <v>57983</v>
      </c>
      <c r="MU24" s="663">
        <f>INDEX(DB!$3:$367,MATCH(MU$2,DB!$D$3:$D$367),48)</f>
        <v>0</v>
      </c>
      <c r="MV24" s="663">
        <f>INDEX(DB!$3:$367,MATCH(MV$2,DB!$D$3:$D$367),48)</f>
        <v>40141</v>
      </c>
      <c r="MW24" s="663">
        <f>INDEX(DB!$3:$367,MATCH(MW$2,DB!$D$3:$D$367),48)</f>
        <v>0</v>
      </c>
      <c r="MX24" s="663">
        <f>INDEX(DB!$3:$367,MATCH(MX$2,DB!$D$3:$D$367),48)</f>
        <v>0</v>
      </c>
      <c r="MY24" s="664">
        <f>INDEX(DB!$3:$367,MATCH(MY$2,DB!$D$3:$D$367),48)</f>
        <v>0</v>
      </c>
      <c r="MZ24" s="691">
        <f t="shared" ref="MZ24:MZ25" si="797">SUM(NA24:NG24)</f>
        <v>50778</v>
      </c>
      <c r="NA24" s="663">
        <f>INDEX(DB!$3:$367,MATCH(NA$2,DB!$D$3:$D$367),48)</f>
        <v>37094</v>
      </c>
      <c r="NB24" s="663">
        <f>INDEX(DB!$3:$367,MATCH(NB$2,DB!$D$3:$D$367),48)</f>
        <v>0</v>
      </c>
      <c r="NC24" s="663">
        <f>INDEX(DB!$3:$367,MATCH(NC$2,DB!$D$3:$D$367),48)</f>
        <v>0</v>
      </c>
      <c r="ND24" s="663">
        <f>INDEX(DB!$3:$367,MATCH(ND$2,DB!$D$3:$D$367),48)</f>
        <v>13684</v>
      </c>
      <c r="NE24" s="663">
        <f>INDEX(DB!$3:$367,MATCH(NE$2,DB!$D$3:$D$367),48)</f>
        <v>0</v>
      </c>
      <c r="NF24" s="663">
        <f>INDEX(DB!$3:$367,MATCH(NF$2,DB!$D$3:$D$367),48)</f>
        <v>0</v>
      </c>
      <c r="NG24" s="664">
        <f>INDEX(DB!$3:$367,MATCH(NG$2,DB!$D$3:$D$367),48)</f>
        <v>0</v>
      </c>
      <c r="NH24" s="691">
        <f t="shared" ref="NH24:NH25" si="798">SUM(NI24:NO24)</f>
        <v>66065</v>
      </c>
      <c r="NI24" s="663">
        <f>INDEX(DB!$3:$367,MATCH(NI$2,DB!$D$3:$D$367),48)</f>
        <v>66065</v>
      </c>
      <c r="NJ24" s="663">
        <f>INDEX(DB!$3:$367,MATCH(NJ$2,DB!$D$3:$D$367),48)</f>
        <v>0</v>
      </c>
      <c r="NK24" s="663">
        <f>INDEX(DB!$3:$367,MATCH(NK$2,DB!$D$3:$D$367),48)</f>
        <v>0</v>
      </c>
      <c r="NL24" s="663">
        <f>INDEX(DB!$3:$367,MATCH(NL$2,DB!$D$3:$D$367),48)</f>
        <v>0</v>
      </c>
      <c r="NM24" s="663">
        <f>INDEX(DB!$3:$367,MATCH(NM$2,DB!$D$3:$D$367),48)</f>
        <v>0</v>
      </c>
      <c r="NN24" s="663">
        <f>INDEX(DB!$3:$367,MATCH(NN$2,DB!$D$3:$D$367),48)</f>
        <v>0</v>
      </c>
      <c r="NO24" s="664">
        <f>INDEX(DB!$3:$367,MATCH(NO$2,DB!$D$3:$D$367),48)</f>
        <v>0</v>
      </c>
      <c r="NP24" s="691">
        <f t="shared" ref="NP24:NP25" si="799">SUM(NQ24:NW24)</f>
        <v>101687</v>
      </c>
      <c r="NQ24" s="663">
        <f>INDEX(DB!$3:$367,MATCH(NQ$2,DB!$D$3:$D$367),48)</f>
        <v>101687</v>
      </c>
      <c r="NR24" s="663">
        <f>INDEX(DB!$3:$367,MATCH(NR$2,DB!$D$3:$D$367),48)</f>
        <v>0</v>
      </c>
      <c r="NS24" s="663">
        <f>INDEX(DB!$3:$367,MATCH(NS$2,DB!$D$3:$D$367),48)</f>
        <v>0</v>
      </c>
      <c r="NT24" s="663">
        <f>INDEX(DB!$3:$367,MATCH(NT$2,DB!$D$3:$D$367),48)</f>
        <v>0</v>
      </c>
      <c r="NU24" s="663">
        <f>INDEX(DB!$3:$367,MATCH(NU$2,DB!$D$3:$D$367),48)</f>
        <v>0</v>
      </c>
      <c r="NV24" s="663">
        <f>INDEX(DB!$3:$367,MATCH(NV$2,DB!$D$3:$D$367),48)</f>
        <v>0</v>
      </c>
      <c r="NW24" s="664">
        <f>INDEX(DB!$3:$367,MATCH(NW$2,DB!$D$3:$D$367),48)</f>
        <v>0</v>
      </c>
      <c r="NX24" s="691">
        <f t="shared" ref="NX24:NX25" si="800">SUM(NY24:OE24)</f>
        <v>47602</v>
      </c>
      <c r="NY24" s="663">
        <f>INDEX(DB!$3:$367,MATCH(NY$2,DB!$D$3:$D$367),48)</f>
        <v>47602</v>
      </c>
      <c r="NZ24" s="663">
        <f>INDEX(DB!$3:$367,MATCH(NZ$2,DB!$D$3:$D$367),48)</f>
        <v>0</v>
      </c>
      <c r="OA24" s="663">
        <f>INDEX(DB!$3:$367,MATCH(OA$2,DB!$D$3:$D$367),48)</f>
        <v>0</v>
      </c>
      <c r="OB24" s="663">
        <f>INDEX(DB!$3:$367,MATCH(OB$2,DB!$D$3:$D$367),48)</f>
        <v>0</v>
      </c>
      <c r="OC24" s="663">
        <f>INDEX(DB!$3:$367,MATCH(OC$2,DB!$D$3:$D$367),48)</f>
        <v>0</v>
      </c>
      <c r="OD24" s="663">
        <f>INDEX(DB!$3:$367,MATCH(OD$2,DB!$D$3:$D$367),48)</f>
        <v>0</v>
      </c>
      <c r="OE24" s="664">
        <f>INDEX(DB!$3:$367,MATCH(OE$2,DB!$D$3:$D$367),48)</f>
        <v>0</v>
      </c>
      <c r="OF24" s="691">
        <f t="shared" ref="OF24:OF25" si="801">SUM(OG24:OM24)</f>
        <v>75238</v>
      </c>
      <c r="OG24" s="663">
        <f>INDEX(DB!$3:$367,MATCH(OG$2,DB!$D$3:$D$367),48)</f>
        <v>75238</v>
      </c>
      <c r="OH24" s="663">
        <f>INDEX(DB!$3:$367,MATCH(OH$2,DB!$D$3:$D$367),48)</f>
        <v>0</v>
      </c>
      <c r="OI24" s="663">
        <f>INDEX(DB!$3:$367,MATCH(OI$2,DB!$D$3:$D$367),48)</f>
        <v>0</v>
      </c>
      <c r="OJ24" s="663">
        <f>INDEX(DB!$3:$367,MATCH(OJ$2,DB!$D$3:$D$367),48)</f>
        <v>0</v>
      </c>
      <c r="OK24" s="663">
        <f>INDEX(DB!$3:$367,MATCH(OK$2,DB!$D$3:$D$367),48)</f>
        <v>0</v>
      </c>
      <c r="OL24" s="663">
        <f>INDEX(DB!$3:$367,MATCH(OL$2,DB!$D$3:$D$367),48)</f>
        <v>0</v>
      </c>
      <c r="OM24" s="664">
        <f>INDEX(DB!$3:$367,MATCH(OM$2,DB!$D$3:$D$367),48)</f>
        <v>0</v>
      </c>
      <c r="ON24" s="691">
        <f t="shared" ref="ON24:ON25" si="802">SUM(OO24:OU24)</f>
        <v>0</v>
      </c>
      <c r="OO24" s="663">
        <f>INDEX(DB!$3:$367,MATCH(OO$2,DB!$D$3:$D$367),48)</f>
        <v>0</v>
      </c>
      <c r="OP24" s="663">
        <f>INDEX(DB!$3:$367,MATCH(OP$2,DB!$D$3:$D$367),48)</f>
        <v>0</v>
      </c>
      <c r="OQ24" s="663">
        <f>INDEX(DB!$3:$367,MATCH(OQ$2,DB!$D$3:$D$367),48)</f>
        <v>0</v>
      </c>
      <c r="OR24" s="663">
        <f>INDEX(DB!$3:$367,MATCH(OR$2,DB!$D$3:$D$367),48)</f>
        <v>0</v>
      </c>
      <c r="OS24" s="663">
        <f>INDEX(DB!$3:$367,MATCH(OS$2,DB!$D$3:$D$367),48)</f>
        <v>0</v>
      </c>
      <c r="OT24" s="663">
        <f>INDEX(DB!$3:$367,MATCH(OT$2,DB!$D$3:$D$367),48)</f>
        <v>0</v>
      </c>
      <c r="OU24" s="664">
        <f>INDEX(DB!$3:$367,MATCH(OU$2,DB!$D$3:$D$367),48)</f>
        <v>0</v>
      </c>
      <c r="OV24" s="691">
        <f t="shared" ref="OV24:OV25" si="803">SUM(OW24:PC24)</f>
        <v>35488</v>
      </c>
      <c r="OW24" s="663">
        <f>INDEX(DB!$3:$367,MATCH(OW$2,DB!$D$3:$D$367),48)</f>
        <v>35488</v>
      </c>
      <c r="OX24" s="663">
        <f>INDEX(DB!$3:$367,MATCH(OX$2,DB!$D$3:$D$367),48)</f>
        <v>0</v>
      </c>
      <c r="OY24" s="663">
        <f>INDEX(DB!$3:$367,MATCH(OY$2,DB!$D$3:$D$367),48)</f>
        <v>0</v>
      </c>
      <c r="OZ24" s="663">
        <f>INDEX(DB!$3:$367,MATCH(OZ$2,DB!$D$3:$D$367),48)</f>
        <v>0</v>
      </c>
      <c r="PA24" s="663">
        <f>INDEX(DB!$3:$367,MATCH(PA$2,DB!$D$3:$D$367),48)</f>
        <v>0</v>
      </c>
      <c r="PB24" s="663">
        <f>INDEX(DB!$3:$367,MATCH(PB$2,DB!$D$3:$D$367),48)</f>
        <v>0</v>
      </c>
      <c r="PC24" s="664">
        <f>INDEX(DB!$3:$367,MATCH(PC$2,DB!$D$3:$D$367),48)</f>
        <v>0</v>
      </c>
    </row>
    <row r="25" spans="1:420" ht="17.25" hidden="1" customHeight="1" outlineLevel="1" thickBot="1" x14ac:dyDescent="0.35">
      <c r="B25" s="983"/>
      <c r="C25" s="681" t="s">
        <v>259</v>
      </c>
      <c r="D25" s="692">
        <f t="shared" si="548"/>
        <v>44682.948875697999</v>
      </c>
      <c r="E25" s="665">
        <f>INDEX(DB!$3:$367,MATCH(E$2,DB!$D$3:$D$367),47)</f>
        <v>6538.2172010847999</v>
      </c>
      <c r="F25" s="665">
        <f>INDEX(DB!$3:$367,MATCH(F$2,DB!$D$3:$D$367),47)</f>
        <v>7288.0143523809411</v>
      </c>
      <c r="G25" s="665">
        <f>INDEX(DB!$3:$367,MATCH(G$2,DB!$D$3:$D$367),47)</f>
        <v>8645.1275179482418</v>
      </c>
      <c r="H25" s="665">
        <f>INDEX(DB!$3:$367,MATCH(H$2,DB!$D$3:$D$367),47)</f>
        <v>8733.4060128285691</v>
      </c>
      <c r="I25" s="665">
        <f>INDEX(DB!$3:$367,MATCH(I$2,DB!$D$3:$D$367),47)</f>
        <v>7745.5983665450649</v>
      </c>
      <c r="J25" s="665">
        <f>INDEX(DB!$3:$367,MATCH(J$2,DB!$D$3:$D$367),47)</f>
        <v>5732.5854249103895</v>
      </c>
      <c r="K25" s="666">
        <f>INDEX(DB!$3:$367,MATCH(K$2,DB!$D$3:$D$367),47)</f>
        <v>0</v>
      </c>
      <c r="L25" s="692">
        <f t="shared" si="550"/>
        <v>45588.454147885299</v>
      </c>
      <c r="M25" s="665">
        <f>INDEX(DB!$3:$367,MATCH(M$2,DB!$D$3:$D$367),47)</f>
        <v>6674.3424530892298</v>
      </c>
      <c r="N25" s="665">
        <f>INDEX(DB!$3:$367,MATCH(N$2,DB!$D$3:$D$367),47)</f>
        <v>7368.560995525716</v>
      </c>
      <c r="O25" s="665">
        <f>INDEX(DB!$3:$367,MATCH(O$2,DB!$D$3:$D$367),47)</f>
        <v>8825.1236524712003</v>
      </c>
      <c r="P25" s="665">
        <f>INDEX(DB!$3:$367,MATCH(P$2,DB!$D$3:$D$367),47)</f>
        <v>8800.7201817105852</v>
      </c>
      <c r="Q25" s="665">
        <f>INDEX(DB!$3:$367,MATCH(Q$2,DB!$D$3:$D$367),47)</f>
        <v>7906.8269408991982</v>
      </c>
      <c r="R25" s="665">
        <f>INDEX(DB!$3:$367,MATCH(R$2,DB!$D$3:$D$367),47)</f>
        <v>6012.8799241893648</v>
      </c>
      <c r="S25" s="666">
        <f>INDEX(DB!$3:$367,MATCH(S$2,DB!$D$3:$D$367),47)</f>
        <v>0</v>
      </c>
      <c r="T25" s="692">
        <f t="shared" si="754"/>
        <v>47898.30095815059</v>
      </c>
      <c r="U25" s="665">
        <f>INDEX(DB!$3:$367,MATCH(U$2,DB!$D$3:$D$367),47)</f>
        <v>6798.252876655486</v>
      </c>
      <c r="V25" s="665">
        <f>INDEX(DB!$3:$367,MATCH(V$2,DB!$D$3:$D$367),47)</f>
        <v>7432.2674146898853</v>
      </c>
      <c r="W25" s="665">
        <f>INDEX(DB!$3:$367,MATCH(W$2,DB!$D$3:$D$367),47)</f>
        <v>9383.7077690019487</v>
      </c>
      <c r="X25" s="665">
        <f>INDEX(DB!$3:$367,MATCH(X$2,DB!$D$3:$D$367),47)</f>
        <v>9901.8999507890057</v>
      </c>
      <c r="Y25" s="665">
        <f>INDEX(DB!$3:$367,MATCH(Y$2,DB!$D$3:$D$367),47)</f>
        <v>8369.9272928591017</v>
      </c>
      <c r="Z25" s="665">
        <f>INDEX(DB!$3:$367,MATCH(Z$2,DB!$D$3:$D$367),47)</f>
        <v>6012.2456541551674</v>
      </c>
      <c r="AA25" s="666">
        <f>INDEX(DB!$3:$367,MATCH(AA$2,DB!$D$3:$D$367),47)</f>
        <v>0</v>
      </c>
      <c r="AB25" s="692">
        <f t="shared" si="755"/>
        <v>48171.142825399773</v>
      </c>
      <c r="AC25" s="665">
        <f>INDEX(DB!$3:$367,MATCH(AC$2,DB!$D$3:$D$367),47)</f>
        <v>6836.97989009717</v>
      </c>
      <c r="AD25" s="665">
        <f>INDEX(DB!$3:$367,MATCH(AD$2,DB!$D$3:$D$367),47)</f>
        <v>7474.6395911572163</v>
      </c>
      <c r="AE25" s="665">
        <f>INDEX(DB!$3:$367,MATCH(AE$2,DB!$D$3:$D$367),47)</f>
        <v>9437.1623445892219</v>
      </c>
      <c r="AF25" s="665">
        <f>INDEX(DB!$3:$367,MATCH(AF$2,DB!$D$3:$D$367),47)</f>
        <v>9958.2809266360437</v>
      </c>
      <c r="AG25" s="665">
        <f>INDEX(DB!$3:$367,MATCH(AG$2,DB!$D$3:$D$367),47)</f>
        <v>8417.583836918302</v>
      </c>
      <c r="AH25" s="665">
        <f>INDEX(DB!$3:$367,MATCH(AH$2,DB!$D$3:$D$367),47)</f>
        <v>6046.4962360018162</v>
      </c>
      <c r="AI25" s="666">
        <f>INDEX(DB!$3:$367,MATCH(AI$2,DB!$D$3:$D$367),47)</f>
        <v>0</v>
      </c>
      <c r="AJ25" s="692">
        <f t="shared" si="756"/>
        <v>49011.876269716304</v>
      </c>
      <c r="AK25" s="665">
        <f>INDEX(DB!$3:$367,MATCH(AK$2,DB!$D$3:$D$367),47)</f>
        <v>6956.3247712307984</v>
      </c>
      <c r="AL25" s="665">
        <f>INDEX(DB!$3:$367,MATCH(AL$2,DB!$D$3:$D$367),47)</f>
        <v>7605.0649035700617</v>
      </c>
      <c r="AM25" s="665">
        <f>INDEX(DB!$3:$367,MATCH(AM$2,DB!$D$3:$D$367),47)</f>
        <v>9601.8672308229725</v>
      </c>
      <c r="AN25" s="665">
        <f>INDEX(DB!$3:$367,MATCH(AN$2,DB!$D$3:$D$367),47)</f>
        <v>10132.068674747577</v>
      </c>
      <c r="AO25" s="665">
        <f>INDEX(DB!$3:$367,MATCH(AO$2,DB!$D$3:$D$367),47)</f>
        <v>8564.5013484854262</v>
      </c>
      <c r="AP25" s="665">
        <f>INDEX(DB!$3:$367,MATCH(AP$2,DB!$D$3:$D$367),47)</f>
        <v>6152.0493408594648</v>
      </c>
      <c r="AQ25" s="666">
        <f>INDEX(DB!$3:$367,MATCH(AQ$2,DB!$D$3:$D$367),47)</f>
        <v>0</v>
      </c>
      <c r="AR25" s="692">
        <f t="shared" si="757"/>
        <v>49295.519385210711</v>
      </c>
      <c r="AS25" s="665">
        <f>INDEX(DB!$3:$367,MATCH(AS$2,DB!$D$3:$D$367),47)</f>
        <v>6996.5736321500253</v>
      </c>
      <c r="AT25" s="665">
        <f>INDEX(DB!$3:$367,MATCH(AT$2,DB!$D$3:$D$367),47)</f>
        <v>7649.0667791322903</v>
      </c>
      <c r="AU25" s="665">
        <f>INDEX(DB!$3:$367,MATCH(AU$2,DB!$D$3:$D$367),47)</f>
        <v>9657.4599894337352</v>
      </c>
      <c r="AV25" s="665">
        <f>INDEX(DB!$3:$367,MATCH(AV$2,DB!$D$3:$D$367),47)</f>
        <v>10190.736331490822</v>
      </c>
      <c r="AW25" s="665">
        <f>INDEX(DB!$3:$367,MATCH(AW$2,DB!$D$3:$D$367),47)</f>
        <v>8614.0613343931454</v>
      </c>
      <c r="AX25" s="665">
        <f>INDEX(DB!$3:$367,MATCH(AX$2,DB!$D$3:$D$367),47)</f>
        <v>6187.6213186106907</v>
      </c>
      <c r="AY25" s="666">
        <f>INDEX(DB!$3:$367,MATCH(AY$2,DB!$D$3:$D$367),47)</f>
        <v>0</v>
      </c>
      <c r="AZ25" s="692">
        <f t="shared" si="758"/>
        <v>46989.683411312006</v>
      </c>
      <c r="BA25" s="665">
        <f>INDEX(DB!$3:$367,MATCH(BA$2,DB!$D$3:$D$367),47)</f>
        <v>6366.1302033021602</v>
      </c>
      <c r="BB25" s="665">
        <f>INDEX(DB!$3:$367,MATCH(BB$2,DB!$D$3:$D$367),47)</f>
        <v>7274.8779899796473</v>
      </c>
      <c r="BC25" s="665">
        <f>INDEX(DB!$3:$367,MATCH(BC$2,DB!$D$3:$D$367),47)</f>
        <v>8861.1487967457724</v>
      </c>
      <c r="BD25" s="665">
        <f>INDEX(DB!$3:$367,MATCH(BD$2,DB!$D$3:$D$367),47)</f>
        <v>9230.9734840870406</v>
      </c>
      <c r="BE25" s="665">
        <f>INDEX(DB!$3:$367,MATCH(BE$2,DB!$D$3:$D$367),47)</f>
        <v>9123.6902648723881</v>
      </c>
      <c r="BF25" s="665">
        <f>INDEX(DB!$3:$367,MATCH(BF$2,DB!$D$3:$D$367),47)</f>
        <v>6132.8626723249999</v>
      </c>
      <c r="BG25" s="666">
        <f>INDEX(DB!$3:$367,MATCH(BG$2,DB!$D$3:$D$367),47)</f>
        <v>0</v>
      </c>
      <c r="BH25" s="692">
        <f t="shared" si="759"/>
        <v>46607</v>
      </c>
      <c r="BI25" s="665">
        <f>INDEX(DB!$3:$367,MATCH(BI$2,DB!$D$3:$D$367),47)</f>
        <v>6983</v>
      </c>
      <c r="BJ25" s="665">
        <f>INDEX(DB!$3:$367,MATCH(BJ$2,DB!$D$3:$D$367),47)</f>
        <v>7278</v>
      </c>
      <c r="BK25" s="665">
        <f>INDEX(DB!$3:$367,MATCH(BK$2,DB!$D$3:$D$367),47)</f>
        <v>8656</v>
      </c>
      <c r="BL25" s="665">
        <f>INDEX(DB!$3:$367,MATCH(BL$2,DB!$D$3:$D$367),47)</f>
        <v>9050</v>
      </c>
      <c r="BM25" s="665">
        <f>INDEX(DB!$3:$367,MATCH(BM$2,DB!$D$3:$D$367),47)</f>
        <v>8367</v>
      </c>
      <c r="BN25" s="665">
        <f>INDEX(DB!$3:$367,MATCH(BN$2,DB!$D$3:$D$367),47)</f>
        <v>6273</v>
      </c>
      <c r="BO25" s="666">
        <f>INDEX(DB!$3:$367,MATCH(BO$2,DB!$D$3:$D$367),47)</f>
        <v>0</v>
      </c>
      <c r="BP25" s="692">
        <f t="shared" si="760"/>
        <v>46870.551975184993</v>
      </c>
      <c r="BQ25" s="665">
        <f>INDEX(DB!$3:$367,MATCH(BQ$2,DB!$D$3:$D$367),47)</f>
        <v>6652.3958105183474</v>
      </c>
      <c r="BR25" s="665">
        <f>INDEX(DB!$3:$367,MATCH(BR$2,DB!$D$3:$D$367),47)</f>
        <v>7272.8038274952323</v>
      </c>
      <c r="BS25" s="665">
        <f>INDEX(DB!$3:$367,MATCH(BS$2,DB!$D$3:$D$367),47)</f>
        <v>9182.3945976690375</v>
      </c>
      <c r="BT25" s="665">
        <f>INDEX(DB!$3:$367,MATCH(BT$2,DB!$D$3:$D$367),47)</f>
        <v>9689.3815449980102</v>
      </c>
      <c r="BU25" s="665">
        <f>INDEX(DB!$3:$367,MATCH(BU$2,DB!$D$3:$D$367),47)</f>
        <v>8190.298780635957</v>
      </c>
      <c r="BV25" s="665">
        <f>INDEX(DB!$3:$367,MATCH(BV$2,DB!$D$3:$D$367),47)</f>
        <v>5883.2774138684053</v>
      </c>
      <c r="BW25" s="666">
        <f>INDEX(DB!$3:$367,MATCH(BW$2,DB!$D$3:$D$367),47)</f>
        <v>0</v>
      </c>
      <c r="BX25" s="692">
        <f t="shared" si="761"/>
        <v>44773.646654526201</v>
      </c>
      <c r="BY25" s="665">
        <f>INDEX(DB!$3:$367,MATCH(BY$2,DB!$D$3:$D$367),47)</f>
        <v>7060.3310317355072</v>
      </c>
      <c r="BZ25" s="665">
        <f>INDEX(DB!$3:$367,MATCH(BZ$2,DB!$D$3:$D$367),47)</f>
        <v>7184.5531522654883</v>
      </c>
      <c r="CA25" s="665">
        <f>INDEX(DB!$3:$367,MATCH(CA$2,DB!$D$3:$D$367),47)</f>
        <v>8103.7784524553281</v>
      </c>
      <c r="CB25" s="665">
        <f>INDEX(DB!$3:$367,MATCH(CB$2,DB!$D$3:$D$367),47)</f>
        <v>8175.2414978206816</v>
      </c>
      <c r="CC25" s="665">
        <f>INDEX(DB!$3:$367,MATCH(CC$2,DB!$D$3:$D$367),47)</f>
        <v>8024.4878462761317</v>
      </c>
      <c r="CD25" s="665">
        <f>INDEX(DB!$3:$367,MATCH(CD$2,DB!$D$3:$D$367),47)</f>
        <v>6225.2546739730578</v>
      </c>
      <c r="CE25" s="666">
        <f>INDEX(DB!$3:$367,MATCH(CE$2,DB!$D$3:$D$367),47)</f>
        <v>0</v>
      </c>
      <c r="CF25" s="692">
        <f t="shared" si="762"/>
        <v>44860.611847669941</v>
      </c>
      <c r="CG25" s="665">
        <f>INDEX(DB!$3:$367,MATCH(CG$2,DB!$D$3:$D$367),47)</f>
        <v>7074.0276590333933</v>
      </c>
      <c r="CH25" s="665">
        <f>INDEX(DB!$3:$367,MATCH(CH$2,DB!$D$3:$D$367),47)</f>
        <v>7198.5290566247595</v>
      </c>
      <c r="CI25" s="665">
        <f>INDEX(DB!$3:$367,MATCH(CI$2,DB!$D$3:$D$367),47)</f>
        <v>8119.5232547192154</v>
      </c>
      <c r="CJ25" s="665">
        <f>INDEX(DB!$3:$367,MATCH(CJ$2,DB!$D$3:$D$367),47)</f>
        <v>8191.1053465380992</v>
      </c>
      <c r="CK25" s="665">
        <f>INDEX(DB!$3:$367,MATCH(CK$2,DB!$D$3:$D$367),47)</f>
        <v>8040.0678702954865</v>
      </c>
      <c r="CL25" s="665">
        <f>INDEX(DB!$3:$367,MATCH(CL$2,DB!$D$3:$D$367),47)</f>
        <v>6237.3586604589873</v>
      </c>
      <c r="CM25" s="666">
        <f>INDEX(DB!$3:$367,MATCH(CM$2,DB!$D$3:$D$367),47)</f>
        <v>0</v>
      </c>
      <c r="CN25" s="692">
        <f t="shared" si="763"/>
        <v>46972.754836323438</v>
      </c>
      <c r="CO25" s="665">
        <f>INDEX(DB!$3:$367,MATCH(CO$2,DB!$D$3:$D$367),47)</f>
        <v>7013.874635052618</v>
      </c>
      <c r="CP25" s="665">
        <f>INDEX(DB!$3:$367,MATCH(CP$2,DB!$D$3:$D$367),47)</f>
        <v>7301.6939478138675</v>
      </c>
      <c r="CQ25" s="665">
        <f>INDEX(DB!$3:$367,MATCH(CQ$2,DB!$D$3:$D$367),47)</f>
        <v>8735.7087260343087</v>
      </c>
      <c r="CR25" s="665">
        <f>INDEX(DB!$3:$367,MATCH(CR$2,DB!$D$3:$D$367),47)</f>
        <v>9133.0034994402831</v>
      </c>
      <c r="CS25" s="665">
        <f>INDEX(DB!$3:$367,MATCH(CS$2,DB!$D$3:$D$367),47)</f>
        <v>8152.3709393580721</v>
      </c>
      <c r="CT25" s="665">
        <f>INDEX(DB!$3:$367,MATCH(CT$2,DB!$D$3:$D$367),47)</f>
        <v>6636.1030886242879</v>
      </c>
      <c r="CU25" s="666">
        <f>INDEX(DB!$3:$367,MATCH(CU$2,DB!$D$3:$D$367),47)</f>
        <v>0</v>
      </c>
      <c r="CV25" s="692">
        <f t="shared" si="764"/>
        <v>46700.425690392069</v>
      </c>
      <c r="CW25" s="665">
        <f>INDEX(DB!$3:$367,MATCH(CW$2,DB!$D$3:$D$367),47)</f>
        <v>7541.8355639065167</v>
      </c>
      <c r="CX25" s="665">
        <f>INDEX(DB!$3:$367,MATCH(CX$2,DB!$D$3:$D$367),47)</f>
        <v>6690.6061720484195</v>
      </c>
      <c r="CY25" s="665">
        <f>INDEX(DB!$3:$367,MATCH(CY$2,DB!$D$3:$D$367),47)</f>
        <v>8413.167056611961</v>
      </c>
      <c r="CZ25" s="665">
        <f>INDEX(DB!$3:$367,MATCH(CZ$2,DB!$D$3:$D$367),47)</f>
        <v>8541.2533587693943</v>
      </c>
      <c r="DA25" s="665">
        <f>INDEX(DB!$3:$367,MATCH(DA$2,DB!$D$3:$D$367),47)</f>
        <v>8616.6697547040785</v>
      </c>
      <c r="DB25" s="665">
        <f>INDEX(DB!$3:$367,MATCH(DB$2,DB!$D$3:$D$367),47)</f>
        <v>6896.8937843516987</v>
      </c>
      <c r="DC25" s="666">
        <f>INDEX(DB!$3:$367,MATCH(DC$2,DB!$D$3:$D$367),47)</f>
        <v>0</v>
      </c>
      <c r="DD25" s="692">
        <f t="shared" si="765"/>
        <v>45538</v>
      </c>
      <c r="DE25" s="665">
        <f>INDEX(DB!$3:$367,MATCH(DE$2,DB!$D$3:$D$367),47)</f>
        <v>6818</v>
      </c>
      <c r="DF25" s="665">
        <f>INDEX(DB!$3:$367,MATCH(DF$2,DB!$D$3:$D$367),47)</f>
        <v>6435</v>
      </c>
      <c r="DG25" s="665">
        <f>INDEX(DB!$3:$367,MATCH(DG$2,DB!$D$3:$D$367),47)</f>
        <v>8141</v>
      </c>
      <c r="DH25" s="665">
        <f>INDEX(DB!$3:$367,MATCH(DH$2,DB!$D$3:$D$367),47)</f>
        <v>8950</v>
      </c>
      <c r="DI25" s="665">
        <f>INDEX(DB!$3:$367,MATCH(DI$2,DB!$D$3:$D$367),47)</f>
        <v>8394</v>
      </c>
      <c r="DJ25" s="665">
        <f>INDEX(DB!$3:$367,MATCH(DJ$2,DB!$D$3:$D$367),47)</f>
        <v>6800</v>
      </c>
      <c r="DK25" s="666">
        <f>INDEX(DB!$3:$367,MATCH(DK$2,DB!$D$3:$D$367),47)</f>
        <v>0</v>
      </c>
      <c r="DL25" s="692">
        <f t="shared" si="766"/>
        <v>48824.290848206052</v>
      </c>
      <c r="DM25" s="665">
        <f>INDEX(DB!$3:$367,MATCH(DM$2,DB!$D$3:$D$367),47)</f>
        <v>7538.1110424483195</v>
      </c>
      <c r="DN25" s="665">
        <f>INDEX(DB!$3:$367,MATCH(DN$2,DB!$D$3:$D$367),47)</f>
        <v>6930.4188631036168</v>
      </c>
      <c r="DO25" s="665">
        <f>INDEX(DB!$3:$367,MATCH(DO$2,DB!$D$3:$D$367),47)</f>
        <v>9047.3003066393867</v>
      </c>
      <c r="DP25" s="665">
        <f>INDEX(DB!$3:$367,MATCH(DP$2,DB!$D$3:$D$367),47)</f>
        <v>9597.4140977037914</v>
      </c>
      <c r="DQ25" s="665">
        <f>INDEX(DB!$3:$367,MATCH(DQ$2,DB!$D$3:$D$367),47)</f>
        <v>9347.7324202276286</v>
      </c>
      <c r="DR25" s="665">
        <f>INDEX(DB!$3:$367,MATCH(DR$2,DB!$D$3:$D$367),47)</f>
        <v>6363.3141180833127</v>
      </c>
      <c r="DS25" s="666">
        <f>INDEX(DB!$3:$367,MATCH(DS$2,DB!$D$3:$D$367),47)</f>
        <v>0</v>
      </c>
      <c r="DT25" s="692">
        <f t="shared" si="767"/>
        <v>39353.998125750048</v>
      </c>
      <c r="DU25" s="665">
        <f>INDEX(DB!$3:$367,MATCH(DU$2,DB!$D$3:$D$367),47)</f>
        <v>0</v>
      </c>
      <c r="DV25" s="665">
        <f>INDEX(DB!$3:$367,MATCH(DV$2,DB!$D$3:$D$367),47)</f>
        <v>8292.1559189429954</v>
      </c>
      <c r="DW25" s="665">
        <f>INDEX(DB!$3:$367,MATCH(DW$2,DB!$D$3:$D$367),47)</f>
        <v>7755.4489999011794</v>
      </c>
      <c r="DX25" s="665">
        <f>INDEX(DB!$3:$367,MATCH(DX$2,DB!$D$3:$D$367),47)</f>
        <v>8689.9590758006852</v>
      </c>
      <c r="DY25" s="665">
        <f>INDEX(DB!$3:$367,MATCH(DY$2,DB!$D$3:$D$367),47)</f>
        <v>8435.4197920173829</v>
      </c>
      <c r="DZ25" s="665">
        <f>INDEX(DB!$3:$367,MATCH(DZ$2,DB!$D$3:$D$367),47)</f>
        <v>6181.0143390878038</v>
      </c>
      <c r="EA25" s="666">
        <f>INDEX(DB!$3:$367,MATCH(EA$2,DB!$D$3:$D$367),47)</f>
        <v>0</v>
      </c>
      <c r="EB25" s="692">
        <f t="shared" si="768"/>
        <v>46456.578166718798</v>
      </c>
      <c r="EC25" s="665">
        <f>INDEX(DB!$3:$367,MATCH(EC$2,DB!$D$3:$D$367),47)</f>
        <v>8316.7790192951325</v>
      </c>
      <c r="ED25" s="665">
        <f>INDEX(DB!$3:$367,MATCH(ED$2,DB!$D$3:$D$367),47)</f>
        <v>7277.3128964907737</v>
      </c>
      <c r="EE25" s="665">
        <f>INDEX(DB!$3:$367,MATCH(EE$2,DB!$D$3:$D$367),47)</f>
        <v>8097.8174573595352</v>
      </c>
      <c r="EF25" s="665">
        <f>INDEX(DB!$3:$367,MATCH(EF$2,DB!$D$3:$D$367),47)</f>
        <v>8192.5345220982272</v>
      </c>
      <c r="EG25" s="665">
        <f>INDEX(DB!$3:$367,MATCH(EG$2,DB!$D$3:$D$367),47)</f>
        <v>8096.8186365198308</v>
      </c>
      <c r="EH25" s="665">
        <f>INDEX(DB!$3:$367,MATCH(EH$2,DB!$D$3:$D$367),47)</f>
        <v>6475.3156349553001</v>
      </c>
      <c r="EI25" s="666">
        <f>INDEX(DB!$3:$367,MATCH(EI$2,DB!$D$3:$D$367),47)</f>
        <v>0</v>
      </c>
      <c r="EJ25" s="692">
        <f t="shared" si="769"/>
        <v>50757.332593135601</v>
      </c>
      <c r="EK25" s="665">
        <f>INDEX(DB!$3:$367,MATCH(EK$2,DB!$D$3:$D$367),47)</f>
        <v>9260.9962432773555</v>
      </c>
      <c r="EL25" s="665">
        <f>INDEX(DB!$3:$367,MATCH(EL$2,DB!$D$3:$D$367),47)</f>
        <v>8255.1433600234941</v>
      </c>
      <c r="EM25" s="665">
        <f>INDEX(DB!$3:$367,MATCH(EM$2,DB!$D$3:$D$367),47)</f>
        <v>8582.7962431422347</v>
      </c>
      <c r="EN25" s="665">
        <f>INDEX(DB!$3:$367,MATCH(EN$2,DB!$D$3:$D$367),47)</f>
        <v>9256.6271853913331</v>
      </c>
      <c r="EO25" s="665">
        <f>INDEX(DB!$3:$367,MATCH(EO$2,DB!$D$3:$D$367),47)</f>
        <v>8498.7973557884216</v>
      </c>
      <c r="EP25" s="665">
        <f>INDEX(DB!$3:$367,MATCH(EP$2,DB!$D$3:$D$367),47)</f>
        <v>6902.972205512755</v>
      </c>
      <c r="EQ25" s="666">
        <f>INDEX(DB!$3:$367,MATCH(EQ$2,DB!$D$3:$D$367),47)</f>
        <v>0</v>
      </c>
      <c r="ER25" s="692">
        <f t="shared" si="770"/>
        <v>52796.973812073687</v>
      </c>
      <c r="ES25" s="665">
        <f>INDEX(DB!$3:$367,MATCH(ES$2,DB!$D$3:$D$367),47)</f>
        <v>9520.348180872812</v>
      </c>
      <c r="ET25" s="665">
        <f>INDEX(DB!$3:$367,MATCH(ET$2,DB!$D$3:$D$367),47)</f>
        <v>8563.8256598803546</v>
      </c>
      <c r="EU25" s="665">
        <f>INDEX(DB!$3:$367,MATCH(EU$2,DB!$D$3:$D$367),47)</f>
        <v>9410.143486383291</v>
      </c>
      <c r="EV25" s="665">
        <f>INDEX(DB!$3:$367,MATCH(EV$2,DB!$D$3:$D$367),47)</f>
        <v>9416.6233893476328</v>
      </c>
      <c r="EW25" s="665">
        <f>INDEX(DB!$3:$367,MATCH(EW$2,DB!$D$3:$D$367),47)</f>
        <v>9183.9659234088031</v>
      </c>
      <c r="EX25" s="665">
        <f>INDEX(DB!$3:$367,MATCH(EX$2,DB!$D$3:$D$367),47)</f>
        <v>6702.0671721807958</v>
      </c>
      <c r="EY25" s="666">
        <f>INDEX(DB!$3:$367,MATCH(EY$2,DB!$D$3:$D$367),47)</f>
        <v>0</v>
      </c>
      <c r="EZ25" s="692">
        <f t="shared" si="771"/>
        <v>50763.378571824484</v>
      </c>
      <c r="FA25" s="665">
        <f>INDEX(DB!$3:$367,MATCH(FA$2,DB!$D$3:$D$367),47)</f>
        <v>9346.1289422063146</v>
      </c>
      <c r="FB25" s="665">
        <f>INDEX(DB!$3:$367,MATCH(FB$2,DB!$D$3:$D$367),47)</f>
        <v>8007.7461954979672</v>
      </c>
      <c r="FC25" s="665">
        <f>INDEX(DB!$3:$367,MATCH(FC$2,DB!$D$3:$D$367),47)</f>
        <v>8692.4915115898129</v>
      </c>
      <c r="FD25" s="665">
        <f>INDEX(DB!$3:$367,MATCH(FD$2,DB!$D$3:$D$367),47)</f>
        <v>8958.8584574387187</v>
      </c>
      <c r="FE25" s="665">
        <f>INDEX(DB!$3:$367,MATCH(FE$2,DB!$D$3:$D$367),47)</f>
        <v>8854.1769986914296</v>
      </c>
      <c r="FF25" s="665">
        <f>INDEX(DB!$3:$367,MATCH(FF$2,DB!$D$3:$D$367),47)</f>
        <v>6903.9764664002341</v>
      </c>
      <c r="FG25" s="666">
        <f>INDEX(DB!$3:$367,MATCH(FG$2,DB!$D$3:$D$367),47)</f>
        <v>0</v>
      </c>
      <c r="FH25" s="692">
        <f t="shared" si="772"/>
        <v>39501.192290968618</v>
      </c>
      <c r="FI25" s="665">
        <f>INDEX(DB!$3:$367,MATCH(FI$2,DB!$D$3:$D$367),47)</f>
        <v>10282.438484571387</v>
      </c>
      <c r="FJ25" s="665">
        <f>INDEX(DB!$3:$367,MATCH(FJ$2,DB!$D$3:$D$367),47)</f>
        <v>6846.4760197186451</v>
      </c>
      <c r="FK25" s="665">
        <f>INDEX(DB!$3:$367,MATCH(FK$2,DB!$D$3:$D$367),47)</f>
        <v>8035.3565957036199</v>
      </c>
      <c r="FL25" s="665">
        <f>INDEX(DB!$3:$367,MATCH(FL$2,DB!$D$3:$D$367),47)</f>
        <v>0</v>
      </c>
      <c r="FM25" s="665">
        <f>INDEX(DB!$3:$367,MATCH(FM$2,DB!$D$3:$D$367),47)</f>
        <v>8029.8456825904796</v>
      </c>
      <c r="FN25" s="665">
        <f>INDEX(DB!$3:$367,MATCH(FN$2,DB!$D$3:$D$367),47)</f>
        <v>6307.0755083844952</v>
      </c>
      <c r="FO25" s="666">
        <f>INDEX(DB!$3:$367,MATCH(FO$2,DB!$D$3:$D$367),47)</f>
        <v>0</v>
      </c>
      <c r="FP25" s="692">
        <f t="shared" si="773"/>
        <v>51754.243374967147</v>
      </c>
      <c r="FQ25" s="665">
        <f>INDEX(DB!$3:$367,MATCH(FQ$2,DB!$D$3:$D$367),47)</f>
        <v>9030.8726984946625</v>
      </c>
      <c r="FR25" s="665">
        <f>INDEX(DB!$3:$367,MATCH(FR$2,DB!$D$3:$D$367),47)</f>
        <v>9046.386715793562</v>
      </c>
      <c r="FS25" s="665">
        <f>INDEX(DB!$3:$367,MATCH(FS$2,DB!$D$3:$D$367),47)</f>
        <v>9000.4546603974504</v>
      </c>
      <c r="FT25" s="665">
        <f>INDEX(DB!$3:$367,MATCH(FT$2,DB!$D$3:$D$367),47)</f>
        <v>9409.8348054370254</v>
      </c>
      <c r="FU25" s="665">
        <f>INDEX(DB!$3:$367,MATCH(FU$2,DB!$D$3:$D$367),47)</f>
        <v>8519.3827268909154</v>
      </c>
      <c r="FV25" s="665">
        <f>INDEX(DB!$3:$367,MATCH(FV$2,DB!$D$3:$D$367),47)</f>
        <v>6747.311767953528</v>
      </c>
      <c r="FW25" s="666">
        <f>INDEX(DB!$3:$367,MATCH(FW$2,DB!$D$3:$D$367),47)</f>
        <v>0</v>
      </c>
      <c r="FX25" s="692">
        <f t="shared" si="774"/>
        <v>43774.172888326357</v>
      </c>
      <c r="FY25" s="665">
        <f>INDEX(DB!$3:$367,MATCH(FY$2,DB!$D$3:$D$367),47)</f>
        <v>0</v>
      </c>
      <c r="FZ25" s="665">
        <f>INDEX(DB!$3:$367,MATCH(FZ$2,DB!$D$3:$D$367),47)</f>
        <v>11065.470631748405</v>
      </c>
      <c r="GA25" s="665">
        <f>INDEX(DB!$3:$367,MATCH(GA$2,DB!$D$3:$D$367),47)</f>
        <v>8243.0843161070043</v>
      </c>
      <c r="GB25" s="665">
        <f>INDEX(DB!$3:$367,MATCH(GB$2,DB!$D$3:$D$367),47)</f>
        <v>9089.1992685223686</v>
      </c>
      <c r="GC25" s="665">
        <f>INDEX(DB!$3:$367,MATCH(GC$2,DB!$D$3:$D$367),47)</f>
        <v>8771.1305358190348</v>
      </c>
      <c r="GD25" s="665">
        <f>INDEX(DB!$3:$367,MATCH(GD$2,DB!$D$3:$D$367),47)</f>
        <v>6605.2881361295404</v>
      </c>
      <c r="GE25" s="666">
        <f>INDEX(DB!$3:$367,MATCH(GE$2,DB!$D$3:$D$367),47)</f>
        <v>0</v>
      </c>
      <c r="GF25" s="692">
        <f t="shared" si="775"/>
        <v>50820.322897658181</v>
      </c>
      <c r="GG25" s="665">
        <f>INDEX(DB!$3:$367,MATCH(GG$2,DB!$D$3:$D$367),47)</f>
        <v>8868.765225343046</v>
      </c>
      <c r="GH25" s="665">
        <f>INDEX(DB!$3:$367,MATCH(GH$2,DB!$D$3:$D$367),47)</f>
        <v>8586.1543525979723</v>
      </c>
      <c r="GI25" s="665">
        <f>INDEX(DB!$3:$367,MATCH(GI$2,DB!$D$3:$D$367),47)</f>
        <v>8838.9246519864591</v>
      </c>
      <c r="GJ25" s="665">
        <f>INDEX(DB!$3:$367,MATCH(GJ$2,DB!$D$3:$D$367),47)</f>
        <v>9121.4271774032495</v>
      </c>
      <c r="GK25" s="665">
        <f>INDEX(DB!$3:$367,MATCH(GK$2,DB!$D$3:$D$367),47)</f>
        <v>8778.8852989055922</v>
      </c>
      <c r="GL25" s="665">
        <f>INDEX(DB!$3:$367,MATCH(GL$2,DB!$D$3:$D$367),47)</f>
        <v>6626.1661914218648</v>
      </c>
      <c r="GM25" s="666">
        <f>INDEX(DB!$3:$367,MATCH(GM$2,DB!$D$3:$D$367),47)</f>
        <v>0</v>
      </c>
      <c r="GN25" s="692">
        <f t="shared" si="776"/>
        <v>50890.560830049784</v>
      </c>
      <c r="GO25" s="665">
        <f>INDEX(DB!$3:$367,MATCH(GO$2,DB!$D$3:$D$367),47)</f>
        <v>8881.0271367114146</v>
      </c>
      <c r="GP25" s="665">
        <f>INDEX(DB!$3:$367,MATCH(GP$2,DB!$D$3:$D$367),47)</f>
        <v>8598.0313168094726</v>
      </c>
      <c r="GQ25" s="665">
        <f>INDEX(DB!$3:$367,MATCH(GQ$2,DB!$D$3:$D$367),47)</f>
        <v>8851.1058158778615</v>
      </c>
      <c r="GR25" s="665">
        <f>INDEX(DB!$3:$367,MATCH(GR$2,DB!$D$3:$D$367),47)</f>
        <v>9134.0753811103787</v>
      </c>
      <c r="GS25" s="665">
        <f>INDEX(DB!$3:$367,MATCH(GS$2,DB!$D$3:$D$367),47)</f>
        <v>8791.0109284591163</v>
      </c>
      <c r="GT25" s="665">
        <f>INDEX(DB!$3:$367,MATCH(GT$2,DB!$D$3:$D$367),47)</f>
        <v>6635.3102510815406</v>
      </c>
      <c r="GU25" s="666">
        <f>INDEX(DB!$3:$367,MATCH(GU$2,DB!$D$3:$D$367),47)</f>
        <v>0</v>
      </c>
      <c r="GV25" s="692">
        <f t="shared" si="777"/>
        <v>48857.728582850235</v>
      </c>
      <c r="GW25" s="665">
        <f>INDEX(DB!$3:$367,MATCH(GW$2,DB!$D$3:$D$367),47)</f>
        <v>8526.2324849140023</v>
      </c>
      <c r="GX25" s="665">
        <f>INDEX(DB!$3:$367,MATCH(GX$2,DB!$D$3:$D$367),47)</f>
        <v>8254.6088966339757</v>
      </c>
      <c r="GY25" s="665">
        <f>INDEX(DB!$3:$367,MATCH(GY$2,DB!$D$3:$D$367),47)</f>
        <v>8497.5280959024185</v>
      </c>
      <c r="GZ25" s="665">
        <f>INDEX(DB!$3:$367,MATCH(GZ$2,DB!$D$3:$D$367),47)</f>
        <v>8769.2068606097691</v>
      </c>
      <c r="HA25" s="665">
        <f>INDEX(DB!$3:$367,MATCH(HA$2,DB!$D$3:$D$367),47)</f>
        <v>8439.8611563305913</v>
      </c>
      <c r="HB25" s="665">
        <f>INDEX(DB!$3:$367,MATCH(HB$2,DB!$D$3:$D$367),47)</f>
        <v>6370.2910884594812</v>
      </c>
      <c r="HC25" s="666">
        <f>INDEX(DB!$3:$367,MATCH(HC$2,DB!$D$3:$D$367),47)</f>
        <v>0</v>
      </c>
      <c r="HD25" s="692">
        <f t="shared" si="778"/>
        <v>42428.166228148213</v>
      </c>
      <c r="HE25" s="665">
        <f>INDEX(DB!$3:$367,MATCH(HE$2,DB!$D$3:$D$367),47)</f>
        <v>7800.4274291422325</v>
      </c>
      <c r="HF25" s="665">
        <f>INDEX(DB!$3:$367,MATCH(HF$2,DB!$D$3:$D$367),47)</f>
        <v>7637.8975299518861</v>
      </c>
      <c r="HG25" s="665">
        <f>INDEX(DB!$3:$367,MATCH(HG$2,DB!$D$3:$D$367),47)</f>
        <v>7164.4033774683412</v>
      </c>
      <c r="HH25" s="665">
        <f>INDEX(DB!$3:$367,MATCH(HH$2,DB!$D$3:$D$367),47)</f>
        <v>7227.55518389998</v>
      </c>
      <c r="HI25" s="665">
        <f>INDEX(DB!$3:$367,MATCH(HI$2,DB!$D$3:$D$367),47)</f>
        <v>7094.2687651205651</v>
      </c>
      <c r="HJ25" s="665">
        <f>INDEX(DB!$3:$367,MATCH(HJ$2,DB!$D$3:$D$367),47)</f>
        <v>5503.6139425652045</v>
      </c>
      <c r="HK25" s="666">
        <f>INDEX(DB!$3:$367,MATCH(HK$2,DB!$D$3:$D$367),47)</f>
        <v>0</v>
      </c>
      <c r="HL25" s="692">
        <f t="shared" si="779"/>
        <v>40494.578607850766</v>
      </c>
      <c r="HM25" s="665">
        <f>INDEX(DB!$3:$367,MATCH(HM$2,DB!$D$3:$D$367),47)</f>
        <v>7284.6764224032941</v>
      </c>
      <c r="HN25" s="665">
        <f>INDEX(DB!$3:$367,MATCH(HN$2,DB!$D$3:$D$367),47)</f>
        <v>6797.0084637777509</v>
      </c>
      <c r="HO25" s="665">
        <f>INDEX(DB!$3:$367,MATCH(HO$2,DB!$D$3:$D$367),47)</f>
        <v>6997.1067542364199</v>
      </c>
      <c r="HP25" s="665">
        <f>INDEX(DB!$3:$367,MATCH(HP$2,DB!$D$3:$D$367),47)</f>
        <v>7220.7665999893725</v>
      </c>
      <c r="HQ25" s="665">
        <f>INDEX(DB!$3:$367,MATCH(HQ$2,DB!$D$3:$D$367),47)</f>
        <v>6949.6071846331661</v>
      </c>
      <c r="HR25" s="665">
        <f>INDEX(DB!$3:$367,MATCH(HR$2,DB!$D$3:$D$367),47)</f>
        <v>5245.4131828107647</v>
      </c>
      <c r="HS25" s="666">
        <f>INDEX(DB!$3:$367,MATCH(HS$2,DB!$D$3:$D$367),47)</f>
        <v>0</v>
      </c>
      <c r="HT25" s="692">
        <f t="shared" si="780"/>
        <v>32921.549077800984</v>
      </c>
      <c r="HU25" s="665">
        <f>INDEX(DB!$3:$367,MATCH(HU$2,DB!$D$3:$D$367),47)</f>
        <v>6997.4974532943152</v>
      </c>
      <c r="HV25" s="665">
        <f>INDEX(DB!$3:$367,MATCH(HV$2,DB!$D$3:$D$367),47)</f>
        <v>6785.072114745195</v>
      </c>
      <c r="HW25" s="665">
        <f>INDEX(DB!$3:$367,MATCH(HW$2,DB!$D$3:$D$367),47)</f>
        <v>6678.5174837362811</v>
      </c>
      <c r="HX25" s="665">
        <f>INDEX(DB!$3:$367,MATCH(HX$2,DB!$D$3:$D$367),47)</f>
        <v>0</v>
      </c>
      <c r="HY25" s="665">
        <f>INDEX(DB!$3:$367,MATCH(HY$2,DB!$D$3:$D$367),47)</f>
        <v>7107.8043515989175</v>
      </c>
      <c r="HZ25" s="665">
        <f>INDEX(DB!$3:$367,MATCH(HZ$2,DB!$D$3:$D$367),47)</f>
        <v>5352.6576744262729</v>
      </c>
      <c r="IA25" s="666">
        <f>INDEX(DB!$3:$367,MATCH(IA$2,DB!$D$3:$D$367),47)</f>
        <v>0</v>
      </c>
      <c r="IB25" s="692">
        <f t="shared" si="781"/>
        <v>39377.753355771289</v>
      </c>
      <c r="IC25" s="665">
        <f>INDEX(DB!$3:$367,MATCH(IC$2,DB!$D$3:$D$367),47)</f>
        <v>7239.6326663562259</v>
      </c>
      <c r="ID25" s="665">
        <f>INDEX(DB!$3:$367,MATCH(ID$2,DB!$D$3:$D$367),47)</f>
        <v>7088.7660896332263</v>
      </c>
      <c r="IE25" s="665">
        <f>INDEX(DB!$3:$367,MATCH(IE$2,DB!$D$3:$D$367),47)</f>
        <v>6649.295649081906</v>
      </c>
      <c r="IF25" s="665">
        <f>INDEX(DB!$3:$367,MATCH(IF$2,DB!$D$3:$D$367),47)</f>
        <v>6707.9069502375351</v>
      </c>
      <c r="IG25" s="665">
        <f>INDEX(DB!$3:$367,MATCH(IG$2,DB!$D$3:$D$367),47)</f>
        <v>6584.2168475638746</v>
      </c>
      <c r="IH25" s="665">
        <f>INDEX(DB!$3:$367,MATCH(IH$2,DB!$D$3:$D$367),47)</f>
        <v>5107.9351528985235</v>
      </c>
      <c r="II25" s="666">
        <f>INDEX(DB!$3:$367,MATCH(II$2,DB!$D$3:$D$367),47)</f>
        <v>0</v>
      </c>
      <c r="IJ25" s="692">
        <f t="shared" si="782"/>
        <v>37702.227721395036</v>
      </c>
      <c r="IK25" s="665">
        <f>INDEX(DB!$3:$367,MATCH(IK$2,DB!$D$3:$D$367),47)</f>
        <v>6931.5834236121045</v>
      </c>
      <c r="IL25" s="665">
        <f>INDEX(DB!$3:$367,MATCH(IL$2,DB!$D$3:$D$367),47)</f>
        <v>6787.1505834822074</v>
      </c>
      <c r="IM25" s="665">
        <f>INDEX(DB!$3:$367,MATCH(IM$2,DB!$D$3:$D$367),47)</f>
        <v>6366.3427623066154</v>
      </c>
      <c r="IN25" s="665">
        <f>INDEX(DB!$3:$367,MATCH(IN$2,DB!$D$3:$D$367),47)</f>
        <v>6422.5005908800258</v>
      </c>
      <c r="IO25" s="665">
        <f>INDEX(DB!$3:$367,MATCH(IO$2,DB!$D$3:$D$367),47)</f>
        <v>6304.0584066004621</v>
      </c>
      <c r="IP25" s="665">
        <f>INDEX(DB!$3:$367,MATCH(IP$2,DB!$D$3:$D$367),47)</f>
        <v>4890.5919545136194</v>
      </c>
      <c r="IQ25" s="666">
        <f>INDEX(DB!$3:$367,MATCH(IQ$2,DB!$D$3:$D$367),47)</f>
        <v>0</v>
      </c>
      <c r="IR25" s="692">
        <f t="shared" si="783"/>
        <v>37086.757871276975</v>
      </c>
      <c r="IS25" s="665">
        <f>INDEX(DB!$3:$367,MATCH(IS$2,DB!$D$3:$D$367),47)</f>
        <v>6818.423498698302</v>
      </c>
      <c r="IT25" s="665">
        <f>INDEX(DB!$3:$367,MATCH(IT$2,DB!$D$3:$D$367),47)</f>
        <v>6676.3385073889203</v>
      </c>
      <c r="IU25" s="665">
        <f>INDEX(DB!$3:$367,MATCH(IU$2,DB!$D$3:$D$367),47)</f>
        <v>6262.4141086799682</v>
      </c>
      <c r="IV25" s="665">
        <f>INDEX(DB!$3:$367,MATCH(IV$2,DB!$D$3:$D$367),47)</f>
        <v>6317.6705635446569</v>
      </c>
      <c r="IW25" s="665">
        <f>INDEX(DB!$3:$367,MATCH(IW$2,DB!$D$3:$D$367),47)</f>
        <v>6201.1315510879858</v>
      </c>
      <c r="IX25" s="665">
        <f>INDEX(DB!$3:$367,MATCH(IX$2,DB!$D$3:$D$367),47)</f>
        <v>4810.7796418771395</v>
      </c>
      <c r="IY25" s="666">
        <f>INDEX(DB!$3:$367,MATCH(IY$2,DB!$D$3:$D$367),47)</f>
        <v>0</v>
      </c>
      <c r="IZ25" s="692">
        <f t="shared" si="784"/>
        <v>34843.397549394853</v>
      </c>
      <c r="JA25" s="665">
        <f>INDEX(DB!$3:$367,MATCH(JA$2,DB!$D$3:$D$367),47)</f>
        <v>0</v>
      </c>
      <c r="JB25" s="665">
        <f>INDEX(DB!$3:$367,MATCH(JB$2,DB!$D$3:$D$367),47)</f>
        <v>8128.0598429604534</v>
      </c>
      <c r="JC25" s="665">
        <f>INDEX(DB!$3:$367,MATCH(JC$2,DB!$D$3:$D$367),47)</f>
        <v>6739.9416505929275</v>
      </c>
      <c r="JD25" s="665">
        <f>INDEX(DB!$3:$367,MATCH(JD$2,DB!$D$3:$D$367),47)</f>
        <v>7433.2850057803671</v>
      </c>
      <c r="JE25" s="665">
        <f>INDEX(DB!$3:$367,MATCH(JE$2,DB!$D$3:$D$367),47)</f>
        <v>7333.3269617252281</v>
      </c>
      <c r="JF25" s="665">
        <f>INDEX(DB!$3:$367,MATCH(JF$2,DB!$D$3:$D$367),47)</f>
        <v>5208.7840883358767</v>
      </c>
      <c r="JG25" s="666">
        <f>INDEX(DB!$3:$367,MATCH(JG$2,DB!$D$3:$D$367),47)</f>
        <v>0</v>
      </c>
      <c r="JH25" s="692">
        <f t="shared" si="785"/>
        <v>45453.117913014517</v>
      </c>
      <c r="JI25" s="665">
        <f>INDEX(DB!$3:$367,MATCH(JI$2,DB!$D$3:$D$367),47)</f>
        <v>7496.4463744127997</v>
      </c>
      <c r="JJ25" s="665">
        <f>INDEX(DB!$3:$367,MATCH(JJ$2,DB!$D$3:$D$367),47)</f>
        <v>8044.3866300904419</v>
      </c>
      <c r="JK25" s="665">
        <f>INDEX(DB!$3:$367,MATCH(JK$2,DB!$D$3:$D$367),47)</f>
        <v>7324.7023108052017</v>
      </c>
      <c r="JL25" s="665">
        <f>INDEX(DB!$3:$367,MATCH(JL$2,DB!$D$3:$D$367),47)</f>
        <v>8222.2613737488846</v>
      </c>
      <c r="JM25" s="665">
        <f>INDEX(DB!$3:$367,MATCH(JM$2,DB!$D$3:$D$367),47)</f>
        <v>8185.5754249377815</v>
      </c>
      <c r="JN25" s="665">
        <f>INDEX(DB!$3:$367,MATCH(JN$2,DB!$D$3:$D$367),47)</f>
        <v>6179.7457990194089</v>
      </c>
      <c r="JO25" s="666">
        <f>INDEX(DB!$3:$367,MATCH(JO$2,DB!$D$3:$D$367),47)</f>
        <v>0</v>
      </c>
      <c r="JP25" s="692">
        <f t="shared" si="786"/>
        <v>51138.235109327448</v>
      </c>
      <c r="JQ25" s="665">
        <f>INDEX(DB!$3:$367,MATCH(JQ$2,DB!$D$3:$D$367),47)</f>
        <v>7781.501868710151</v>
      </c>
      <c r="JR25" s="665">
        <f>INDEX(DB!$3:$367,MATCH(JR$2,DB!$D$3:$D$367),47)</f>
        <v>8378.3074788967388</v>
      </c>
      <c r="JS25" s="665">
        <f>INDEX(DB!$3:$367,MATCH(JS$2,DB!$D$3:$D$367),47)</f>
        <v>10118.011654008675</v>
      </c>
      <c r="JT25" s="665">
        <f>INDEX(DB!$3:$367,MATCH(JT$2,DB!$D$3:$D$367),47)</f>
        <v>9063.0453557720302</v>
      </c>
      <c r="JU25" s="665">
        <f>INDEX(DB!$3:$367,MATCH(JU$2,DB!$D$3:$D$367),47)</f>
        <v>8895.9822215125932</v>
      </c>
      <c r="JV25" s="665">
        <f>INDEX(DB!$3:$367,MATCH(JV$2,DB!$D$3:$D$367),47)</f>
        <v>6901.3865304272622</v>
      </c>
      <c r="JW25" s="666">
        <f>INDEX(DB!$3:$367,MATCH(JW$2,DB!$D$3:$D$367),47)</f>
        <v>0</v>
      </c>
      <c r="JX25" s="692">
        <f t="shared" si="787"/>
        <v>53590.000699860168</v>
      </c>
      <c r="JY25" s="665">
        <f>INDEX(DB!$3:$367,MATCH(JY$2,DB!$D$3:$D$367),47)</f>
        <v>8909.6048974923888</v>
      </c>
      <c r="JZ25" s="665">
        <f>INDEX(DB!$3:$367,MATCH(JZ$2,DB!$D$3:$D$367),47)</f>
        <v>9372.5875378623841</v>
      </c>
      <c r="KA25" s="665">
        <f>INDEX(DB!$3:$367,MATCH(KA$2,DB!$D$3:$D$367),47)</f>
        <v>9840.8253820543141</v>
      </c>
      <c r="KB25" s="665">
        <f>INDEX(DB!$3:$367,MATCH(KB$2,DB!$D$3:$D$367),47)</f>
        <v>10384.246702332117</v>
      </c>
      <c r="KC25" s="665">
        <f>INDEX(DB!$3:$367,MATCH(KC$2,DB!$D$3:$D$367),47)</f>
        <v>8777.6163376732457</v>
      </c>
      <c r="KD25" s="665">
        <f>INDEX(DB!$3:$367,MATCH(KD$2,DB!$D$3:$D$367),47)</f>
        <v>6305.1198424457207</v>
      </c>
      <c r="KE25" s="666">
        <f>INDEX(DB!$3:$367,MATCH(KE$2,DB!$D$3:$D$367),47)</f>
        <v>0</v>
      </c>
      <c r="KF25" s="692">
        <f t="shared" si="788"/>
        <v>52110.265647649176</v>
      </c>
      <c r="KG25" s="665">
        <f>INDEX(DB!$3:$367,MATCH(KG$2,DB!$D$3:$D$367),47)</f>
        <v>8989.546790137465</v>
      </c>
      <c r="KH25" s="665">
        <f>INDEX(DB!$3:$367,MATCH(KH$2,DB!$D$3:$D$367),47)</f>
        <v>8960.8131886497104</v>
      </c>
      <c r="KI25" s="665">
        <f>INDEX(DB!$3:$367,MATCH(KI$2,DB!$D$3:$D$367),47)</f>
        <v>9076.7165215686255</v>
      </c>
      <c r="KJ25" s="665">
        <f>INDEX(DB!$3:$367,MATCH(KJ$2,DB!$D$3:$D$367),47)</f>
        <v>9455.4969645831079</v>
      </c>
      <c r="KK25" s="665">
        <f>INDEX(DB!$3:$367,MATCH(KK$2,DB!$D$3:$D$367),47)</f>
        <v>9345.6174848403843</v>
      </c>
      <c r="KL25" s="665">
        <f>INDEX(DB!$3:$367,MATCH(KL$2,DB!$D$3:$D$367),47)</f>
        <v>6282.074697869889</v>
      </c>
      <c r="KM25" s="666">
        <f>INDEX(DB!$3:$367,MATCH(KM$2,DB!$D$3:$D$367),47)</f>
        <v>0</v>
      </c>
      <c r="KN25" s="692">
        <f t="shared" si="789"/>
        <v>49376</v>
      </c>
      <c r="KO25" s="665">
        <f>INDEX(DB!$3:$367,MATCH(KO$2,DB!$D$3:$D$367),47)</f>
        <v>8617</v>
      </c>
      <c r="KP25" s="665">
        <f>INDEX(DB!$3:$367,MATCH(KP$2,DB!$D$3:$D$367),47)</f>
        <v>8342</v>
      </c>
      <c r="KQ25" s="665">
        <f>INDEX(DB!$3:$367,MATCH(KQ$2,DB!$D$3:$D$367),47)</f>
        <v>8588</v>
      </c>
      <c r="KR25" s="665">
        <f>INDEX(DB!$3:$367,MATCH(KR$2,DB!$D$3:$D$367),47)</f>
        <v>8862</v>
      </c>
      <c r="KS25" s="665">
        <f>INDEX(DB!$3:$367,MATCH(KS$2,DB!$D$3:$D$367),47)</f>
        <v>8529</v>
      </c>
      <c r="KT25" s="665">
        <f>INDEX(DB!$3:$367,MATCH(KT$2,DB!$D$3:$D$367),47)</f>
        <v>6438</v>
      </c>
      <c r="KU25" s="666">
        <f>INDEX(DB!$3:$367,MATCH(KU$2,DB!$D$3:$D$367),47)</f>
        <v>0</v>
      </c>
      <c r="KV25" s="692">
        <f t="shared" si="790"/>
        <v>50244.156120435757</v>
      </c>
      <c r="KW25" s="665">
        <f>INDEX(DB!$3:$367,MATCH(KW$2,DB!$D$3:$D$367),47)</f>
        <v>8768.2175521224217</v>
      </c>
      <c r="KX25" s="665">
        <f>INDEX(DB!$3:$367,MATCH(KX$2,DB!$D$3:$D$367),47)</f>
        <v>8488.822630884737</v>
      </c>
      <c r="KY25" s="665">
        <f>INDEX(DB!$3:$367,MATCH(KY$2,DB!$D$3:$D$367),47)</f>
        <v>8738.6892235822052</v>
      </c>
      <c r="KZ25" s="665">
        <f>INDEX(DB!$3:$367,MATCH(KZ$2,DB!$D$3:$D$367),47)</f>
        <v>9018.0263256280068</v>
      </c>
      <c r="LA25" s="665">
        <f>INDEX(DB!$3:$367,MATCH(LA$2,DB!$D$3:$D$367),47)</f>
        <v>8679.3423400127031</v>
      </c>
      <c r="LB25" s="665">
        <f>INDEX(DB!$3:$367,MATCH(LB$2,DB!$D$3:$D$367),47)</f>
        <v>6551.0580482056812</v>
      </c>
      <c r="LC25" s="666">
        <f>INDEX(DB!$3:$367,MATCH(LC$2,DB!$D$3:$D$367),47)</f>
        <v>0</v>
      </c>
      <c r="LD25" s="692">
        <f t="shared" si="791"/>
        <v>49508.74418044863</v>
      </c>
      <c r="LE25" s="665">
        <f>INDEX(DB!$3:$367,MATCH(LE$2,DB!$D$3:$D$367),47)</f>
        <v>8639.8428473882759</v>
      </c>
      <c r="LF25" s="665">
        <f>INDEX(DB!$3:$367,MATCH(LF$2,DB!$D$3:$D$367),47)</f>
        <v>8364.5895852324575</v>
      </c>
      <c r="LG25" s="665">
        <f>INDEX(DB!$3:$367,MATCH(LG$2,DB!$D$3:$D$367),47)</f>
        <v>8610.7870027224799</v>
      </c>
      <c r="LH25" s="665">
        <f>INDEX(DB!$3:$367,MATCH(LH$2,DB!$D$3:$D$367),47)</f>
        <v>8886.0419626502098</v>
      </c>
      <c r="LI25" s="665">
        <f>INDEX(DB!$3:$367,MATCH(LI$2,DB!$D$3:$D$367),47)</f>
        <v>8552.3052210856604</v>
      </c>
      <c r="LJ25" s="665">
        <f>INDEX(DB!$3:$367,MATCH(LJ$2,DB!$D$3:$D$367),47)</f>
        <v>6455.177561369539</v>
      </c>
      <c r="LK25" s="666">
        <f>INDEX(DB!$3:$367,MATCH(LK$2,DB!$D$3:$D$367),47)</f>
        <v>0</v>
      </c>
      <c r="LL25" s="692">
        <f t="shared" si="792"/>
        <v>53776.119101552657</v>
      </c>
      <c r="LM25" s="665">
        <f>INDEX(DB!$3:$367,MATCH(LM$2,DB!$D$3:$D$367),47)</f>
        <v>9384.5662806998134</v>
      </c>
      <c r="LN25" s="665">
        <f>INDEX(DB!$3:$367,MATCH(LN$2,DB!$D$3:$D$367),47)</f>
        <v>9085.5806976915082</v>
      </c>
      <c r="LO25" s="665">
        <f>INDEX(DB!$3:$367,MATCH(LO$2,DB!$D$3:$D$367),47)</f>
        <v>9352.9956855736255</v>
      </c>
      <c r="LP25" s="665">
        <f>INDEX(DB!$3:$367,MATCH(LP$2,DB!$D$3:$D$367),47)</f>
        <v>9651.9371453226649</v>
      </c>
      <c r="LQ25" s="665">
        <f>INDEX(DB!$3:$367,MATCH(LQ$2,DB!$D$3:$D$367),47)</f>
        <v>9289.5011992322125</v>
      </c>
      <c r="LR25" s="665">
        <f>INDEX(DB!$3:$367,MATCH(LR$2,DB!$D$3:$D$367),47)</f>
        <v>7011.5380930328411</v>
      </c>
      <c r="LS25" s="666">
        <f>INDEX(DB!$3:$367,MATCH(LS$2,DB!$D$3:$D$367),47)</f>
        <v>0</v>
      </c>
      <c r="LT25" s="692">
        <f t="shared" si="793"/>
        <v>53435.65494882084</v>
      </c>
      <c r="LU25" s="665">
        <f>INDEX(DB!$3:$367,MATCH(LU$2,DB!$D$3:$D$367),47)</f>
        <v>9325.1585713355125</v>
      </c>
      <c r="LV25" s="665">
        <f>INDEX(DB!$3:$367,MATCH(LV$2,DB!$D$3:$D$367),47)</f>
        <v>9028.0368060867968</v>
      </c>
      <c r="LW25" s="665">
        <f>INDEX(DB!$3:$367,MATCH(LW$2,DB!$D$3:$D$367),47)</f>
        <v>9293.774495165424</v>
      </c>
      <c r="LX25" s="665">
        <f>INDEX(DB!$3:$367,MATCH(LX$2,DB!$D$3:$D$367),47)</f>
        <v>9590.839890127203</v>
      </c>
      <c r="LY25" s="665">
        <f>INDEX(DB!$3:$367,MATCH(LY$2,DB!$D$3:$D$367),47)</f>
        <v>9230.7059954668675</v>
      </c>
      <c r="LZ25" s="665">
        <f>INDEX(DB!$3:$367,MATCH(LZ$2,DB!$D$3:$D$367),47)</f>
        <v>6967.1391906390381</v>
      </c>
      <c r="MA25" s="666">
        <f>INDEX(DB!$3:$367,MATCH(MA$2,DB!$D$3:$D$367),47)</f>
        <v>0</v>
      </c>
      <c r="MB25" s="692">
        <f t="shared" si="794"/>
        <v>52061.260596090317</v>
      </c>
      <c r="MC25" s="665">
        <f>INDEX(DB!$3:$367,MATCH(MC$2,DB!$D$3:$D$367),47)</f>
        <v>9085.2755460759563</v>
      </c>
      <c r="MD25" s="665">
        <f>INDEX(DB!$3:$367,MATCH(MD$2,DB!$D$3:$D$367),47)</f>
        <v>8795.8421557519887</v>
      </c>
      <c r="ME25" s="665">
        <f>INDEX(DB!$3:$367,MATCH(ME$2,DB!$D$3:$D$367),47)</f>
        <v>9054.7515505091287</v>
      </c>
      <c r="MF25" s="665">
        <f>INDEX(DB!$3:$367,MATCH(MF$2,DB!$D$3:$D$367),47)</f>
        <v>9344.1641884491564</v>
      </c>
      <c r="MG25" s="665">
        <f>INDEX(DB!$3:$367,MATCH(MG$2,DB!$D$3:$D$367),47)</f>
        <v>8993.2692493257564</v>
      </c>
      <c r="MH25" s="665">
        <f>INDEX(DB!$3:$367,MATCH(MH$2,DB!$D$3:$D$367),47)</f>
        <v>6787.9579059783318</v>
      </c>
      <c r="MI25" s="666">
        <f>INDEX(DB!$3:$367,MATCH(MI$2,DB!$D$3:$D$367),47)</f>
        <v>0</v>
      </c>
      <c r="MJ25" s="692">
        <f t="shared" si="795"/>
        <v>45154.014862982302</v>
      </c>
      <c r="MK25" s="665">
        <f>INDEX(DB!$3:$367,MATCH(MK$2,DB!$D$3:$D$367),47)</f>
        <v>7616.5988558523613</v>
      </c>
      <c r="ML25" s="665">
        <f>INDEX(DB!$3:$367,MATCH(ML$2,DB!$D$3:$D$367),47)</f>
        <v>0</v>
      </c>
      <c r="MM25" s="665">
        <f>INDEX(DB!$3:$367,MATCH(MM$2,DB!$D$3:$D$367),47)</f>
        <v>10330.080533883996</v>
      </c>
      <c r="MN25" s="665">
        <f>INDEX(DB!$3:$367,MATCH(MN$2,DB!$D$3:$D$367),47)</f>
        <v>9839.1591436993986</v>
      </c>
      <c r="MO25" s="665">
        <f>INDEX(DB!$3:$367,MATCH(MO$2,DB!$D$3:$D$367),47)</f>
        <v>11239.542124116195</v>
      </c>
      <c r="MP25" s="665">
        <f>INDEX(DB!$3:$367,MATCH(MP$2,DB!$D$3:$D$367),47)</f>
        <v>6128.6342054303523</v>
      </c>
      <c r="MQ25" s="666">
        <f>INDEX(DB!$3:$367,MATCH(MQ$2,DB!$D$3:$D$367),47)</f>
        <v>0</v>
      </c>
      <c r="MR25" s="692">
        <f t="shared" si="796"/>
        <v>43111.231023042026</v>
      </c>
      <c r="MS25" s="665">
        <f>INDEX(DB!$3:$367,MATCH(MS$2,DB!$D$3:$D$367),47)</f>
        <v>7928.5518907872283</v>
      </c>
      <c r="MT25" s="665">
        <f>INDEX(DB!$3:$367,MATCH(MT$2,DB!$D$3:$D$367),47)</f>
        <v>8979.9944858512827</v>
      </c>
      <c r="MU25" s="665">
        <f>INDEX(DB!$3:$367,MATCH(MU$2,DB!$D$3:$D$367),47)</f>
        <v>9564.5462180493123</v>
      </c>
      <c r="MV25" s="665">
        <f>INDEX(DB!$3:$367,MATCH(MV$2,DB!$D$3:$D$367),47)</f>
        <v>10548.458974190793</v>
      </c>
      <c r="MW25" s="665">
        <f>INDEX(DB!$3:$367,MATCH(MW$2,DB!$D$3:$D$367),47)</f>
        <v>0</v>
      </c>
      <c r="MX25" s="665">
        <f>INDEX(DB!$3:$367,MATCH(MX$2,DB!$D$3:$D$367),47)</f>
        <v>6089.6794541634081</v>
      </c>
      <c r="MY25" s="666">
        <f>INDEX(DB!$3:$367,MATCH(MY$2,DB!$D$3:$D$367),47)</f>
        <v>0</v>
      </c>
      <c r="MZ25" s="692">
        <f t="shared" si="797"/>
        <v>53436.417773152702</v>
      </c>
      <c r="NA25" s="665">
        <f>INDEX(DB!$3:$367,MATCH(NA$2,DB!$D$3:$D$367),47)</f>
        <v>9774.3130000000001</v>
      </c>
      <c r="NB25" s="665">
        <f>INDEX(DB!$3:$367,MATCH(NB$2,DB!$D$3:$D$367),47)</f>
        <v>9022.2170936231614</v>
      </c>
      <c r="NC25" s="665">
        <f>INDEX(DB!$3:$367,MATCH(NC$2,DB!$D$3:$D$367),47)</f>
        <v>8990.4116795295395</v>
      </c>
      <c r="ND25" s="665">
        <f>INDEX(DB!$3:$367,MATCH(ND$2,DB!$D$3:$D$367),47)</f>
        <v>9210.5340000000015</v>
      </c>
      <c r="NE25" s="665">
        <f>INDEX(DB!$3:$367,MATCH(NE$2,DB!$D$3:$D$367),47)</f>
        <v>9271.116</v>
      </c>
      <c r="NF25" s="665">
        <f>INDEX(DB!$3:$367,MATCH(NF$2,DB!$D$3:$D$367),47)</f>
        <v>7167.826</v>
      </c>
      <c r="NG25" s="666">
        <f>INDEX(DB!$3:$367,MATCH(NG$2,DB!$D$3:$D$367),47)</f>
        <v>0</v>
      </c>
      <c r="NH25" s="692">
        <f t="shared" si="798"/>
        <v>57162.101206219071</v>
      </c>
      <c r="NI25" s="665">
        <f>INDEX(DB!$3:$367,MATCH(NI$2,DB!$D$3:$D$367),47)</f>
        <v>10502.162</v>
      </c>
      <c r="NJ25" s="665">
        <f>INDEX(DB!$3:$367,MATCH(NJ$2,DB!$D$3:$D$367),47)</f>
        <v>9480.7866818291404</v>
      </c>
      <c r="NK25" s="665">
        <f>INDEX(DB!$3:$367,MATCH(NK$2,DB!$D$3:$D$367),47)</f>
        <v>9932.0545243899251</v>
      </c>
      <c r="NL25" s="665">
        <f>INDEX(DB!$3:$367,MATCH(NL$2,DB!$D$3:$D$367),47)</f>
        <v>9896.8770000000004</v>
      </c>
      <c r="NM25" s="665">
        <f>INDEX(DB!$3:$367,MATCH(NM$2,DB!$D$3:$D$367),47)</f>
        <v>9784.6830000000009</v>
      </c>
      <c r="NN25" s="665">
        <f>INDEX(DB!$3:$367,MATCH(NN$2,DB!$D$3:$D$367),47)</f>
        <v>7565.5379999999996</v>
      </c>
      <c r="NO25" s="666">
        <f>INDEX(DB!$3:$367,MATCH(NO$2,DB!$D$3:$D$367),47)</f>
        <v>0</v>
      </c>
      <c r="NP25" s="692">
        <f t="shared" si="799"/>
        <v>60769.211527470587</v>
      </c>
      <c r="NQ25" s="665">
        <f>INDEX(DB!$3:$367,MATCH(NQ$2,DB!$D$3:$D$367),47)</f>
        <v>11221.319</v>
      </c>
      <c r="NR25" s="665">
        <f>INDEX(DB!$3:$367,MATCH(NR$2,DB!$D$3:$D$367),47)</f>
        <v>10258.846607324445</v>
      </c>
      <c r="NS25" s="665">
        <f>INDEX(DB!$3:$367,MATCH(NS$2,DB!$D$3:$D$367),47)</f>
        <v>10560.809920146146</v>
      </c>
      <c r="NT25" s="665">
        <f>INDEX(DB!$3:$367,MATCH(NT$2,DB!$D$3:$D$367),47)</f>
        <v>10523.397000000001</v>
      </c>
      <c r="NU25" s="665">
        <f>INDEX(DB!$3:$367,MATCH(NU$2,DB!$D$3:$D$367),47)</f>
        <v>10266.234</v>
      </c>
      <c r="NV25" s="665">
        <f>INDEX(DB!$3:$367,MATCH(NV$2,DB!$D$3:$D$367),47)</f>
        <v>7938.6049999999996</v>
      </c>
      <c r="NW25" s="666">
        <f>INDEX(DB!$3:$367,MATCH(NW$2,DB!$D$3:$D$367),47)</f>
        <v>0</v>
      </c>
      <c r="NX25" s="692">
        <f t="shared" si="800"/>
        <v>52122.951692583971</v>
      </c>
      <c r="NY25" s="665">
        <f>INDEX(DB!$3:$367,MATCH(NY$2,DB!$D$3:$D$367),47)</f>
        <v>9624.7469999999994</v>
      </c>
      <c r="NZ25" s="665">
        <f>INDEX(DB!$3:$367,MATCH(NZ$2,DB!$D$3:$D$367),47)</f>
        <v>8799.2270905522655</v>
      </c>
      <c r="OA25" s="665">
        <f>INDEX(DB!$3:$367,MATCH(OA$2,DB!$D$3:$D$367),47)</f>
        <v>9058.1856020317045</v>
      </c>
      <c r="OB25" s="665">
        <f>INDEX(DB!$3:$367,MATCH(OB$2,DB!$D$3:$D$367),47)</f>
        <v>9026.0970000000016</v>
      </c>
      <c r="OC25" s="665">
        <f>INDEX(DB!$3:$367,MATCH(OC$2,DB!$D$3:$D$367),47)</f>
        <v>8805.5730000000003</v>
      </c>
      <c r="OD25" s="665">
        <f>INDEX(DB!$3:$367,MATCH(OD$2,DB!$D$3:$D$367),47)</f>
        <v>6809.1219999999994</v>
      </c>
      <c r="OE25" s="666">
        <f>INDEX(DB!$3:$367,MATCH(OE$2,DB!$D$3:$D$367),47)</f>
        <v>0</v>
      </c>
      <c r="OF25" s="692">
        <f t="shared" si="801"/>
        <v>51554.674642124759</v>
      </c>
      <c r="OG25" s="665">
        <f>INDEX(DB!$3:$367,MATCH(OG$2,DB!$D$3:$D$367),47)</f>
        <v>9519.8069999999989</v>
      </c>
      <c r="OH25" s="665">
        <f>INDEX(DB!$3:$367,MATCH(OH$2,DB!$D$3:$D$367),47)</f>
        <v>8703.2612197233539</v>
      </c>
      <c r="OI25" s="665">
        <f>INDEX(DB!$3:$367,MATCH(OI$2,DB!$D$3:$D$367),47)</f>
        <v>8959.4404224013979</v>
      </c>
      <c r="OJ25" s="665">
        <f>INDEX(DB!$3:$367,MATCH(OJ$2,DB!$D$3:$D$367),47)</f>
        <v>8927.7030000000013</v>
      </c>
      <c r="OK25" s="665">
        <f>INDEX(DB!$3:$367,MATCH(OK$2,DB!$D$3:$D$367),47)</f>
        <v>8709.594000000001</v>
      </c>
      <c r="OL25" s="665">
        <f>INDEX(DB!$3:$367,MATCH(OL$2,DB!$D$3:$D$367),47)</f>
        <v>6734.8689999999997</v>
      </c>
      <c r="OM25" s="666">
        <f>INDEX(DB!$3:$367,MATCH(OM$2,DB!$D$3:$D$367),47)</f>
        <v>0</v>
      </c>
      <c r="ON25" s="692">
        <f t="shared" si="802"/>
        <v>57297.987787801365</v>
      </c>
      <c r="OO25" s="665">
        <f>INDEX(DB!$3:$367,MATCH(OO$2,DB!$D$3:$D$367),47)</f>
        <v>9194.3870000000006</v>
      </c>
      <c r="OP25" s="665">
        <f>INDEX(DB!$3:$367,MATCH(OP$2,DB!$D$3:$D$367),47)</f>
        <v>9745.1679051771098</v>
      </c>
      <c r="OQ25" s="665">
        <f>INDEX(DB!$3:$367,MATCH(OQ$2,DB!$D$3:$D$367),47)</f>
        <v>10025.097882624254</v>
      </c>
      <c r="OR25" s="665">
        <f>INDEX(DB!$3:$367,MATCH(OR$2,DB!$D$3:$D$367),47)</f>
        <v>10675.956</v>
      </c>
      <c r="OS25" s="665">
        <f>INDEX(DB!$3:$367,MATCH(OS$2,DB!$D$3:$D$367),47)</f>
        <v>9705.4710000000014</v>
      </c>
      <c r="OT25" s="665">
        <f>INDEX(DB!$3:$367,MATCH(OT$2,DB!$D$3:$D$367),47)</f>
        <v>7951.9079999999994</v>
      </c>
      <c r="OU25" s="666">
        <f>INDEX(DB!$3:$367,MATCH(OU$2,DB!$D$3:$D$367),47)</f>
        <v>0</v>
      </c>
      <c r="OV25" s="692">
        <f t="shared" si="803"/>
        <v>61973.510972090764</v>
      </c>
      <c r="OW25" s="665">
        <f>INDEX(DB!$3:$367,MATCH(OW$2,DB!$D$3:$D$367),47)</f>
        <v>10500</v>
      </c>
      <c r="OX25" s="665">
        <f>INDEX(DB!$3:$367,MATCH(OX$2,DB!$D$3:$D$367),47)</f>
        <v>9028.9275784026577</v>
      </c>
      <c r="OY25" s="665">
        <f>INDEX(DB!$3:$367,MATCH(OY$2,DB!$D$3:$D$367),47)</f>
        <v>9509.6013936880936</v>
      </c>
      <c r="OZ25" s="665">
        <f>INDEX(DB!$3:$367,MATCH(OZ$2,DB!$D$3:$D$367),47)</f>
        <v>9399.3180000000011</v>
      </c>
      <c r="PA25" s="665">
        <f>INDEX(DB!$3:$367,MATCH(PA$2,DB!$D$3:$D$367),47)</f>
        <v>9096.1320000000014</v>
      </c>
      <c r="PB25" s="665">
        <f>INDEX(DB!$3:$367,MATCH(PB$2,DB!$D$3:$D$367),47)</f>
        <v>7219.7659999999996</v>
      </c>
      <c r="PC25" s="666">
        <f>INDEX(DB!$3:$367,MATCH(PC$2,DB!$D$3:$D$367),47)</f>
        <v>7219.7659999999996</v>
      </c>
    </row>
    <row r="26" spans="1:420" collapsed="1" x14ac:dyDescent="0.3">
      <c r="B26" s="979" t="s">
        <v>260</v>
      </c>
      <c r="C26" s="760" t="s">
        <v>144</v>
      </c>
      <c r="D26" s="693"/>
      <c r="E26" s="684">
        <v>35000</v>
      </c>
      <c r="F26" s="684">
        <v>50000</v>
      </c>
      <c r="G26" s="684">
        <v>45000</v>
      </c>
      <c r="H26" s="684">
        <v>45000</v>
      </c>
      <c r="I26" s="684">
        <v>44000</v>
      </c>
      <c r="J26" s="684">
        <v>35000</v>
      </c>
      <c r="K26" s="685"/>
      <c r="L26" s="693"/>
      <c r="M26" s="684">
        <v>42000</v>
      </c>
      <c r="N26" s="684">
        <v>40000</v>
      </c>
      <c r="O26" s="684">
        <v>39000</v>
      </c>
      <c r="P26" s="684">
        <v>45000</v>
      </c>
      <c r="Q26" s="684">
        <v>49000</v>
      </c>
      <c r="R26" s="684">
        <v>33000</v>
      </c>
      <c r="S26" s="685"/>
      <c r="T26" s="693"/>
      <c r="U26" s="684">
        <v>45000</v>
      </c>
      <c r="V26" s="684">
        <v>45000</v>
      </c>
      <c r="W26" s="684">
        <v>45000</v>
      </c>
      <c r="X26" s="684">
        <v>45000</v>
      </c>
      <c r="Y26" s="684">
        <v>47000</v>
      </c>
      <c r="Z26" s="684">
        <v>35000</v>
      </c>
      <c r="AA26" s="685"/>
      <c r="AB26" s="693"/>
      <c r="AC26" s="684">
        <v>35000</v>
      </c>
      <c r="AD26" s="684">
        <v>40000</v>
      </c>
      <c r="AE26" s="684">
        <v>35000</v>
      </c>
      <c r="AF26" s="684">
        <v>47000</v>
      </c>
      <c r="AG26" s="684">
        <v>50000</v>
      </c>
      <c r="AH26" s="684">
        <v>38000</v>
      </c>
      <c r="AI26" s="685"/>
      <c r="AJ26" s="693"/>
      <c r="AK26" s="684">
        <v>50000</v>
      </c>
      <c r="AL26" s="684">
        <v>47000</v>
      </c>
      <c r="AM26" s="684">
        <v>48000</v>
      </c>
      <c r="AN26" s="684">
        <v>50000</v>
      </c>
      <c r="AO26" s="684">
        <v>54000</v>
      </c>
      <c r="AP26" s="684">
        <v>35000</v>
      </c>
      <c r="AQ26" s="685"/>
      <c r="AR26" s="693"/>
      <c r="AS26" s="684">
        <v>48000</v>
      </c>
      <c r="AT26" s="684">
        <v>48000</v>
      </c>
      <c r="AU26" s="684">
        <v>38000</v>
      </c>
      <c r="AV26" s="684">
        <v>38000</v>
      </c>
      <c r="AW26" s="684">
        <v>48000</v>
      </c>
      <c r="AX26" s="684">
        <v>35000</v>
      </c>
      <c r="AY26" s="685"/>
      <c r="AZ26" s="693"/>
      <c r="BA26" s="684">
        <v>44000</v>
      </c>
      <c r="BB26" s="684">
        <v>48000</v>
      </c>
      <c r="BC26" s="684">
        <v>47000</v>
      </c>
      <c r="BD26" s="684">
        <v>45000</v>
      </c>
      <c r="BE26" s="684">
        <v>50000</v>
      </c>
      <c r="BF26" s="684">
        <v>35000</v>
      </c>
      <c r="BG26" s="685"/>
      <c r="BH26" s="693"/>
      <c r="BI26" s="684">
        <v>45000</v>
      </c>
      <c r="BJ26" s="684">
        <v>45000</v>
      </c>
      <c r="BK26" s="684">
        <v>45000</v>
      </c>
      <c r="BL26" s="684">
        <v>46000</v>
      </c>
      <c r="BM26" s="684">
        <v>46000</v>
      </c>
      <c r="BN26" s="684">
        <v>35000</v>
      </c>
      <c r="BO26" s="685"/>
      <c r="BP26" s="693"/>
      <c r="BQ26" s="684">
        <v>45000</v>
      </c>
      <c r="BR26" s="684">
        <v>45000</v>
      </c>
      <c r="BS26" s="684">
        <v>45000</v>
      </c>
      <c r="BT26" s="684">
        <v>47000</v>
      </c>
      <c r="BU26" s="684">
        <v>49000</v>
      </c>
      <c r="BV26" s="684">
        <v>35000</v>
      </c>
      <c r="BW26" s="685"/>
      <c r="BX26" s="693"/>
      <c r="BY26" s="684">
        <v>44000</v>
      </c>
      <c r="BZ26" s="684">
        <v>48000</v>
      </c>
      <c r="CA26" s="684">
        <v>48000</v>
      </c>
      <c r="CB26" s="684">
        <v>48000</v>
      </c>
      <c r="CC26" s="684">
        <v>55000</v>
      </c>
      <c r="CD26" s="684">
        <v>35000</v>
      </c>
      <c r="CE26" s="685"/>
      <c r="CF26" s="693"/>
      <c r="CG26" s="851">
        <v>44000</v>
      </c>
      <c r="CH26" s="852">
        <v>48000</v>
      </c>
      <c r="CI26" s="852">
        <v>48000</v>
      </c>
      <c r="CJ26" s="852">
        <v>45000</v>
      </c>
      <c r="CK26" s="852">
        <v>48000</v>
      </c>
      <c r="CL26" s="852">
        <v>35000</v>
      </c>
      <c r="CM26" s="685"/>
      <c r="CN26" s="693"/>
      <c r="CO26" s="684">
        <v>45000</v>
      </c>
      <c r="CP26" s="684">
        <v>48000</v>
      </c>
      <c r="CQ26" s="684">
        <v>48000</v>
      </c>
      <c r="CR26" s="684">
        <v>48000</v>
      </c>
      <c r="CS26" s="684">
        <v>54000</v>
      </c>
      <c r="CT26" s="684">
        <v>35000</v>
      </c>
      <c r="CU26" s="685"/>
      <c r="CV26" s="693"/>
      <c r="CW26" s="684">
        <v>45000</v>
      </c>
      <c r="CX26" s="684">
        <v>48000</v>
      </c>
      <c r="CY26" s="684">
        <v>48000</v>
      </c>
      <c r="CZ26" s="684">
        <v>50000</v>
      </c>
      <c r="DA26" s="684">
        <v>62000</v>
      </c>
      <c r="DB26" s="684">
        <v>35000</v>
      </c>
      <c r="DC26" s="685"/>
      <c r="DD26" s="693"/>
      <c r="DE26" s="684">
        <v>45000</v>
      </c>
      <c r="DF26" s="684">
        <v>48000</v>
      </c>
      <c r="DG26" s="684">
        <v>48000</v>
      </c>
      <c r="DH26" s="684">
        <v>50000</v>
      </c>
      <c r="DI26" s="684">
        <v>54000</v>
      </c>
      <c r="DJ26" s="684">
        <v>35000</v>
      </c>
      <c r="DK26" s="685"/>
      <c r="DL26" s="693"/>
      <c r="DM26" s="684">
        <v>48000</v>
      </c>
      <c r="DN26" s="684">
        <v>48000</v>
      </c>
      <c r="DO26" s="684">
        <v>49000</v>
      </c>
      <c r="DP26" s="684">
        <v>52000</v>
      </c>
      <c r="DQ26" s="684">
        <v>53000</v>
      </c>
      <c r="DR26" s="684">
        <v>35000</v>
      </c>
      <c r="DS26" s="685"/>
      <c r="DT26" s="693"/>
      <c r="DU26" s="684"/>
      <c r="DV26" s="684">
        <v>20000</v>
      </c>
      <c r="DW26" s="684">
        <v>47000</v>
      </c>
      <c r="DX26" s="684">
        <v>44000</v>
      </c>
      <c r="DY26" s="684">
        <v>50000</v>
      </c>
      <c r="DZ26" s="684">
        <v>35000</v>
      </c>
      <c r="EA26" s="685"/>
      <c r="EB26" s="693"/>
      <c r="EC26" s="684">
        <v>48000</v>
      </c>
      <c r="ED26" s="684">
        <v>44000</v>
      </c>
      <c r="EE26" s="684">
        <v>44000</v>
      </c>
      <c r="EF26" s="684">
        <v>45000</v>
      </c>
      <c r="EG26" s="684">
        <v>53000</v>
      </c>
      <c r="EH26" s="684">
        <v>35000</v>
      </c>
      <c r="EI26" s="685"/>
      <c r="EJ26" s="693"/>
      <c r="EK26" s="684">
        <v>50000</v>
      </c>
      <c r="EL26" s="684">
        <v>47000</v>
      </c>
      <c r="EM26" s="684">
        <v>47000</v>
      </c>
      <c r="EN26" s="684">
        <v>45000</v>
      </c>
      <c r="EO26" s="684">
        <v>57000</v>
      </c>
      <c r="EP26" s="684">
        <v>35000</v>
      </c>
      <c r="EQ26" s="685"/>
      <c r="ER26" s="693"/>
      <c r="ES26" s="684">
        <v>55000</v>
      </c>
      <c r="ET26" s="684">
        <v>51000</v>
      </c>
      <c r="EU26" s="684">
        <v>51000</v>
      </c>
      <c r="EV26" s="684">
        <v>51000</v>
      </c>
      <c r="EW26" s="684">
        <v>56000</v>
      </c>
      <c r="EX26" s="684">
        <v>35000</v>
      </c>
      <c r="EY26" s="685"/>
      <c r="EZ26" s="693"/>
      <c r="FA26" s="684">
        <v>50000</v>
      </c>
      <c r="FB26" s="684">
        <v>50000</v>
      </c>
      <c r="FC26" s="684">
        <v>50000</v>
      </c>
      <c r="FD26" s="684">
        <v>50000</v>
      </c>
      <c r="FE26" s="684">
        <v>58000</v>
      </c>
      <c r="FF26" s="684">
        <v>35000</v>
      </c>
      <c r="FG26" s="685"/>
      <c r="FH26" s="693"/>
      <c r="FI26" s="684">
        <v>45000</v>
      </c>
      <c r="FJ26" s="684">
        <v>50000</v>
      </c>
      <c r="FK26" s="684">
        <v>45000</v>
      </c>
      <c r="FL26" s="684"/>
      <c r="FM26" s="684">
        <v>65000</v>
      </c>
      <c r="FN26" s="684">
        <v>35000</v>
      </c>
      <c r="FO26" s="685"/>
      <c r="FP26" s="693"/>
      <c r="FQ26" s="684">
        <v>50000</v>
      </c>
      <c r="FR26" s="684">
        <v>49000</v>
      </c>
      <c r="FS26" s="684">
        <v>49000</v>
      </c>
      <c r="FT26" s="684">
        <v>50000</v>
      </c>
      <c r="FU26" s="684">
        <v>55000</v>
      </c>
      <c r="FV26" s="684">
        <v>35000</v>
      </c>
      <c r="FW26" s="685"/>
      <c r="FX26" s="693"/>
      <c r="FY26" s="684"/>
      <c r="FZ26" s="684">
        <v>30000</v>
      </c>
      <c r="GA26" s="684">
        <v>52000</v>
      </c>
      <c r="GB26" s="684">
        <v>46000</v>
      </c>
      <c r="GC26" s="684">
        <v>58000</v>
      </c>
      <c r="GD26" s="684">
        <v>35000</v>
      </c>
      <c r="GE26" s="685"/>
      <c r="GF26" s="693"/>
      <c r="GG26" s="684">
        <v>48000</v>
      </c>
      <c r="GH26" s="684">
        <v>48000</v>
      </c>
      <c r="GI26" s="684">
        <v>52000</v>
      </c>
      <c r="GJ26" s="684">
        <v>54000</v>
      </c>
      <c r="GK26" s="684">
        <v>56000</v>
      </c>
      <c r="GL26" s="684">
        <v>35000</v>
      </c>
      <c r="GM26" s="685"/>
      <c r="GN26" s="693"/>
      <c r="GO26" s="684">
        <v>44000</v>
      </c>
      <c r="GP26" s="684">
        <v>51000</v>
      </c>
      <c r="GQ26" s="684">
        <v>51000</v>
      </c>
      <c r="GR26" s="684">
        <v>51000</v>
      </c>
      <c r="GS26" s="684">
        <v>58000</v>
      </c>
      <c r="GT26" s="684">
        <v>35000</v>
      </c>
      <c r="GU26" s="685"/>
      <c r="GV26" s="693"/>
      <c r="GW26" s="684">
        <v>47000</v>
      </c>
      <c r="GX26" s="684">
        <v>49000</v>
      </c>
      <c r="GY26" s="684">
        <v>48000</v>
      </c>
      <c r="GZ26" s="684">
        <v>48000</v>
      </c>
      <c r="HA26" s="684">
        <v>54000</v>
      </c>
      <c r="HB26" s="684">
        <v>35000</v>
      </c>
      <c r="HC26" s="685"/>
      <c r="HD26" s="693"/>
      <c r="HE26" s="684">
        <v>44000</v>
      </c>
      <c r="HF26" s="684">
        <v>45000</v>
      </c>
      <c r="HG26" s="684">
        <v>41000</v>
      </c>
      <c r="HH26" s="684">
        <v>44000</v>
      </c>
      <c r="HI26" s="684">
        <v>50000</v>
      </c>
      <c r="HJ26" s="684">
        <v>25000</v>
      </c>
      <c r="HK26" s="685"/>
      <c r="HL26" s="693"/>
      <c r="HM26" s="684">
        <v>38000</v>
      </c>
      <c r="HN26" s="684">
        <v>40000</v>
      </c>
      <c r="HO26" s="684">
        <v>40000</v>
      </c>
      <c r="HP26" s="684">
        <v>39000</v>
      </c>
      <c r="HQ26" s="684">
        <v>47000</v>
      </c>
      <c r="HR26" s="684">
        <v>20000</v>
      </c>
      <c r="HS26" s="685"/>
      <c r="HT26" s="693"/>
      <c r="HU26" s="684">
        <v>38000</v>
      </c>
      <c r="HV26" s="684">
        <v>40000</v>
      </c>
      <c r="HW26" s="684">
        <v>37000</v>
      </c>
      <c r="HX26" s="684"/>
      <c r="HY26" s="684">
        <v>51000</v>
      </c>
      <c r="HZ26" s="684">
        <v>27000</v>
      </c>
      <c r="IA26" s="685"/>
      <c r="IB26" s="693"/>
      <c r="IC26" s="684">
        <v>37000</v>
      </c>
      <c r="ID26" s="684">
        <v>40000</v>
      </c>
      <c r="IE26" s="684">
        <v>42000</v>
      </c>
      <c r="IF26" s="684">
        <v>40000</v>
      </c>
      <c r="IG26" s="684">
        <v>44000</v>
      </c>
      <c r="IH26" s="684">
        <v>25000</v>
      </c>
      <c r="II26" s="685"/>
      <c r="IJ26" s="693"/>
      <c r="IK26" s="684">
        <v>48000</v>
      </c>
      <c r="IL26" s="684">
        <v>39000</v>
      </c>
      <c r="IM26" s="684">
        <v>39000</v>
      </c>
      <c r="IN26" s="684">
        <v>45000</v>
      </c>
      <c r="IO26" s="684">
        <v>42000</v>
      </c>
      <c r="IP26" s="684">
        <v>25000</v>
      </c>
      <c r="IQ26" s="685"/>
      <c r="IR26" s="693"/>
      <c r="IS26" s="684">
        <v>38000</v>
      </c>
      <c r="IT26" s="684">
        <v>39000</v>
      </c>
      <c r="IU26" s="684">
        <v>39000</v>
      </c>
      <c r="IV26" s="684">
        <v>39000</v>
      </c>
      <c r="IW26" s="684">
        <v>40000</v>
      </c>
      <c r="IX26" s="684">
        <v>22000</v>
      </c>
      <c r="IY26" s="685"/>
      <c r="IZ26" s="693"/>
      <c r="JA26" s="684"/>
      <c r="JB26" s="684">
        <v>36000</v>
      </c>
      <c r="JC26" s="684">
        <v>40000</v>
      </c>
      <c r="JD26" s="684">
        <v>40000</v>
      </c>
      <c r="JE26" s="684">
        <v>45000</v>
      </c>
      <c r="JF26" s="684">
        <v>25000</v>
      </c>
      <c r="JG26" s="685"/>
      <c r="JH26" s="693"/>
      <c r="JI26" s="684">
        <v>40000</v>
      </c>
      <c r="JJ26" s="684">
        <v>40000</v>
      </c>
      <c r="JK26" s="684">
        <v>41000</v>
      </c>
      <c r="JL26" s="684">
        <v>43000</v>
      </c>
      <c r="JM26" s="684">
        <v>50000</v>
      </c>
      <c r="JN26" s="684">
        <v>30000</v>
      </c>
      <c r="JO26" s="685"/>
      <c r="JP26" s="693"/>
      <c r="JQ26" s="684">
        <v>45000</v>
      </c>
      <c r="JR26" s="684">
        <v>47000</v>
      </c>
      <c r="JS26" s="684">
        <v>49000</v>
      </c>
      <c r="JT26" s="684">
        <v>47000</v>
      </c>
      <c r="JU26" s="684">
        <v>54000</v>
      </c>
      <c r="JV26" s="684">
        <v>30000</v>
      </c>
      <c r="JW26" s="685"/>
      <c r="JX26" s="693"/>
      <c r="JY26" s="684">
        <v>48000</v>
      </c>
      <c r="JZ26" s="684">
        <v>52000</v>
      </c>
      <c r="KA26" s="684">
        <v>48000</v>
      </c>
      <c r="KB26" s="684">
        <v>47000</v>
      </c>
      <c r="KC26" s="684">
        <v>50000</v>
      </c>
      <c r="KD26" s="684">
        <v>30000</v>
      </c>
      <c r="KE26" s="685"/>
      <c r="KF26" s="693"/>
      <c r="KG26" s="684">
        <v>50000</v>
      </c>
      <c r="KH26" s="684">
        <v>46000</v>
      </c>
      <c r="KI26" s="684">
        <v>48000</v>
      </c>
      <c r="KJ26" s="684">
        <v>49000</v>
      </c>
      <c r="KK26" s="684">
        <v>54000</v>
      </c>
      <c r="KL26" s="684">
        <v>30000</v>
      </c>
      <c r="KM26" s="685"/>
      <c r="KN26" s="693"/>
      <c r="KO26" s="684">
        <v>42000</v>
      </c>
      <c r="KP26" s="684">
        <v>40000</v>
      </c>
      <c r="KQ26" s="684">
        <v>37000</v>
      </c>
      <c r="KR26" s="684">
        <v>47000</v>
      </c>
      <c r="KS26" s="684">
        <v>53000</v>
      </c>
      <c r="KT26" s="684">
        <v>30000</v>
      </c>
      <c r="KU26" s="685"/>
      <c r="KV26" s="693"/>
      <c r="KW26" s="684">
        <v>40000</v>
      </c>
      <c r="KX26" s="684">
        <v>46000</v>
      </c>
      <c r="KY26" s="684">
        <v>46000</v>
      </c>
      <c r="KZ26" s="684">
        <v>45000</v>
      </c>
      <c r="LA26" s="684">
        <v>55000</v>
      </c>
      <c r="LB26" s="684">
        <v>30000</v>
      </c>
      <c r="LC26" s="685"/>
      <c r="LD26" s="693"/>
      <c r="LE26" s="684">
        <v>47000</v>
      </c>
      <c r="LF26" s="684">
        <v>47000</v>
      </c>
      <c r="LG26" s="684">
        <v>48000</v>
      </c>
      <c r="LH26" s="684">
        <v>50000</v>
      </c>
      <c r="LI26" s="684">
        <v>52000</v>
      </c>
      <c r="LJ26" s="684">
        <v>35000</v>
      </c>
      <c r="LK26" s="685"/>
      <c r="LL26" s="693"/>
      <c r="LM26" s="875">
        <v>55000</v>
      </c>
      <c r="LN26" s="875">
        <v>53000</v>
      </c>
      <c r="LO26" s="875">
        <v>51000</v>
      </c>
      <c r="LP26" s="875">
        <v>50000</v>
      </c>
      <c r="LQ26" s="875">
        <v>55000</v>
      </c>
      <c r="LR26" s="875">
        <v>35000</v>
      </c>
      <c r="LS26" s="685"/>
      <c r="LT26" s="693"/>
      <c r="LU26" s="684">
        <v>50000</v>
      </c>
      <c r="LV26" s="684">
        <v>50000</v>
      </c>
      <c r="LW26" s="684">
        <v>51000</v>
      </c>
      <c r="LX26" s="684">
        <v>53000</v>
      </c>
      <c r="LY26" s="684">
        <v>58000</v>
      </c>
      <c r="LZ26" s="684">
        <v>35000</v>
      </c>
      <c r="MA26" s="685"/>
      <c r="MB26" s="693"/>
      <c r="MC26" s="684">
        <v>53000</v>
      </c>
      <c r="MD26" s="684">
        <v>53000</v>
      </c>
      <c r="ME26" s="684">
        <v>52000</v>
      </c>
      <c r="MF26" s="684">
        <v>53000</v>
      </c>
      <c r="MG26" s="684">
        <v>58000</v>
      </c>
      <c r="MH26" s="684">
        <v>35000</v>
      </c>
      <c r="MI26" s="685"/>
      <c r="MJ26" s="693"/>
      <c r="MK26" s="684">
        <v>48000</v>
      </c>
      <c r="ML26" s="684"/>
      <c r="MM26" s="684">
        <v>52000</v>
      </c>
      <c r="MN26" s="684">
        <v>56000</v>
      </c>
      <c r="MO26" s="684">
        <v>58000</v>
      </c>
      <c r="MP26" s="684">
        <v>35000</v>
      </c>
      <c r="MQ26" s="685"/>
      <c r="MR26" s="693"/>
      <c r="MS26" s="684">
        <v>55000</v>
      </c>
      <c r="MT26" s="684">
        <v>54000</v>
      </c>
      <c r="MU26" s="684">
        <v>55000</v>
      </c>
      <c r="MV26" s="684">
        <v>53000</v>
      </c>
      <c r="MW26" s="684"/>
      <c r="MX26" s="684">
        <v>40000</v>
      </c>
      <c r="MY26" s="685"/>
      <c r="MZ26" s="693"/>
      <c r="NA26" s="839">
        <v>52000</v>
      </c>
      <c r="NB26" s="684">
        <v>52000</v>
      </c>
      <c r="NC26" s="684">
        <v>52000</v>
      </c>
      <c r="ND26" s="684">
        <v>51000</v>
      </c>
      <c r="NE26" s="684">
        <v>51000</v>
      </c>
      <c r="NF26" s="684">
        <v>35000</v>
      </c>
      <c r="NG26" s="685"/>
      <c r="NH26" s="693"/>
      <c r="NI26" s="684">
        <v>50000</v>
      </c>
      <c r="NJ26" s="684">
        <v>55000</v>
      </c>
      <c r="NK26" s="684">
        <v>55000</v>
      </c>
      <c r="NL26" s="684">
        <v>62000</v>
      </c>
      <c r="NM26" s="684">
        <v>62000</v>
      </c>
      <c r="NN26" s="684">
        <v>37664</v>
      </c>
      <c r="NO26" s="685"/>
      <c r="NP26" s="693"/>
      <c r="NQ26" s="684">
        <v>65000</v>
      </c>
      <c r="NR26" s="684">
        <v>65000</v>
      </c>
      <c r="NS26" s="684">
        <v>60000</v>
      </c>
      <c r="NT26" s="684">
        <v>60000</v>
      </c>
      <c r="NU26" s="684">
        <v>60000</v>
      </c>
      <c r="NV26" s="684">
        <v>35000</v>
      </c>
      <c r="NW26" s="685"/>
      <c r="NX26" s="693"/>
      <c r="NY26" s="684">
        <v>53000</v>
      </c>
      <c r="NZ26" s="684">
        <v>53000</v>
      </c>
      <c r="OA26" s="684">
        <v>53000</v>
      </c>
      <c r="OB26" s="684">
        <v>53000</v>
      </c>
      <c r="OC26" s="684">
        <v>53000</v>
      </c>
      <c r="OD26" s="684">
        <v>35000</v>
      </c>
      <c r="OE26" s="685"/>
      <c r="OF26" s="693"/>
      <c r="OG26" s="684">
        <v>54000</v>
      </c>
      <c r="OH26" s="684">
        <v>51000</v>
      </c>
      <c r="OI26" s="684">
        <v>55000</v>
      </c>
      <c r="OJ26" s="684">
        <v>55000</v>
      </c>
      <c r="OK26" s="684">
        <v>55000</v>
      </c>
      <c r="OL26" s="684">
        <v>35000</v>
      </c>
      <c r="OM26" s="685"/>
      <c r="ON26" s="693"/>
      <c r="OO26" s="684">
        <v>65000</v>
      </c>
      <c r="OP26" s="684">
        <v>68000</v>
      </c>
      <c r="OQ26" s="684">
        <v>67000</v>
      </c>
      <c r="OR26" s="684">
        <v>67000</v>
      </c>
      <c r="OS26" s="684">
        <v>68000</v>
      </c>
      <c r="OT26" s="684">
        <v>18000</v>
      </c>
      <c r="OU26" s="685"/>
      <c r="OV26" s="693"/>
      <c r="OW26" s="684">
        <v>55000</v>
      </c>
      <c r="OX26" s="684">
        <v>62000</v>
      </c>
      <c r="OY26" s="684">
        <v>65000</v>
      </c>
      <c r="OZ26" s="684">
        <v>65000</v>
      </c>
      <c r="PA26" s="684">
        <v>65000</v>
      </c>
      <c r="PB26" s="684">
        <v>19000</v>
      </c>
      <c r="PC26" s="685"/>
    </row>
    <row r="27" spans="1:420" x14ac:dyDescent="0.3">
      <c r="B27" s="980"/>
      <c r="C27" s="761" t="s">
        <v>145</v>
      </c>
      <c r="D27" s="694"/>
      <c r="E27" s="686">
        <v>55000</v>
      </c>
      <c r="F27" s="686">
        <v>55000</v>
      </c>
      <c r="G27" s="686">
        <v>52000</v>
      </c>
      <c r="H27" s="686">
        <v>53000</v>
      </c>
      <c r="I27" s="686">
        <v>53000</v>
      </c>
      <c r="J27" s="686">
        <v>20000</v>
      </c>
      <c r="K27" s="687"/>
      <c r="L27" s="694"/>
      <c r="M27" s="686">
        <v>52000</v>
      </c>
      <c r="N27" s="686">
        <v>53000</v>
      </c>
      <c r="O27" s="686">
        <v>54000</v>
      </c>
      <c r="P27" s="686">
        <v>55000</v>
      </c>
      <c r="Q27" s="686">
        <v>55000</v>
      </c>
      <c r="R27" s="686">
        <v>20000</v>
      </c>
      <c r="S27" s="687"/>
      <c r="T27" s="694"/>
      <c r="U27" s="686">
        <v>49000</v>
      </c>
      <c r="V27" s="686">
        <v>50000</v>
      </c>
      <c r="W27" s="686">
        <v>53000</v>
      </c>
      <c r="X27" s="686">
        <v>55000</v>
      </c>
      <c r="Y27" s="839">
        <v>55000</v>
      </c>
      <c r="Z27" s="686">
        <v>20000</v>
      </c>
      <c r="AA27" s="687"/>
      <c r="AB27" s="694"/>
      <c r="AC27" s="686">
        <v>55000</v>
      </c>
      <c r="AD27" s="686">
        <v>53000</v>
      </c>
      <c r="AE27" s="686">
        <v>53000</v>
      </c>
      <c r="AF27" s="686">
        <v>58000</v>
      </c>
      <c r="AG27" s="686">
        <v>58000</v>
      </c>
      <c r="AH27" s="686">
        <v>22000</v>
      </c>
      <c r="AI27" s="687"/>
      <c r="AJ27" s="694"/>
      <c r="AK27" s="686">
        <v>57000</v>
      </c>
      <c r="AL27" s="686">
        <v>62000</v>
      </c>
      <c r="AM27" s="686">
        <v>60000</v>
      </c>
      <c r="AN27" s="686">
        <v>58000</v>
      </c>
      <c r="AO27" s="686">
        <v>57000</v>
      </c>
      <c r="AP27" s="686">
        <v>22000</v>
      </c>
      <c r="AQ27" s="687"/>
      <c r="AR27" s="694"/>
      <c r="AS27" s="686">
        <v>57000</v>
      </c>
      <c r="AT27" s="686">
        <v>58000</v>
      </c>
      <c r="AU27" s="686">
        <v>41000</v>
      </c>
      <c r="AV27" s="686">
        <v>57000</v>
      </c>
      <c r="AW27" s="686">
        <v>58000</v>
      </c>
      <c r="AX27" s="686">
        <v>22000</v>
      </c>
      <c r="AY27" s="687"/>
      <c r="AZ27" s="694"/>
      <c r="BA27" s="686">
        <v>57000</v>
      </c>
      <c r="BB27" s="686">
        <v>57000</v>
      </c>
      <c r="BC27" s="686">
        <v>57000</v>
      </c>
      <c r="BD27" s="686">
        <v>56000</v>
      </c>
      <c r="BE27" s="686">
        <v>57000</v>
      </c>
      <c r="BF27" s="686">
        <v>22000</v>
      </c>
      <c r="BG27" s="687"/>
      <c r="BH27" s="694"/>
      <c r="BI27" s="686">
        <v>55000</v>
      </c>
      <c r="BJ27" s="686">
        <v>55000</v>
      </c>
      <c r="BK27" s="686">
        <v>55000</v>
      </c>
      <c r="BL27" s="686">
        <v>58000</v>
      </c>
      <c r="BM27" s="686">
        <v>57000</v>
      </c>
      <c r="BN27" s="686">
        <v>22000</v>
      </c>
      <c r="BO27" s="687"/>
      <c r="BP27" s="694"/>
      <c r="BQ27" s="686">
        <v>47000</v>
      </c>
      <c r="BR27" s="686">
        <v>47000</v>
      </c>
      <c r="BS27" s="686">
        <v>48000</v>
      </c>
      <c r="BT27" s="839">
        <v>50000</v>
      </c>
      <c r="BU27" s="686">
        <v>50000</v>
      </c>
      <c r="BV27" s="686">
        <v>22000</v>
      </c>
      <c r="BW27" s="687"/>
      <c r="BX27" s="694"/>
      <c r="BY27" s="686">
        <v>48000</v>
      </c>
      <c r="BZ27" s="686">
        <v>48000</v>
      </c>
      <c r="CA27" s="686">
        <v>46000</v>
      </c>
      <c r="CB27" s="686">
        <v>50000</v>
      </c>
      <c r="CC27" s="686">
        <v>50000</v>
      </c>
      <c r="CD27" s="686">
        <v>22000</v>
      </c>
      <c r="CE27" s="687"/>
      <c r="CF27" s="694"/>
      <c r="CG27" s="853">
        <v>48000</v>
      </c>
      <c r="CH27" s="854">
        <v>48000</v>
      </c>
      <c r="CI27" s="854">
        <v>46000</v>
      </c>
      <c r="CJ27" s="854">
        <v>50000</v>
      </c>
      <c r="CK27" s="854">
        <v>48000</v>
      </c>
      <c r="CL27" s="854">
        <v>22000</v>
      </c>
      <c r="CM27" s="687"/>
      <c r="CN27" s="694"/>
      <c r="CO27" s="686">
        <v>48000</v>
      </c>
      <c r="CP27" s="686">
        <v>46000</v>
      </c>
      <c r="CQ27" s="686">
        <v>46000</v>
      </c>
      <c r="CR27" s="686">
        <v>52000</v>
      </c>
      <c r="CS27" s="686">
        <v>50000</v>
      </c>
      <c r="CT27" s="686">
        <v>22000</v>
      </c>
      <c r="CU27" s="687"/>
      <c r="CV27" s="694"/>
      <c r="CW27" s="686">
        <v>48000</v>
      </c>
      <c r="CX27" s="686">
        <v>46000</v>
      </c>
      <c r="CY27" s="686">
        <v>46000</v>
      </c>
      <c r="CZ27" s="686">
        <v>49000</v>
      </c>
      <c r="DA27" s="686">
        <v>52000</v>
      </c>
      <c r="DB27" s="686">
        <v>22000</v>
      </c>
      <c r="DC27" s="687"/>
      <c r="DD27" s="694"/>
      <c r="DE27" s="686">
        <v>48000</v>
      </c>
      <c r="DF27" s="686">
        <v>42000</v>
      </c>
      <c r="DG27" s="686">
        <v>43000</v>
      </c>
      <c r="DH27" s="686">
        <v>49000</v>
      </c>
      <c r="DI27" s="686">
        <v>52000</v>
      </c>
      <c r="DJ27" s="686">
        <v>25000</v>
      </c>
      <c r="DK27" s="687"/>
      <c r="DL27" s="694"/>
      <c r="DM27" s="686">
        <v>44000</v>
      </c>
      <c r="DN27" s="686">
        <v>45000</v>
      </c>
      <c r="DO27" s="686">
        <v>48000</v>
      </c>
      <c r="DP27" s="686">
        <v>52000</v>
      </c>
      <c r="DQ27" s="686">
        <v>49000</v>
      </c>
      <c r="DR27" s="686">
        <v>35000</v>
      </c>
      <c r="DS27" s="687"/>
      <c r="DT27" s="694"/>
      <c r="DU27" s="686"/>
      <c r="DV27" s="686">
        <v>47000</v>
      </c>
      <c r="DW27" s="686">
        <v>46000</v>
      </c>
      <c r="DX27" s="686">
        <v>49000</v>
      </c>
      <c r="DY27" s="686">
        <v>54000</v>
      </c>
      <c r="DZ27" s="686">
        <v>25000</v>
      </c>
      <c r="EA27" s="687"/>
      <c r="EB27" s="694"/>
      <c r="EC27" s="686">
        <v>45000</v>
      </c>
      <c r="ED27" s="686">
        <v>46000</v>
      </c>
      <c r="EE27" s="686">
        <v>46000</v>
      </c>
      <c r="EF27" s="686">
        <v>54000</v>
      </c>
      <c r="EG27" s="686">
        <v>54000</v>
      </c>
      <c r="EH27" s="686">
        <v>22000</v>
      </c>
      <c r="EI27" s="687"/>
      <c r="EJ27" s="694"/>
      <c r="EK27" s="686">
        <v>48000</v>
      </c>
      <c r="EL27" s="686">
        <v>47000</v>
      </c>
      <c r="EM27" s="686">
        <v>47000</v>
      </c>
      <c r="EN27" s="686">
        <v>55000</v>
      </c>
      <c r="EO27" s="686">
        <v>57000</v>
      </c>
      <c r="EP27" s="686">
        <v>30000</v>
      </c>
      <c r="EQ27" s="687"/>
      <c r="ER27" s="694"/>
      <c r="ES27" s="686">
        <v>52000</v>
      </c>
      <c r="ET27" s="686">
        <v>52000</v>
      </c>
      <c r="EU27" s="686">
        <v>50000</v>
      </c>
      <c r="EV27" s="686">
        <v>57000</v>
      </c>
      <c r="EW27" s="686">
        <v>55000</v>
      </c>
      <c r="EX27" s="686">
        <v>27000</v>
      </c>
      <c r="EY27" s="687"/>
      <c r="EZ27" s="694"/>
      <c r="FA27" s="686">
        <v>45000</v>
      </c>
      <c r="FB27" s="686">
        <v>48000</v>
      </c>
      <c r="FC27" s="686">
        <v>45000</v>
      </c>
      <c r="FD27" s="686">
        <v>48000</v>
      </c>
      <c r="FE27" s="686">
        <v>52000</v>
      </c>
      <c r="FF27" s="686">
        <v>27000</v>
      </c>
      <c r="FG27" s="687"/>
      <c r="FH27" s="694"/>
      <c r="FI27" s="686">
        <v>41000</v>
      </c>
      <c r="FJ27" s="686">
        <v>42000</v>
      </c>
      <c r="FK27" s="686">
        <v>42000</v>
      </c>
      <c r="FL27" s="686"/>
      <c r="FM27" s="839">
        <v>65000</v>
      </c>
      <c r="FN27" s="686">
        <v>27000</v>
      </c>
      <c r="FO27" s="687"/>
      <c r="FP27" s="694"/>
      <c r="FQ27" s="686">
        <v>46000</v>
      </c>
      <c r="FR27" s="686">
        <v>47000</v>
      </c>
      <c r="FS27" s="686">
        <v>47000</v>
      </c>
      <c r="FT27" s="686">
        <v>54000</v>
      </c>
      <c r="FU27" s="686">
        <v>55000</v>
      </c>
      <c r="FV27" s="686">
        <v>27000</v>
      </c>
      <c r="FW27" s="687"/>
      <c r="FX27" s="694"/>
      <c r="FY27" s="686"/>
      <c r="FZ27" s="686">
        <v>54000</v>
      </c>
      <c r="GA27" s="686">
        <v>49000</v>
      </c>
      <c r="GB27" s="686">
        <v>52000</v>
      </c>
      <c r="GC27" s="686">
        <v>55000</v>
      </c>
      <c r="GD27" s="686">
        <v>25000</v>
      </c>
      <c r="GE27" s="687"/>
      <c r="GF27" s="694"/>
      <c r="GG27" s="686">
        <v>48000</v>
      </c>
      <c r="GH27" s="686">
        <v>48000</v>
      </c>
      <c r="GI27" s="686">
        <v>46000</v>
      </c>
      <c r="GJ27" s="686">
        <v>53000</v>
      </c>
      <c r="GK27" s="686">
        <v>53000</v>
      </c>
      <c r="GL27" s="686">
        <v>25000</v>
      </c>
      <c r="GM27" s="687"/>
      <c r="GN27" s="694"/>
      <c r="GO27" s="686">
        <v>50000</v>
      </c>
      <c r="GP27" s="686">
        <v>51000</v>
      </c>
      <c r="GQ27" s="686">
        <v>51000</v>
      </c>
      <c r="GR27" s="686">
        <v>56000</v>
      </c>
      <c r="GS27" s="686">
        <v>55000</v>
      </c>
      <c r="GT27" s="686">
        <v>25000</v>
      </c>
      <c r="GU27" s="687"/>
      <c r="GV27" s="694"/>
      <c r="GW27" s="686">
        <v>49000</v>
      </c>
      <c r="GX27" s="686">
        <v>50000</v>
      </c>
      <c r="GY27" s="686">
        <v>45000</v>
      </c>
      <c r="GZ27" s="686">
        <v>49000</v>
      </c>
      <c r="HA27" s="686">
        <v>48000</v>
      </c>
      <c r="HB27" s="686">
        <v>25000</v>
      </c>
      <c r="HC27" s="687"/>
      <c r="HD27" s="694"/>
      <c r="HE27" s="686">
        <v>45000</v>
      </c>
      <c r="HF27" s="686">
        <v>45000</v>
      </c>
      <c r="HG27" s="686">
        <v>40000</v>
      </c>
      <c r="HH27" s="686">
        <v>46000</v>
      </c>
      <c r="HI27" s="686">
        <v>46000</v>
      </c>
      <c r="HJ27" s="686">
        <v>22000</v>
      </c>
      <c r="HK27" s="687"/>
      <c r="HL27" s="694"/>
      <c r="HM27" s="686">
        <v>40000</v>
      </c>
      <c r="HN27" s="686">
        <v>41000</v>
      </c>
      <c r="HO27" s="686">
        <v>39000</v>
      </c>
      <c r="HP27" s="686">
        <v>45000</v>
      </c>
      <c r="HQ27" s="686">
        <v>44000</v>
      </c>
      <c r="HR27" s="686">
        <v>20000</v>
      </c>
      <c r="HS27" s="687"/>
      <c r="HT27" s="694"/>
      <c r="HU27" s="686">
        <v>39000</v>
      </c>
      <c r="HV27" s="686">
        <v>38000</v>
      </c>
      <c r="HW27" s="686">
        <v>39000</v>
      </c>
      <c r="HX27" s="686"/>
      <c r="HY27" s="686">
        <v>45000</v>
      </c>
      <c r="HZ27" s="686">
        <v>20000</v>
      </c>
      <c r="IA27" s="687"/>
      <c r="IB27" s="694"/>
      <c r="IC27" s="686">
        <v>42000</v>
      </c>
      <c r="ID27" s="686">
        <v>40000</v>
      </c>
      <c r="IE27" s="686">
        <v>42000</v>
      </c>
      <c r="IF27" s="686">
        <v>46000</v>
      </c>
      <c r="IG27" s="686">
        <v>43000</v>
      </c>
      <c r="IH27" s="686">
        <v>20000</v>
      </c>
      <c r="II27" s="687"/>
      <c r="IJ27" s="694"/>
      <c r="IK27" s="686">
        <v>38000</v>
      </c>
      <c r="IL27" s="686">
        <v>39000</v>
      </c>
      <c r="IM27" s="686">
        <v>36000</v>
      </c>
      <c r="IN27" s="686">
        <v>38000</v>
      </c>
      <c r="IO27" s="686">
        <v>42000</v>
      </c>
      <c r="IP27" s="686">
        <v>24000</v>
      </c>
      <c r="IQ27" s="687"/>
      <c r="IR27" s="694"/>
      <c r="IS27" s="686">
        <v>37000</v>
      </c>
      <c r="IT27" s="686">
        <v>37000</v>
      </c>
      <c r="IU27" s="686">
        <v>37000</v>
      </c>
      <c r="IV27" s="686">
        <v>37000</v>
      </c>
      <c r="IW27" s="686">
        <v>43000</v>
      </c>
      <c r="IX27" s="686">
        <v>8000</v>
      </c>
      <c r="IY27" s="687"/>
      <c r="IZ27" s="694"/>
      <c r="JA27" s="686"/>
      <c r="JB27" s="686">
        <v>43000</v>
      </c>
      <c r="JC27" s="686">
        <v>41000</v>
      </c>
      <c r="JD27" s="686">
        <v>44000</v>
      </c>
      <c r="JE27" s="686">
        <v>44000</v>
      </c>
      <c r="JF27" s="686">
        <v>28000</v>
      </c>
      <c r="JG27" s="687"/>
      <c r="JH27" s="694"/>
      <c r="JI27" s="686">
        <v>42000</v>
      </c>
      <c r="JJ27" s="686">
        <v>43000</v>
      </c>
      <c r="JK27" s="686">
        <v>46000</v>
      </c>
      <c r="JL27" s="686">
        <v>55000</v>
      </c>
      <c r="JM27" s="686">
        <v>53000</v>
      </c>
      <c r="JN27" s="686">
        <v>22000</v>
      </c>
      <c r="JO27" s="687"/>
      <c r="JP27" s="694"/>
      <c r="JQ27" s="686">
        <v>50000</v>
      </c>
      <c r="JR27" s="686">
        <v>50000</v>
      </c>
      <c r="JS27" s="686">
        <v>48000</v>
      </c>
      <c r="JT27" s="686">
        <v>53000</v>
      </c>
      <c r="JU27" s="686">
        <v>50000</v>
      </c>
      <c r="JV27" s="686">
        <v>28000</v>
      </c>
      <c r="JW27" s="687"/>
      <c r="JX27" s="694"/>
      <c r="JY27" s="686">
        <v>55000</v>
      </c>
      <c r="JZ27" s="686">
        <v>55000</v>
      </c>
      <c r="KA27" s="686">
        <v>52000</v>
      </c>
      <c r="KB27" s="686">
        <v>57000</v>
      </c>
      <c r="KC27" s="686">
        <v>55000</v>
      </c>
      <c r="KD27" s="686">
        <v>28000</v>
      </c>
      <c r="KE27" s="687"/>
      <c r="KF27" s="694"/>
      <c r="KG27" s="686">
        <v>55000</v>
      </c>
      <c r="KH27" s="686">
        <v>55000</v>
      </c>
      <c r="KI27" s="686">
        <v>53000</v>
      </c>
      <c r="KJ27" s="686">
        <v>55000</v>
      </c>
      <c r="KK27" s="686">
        <v>50000</v>
      </c>
      <c r="KL27" s="686">
        <v>28000</v>
      </c>
      <c r="KM27" s="687"/>
      <c r="KN27" s="694"/>
      <c r="KO27" s="686">
        <v>49000</v>
      </c>
      <c r="KP27" s="686">
        <v>45000</v>
      </c>
      <c r="KQ27" s="686">
        <v>46000</v>
      </c>
      <c r="KR27" s="686">
        <v>52000</v>
      </c>
      <c r="KS27" s="686">
        <v>52000</v>
      </c>
      <c r="KT27" s="686">
        <v>30000</v>
      </c>
      <c r="KU27" s="687"/>
      <c r="KV27" s="694"/>
      <c r="KW27" s="686">
        <v>50000</v>
      </c>
      <c r="KX27" s="686">
        <v>50000</v>
      </c>
      <c r="KY27" s="686">
        <v>48000</v>
      </c>
      <c r="KZ27" s="686">
        <v>50000</v>
      </c>
      <c r="LA27" s="686">
        <v>52000</v>
      </c>
      <c r="LB27" s="686">
        <v>30000</v>
      </c>
      <c r="LC27" s="687"/>
      <c r="LD27" s="694"/>
      <c r="LE27" s="686">
        <v>48000</v>
      </c>
      <c r="LF27" s="686">
        <v>48000</v>
      </c>
      <c r="LG27" s="686">
        <v>46000</v>
      </c>
      <c r="LH27" s="686">
        <v>52000</v>
      </c>
      <c r="LI27" s="686">
        <v>52000</v>
      </c>
      <c r="LJ27" s="686">
        <v>30000</v>
      </c>
      <c r="LK27" s="687"/>
      <c r="LL27" s="694"/>
      <c r="LM27" s="890">
        <v>50000</v>
      </c>
      <c r="LN27" s="890">
        <v>51000</v>
      </c>
      <c r="LO27" s="890">
        <v>46000</v>
      </c>
      <c r="LP27" s="890">
        <v>55000</v>
      </c>
      <c r="LQ27" s="890">
        <v>58000</v>
      </c>
      <c r="LR27" s="890">
        <v>35000</v>
      </c>
      <c r="LS27" s="687"/>
      <c r="LT27" s="694"/>
      <c r="LU27" s="686">
        <v>49000</v>
      </c>
      <c r="LV27" s="686">
        <v>49000</v>
      </c>
      <c r="LW27" s="686">
        <v>50000</v>
      </c>
      <c r="LX27" s="686">
        <v>57000</v>
      </c>
      <c r="LY27" s="686">
        <v>56000</v>
      </c>
      <c r="LZ27" s="686">
        <v>35000</v>
      </c>
      <c r="MA27" s="687"/>
      <c r="MB27" s="694"/>
      <c r="MC27" s="686">
        <v>50000</v>
      </c>
      <c r="MD27" s="686">
        <v>50000</v>
      </c>
      <c r="ME27" s="686">
        <v>50000</v>
      </c>
      <c r="MF27" s="686">
        <v>55000</v>
      </c>
      <c r="MG27" s="686">
        <v>56000</v>
      </c>
      <c r="MH27" s="686">
        <v>35000</v>
      </c>
      <c r="MI27" s="687"/>
      <c r="MJ27" s="694"/>
      <c r="MK27" s="686">
        <v>39000</v>
      </c>
      <c r="ML27" s="686"/>
      <c r="MM27" s="686">
        <v>58000</v>
      </c>
      <c r="MN27" s="686">
        <v>58000</v>
      </c>
      <c r="MO27" s="686">
        <v>58000</v>
      </c>
      <c r="MP27" s="686">
        <v>35000</v>
      </c>
      <c r="MQ27" s="687"/>
      <c r="MR27" s="694"/>
      <c r="MS27" s="686">
        <v>51000</v>
      </c>
      <c r="MT27" s="686">
        <v>53000</v>
      </c>
      <c r="MU27" s="686">
        <v>53000</v>
      </c>
      <c r="MV27" s="686">
        <v>52000</v>
      </c>
      <c r="MW27" s="686"/>
      <c r="MX27" s="686">
        <v>35000</v>
      </c>
      <c r="MY27" s="687"/>
      <c r="MZ27" s="694"/>
      <c r="NA27" s="686">
        <v>53000</v>
      </c>
      <c r="NB27" s="686">
        <v>51000</v>
      </c>
      <c r="NC27" s="686">
        <v>49000</v>
      </c>
      <c r="ND27" s="686">
        <v>54000</v>
      </c>
      <c r="NE27" s="686">
        <v>54000</v>
      </c>
      <c r="NF27" s="686">
        <v>35000</v>
      </c>
      <c r="NG27" s="687"/>
      <c r="NH27" s="694"/>
      <c r="NI27" s="686">
        <v>60000</v>
      </c>
      <c r="NJ27" s="686">
        <v>62000</v>
      </c>
      <c r="NK27" s="686">
        <v>62000</v>
      </c>
      <c r="NL27" s="686">
        <v>65000</v>
      </c>
      <c r="NM27" s="686">
        <v>64000</v>
      </c>
      <c r="NN27" s="686">
        <v>45000</v>
      </c>
      <c r="NO27" s="687"/>
      <c r="NP27" s="694"/>
      <c r="NQ27" s="686">
        <v>60000</v>
      </c>
      <c r="NR27" s="686">
        <v>66000</v>
      </c>
      <c r="NS27" s="686">
        <v>63000</v>
      </c>
      <c r="NT27" s="686">
        <v>63000</v>
      </c>
      <c r="NU27" s="686">
        <v>64000</v>
      </c>
      <c r="NV27" s="686">
        <v>35000</v>
      </c>
      <c r="NW27" s="687"/>
      <c r="NX27" s="694"/>
      <c r="NY27" s="686">
        <v>58000</v>
      </c>
      <c r="NZ27" s="686">
        <v>58000</v>
      </c>
      <c r="OA27" s="686">
        <v>53000</v>
      </c>
      <c r="OB27" s="686">
        <v>57000</v>
      </c>
      <c r="OC27" s="686">
        <v>56000</v>
      </c>
      <c r="OD27" s="686">
        <v>35000</v>
      </c>
      <c r="OE27" s="687"/>
      <c r="OF27" s="694"/>
      <c r="OG27" s="686">
        <v>51000</v>
      </c>
      <c r="OH27" s="686">
        <v>52000</v>
      </c>
      <c r="OI27" s="686">
        <v>52000</v>
      </c>
      <c r="OJ27" s="686">
        <v>56000</v>
      </c>
      <c r="OK27" s="686">
        <v>53000</v>
      </c>
      <c r="OL27" s="686">
        <v>35000</v>
      </c>
      <c r="OM27" s="687"/>
      <c r="ON27" s="694"/>
      <c r="OO27" s="686">
        <v>56000</v>
      </c>
      <c r="OP27" s="686">
        <v>59000</v>
      </c>
      <c r="OQ27" s="686">
        <v>57000</v>
      </c>
      <c r="OR27" s="686">
        <v>61000</v>
      </c>
      <c r="OS27" s="839">
        <v>62000</v>
      </c>
      <c r="OT27" s="686"/>
      <c r="OU27" s="687"/>
      <c r="OV27" s="694"/>
      <c r="OW27" s="686">
        <v>60000</v>
      </c>
      <c r="OX27" s="686">
        <v>61000</v>
      </c>
      <c r="OY27" s="686">
        <v>62000</v>
      </c>
      <c r="OZ27" s="686">
        <v>62000</v>
      </c>
      <c r="PA27" s="686">
        <v>62000</v>
      </c>
      <c r="PB27" s="686"/>
      <c r="PC27" s="687"/>
    </row>
    <row r="28" spans="1:420" x14ac:dyDescent="0.3">
      <c r="B28" s="980"/>
      <c r="C28" s="761" t="s">
        <v>146</v>
      </c>
      <c r="D28" s="694"/>
      <c r="E28" s="686">
        <v>33000</v>
      </c>
      <c r="F28" s="686">
        <v>24000</v>
      </c>
      <c r="G28" s="686">
        <v>28000</v>
      </c>
      <c r="H28" s="686">
        <v>46000</v>
      </c>
      <c r="I28" s="686">
        <v>53000</v>
      </c>
      <c r="J28" s="686"/>
      <c r="K28" s="687">
        <v>39000</v>
      </c>
      <c r="L28" s="694"/>
      <c r="M28" s="686">
        <v>28000</v>
      </c>
      <c r="N28" s="686">
        <v>25000</v>
      </c>
      <c r="O28" s="686">
        <v>25000</v>
      </c>
      <c r="P28" s="686">
        <v>45000</v>
      </c>
      <c r="Q28" s="686">
        <v>45000</v>
      </c>
      <c r="R28" s="686"/>
      <c r="S28" s="687">
        <v>45000</v>
      </c>
      <c r="T28" s="694"/>
      <c r="U28" s="686">
        <v>30000</v>
      </c>
      <c r="V28" s="686">
        <v>28000</v>
      </c>
      <c r="W28" s="686">
        <v>26000</v>
      </c>
      <c r="X28" s="686">
        <v>45000</v>
      </c>
      <c r="Y28" s="839">
        <v>45000</v>
      </c>
      <c r="Z28" s="686"/>
      <c r="AA28" s="687">
        <v>45000</v>
      </c>
      <c r="AB28" s="694"/>
      <c r="AC28" s="686">
        <v>29000</v>
      </c>
      <c r="AD28" s="686">
        <v>32000</v>
      </c>
      <c r="AE28" s="686">
        <v>32000</v>
      </c>
      <c r="AF28" s="686">
        <v>45000</v>
      </c>
      <c r="AG28" s="686">
        <v>45000</v>
      </c>
      <c r="AH28" s="686"/>
      <c r="AI28" s="687">
        <v>50000</v>
      </c>
      <c r="AJ28" s="694"/>
      <c r="AK28" s="686">
        <v>28000</v>
      </c>
      <c r="AL28" s="686">
        <v>30000</v>
      </c>
      <c r="AM28" s="686">
        <v>28000</v>
      </c>
      <c r="AN28" s="686">
        <v>48000</v>
      </c>
      <c r="AO28" s="686">
        <v>48000</v>
      </c>
      <c r="AP28" s="686"/>
      <c r="AQ28" s="687">
        <v>50000</v>
      </c>
      <c r="AR28" s="694"/>
      <c r="AS28" s="686">
        <v>28000</v>
      </c>
      <c r="AT28" s="686">
        <v>30000</v>
      </c>
      <c r="AU28" s="686">
        <v>30000</v>
      </c>
      <c r="AV28" s="686">
        <v>48000</v>
      </c>
      <c r="AW28" s="686">
        <v>48000</v>
      </c>
      <c r="AX28" s="686"/>
      <c r="AY28" s="687">
        <v>50000</v>
      </c>
      <c r="AZ28" s="694"/>
      <c r="BA28" s="686">
        <v>30000</v>
      </c>
      <c r="BB28" s="686">
        <v>30000</v>
      </c>
      <c r="BC28" s="686">
        <v>30000</v>
      </c>
      <c r="BD28" s="686">
        <v>48000</v>
      </c>
      <c r="BE28" s="686">
        <v>48000</v>
      </c>
      <c r="BF28" s="686"/>
      <c r="BG28" s="687">
        <v>50000</v>
      </c>
      <c r="BH28" s="694"/>
      <c r="BI28" s="686">
        <v>30000</v>
      </c>
      <c r="BJ28" s="686">
        <v>30000</v>
      </c>
      <c r="BK28" s="686">
        <v>32000</v>
      </c>
      <c r="BL28" s="686">
        <v>48000</v>
      </c>
      <c r="BM28" s="686">
        <v>48000</v>
      </c>
      <c r="BN28" s="686"/>
      <c r="BO28" s="687">
        <v>50000</v>
      </c>
      <c r="BP28" s="694"/>
      <c r="BQ28" s="686">
        <v>29000</v>
      </c>
      <c r="BR28" s="686">
        <v>29000</v>
      </c>
      <c r="BS28" s="686">
        <v>33000</v>
      </c>
      <c r="BT28" s="839">
        <v>57000</v>
      </c>
      <c r="BU28" s="686">
        <v>59000</v>
      </c>
      <c r="BV28" s="686"/>
      <c r="BW28" s="687">
        <v>50000</v>
      </c>
      <c r="BX28" s="694"/>
      <c r="BY28" s="686">
        <v>25000</v>
      </c>
      <c r="BZ28" s="686">
        <v>25000</v>
      </c>
      <c r="CA28" s="686">
        <v>24000</v>
      </c>
      <c r="CB28" s="686">
        <v>54000</v>
      </c>
      <c r="CC28" s="686">
        <v>55000</v>
      </c>
      <c r="CD28" s="686"/>
      <c r="CE28" s="687">
        <v>50000</v>
      </c>
      <c r="CF28" s="694"/>
      <c r="CG28" s="853">
        <v>25000</v>
      </c>
      <c r="CH28" s="854">
        <v>25000</v>
      </c>
      <c r="CI28" s="854">
        <v>24000</v>
      </c>
      <c r="CJ28" s="854">
        <v>54000</v>
      </c>
      <c r="CK28" s="854">
        <v>55000</v>
      </c>
      <c r="CL28" s="854"/>
      <c r="CM28" s="687">
        <v>50000</v>
      </c>
      <c r="CN28" s="694"/>
      <c r="CO28" s="686">
        <v>26000</v>
      </c>
      <c r="CP28" s="686">
        <v>26000</v>
      </c>
      <c r="CQ28" s="686">
        <v>26000</v>
      </c>
      <c r="CR28" s="686">
        <v>54000</v>
      </c>
      <c r="CS28" s="686">
        <v>55000</v>
      </c>
      <c r="CT28" s="686"/>
      <c r="CU28" s="687">
        <v>50000</v>
      </c>
      <c r="CV28" s="694"/>
      <c r="CW28" s="686">
        <v>26000</v>
      </c>
      <c r="CX28" s="686">
        <v>26000</v>
      </c>
      <c r="CY28" s="686">
        <v>26000</v>
      </c>
      <c r="CZ28" s="686">
        <v>50000</v>
      </c>
      <c r="DA28" s="686">
        <v>50000</v>
      </c>
      <c r="DB28" s="686"/>
      <c r="DC28" s="687">
        <v>50000</v>
      </c>
      <c r="DD28" s="694"/>
      <c r="DE28" s="686">
        <v>26000</v>
      </c>
      <c r="DF28" s="686">
        <v>26000</v>
      </c>
      <c r="DG28" s="686">
        <v>27000</v>
      </c>
      <c r="DH28" s="686">
        <v>50000</v>
      </c>
      <c r="DI28" s="686">
        <v>50000</v>
      </c>
      <c r="DJ28" s="686"/>
      <c r="DK28" s="687">
        <v>50000</v>
      </c>
      <c r="DL28" s="694"/>
      <c r="DM28" s="686">
        <v>24000</v>
      </c>
      <c r="DN28" s="686">
        <v>25000</v>
      </c>
      <c r="DO28" s="686">
        <v>29000</v>
      </c>
      <c r="DP28" s="686">
        <v>52000</v>
      </c>
      <c r="DQ28" s="686">
        <v>50000</v>
      </c>
      <c r="DR28" s="686"/>
      <c r="DS28" s="687"/>
      <c r="DT28" s="694"/>
      <c r="DU28" s="686">
        <v>50000</v>
      </c>
      <c r="DV28" s="686">
        <v>25000</v>
      </c>
      <c r="DW28" s="686">
        <v>25000</v>
      </c>
      <c r="DX28" s="686">
        <v>49000</v>
      </c>
      <c r="DY28" s="686">
        <v>45000</v>
      </c>
      <c r="DZ28" s="686"/>
      <c r="EA28" s="687">
        <v>45000</v>
      </c>
      <c r="EB28" s="694"/>
      <c r="EC28" s="686">
        <v>22000</v>
      </c>
      <c r="ED28" s="686">
        <v>22000</v>
      </c>
      <c r="EE28" s="686">
        <v>23000</v>
      </c>
      <c r="EF28" s="686">
        <v>48000</v>
      </c>
      <c r="EG28" s="686">
        <v>44000</v>
      </c>
      <c r="EH28" s="686"/>
      <c r="EI28" s="687">
        <v>50000</v>
      </c>
      <c r="EJ28" s="694"/>
      <c r="EK28" s="686">
        <v>23000</v>
      </c>
      <c r="EL28" s="686">
        <v>25000</v>
      </c>
      <c r="EM28" s="686">
        <v>24000</v>
      </c>
      <c r="EN28" s="686">
        <v>55000</v>
      </c>
      <c r="EO28" s="686">
        <v>52000</v>
      </c>
      <c r="EP28" s="686"/>
      <c r="EQ28" s="687">
        <v>50000</v>
      </c>
      <c r="ER28" s="694"/>
      <c r="ES28" s="686">
        <v>28000</v>
      </c>
      <c r="ET28" s="686">
        <v>28000</v>
      </c>
      <c r="EU28" s="686">
        <v>28000</v>
      </c>
      <c r="EV28" s="686">
        <v>55000</v>
      </c>
      <c r="EW28" s="686">
        <v>52000</v>
      </c>
      <c r="EX28" s="686"/>
      <c r="EY28" s="687">
        <v>50000</v>
      </c>
      <c r="EZ28" s="694"/>
      <c r="FA28" s="686">
        <v>30000</v>
      </c>
      <c r="FB28" s="686">
        <v>30000</v>
      </c>
      <c r="FC28" s="686">
        <v>30000</v>
      </c>
      <c r="FD28" s="686">
        <v>50000</v>
      </c>
      <c r="FE28" s="686">
        <v>52000</v>
      </c>
      <c r="FF28" s="686"/>
      <c r="FG28" s="687">
        <v>47000</v>
      </c>
      <c r="FH28" s="694"/>
      <c r="FI28" s="686">
        <v>24000</v>
      </c>
      <c r="FJ28" s="686">
        <v>27000</v>
      </c>
      <c r="FK28" s="686"/>
      <c r="FL28" s="686">
        <v>50000</v>
      </c>
      <c r="FM28" s="686">
        <v>50000</v>
      </c>
      <c r="FN28" s="686"/>
      <c r="FO28" s="687">
        <v>50000</v>
      </c>
      <c r="FP28" s="694"/>
      <c r="FQ28" s="686">
        <v>30000</v>
      </c>
      <c r="FR28" s="686">
        <v>30000</v>
      </c>
      <c r="FS28" s="686">
        <v>30000</v>
      </c>
      <c r="FT28" s="686">
        <v>50000</v>
      </c>
      <c r="FU28" s="686">
        <v>50000</v>
      </c>
      <c r="FV28" s="686"/>
      <c r="FW28" s="687"/>
      <c r="FX28" s="694"/>
      <c r="FY28" s="686">
        <v>40000</v>
      </c>
      <c r="FZ28" s="686">
        <v>33000</v>
      </c>
      <c r="GA28" s="686">
        <v>28000</v>
      </c>
      <c r="GB28" s="686">
        <v>50000</v>
      </c>
      <c r="GC28" s="686">
        <v>50000</v>
      </c>
      <c r="GD28" s="686"/>
      <c r="GE28" s="687">
        <v>50000</v>
      </c>
      <c r="GF28" s="694"/>
      <c r="GG28" s="686">
        <v>30000</v>
      </c>
      <c r="GH28" s="686">
        <v>30000</v>
      </c>
      <c r="GI28" s="686">
        <v>30000</v>
      </c>
      <c r="GJ28" s="686">
        <v>45000</v>
      </c>
      <c r="GK28" s="686">
        <v>45000</v>
      </c>
      <c r="GL28" s="686"/>
      <c r="GM28" s="687">
        <v>50000</v>
      </c>
      <c r="GN28" s="694"/>
      <c r="GO28" s="686">
        <v>30000</v>
      </c>
      <c r="GP28" s="686">
        <v>24000</v>
      </c>
      <c r="GQ28" s="686">
        <v>25000</v>
      </c>
      <c r="GR28" s="686">
        <v>44000</v>
      </c>
      <c r="GS28" s="686">
        <v>45000</v>
      </c>
      <c r="GT28" s="686"/>
      <c r="GU28" s="687">
        <v>50000</v>
      </c>
      <c r="GV28" s="694"/>
      <c r="GW28" s="686">
        <v>27000</v>
      </c>
      <c r="GX28" s="686">
        <v>24000</v>
      </c>
      <c r="GY28" s="686">
        <v>25000</v>
      </c>
      <c r="GZ28" s="686">
        <v>45000</v>
      </c>
      <c r="HA28" s="686">
        <v>42000</v>
      </c>
      <c r="HB28" s="686"/>
      <c r="HC28" s="687">
        <v>40000</v>
      </c>
      <c r="HD28" s="694"/>
      <c r="HE28" s="686">
        <v>22000</v>
      </c>
      <c r="HF28" s="686">
        <v>22000</v>
      </c>
      <c r="HG28" s="686">
        <v>21000</v>
      </c>
      <c r="HH28" s="686">
        <v>44000</v>
      </c>
      <c r="HI28" s="686">
        <v>32000</v>
      </c>
      <c r="HJ28" s="686"/>
      <c r="HK28" s="687">
        <v>37000</v>
      </c>
      <c r="HL28" s="694"/>
      <c r="HM28" s="686">
        <v>22000</v>
      </c>
      <c r="HN28" s="686">
        <v>20000</v>
      </c>
      <c r="HO28" s="686">
        <v>21000</v>
      </c>
      <c r="HP28" s="686">
        <v>39000</v>
      </c>
      <c r="HQ28" s="686">
        <v>38000</v>
      </c>
      <c r="HR28" s="686"/>
      <c r="HS28" s="687">
        <v>33000</v>
      </c>
      <c r="HT28" s="694"/>
      <c r="HU28" s="686">
        <v>20000</v>
      </c>
      <c r="HV28" s="686">
        <v>21000</v>
      </c>
      <c r="HW28" s="686"/>
      <c r="HX28" s="686">
        <v>45000</v>
      </c>
      <c r="HY28" s="686">
        <v>40000</v>
      </c>
      <c r="HZ28" s="686"/>
      <c r="IA28" s="687">
        <v>30000</v>
      </c>
      <c r="IB28" s="694"/>
      <c r="IC28" s="686">
        <v>20000</v>
      </c>
      <c r="ID28" s="686">
        <v>20000</v>
      </c>
      <c r="IE28" s="686">
        <v>20000</v>
      </c>
      <c r="IF28" s="686">
        <v>35000</v>
      </c>
      <c r="IG28" s="686">
        <v>33000</v>
      </c>
      <c r="IH28" s="686"/>
      <c r="II28" s="687">
        <v>38000</v>
      </c>
      <c r="IJ28" s="694"/>
      <c r="IK28" s="686">
        <v>21000</v>
      </c>
      <c r="IL28" s="686">
        <v>21000</v>
      </c>
      <c r="IM28" s="686">
        <v>21000</v>
      </c>
      <c r="IN28" s="686">
        <v>35000</v>
      </c>
      <c r="IO28" s="686">
        <v>36000</v>
      </c>
      <c r="IP28" s="686"/>
      <c r="IQ28" s="687">
        <v>30000</v>
      </c>
      <c r="IR28" s="694"/>
      <c r="IS28" s="686">
        <v>21000</v>
      </c>
      <c r="IT28" s="686">
        <v>21000</v>
      </c>
      <c r="IU28" s="686">
        <v>21000</v>
      </c>
      <c r="IV28" s="686">
        <v>35000</v>
      </c>
      <c r="IW28" s="686">
        <v>34000</v>
      </c>
      <c r="IX28" s="686"/>
      <c r="IY28" s="687"/>
      <c r="IZ28" s="694"/>
      <c r="JA28" s="686">
        <v>36000</v>
      </c>
      <c r="JB28" s="686">
        <v>23000</v>
      </c>
      <c r="JC28" s="686">
        <v>20000</v>
      </c>
      <c r="JD28" s="686">
        <v>38000</v>
      </c>
      <c r="JE28" s="686">
        <v>37000</v>
      </c>
      <c r="JF28" s="686"/>
      <c r="JG28" s="687">
        <v>40000</v>
      </c>
      <c r="JH28" s="694"/>
      <c r="JI28" s="686">
        <v>23000</v>
      </c>
      <c r="JJ28" s="686">
        <v>23000</v>
      </c>
      <c r="JK28" s="686">
        <v>24000</v>
      </c>
      <c r="JL28" s="686">
        <v>52000</v>
      </c>
      <c r="JM28" s="686">
        <v>51000</v>
      </c>
      <c r="JN28" s="686"/>
      <c r="JO28" s="687">
        <v>50000</v>
      </c>
      <c r="JP28" s="694"/>
      <c r="JQ28" s="686">
        <v>29000</v>
      </c>
      <c r="JR28" s="686">
        <v>29000</v>
      </c>
      <c r="JS28" s="686">
        <v>29000</v>
      </c>
      <c r="JT28" s="686">
        <v>55000</v>
      </c>
      <c r="JU28" s="686">
        <v>52000</v>
      </c>
      <c r="JV28" s="686"/>
      <c r="JW28" s="687">
        <v>50000</v>
      </c>
      <c r="JX28" s="694"/>
      <c r="JY28" s="686">
        <v>30000</v>
      </c>
      <c r="JZ28" s="686">
        <v>32000</v>
      </c>
      <c r="KA28" s="686">
        <v>29000</v>
      </c>
      <c r="KB28" s="686">
        <v>55000</v>
      </c>
      <c r="KC28" s="686">
        <v>55000</v>
      </c>
      <c r="KD28" s="686"/>
      <c r="KE28" s="687">
        <v>43000</v>
      </c>
      <c r="KF28" s="694"/>
      <c r="KG28" s="686">
        <v>31000</v>
      </c>
      <c r="KH28" s="686">
        <v>32000</v>
      </c>
      <c r="KI28" s="686">
        <v>30000</v>
      </c>
      <c r="KJ28" s="686">
        <v>55000</v>
      </c>
      <c r="KK28" s="686">
        <v>45000</v>
      </c>
      <c r="KL28" s="686"/>
      <c r="KM28" s="687">
        <v>45000</v>
      </c>
      <c r="KN28" s="694"/>
      <c r="KO28" s="686">
        <v>24000</v>
      </c>
      <c r="KP28" s="686">
        <v>26000</v>
      </c>
      <c r="KQ28" s="686">
        <v>30000</v>
      </c>
      <c r="KR28" s="686">
        <v>48000</v>
      </c>
      <c r="KS28" s="686">
        <v>50000</v>
      </c>
      <c r="KT28" s="686"/>
      <c r="KU28" s="687">
        <v>45000</v>
      </c>
      <c r="KV28" s="694"/>
      <c r="KW28" s="686">
        <v>25000</v>
      </c>
      <c r="KX28" s="686">
        <v>25000</v>
      </c>
      <c r="KY28" s="686">
        <v>28000</v>
      </c>
      <c r="KZ28" s="686">
        <v>48000</v>
      </c>
      <c r="LA28" s="686">
        <v>50000</v>
      </c>
      <c r="LB28" s="686"/>
      <c r="LC28" s="687">
        <v>50000</v>
      </c>
      <c r="LD28" s="694"/>
      <c r="LE28" s="686">
        <v>26000</v>
      </c>
      <c r="LF28" s="686">
        <v>27000</v>
      </c>
      <c r="LG28" s="686">
        <v>27000</v>
      </c>
      <c r="LH28" s="686">
        <v>48000</v>
      </c>
      <c r="LI28" s="686">
        <v>48000</v>
      </c>
      <c r="LJ28" s="686"/>
      <c r="LK28" s="687">
        <v>45000</v>
      </c>
      <c r="LL28" s="694"/>
      <c r="LM28" s="890">
        <v>27000</v>
      </c>
      <c r="LN28" s="890">
        <v>28000</v>
      </c>
      <c r="LO28" s="890">
        <v>26000</v>
      </c>
      <c r="LP28" s="890">
        <v>50000</v>
      </c>
      <c r="LQ28" s="890">
        <v>49000</v>
      </c>
      <c r="LR28" s="890"/>
      <c r="LS28" s="687">
        <v>45000</v>
      </c>
      <c r="LT28" s="694"/>
      <c r="LU28" s="686">
        <v>27000</v>
      </c>
      <c r="LV28" s="686">
        <v>27000</v>
      </c>
      <c r="LW28" s="686">
        <v>27000</v>
      </c>
      <c r="LX28" s="686">
        <v>45000</v>
      </c>
      <c r="LY28" s="686">
        <v>45000</v>
      </c>
      <c r="LZ28" s="686"/>
      <c r="MA28" s="687">
        <v>45000</v>
      </c>
      <c r="MB28" s="694"/>
      <c r="MC28" s="686">
        <v>27000</v>
      </c>
      <c r="MD28" s="686">
        <v>27000</v>
      </c>
      <c r="ME28" s="686">
        <v>27000</v>
      </c>
      <c r="MF28" s="686">
        <v>45000</v>
      </c>
      <c r="MG28" s="686">
        <v>44000</v>
      </c>
      <c r="MH28" s="686"/>
      <c r="MI28" s="687">
        <v>45000</v>
      </c>
      <c r="MJ28" s="694"/>
      <c r="MK28" s="686"/>
      <c r="ML28" s="686">
        <v>35000</v>
      </c>
      <c r="MM28" s="686">
        <v>31000</v>
      </c>
      <c r="MN28" s="686">
        <v>52000</v>
      </c>
      <c r="MO28" s="686">
        <v>50000</v>
      </c>
      <c r="MP28" s="686"/>
      <c r="MQ28" s="687">
        <v>48000</v>
      </c>
      <c r="MR28" s="694"/>
      <c r="MS28" s="686">
        <v>34000</v>
      </c>
      <c r="MT28" s="686">
        <v>32000</v>
      </c>
      <c r="MU28" s="686">
        <v>39000</v>
      </c>
      <c r="MV28" s="686"/>
      <c r="MW28" s="686">
        <v>52000</v>
      </c>
      <c r="MX28" s="686"/>
      <c r="MY28" s="687">
        <v>45000</v>
      </c>
      <c r="MZ28" s="694"/>
      <c r="NA28" s="686">
        <v>34000</v>
      </c>
      <c r="NB28" s="686">
        <v>34000</v>
      </c>
      <c r="NC28" s="686">
        <v>33000</v>
      </c>
      <c r="ND28" s="686">
        <v>51000</v>
      </c>
      <c r="NE28" s="686">
        <v>49000</v>
      </c>
      <c r="NF28" s="686"/>
      <c r="NG28" s="687">
        <v>50000</v>
      </c>
      <c r="NH28" s="694"/>
      <c r="NI28" s="686">
        <v>45000</v>
      </c>
      <c r="NJ28" s="686">
        <v>48000</v>
      </c>
      <c r="NK28" s="686">
        <v>48000</v>
      </c>
      <c r="NL28" s="686">
        <v>60000</v>
      </c>
      <c r="NM28" s="686">
        <v>57000</v>
      </c>
      <c r="NN28" s="686"/>
      <c r="NO28" s="687">
        <v>63000</v>
      </c>
      <c r="NP28" s="694"/>
      <c r="NQ28" s="686">
        <v>54000</v>
      </c>
      <c r="NR28" s="686">
        <v>48000</v>
      </c>
      <c r="NS28" s="686">
        <v>48000</v>
      </c>
      <c r="NT28" s="686">
        <v>54000</v>
      </c>
      <c r="NU28" s="686">
        <v>55000</v>
      </c>
      <c r="NV28" s="686"/>
      <c r="NW28" s="687">
        <v>53000</v>
      </c>
      <c r="NX28" s="694"/>
      <c r="NY28" s="686">
        <v>32000</v>
      </c>
      <c r="NZ28" s="686">
        <v>32000</v>
      </c>
      <c r="OA28" s="686">
        <v>30000</v>
      </c>
      <c r="OB28" s="686">
        <v>50000</v>
      </c>
      <c r="OC28" s="686">
        <v>50000</v>
      </c>
      <c r="OD28" s="686"/>
      <c r="OE28" s="687">
        <v>48000</v>
      </c>
      <c r="OF28" s="694"/>
      <c r="OG28" s="686">
        <v>30000</v>
      </c>
      <c r="OH28" s="686">
        <v>30000</v>
      </c>
      <c r="OI28" s="686">
        <v>30000</v>
      </c>
      <c r="OJ28" s="686">
        <v>50000</v>
      </c>
      <c r="OK28" s="686">
        <v>47000</v>
      </c>
      <c r="OL28" s="686"/>
      <c r="OM28" s="687">
        <v>58000</v>
      </c>
      <c r="ON28" s="694"/>
      <c r="OO28" s="686">
        <v>43000</v>
      </c>
      <c r="OP28" s="686">
        <v>47000</v>
      </c>
      <c r="OQ28" s="686">
        <v>57000</v>
      </c>
      <c r="OR28" s="686">
        <v>57000</v>
      </c>
      <c r="OS28" s="839">
        <v>64000</v>
      </c>
      <c r="OT28" s="686"/>
      <c r="OU28" s="687">
        <v>46000</v>
      </c>
      <c r="OV28" s="694"/>
      <c r="OW28" s="686">
        <v>38000</v>
      </c>
      <c r="OX28" s="686">
        <v>38000</v>
      </c>
      <c r="OY28" s="686">
        <v>47000</v>
      </c>
      <c r="OZ28" s="686">
        <v>53000</v>
      </c>
      <c r="PA28" s="686">
        <v>56000</v>
      </c>
      <c r="PB28" s="686"/>
      <c r="PC28" s="687">
        <v>35000</v>
      </c>
    </row>
    <row r="29" spans="1:420" x14ac:dyDescent="0.3">
      <c r="B29" s="980"/>
      <c r="C29" s="761" t="s">
        <v>261</v>
      </c>
      <c r="D29" s="694"/>
      <c r="E29" s="686"/>
      <c r="F29" s="686"/>
      <c r="G29" s="686">
        <v>5300</v>
      </c>
      <c r="H29" s="686">
        <v>8000</v>
      </c>
      <c r="I29" s="686">
        <v>8000</v>
      </c>
      <c r="J29" s="686">
        <v>10500</v>
      </c>
      <c r="K29" s="687"/>
      <c r="L29" s="694"/>
      <c r="M29" s="686">
        <v>10000</v>
      </c>
      <c r="N29" s="686">
        <v>9500</v>
      </c>
      <c r="O29" s="686">
        <v>10000</v>
      </c>
      <c r="P29" s="686">
        <v>11800</v>
      </c>
      <c r="Q29" s="686">
        <v>9800</v>
      </c>
      <c r="R29" s="686">
        <v>10000</v>
      </c>
      <c r="S29" s="687"/>
      <c r="T29" s="694"/>
      <c r="U29" s="686">
        <v>10000</v>
      </c>
      <c r="V29" s="686">
        <v>6000</v>
      </c>
      <c r="W29" s="686">
        <v>10000</v>
      </c>
      <c r="X29" s="686">
        <v>11000</v>
      </c>
      <c r="Y29" s="839">
        <v>10000</v>
      </c>
      <c r="Z29" s="686">
        <v>10000</v>
      </c>
      <c r="AA29" s="687"/>
      <c r="AB29" s="694"/>
      <c r="AC29" s="686">
        <v>10000</v>
      </c>
      <c r="AD29" s="686">
        <v>6000</v>
      </c>
      <c r="AE29" s="686">
        <v>6000</v>
      </c>
      <c r="AF29" s="686"/>
      <c r="AG29" s="686">
        <v>6000</v>
      </c>
      <c r="AH29" s="686">
        <v>10000</v>
      </c>
      <c r="AI29" s="687"/>
      <c r="AJ29" s="694"/>
      <c r="AK29" s="686"/>
      <c r="AL29" s="686"/>
      <c r="AM29" s="686"/>
      <c r="AN29" s="686"/>
      <c r="AO29" s="686"/>
      <c r="AP29" s="686">
        <v>5000</v>
      </c>
      <c r="AQ29" s="687"/>
      <c r="AR29" s="694"/>
      <c r="AS29" s="686"/>
      <c r="AT29" s="686"/>
      <c r="AU29" s="686"/>
      <c r="AV29" s="686"/>
      <c r="AW29" s="686"/>
      <c r="AX29" s="686"/>
      <c r="AY29" s="687"/>
      <c r="AZ29" s="694"/>
      <c r="BA29" s="686"/>
      <c r="BB29" s="686"/>
      <c r="BC29" s="686"/>
      <c r="BD29" s="686"/>
      <c r="BE29" s="686"/>
      <c r="BF29" s="686"/>
      <c r="BG29" s="687"/>
      <c r="BH29" s="694"/>
      <c r="BI29" s="686"/>
      <c r="BJ29" s="686"/>
      <c r="BK29" s="686"/>
      <c r="BL29" s="686"/>
      <c r="BM29" s="686"/>
      <c r="BN29" s="686"/>
      <c r="BO29" s="687"/>
      <c r="BP29" s="694"/>
      <c r="BQ29" s="686"/>
      <c r="BR29" s="686"/>
      <c r="BS29" s="686"/>
      <c r="BT29" s="686"/>
      <c r="BU29" s="686"/>
      <c r="BV29" s="686"/>
      <c r="BW29" s="687"/>
      <c r="BX29" s="694"/>
      <c r="BY29" s="686"/>
      <c r="BZ29" s="686"/>
      <c r="CA29" s="686"/>
      <c r="CB29" s="686"/>
      <c r="CC29" s="686"/>
      <c r="CD29" s="686"/>
      <c r="CE29" s="687"/>
      <c r="CF29" s="694"/>
      <c r="CG29" s="686"/>
      <c r="CH29" s="686"/>
      <c r="CI29" s="686"/>
      <c r="CJ29" s="686"/>
      <c r="CK29" s="686"/>
      <c r="CL29" s="686"/>
      <c r="CM29" s="687"/>
      <c r="CN29" s="694"/>
      <c r="CO29" s="686"/>
      <c r="CP29" s="686"/>
      <c r="CQ29" s="686"/>
      <c r="CR29" s="686"/>
      <c r="CS29" s="686"/>
      <c r="CT29" s="686"/>
      <c r="CU29" s="687"/>
      <c r="CV29" s="694"/>
      <c r="CW29" s="686"/>
      <c r="CX29" s="686"/>
      <c r="CY29" s="686"/>
      <c r="CZ29" s="686"/>
      <c r="DA29" s="686"/>
      <c r="DB29" s="686"/>
      <c r="DC29" s="687"/>
      <c r="DD29" s="694"/>
      <c r="DE29" s="686"/>
      <c r="DF29" s="686"/>
      <c r="DG29" s="686"/>
      <c r="DH29" s="686"/>
      <c r="DI29" s="686"/>
      <c r="DJ29" s="686"/>
      <c r="DK29" s="687"/>
      <c r="DL29" s="694"/>
      <c r="DM29" s="686"/>
      <c r="DN29" s="686"/>
      <c r="DO29" s="686"/>
      <c r="DP29" s="686"/>
      <c r="DQ29" s="686"/>
      <c r="DR29" s="686"/>
      <c r="DS29" s="687"/>
      <c r="DT29" s="694"/>
      <c r="DU29" s="686"/>
      <c r="DV29" s="686"/>
      <c r="DW29" s="686"/>
      <c r="DX29" s="686"/>
      <c r="DY29" s="686"/>
      <c r="DZ29" s="686"/>
      <c r="EA29" s="687"/>
      <c r="EB29" s="694"/>
      <c r="EC29" s="686"/>
      <c r="ED29" s="686"/>
      <c r="EE29" s="686"/>
      <c r="EF29" s="686"/>
      <c r="EG29" s="686"/>
      <c r="EH29" s="686"/>
      <c r="EI29" s="687"/>
      <c r="EJ29" s="694"/>
      <c r="EK29" s="686"/>
      <c r="EL29" s="686"/>
      <c r="EM29" s="686"/>
      <c r="EN29" s="686"/>
      <c r="EO29" s="686"/>
      <c r="EP29" s="686"/>
      <c r="EQ29" s="687"/>
      <c r="ER29" s="694"/>
      <c r="ES29" s="686"/>
      <c r="ET29" s="686"/>
      <c r="EU29" s="686"/>
      <c r="EV29" s="686"/>
      <c r="EW29" s="686"/>
      <c r="EX29" s="686"/>
      <c r="EY29" s="687"/>
      <c r="EZ29" s="694"/>
      <c r="FA29" s="686"/>
      <c r="FB29" s="686"/>
      <c r="FC29" s="686"/>
      <c r="FD29" s="686"/>
      <c r="FE29" s="686"/>
      <c r="FF29" s="686"/>
      <c r="FG29" s="687"/>
      <c r="FH29" s="694"/>
      <c r="FI29" s="686"/>
      <c r="FJ29" s="686"/>
      <c r="FK29" s="686"/>
      <c r="FL29" s="686"/>
      <c r="FM29" s="686"/>
      <c r="FN29" s="686"/>
      <c r="FO29" s="687"/>
      <c r="FP29" s="694"/>
      <c r="FQ29" s="686"/>
      <c r="FR29" s="686"/>
      <c r="FS29" s="686"/>
      <c r="FT29" s="686"/>
      <c r="FU29" s="686"/>
      <c r="FV29" s="686"/>
      <c r="FW29" s="687"/>
      <c r="FX29" s="694"/>
      <c r="FY29" s="686"/>
      <c r="FZ29" s="686"/>
      <c r="GA29" s="686"/>
      <c r="GB29" s="686"/>
      <c r="GC29" s="686"/>
      <c r="GD29" s="686"/>
      <c r="GE29" s="687"/>
      <c r="GF29" s="694"/>
      <c r="GG29" s="686"/>
      <c r="GH29" s="686"/>
      <c r="GI29" s="686"/>
      <c r="GJ29" s="686"/>
      <c r="GK29" s="686"/>
      <c r="GL29" s="686"/>
      <c r="GM29" s="687"/>
      <c r="GN29" s="694"/>
      <c r="GO29" s="686"/>
      <c r="GP29" s="686"/>
      <c r="GQ29" s="686"/>
      <c r="GR29" s="686"/>
      <c r="GS29" s="686"/>
      <c r="GT29" s="686"/>
      <c r="GU29" s="687"/>
      <c r="GV29" s="694"/>
      <c r="GW29" s="686"/>
      <c r="GX29" s="686"/>
      <c r="GY29" s="686"/>
      <c r="GZ29" s="686"/>
      <c r="HA29" s="686"/>
      <c r="HB29" s="686"/>
      <c r="HC29" s="687"/>
      <c r="HD29" s="694"/>
      <c r="HE29" s="686"/>
      <c r="HF29" s="686"/>
      <c r="HG29" s="686"/>
      <c r="HH29" s="686"/>
      <c r="HI29" s="686"/>
      <c r="HJ29" s="686"/>
      <c r="HK29" s="687"/>
      <c r="HL29" s="694"/>
      <c r="HM29" s="686"/>
      <c r="HN29" s="686"/>
      <c r="HO29" s="686"/>
      <c r="HP29" s="686"/>
      <c r="HQ29" s="686"/>
      <c r="HR29" s="686"/>
      <c r="HS29" s="687"/>
      <c r="HT29" s="694"/>
      <c r="HU29" s="686"/>
      <c r="HV29" s="686"/>
      <c r="HW29" s="686"/>
      <c r="HX29" s="686"/>
      <c r="HY29" s="686"/>
      <c r="HZ29" s="686"/>
      <c r="IA29" s="687"/>
      <c r="IB29" s="694"/>
      <c r="IC29" s="686"/>
      <c r="ID29" s="686"/>
      <c r="IE29" s="686"/>
      <c r="IF29" s="686"/>
      <c r="IG29" s="686"/>
      <c r="IH29" s="686"/>
      <c r="II29" s="687"/>
      <c r="IJ29" s="694"/>
      <c r="IK29" s="686"/>
      <c r="IL29" s="686"/>
      <c r="IM29" s="686"/>
      <c r="IN29" s="686"/>
      <c r="IO29" s="686"/>
      <c r="IP29" s="686"/>
      <c r="IQ29" s="687"/>
      <c r="IR29" s="694"/>
      <c r="IS29" s="686"/>
      <c r="IT29" s="686"/>
      <c r="IU29" s="686"/>
      <c r="IV29" s="686"/>
      <c r="IW29" s="686"/>
      <c r="IX29" s="686"/>
      <c r="IY29" s="687"/>
      <c r="IZ29" s="694"/>
      <c r="JA29" s="686"/>
      <c r="JB29" s="686"/>
      <c r="JC29" s="686"/>
      <c r="JD29" s="686"/>
      <c r="JE29" s="686"/>
      <c r="JF29" s="686"/>
      <c r="JG29" s="687"/>
      <c r="JH29" s="694"/>
      <c r="JI29" s="686"/>
      <c r="JJ29" s="686"/>
      <c r="JK29" s="686"/>
      <c r="JL29" s="686"/>
      <c r="JM29" s="686"/>
      <c r="JN29" s="686"/>
      <c r="JO29" s="687"/>
      <c r="JP29" s="694"/>
      <c r="JQ29" s="686"/>
      <c r="JR29" s="686"/>
      <c r="JS29" s="686"/>
      <c r="JT29" s="686"/>
      <c r="JU29" s="686"/>
      <c r="JV29" s="686"/>
      <c r="JW29" s="687"/>
      <c r="JX29" s="694"/>
      <c r="JY29" s="686"/>
      <c r="JZ29" s="686"/>
      <c r="KA29" s="686"/>
      <c r="KB29" s="686"/>
      <c r="KC29" s="686"/>
      <c r="KD29" s="686"/>
      <c r="KE29" s="687"/>
      <c r="KF29" s="694"/>
      <c r="KG29" s="686"/>
      <c r="KH29" s="686"/>
      <c r="KI29" s="686"/>
      <c r="KJ29" s="686"/>
      <c r="KK29" s="686"/>
      <c r="KL29" s="686"/>
      <c r="KM29" s="687"/>
      <c r="KN29" s="694"/>
      <c r="KO29" s="686"/>
      <c r="KP29" s="686"/>
      <c r="KQ29" s="686"/>
      <c r="KR29" s="686"/>
      <c r="KS29" s="686"/>
      <c r="KT29" s="686"/>
      <c r="KU29" s="687"/>
      <c r="KV29" s="694"/>
      <c r="KW29" s="686"/>
      <c r="KX29" s="686"/>
      <c r="KY29" s="686"/>
      <c r="KZ29" s="686"/>
      <c r="LA29" s="686"/>
      <c r="LB29" s="686"/>
      <c r="LC29" s="687"/>
      <c r="LD29" s="694"/>
      <c r="LE29" s="686"/>
      <c r="LF29" s="686"/>
      <c r="LG29" s="686"/>
      <c r="LH29" s="686"/>
      <c r="LI29" s="686"/>
      <c r="LJ29" s="686"/>
      <c r="LK29" s="687"/>
      <c r="LL29" s="694"/>
      <c r="LM29" s="686"/>
      <c r="LN29" s="686"/>
      <c r="LO29" s="686"/>
      <c r="LP29" s="686"/>
      <c r="LQ29" s="686"/>
      <c r="LR29" s="686"/>
      <c r="LS29" s="687"/>
      <c r="LT29" s="694"/>
      <c r="LU29" s="686"/>
      <c r="LV29" s="686"/>
      <c r="LW29" s="686"/>
      <c r="LX29" s="686"/>
      <c r="LY29" s="686"/>
      <c r="LZ29" s="686"/>
      <c r="MA29" s="687"/>
      <c r="MB29" s="694"/>
      <c r="MC29" s="686"/>
      <c r="MD29" s="686"/>
      <c r="ME29" s="686"/>
      <c r="MF29" s="686"/>
      <c r="MG29" s="686"/>
      <c r="MH29" s="686"/>
      <c r="MI29" s="687"/>
      <c r="MJ29" s="694"/>
      <c r="MK29" s="686"/>
      <c r="ML29" s="686"/>
      <c r="MM29" s="686"/>
      <c r="MN29" s="686"/>
      <c r="MO29" s="686"/>
      <c r="MP29" s="686"/>
      <c r="MQ29" s="687"/>
      <c r="MR29" s="694"/>
      <c r="MS29" s="686"/>
      <c r="MT29" s="686"/>
      <c r="MU29" s="686"/>
      <c r="MV29" s="686"/>
      <c r="MW29" s="686"/>
      <c r="MX29" s="686"/>
      <c r="MY29" s="687"/>
      <c r="MZ29" s="694"/>
      <c r="NA29" s="686"/>
      <c r="NB29" s="686"/>
      <c r="NC29" s="686"/>
      <c r="ND29" s="686"/>
      <c r="NE29" s="686"/>
      <c r="NF29" s="686"/>
      <c r="NG29" s="687"/>
      <c r="NH29" s="694"/>
      <c r="NI29" s="686"/>
      <c r="NJ29" s="686"/>
      <c r="NK29" s="686"/>
      <c r="NL29" s="686"/>
      <c r="NM29" s="686"/>
      <c r="NN29" s="686"/>
      <c r="NO29" s="687"/>
      <c r="NP29" s="694"/>
      <c r="NQ29" s="686"/>
      <c r="NR29" s="686"/>
      <c r="NS29" s="686"/>
      <c r="NT29" s="686"/>
      <c r="NU29" s="686"/>
      <c r="NV29" s="686"/>
      <c r="NW29" s="687"/>
      <c r="NX29" s="694"/>
      <c r="NY29" s="686"/>
      <c r="NZ29" s="686"/>
      <c r="OA29" s="686"/>
      <c r="OB29" s="686"/>
      <c r="OC29" s="686"/>
      <c r="OD29" s="686"/>
      <c r="OE29" s="687"/>
      <c r="OF29" s="694"/>
      <c r="OG29" s="686"/>
      <c r="OH29" s="686"/>
      <c r="OI29" s="686"/>
      <c r="OJ29" s="686"/>
      <c r="OK29" s="686"/>
      <c r="OL29" s="686"/>
      <c r="OM29" s="687"/>
      <c r="ON29" s="694"/>
      <c r="OO29" s="686"/>
      <c r="OP29" s="686"/>
      <c r="OQ29" s="686"/>
      <c r="OR29" s="686"/>
      <c r="OS29" s="686"/>
      <c r="OT29" s="686"/>
      <c r="OU29" s="687"/>
      <c r="OV29" s="694"/>
      <c r="OW29" s="686"/>
      <c r="OX29" s="686"/>
      <c r="OY29" s="686"/>
      <c r="OZ29" s="686"/>
      <c r="PA29" s="686"/>
      <c r="PB29" s="686"/>
      <c r="PC29" s="687"/>
    </row>
    <row r="30" spans="1:420" ht="15" thickBot="1" x14ac:dyDescent="0.35">
      <c r="B30" s="981"/>
      <c r="C30" s="769" t="s">
        <v>262</v>
      </c>
      <c r="D30" s="772">
        <f>SUM(E30:K30)</f>
        <v>796800</v>
      </c>
      <c r="E30" s="770">
        <f>SUM(E26:E29)</f>
        <v>123000</v>
      </c>
      <c r="F30" s="770">
        <f t="shared" ref="F30:K30" si="804">SUM(F26:F29)</f>
        <v>129000</v>
      </c>
      <c r="G30" s="770">
        <f t="shared" si="804"/>
        <v>130300</v>
      </c>
      <c r="H30" s="770">
        <f t="shared" si="804"/>
        <v>152000</v>
      </c>
      <c r="I30" s="770">
        <f t="shared" si="804"/>
        <v>158000</v>
      </c>
      <c r="J30" s="770">
        <f t="shared" si="804"/>
        <v>65500</v>
      </c>
      <c r="K30" s="771">
        <f t="shared" si="804"/>
        <v>39000</v>
      </c>
      <c r="L30" s="772">
        <f>SUM(M30:S30)</f>
        <v>811100</v>
      </c>
      <c r="M30" s="770">
        <f>SUM(M26:M29)</f>
        <v>132000</v>
      </c>
      <c r="N30" s="770">
        <f t="shared" ref="N30:S30" si="805">SUM(N26:N29)</f>
        <v>127500</v>
      </c>
      <c r="O30" s="770">
        <f t="shared" si="805"/>
        <v>128000</v>
      </c>
      <c r="P30" s="770">
        <f t="shared" si="805"/>
        <v>156800</v>
      </c>
      <c r="Q30" s="770">
        <f t="shared" si="805"/>
        <v>158800</v>
      </c>
      <c r="R30" s="770">
        <f t="shared" si="805"/>
        <v>63000</v>
      </c>
      <c r="S30" s="771">
        <f t="shared" si="805"/>
        <v>45000</v>
      </c>
      <c r="T30" s="772">
        <f>SUM(U30:AA30)</f>
        <v>820000</v>
      </c>
      <c r="U30" s="770">
        <f>SUM(U26:U29)</f>
        <v>134000</v>
      </c>
      <c r="V30" s="770">
        <f t="shared" ref="V30:Z30" si="806">SUM(V26:V29)</f>
        <v>129000</v>
      </c>
      <c r="W30" s="770">
        <f t="shared" si="806"/>
        <v>134000</v>
      </c>
      <c r="X30" s="770">
        <f t="shared" si="806"/>
        <v>156000</v>
      </c>
      <c r="Y30" s="770">
        <f>SUM(Y26:Y29)</f>
        <v>157000</v>
      </c>
      <c r="Z30" s="770">
        <f t="shared" si="806"/>
        <v>65000</v>
      </c>
      <c r="AA30" s="771">
        <f>SUM(AA26:AA29)</f>
        <v>45000</v>
      </c>
      <c r="AB30" s="772">
        <f>SUM(AC30:AI30)</f>
        <v>815000</v>
      </c>
      <c r="AC30" s="770">
        <f>SUM(AC26:AC29)</f>
        <v>129000</v>
      </c>
      <c r="AD30" s="770">
        <f t="shared" ref="AD30:AI30" si="807">SUM(AD26:AD29)</f>
        <v>131000</v>
      </c>
      <c r="AE30" s="770">
        <f t="shared" si="807"/>
        <v>126000</v>
      </c>
      <c r="AF30" s="770">
        <f t="shared" si="807"/>
        <v>150000</v>
      </c>
      <c r="AG30" s="770">
        <f t="shared" si="807"/>
        <v>159000</v>
      </c>
      <c r="AH30" s="770">
        <f t="shared" si="807"/>
        <v>70000</v>
      </c>
      <c r="AI30" s="771">
        <f t="shared" si="807"/>
        <v>50000</v>
      </c>
      <c r="AJ30" s="772">
        <f>SUM(AK30:AQ30)</f>
        <v>837000</v>
      </c>
      <c r="AK30" s="770">
        <f>SUM(AK26:AK29)</f>
        <v>135000</v>
      </c>
      <c r="AL30" s="770">
        <f t="shared" ref="AL30:AQ30" si="808">SUM(AL26:AL29)</f>
        <v>139000</v>
      </c>
      <c r="AM30" s="770">
        <f t="shared" si="808"/>
        <v>136000</v>
      </c>
      <c r="AN30" s="770">
        <f t="shared" si="808"/>
        <v>156000</v>
      </c>
      <c r="AO30" s="770">
        <f t="shared" si="808"/>
        <v>159000</v>
      </c>
      <c r="AP30" s="770">
        <f t="shared" si="808"/>
        <v>62000</v>
      </c>
      <c r="AQ30" s="771">
        <f t="shared" si="808"/>
        <v>50000</v>
      </c>
      <c r="AR30" s="772">
        <f>SUM(AS30:AY30)</f>
        <v>782000</v>
      </c>
      <c r="AS30" s="770">
        <f>SUM(AS26:AS29)</f>
        <v>133000</v>
      </c>
      <c r="AT30" s="770">
        <f t="shared" ref="AT30:AY30" si="809">SUM(AT26:AT29)</f>
        <v>136000</v>
      </c>
      <c r="AU30" s="770">
        <f t="shared" si="809"/>
        <v>109000</v>
      </c>
      <c r="AV30" s="770">
        <f t="shared" si="809"/>
        <v>143000</v>
      </c>
      <c r="AW30" s="770">
        <f t="shared" si="809"/>
        <v>154000</v>
      </c>
      <c r="AX30" s="770">
        <f t="shared" si="809"/>
        <v>57000</v>
      </c>
      <c r="AY30" s="771">
        <f t="shared" si="809"/>
        <v>50000</v>
      </c>
      <c r="AZ30" s="772">
        <f>SUM(BA30:BG30)</f>
        <v>811000</v>
      </c>
      <c r="BA30" s="770">
        <f>SUM(BA26:BA29)</f>
        <v>131000</v>
      </c>
      <c r="BB30" s="770">
        <f t="shared" ref="BB30:BG30" si="810">SUM(BB26:BB29)</f>
        <v>135000</v>
      </c>
      <c r="BC30" s="770">
        <f t="shared" si="810"/>
        <v>134000</v>
      </c>
      <c r="BD30" s="770">
        <f t="shared" si="810"/>
        <v>149000</v>
      </c>
      <c r="BE30" s="770">
        <f t="shared" si="810"/>
        <v>155000</v>
      </c>
      <c r="BF30" s="770">
        <f t="shared" si="810"/>
        <v>57000</v>
      </c>
      <c r="BG30" s="771">
        <f t="shared" si="810"/>
        <v>50000</v>
      </c>
      <c r="BH30" s="772">
        <f>SUM(BI30:BO30)</f>
        <v>802000</v>
      </c>
      <c r="BI30" s="770">
        <f>SUM(BI26:BI29)</f>
        <v>130000</v>
      </c>
      <c r="BJ30" s="770">
        <f t="shared" ref="BJ30:BO30" si="811">SUM(BJ26:BJ29)</f>
        <v>130000</v>
      </c>
      <c r="BK30" s="770">
        <f t="shared" si="811"/>
        <v>132000</v>
      </c>
      <c r="BL30" s="770">
        <f t="shared" si="811"/>
        <v>152000</v>
      </c>
      <c r="BM30" s="770">
        <f t="shared" si="811"/>
        <v>151000</v>
      </c>
      <c r="BN30" s="770">
        <f t="shared" si="811"/>
        <v>57000</v>
      </c>
      <c r="BO30" s="771">
        <f t="shared" si="811"/>
        <v>50000</v>
      </c>
      <c r="BP30" s="772">
        <f>SUM(BQ30:BW30)</f>
        <v>787000</v>
      </c>
      <c r="BQ30" s="770">
        <f>SUM(BQ26:BQ29)</f>
        <v>121000</v>
      </c>
      <c r="BR30" s="770">
        <f t="shared" ref="BR30:BW30" si="812">SUM(BR26:BR29)</f>
        <v>121000</v>
      </c>
      <c r="BS30" s="770">
        <f t="shared" si="812"/>
        <v>126000</v>
      </c>
      <c r="BT30" s="770">
        <f t="shared" si="812"/>
        <v>154000</v>
      </c>
      <c r="BU30" s="770">
        <f t="shared" si="812"/>
        <v>158000</v>
      </c>
      <c r="BV30" s="770">
        <f t="shared" si="812"/>
        <v>57000</v>
      </c>
      <c r="BW30" s="771">
        <f t="shared" si="812"/>
        <v>50000</v>
      </c>
      <c r="BX30" s="772">
        <f>SUM(BY30:CE30)</f>
        <v>775000</v>
      </c>
      <c r="BY30" s="770">
        <f>SUM(BY26:BY29)</f>
        <v>117000</v>
      </c>
      <c r="BZ30" s="770">
        <f t="shared" ref="BZ30:CE30" si="813">SUM(BZ26:BZ29)</f>
        <v>121000</v>
      </c>
      <c r="CA30" s="770">
        <f t="shared" si="813"/>
        <v>118000</v>
      </c>
      <c r="CB30" s="770">
        <f t="shared" si="813"/>
        <v>152000</v>
      </c>
      <c r="CC30" s="770">
        <f t="shared" si="813"/>
        <v>160000</v>
      </c>
      <c r="CD30" s="770">
        <f t="shared" si="813"/>
        <v>57000</v>
      </c>
      <c r="CE30" s="771">
        <f t="shared" si="813"/>
        <v>50000</v>
      </c>
      <c r="CF30" s="772">
        <f>SUM(CG30:CM30)</f>
        <v>763000</v>
      </c>
      <c r="CG30" s="770">
        <f>SUM(CG26:CG29)</f>
        <v>117000</v>
      </c>
      <c r="CH30" s="770">
        <f t="shared" ref="CH30:CM30" si="814">SUM(CH26:CH29)</f>
        <v>121000</v>
      </c>
      <c r="CI30" s="770">
        <f t="shared" si="814"/>
        <v>118000</v>
      </c>
      <c r="CJ30" s="770">
        <f t="shared" si="814"/>
        <v>149000</v>
      </c>
      <c r="CK30" s="770">
        <f t="shared" si="814"/>
        <v>151000</v>
      </c>
      <c r="CL30" s="770">
        <f t="shared" si="814"/>
        <v>57000</v>
      </c>
      <c r="CM30" s="771">
        <f t="shared" si="814"/>
        <v>50000</v>
      </c>
      <c r="CN30" s="772">
        <f>SUM(CO30:CU30)</f>
        <v>779000</v>
      </c>
      <c r="CO30" s="770">
        <f>SUM(CO26:CO29)</f>
        <v>119000</v>
      </c>
      <c r="CP30" s="770">
        <f t="shared" ref="CP30:CT30" si="815">SUM(CP26:CP29)</f>
        <v>120000</v>
      </c>
      <c r="CQ30" s="770">
        <f t="shared" si="815"/>
        <v>120000</v>
      </c>
      <c r="CR30" s="770">
        <f t="shared" si="815"/>
        <v>154000</v>
      </c>
      <c r="CS30" s="770">
        <f t="shared" si="815"/>
        <v>159000</v>
      </c>
      <c r="CT30" s="770">
        <f t="shared" si="815"/>
        <v>57000</v>
      </c>
      <c r="CU30" s="771">
        <f>SUM(CU26:CU29)</f>
        <v>50000</v>
      </c>
      <c r="CV30" s="772">
        <f>SUM(CW30:DC30)</f>
        <v>779000</v>
      </c>
      <c r="CW30" s="770">
        <f>SUM(CW26:CW29)</f>
        <v>119000</v>
      </c>
      <c r="CX30" s="770">
        <f t="shared" ref="CX30:DC30" si="816">SUM(CX26:CX29)</f>
        <v>120000</v>
      </c>
      <c r="CY30" s="770">
        <f t="shared" si="816"/>
        <v>120000</v>
      </c>
      <c r="CZ30" s="770">
        <f t="shared" si="816"/>
        <v>149000</v>
      </c>
      <c r="DA30" s="770">
        <f t="shared" si="816"/>
        <v>164000</v>
      </c>
      <c r="DB30" s="770">
        <f t="shared" si="816"/>
        <v>57000</v>
      </c>
      <c r="DC30" s="771">
        <f t="shared" si="816"/>
        <v>50000</v>
      </c>
      <c r="DD30" s="772">
        <f>SUM(DE30:DK30)</f>
        <v>768000</v>
      </c>
      <c r="DE30" s="770">
        <f>SUM(DE26:DE29)</f>
        <v>119000</v>
      </c>
      <c r="DF30" s="770">
        <f t="shared" ref="DF30:DK30" si="817">SUM(DF26:DF29)</f>
        <v>116000</v>
      </c>
      <c r="DG30" s="770">
        <f t="shared" si="817"/>
        <v>118000</v>
      </c>
      <c r="DH30" s="770">
        <f t="shared" si="817"/>
        <v>149000</v>
      </c>
      <c r="DI30" s="770">
        <f t="shared" si="817"/>
        <v>156000</v>
      </c>
      <c r="DJ30" s="770">
        <f t="shared" si="817"/>
        <v>60000</v>
      </c>
      <c r="DK30" s="771">
        <f t="shared" si="817"/>
        <v>50000</v>
      </c>
      <c r="DL30" s="772">
        <f>SUM(DM30:DS30)</f>
        <v>738000</v>
      </c>
      <c r="DM30" s="770">
        <f>SUM(DM26:DM29)</f>
        <v>116000</v>
      </c>
      <c r="DN30" s="770">
        <f t="shared" ref="DN30:DS30" si="818">SUM(DN26:DN29)</f>
        <v>118000</v>
      </c>
      <c r="DO30" s="770">
        <f t="shared" si="818"/>
        <v>126000</v>
      </c>
      <c r="DP30" s="770">
        <f t="shared" si="818"/>
        <v>156000</v>
      </c>
      <c r="DQ30" s="770">
        <f t="shared" si="818"/>
        <v>152000</v>
      </c>
      <c r="DR30" s="770">
        <f t="shared" si="818"/>
        <v>70000</v>
      </c>
      <c r="DS30" s="771">
        <f t="shared" si="818"/>
        <v>0</v>
      </c>
      <c r="DT30" s="772">
        <f>SUM(DU30:EA30)</f>
        <v>656000</v>
      </c>
      <c r="DU30" s="770">
        <f>SUM(DU26:DU29)</f>
        <v>50000</v>
      </c>
      <c r="DV30" s="770">
        <f t="shared" ref="DV30:EA30" si="819">SUM(DV26:DV29)</f>
        <v>92000</v>
      </c>
      <c r="DW30" s="770">
        <f t="shared" si="819"/>
        <v>118000</v>
      </c>
      <c r="DX30" s="770">
        <f t="shared" si="819"/>
        <v>142000</v>
      </c>
      <c r="DY30" s="770">
        <f t="shared" si="819"/>
        <v>149000</v>
      </c>
      <c r="DZ30" s="770">
        <f t="shared" si="819"/>
        <v>60000</v>
      </c>
      <c r="EA30" s="771">
        <f t="shared" si="819"/>
        <v>45000</v>
      </c>
      <c r="EB30" s="772">
        <f>SUM(EC30:EI30)</f>
        <v>745000</v>
      </c>
      <c r="EC30" s="770">
        <f>SUM(EC26:EC29)</f>
        <v>115000</v>
      </c>
      <c r="ED30" s="770">
        <f t="shared" ref="ED30:EI30" si="820">SUM(ED26:ED29)</f>
        <v>112000</v>
      </c>
      <c r="EE30" s="770">
        <f t="shared" si="820"/>
        <v>113000</v>
      </c>
      <c r="EF30" s="770">
        <f t="shared" si="820"/>
        <v>147000</v>
      </c>
      <c r="EG30" s="770">
        <f t="shared" si="820"/>
        <v>151000</v>
      </c>
      <c r="EH30" s="770">
        <f t="shared" si="820"/>
        <v>57000</v>
      </c>
      <c r="EI30" s="771">
        <f t="shared" si="820"/>
        <v>50000</v>
      </c>
      <c r="EJ30" s="772">
        <f>SUM(EK30:EQ30)</f>
        <v>794000</v>
      </c>
      <c r="EK30" s="770">
        <f>SUM(EK26:EK29)</f>
        <v>121000</v>
      </c>
      <c r="EL30" s="770">
        <f t="shared" ref="EL30:EQ30" si="821">SUM(EL26:EL29)</f>
        <v>119000</v>
      </c>
      <c r="EM30" s="770">
        <f t="shared" si="821"/>
        <v>118000</v>
      </c>
      <c r="EN30" s="770">
        <f t="shared" si="821"/>
        <v>155000</v>
      </c>
      <c r="EO30" s="770">
        <f t="shared" si="821"/>
        <v>166000</v>
      </c>
      <c r="EP30" s="770">
        <f t="shared" si="821"/>
        <v>65000</v>
      </c>
      <c r="EQ30" s="771">
        <f t="shared" si="821"/>
        <v>50000</v>
      </c>
      <c r="ER30" s="772">
        <f>SUM(ES30:EY30)</f>
        <v>833000</v>
      </c>
      <c r="ES30" s="770">
        <f>SUM(ES26:ES29)</f>
        <v>135000</v>
      </c>
      <c r="ET30" s="770">
        <f t="shared" ref="ET30:EY30" si="822">SUM(ET26:ET29)</f>
        <v>131000</v>
      </c>
      <c r="EU30" s="770">
        <f t="shared" si="822"/>
        <v>129000</v>
      </c>
      <c r="EV30" s="770">
        <f t="shared" si="822"/>
        <v>163000</v>
      </c>
      <c r="EW30" s="770">
        <f t="shared" si="822"/>
        <v>163000</v>
      </c>
      <c r="EX30" s="770">
        <f t="shared" si="822"/>
        <v>62000</v>
      </c>
      <c r="EY30" s="771">
        <f t="shared" si="822"/>
        <v>50000</v>
      </c>
      <c r="EZ30" s="772">
        <f>SUM(FA30:FG30)</f>
        <v>797000</v>
      </c>
      <c r="FA30" s="770">
        <f>SUM(FA26:FA29)</f>
        <v>125000</v>
      </c>
      <c r="FB30" s="770">
        <f t="shared" ref="FB30:FG30" si="823">SUM(FB26:FB29)</f>
        <v>128000</v>
      </c>
      <c r="FC30" s="770">
        <f t="shared" si="823"/>
        <v>125000</v>
      </c>
      <c r="FD30" s="770">
        <f t="shared" si="823"/>
        <v>148000</v>
      </c>
      <c r="FE30" s="770">
        <f t="shared" si="823"/>
        <v>162000</v>
      </c>
      <c r="FF30" s="770">
        <f t="shared" si="823"/>
        <v>62000</v>
      </c>
      <c r="FG30" s="771">
        <f t="shared" si="823"/>
        <v>47000</v>
      </c>
      <c r="FH30" s="772">
        <f>SUM(FI30:FO30)</f>
        <v>658000</v>
      </c>
      <c r="FI30" s="770">
        <f>SUM(FI26:FI29)</f>
        <v>110000</v>
      </c>
      <c r="FJ30" s="770">
        <f t="shared" ref="FJ30:FO30" si="824">SUM(FJ26:FJ29)</f>
        <v>119000</v>
      </c>
      <c r="FK30" s="770">
        <f t="shared" si="824"/>
        <v>87000</v>
      </c>
      <c r="FL30" s="770">
        <f t="shared" si="824"/>
        <v>50000</v>
      </c>
      <c r="FM30" s="770">
        <f t="shared" si="824"/>
        <v>180000</v>
      </c>
      <c r="FN30" s="770">
        <f t="shared" si="824"/>
        <v>62000</v>
      </c>
      <c r="FO30" s="771">
        <f t="shared" si="824"/>
        <v>50000</v>
      </c>
      <c r="FP30" s="772">
        <f>SUM(FQ30:FW30)</f>
        <v>754000</v>
      </c>
      <c r="FQ30" s="770">
        <f>SUM(FQ26:FQ29)</f>
        <v>126000</v>
      </c>
      <c r="FR30" s="770">
        <f t="shared" ref="FR30:FW30" si="825">SUM(FR26:FR29)</f>
        <v>126000</v>
      </c>
      <c r="FS30" s="770">
        <f t="shared" si="825"/>
        <v>126000</v>
      </c>
      <c r="FT30" s="770">
        <f t="shared" si="825"/>
        <v>154000</v>
      </c>
      <c r="FU30" s="770">
        <f t="shared" si="825"/>
        <v>160000</v>
      </c>
      <c r="FV30" s="770">
        <f t="shared" si="825"/>
        <v>62000</v>
      </c>
      <c r="FW30" s="771">
        <f t="shared" si="825"/>
        <v>0</v>
      </c>
      <c r="FX30" s="772">
        <f>SUM(FY30:GE30)</f>
        <v>707000</v>
      </c>
      <c r="FY30" s="770">
        <f>SUM(FY26:FY29)</f>
        <v>40000</v>
      </c>
      <c r="FZ30" s="770">
        <f t="shared" ref="FZ30:GE30" si="826">SUM(FZ26:FZ29)</f>
        <v>117000</v>
      </c>
      <c r="GA30" s="770">
        <f t="shared" si="826"/>
        <v>129000</v>
      </c>
      <c r="GB30" s="770">
        <f t="shared" si="826"/>
        <v>148000</v>
      </c>
      <c r="GC30" s="770">
        <f t="shared" si="826"/>
        <v>163000</v>
      </c>
      <c r="GD30" s="770">
        <f t="shared" si="826"/>
        <v>60000</v>
      </c>
      <c r="GE30" s="771">
        <f t="shared" si="826"/>
        <v>50000</v>
      </c>
      <c r="GF30" s="772">
        <f>SUM(GG30:GM30)</f>
        <v>796000</v>
      </c>
      <c r="GG30" s="770">
        <f>SUM(GG26:GG29)</f>
        <v>126000</v>
      </c>
      <c r="GH30" s="770">
        <f t="shared" ref="GH30:GM30" si="827">SUM(GH26:GH29)</f>
        <v>126000</v>
      </c>
      <c r="GI30" s="770">
        <f t="shared" si="827"/>
        <v>128000</v>
      </c>
      <c r="GJ30" s="770">
        <f t="shared" si="827"/>
        <v>152000</v>
      </c>
      <c r="GK30" s="770">
        <f t="shared" si="827"/>
        <v>154000</v>
      </c>
      <c r="GL30" s="770">
        <f t="shared" si="827"/>
        <v>60000</v>
      </c>
      <c r="GM30" s="771">
        <f t="shared" si="827"/>
        <v>50000</v>
      </c>
      <c r="GN30" s="772">
        <f>SUM(GO30:GU30)</f>
        <v>796000</v>
      </c>
      <c r="GO30" s="770">
        <f>SUM(GO26:GO29)</f>
        <v>124000</v>
      </c>
      <c r="GP30" s="770">
        <f t="shared" ref="GP30:GU30" si="828">SUM(GP26:GP29)</f>
        <v>126000</v>
      </c>
      <c r="GQ30" s="770">
        <f t="shared" si="828"/>
        <v>127000</v>
      </c>
      <c r="GR30" s="770">
        <f>SUM(GR26:GR29)</f>
        <v>151000</v>
      </c>
      <c r="GS30" s="770">
        <f t="shared" si="828"/>
        <v>158000</v>
      </c>
      <c r="GT30" s="770">
        <f t="shared" si="828"/>
        <v>60000</v>
      </c>
      <c r="GU30" s="771">
        <f t="shared" si="828"/>
        <v>50000</v>
      </c>
      <c r="GV30" s="772">
        <f>SUM(GW30:HC30)</f>
        <v>750000</v>
      </c>
      <c r="GW30" s="770">
        <f>SUM(GW26:GW29)</f>
        <v>123000</v>
      </c>
      <c r="GX30" s="770">
        <f t="shared" ref="GX30:HC30" si="829">SUM(GX26:GX29)</f>
        <v>123000</v>
      </c>
      <c r="GY30" s="770">
        <f t="shared" si="829"/>
        <v>118000</v>
      </c>
      <c r="GZ30" s="770">
        <f t="shared" si="829"/>
        <v>142000</v>
      </c>
      <c r="HA30" s="770">
        <f t="shared" si="829"/>
        <v>144000</v>
      </c>
      <c r="HB30" s="770">
        <f t="shared" si="829"/>
        <v>60000</v>
      </c>
      <c r="HC30" s="771">
        <f t="shared" si="829"/>
        <v>40000</v>
      </c>
      <c r="HD30" s="772">
        <f>SUM(HE30:HK30)</f>
        <v>671000</v>
      </c>
      <c r="HE30" s="770">
        <f>SUM(HE26:HE29)</f>
        <v>111000</v>
      </c>
      <c r="HF30" s="770">
        <f t="shared" ref="HF30:HK30" si="830">SUM(HF26:HF29)</f>
        <v>112000</v>
      </c>
      <c r="HG30" s="770">
        <f t="shared" si="830"/>
        <v>102000</v>
      </c>
      <c r="HH30" s="770">
        <f t="shared" si="830"/>
        <v>134000</v>
      </c>
      <c r="HI30" s="770">
        <f t="shared" si="830"/>
        <v>128000</v>
      </c>
      <c r="HJ30" s="770">
        <f t="shared" si="830"/>
        <v>47000</v>
      </c>
      <c r="HK30" s="771">
        <f t="shared" si="830"/>
        <v>37000</v>
      </c>
      <c r="HL30" s="772">
        <f>SUM(HM30:HS30)</f>
        <v>626000</v>
      </c>
      <c r="HM30" s="770">
        <f>SUM(HM26:HM29)</f>
        <v>100000</v>
      </c>
      <c r="HN30" s="770">
        <f t="shared" ref="HN30:HS30" si="831">SUM(HN26:HN29)</f>
        <v>101000</v>
      </c>
      <c r="HO30" s="770">
        <f t="shared" si="831"/>
        <v>100000</v>
      </c>
      <c r="HP30" s="770">
        <f t="shared" si="831"/>
        <v>123000</v>
      </c>
      <c r="HQ30" s="770">
        <f t="shared" si="831"/>
        <v>129000</v>
      </c>
      <c r="HR30" s="770">
        <f t="shared" si="831"/>
        <v>40000</v>
      </c>
      <c r="HS30" s="771">
        <f t="shared" si="831"/>
        <v>33000</v>
      </c>
      <c r="HT30" s="772">
        <f>SUM(HU30:IA30)</f>
        <v>530000</v>
      </c>
      <c r="HU30" s="770">
        <f>SUM(HU26:HU29)</f>
        <v>97000</v>
      </c>
      <c r="HV30" s="770">
        <f t="shared" ref="HV30:IA30" si="832">SUM(HV26:HV29)</f>
        <v>99000</v>
      </c>
      <c r="HW30" s="770">
        <f t="shared" si="832"/>
        <v>76000</v>
      </c>
      <c r="HX30" s="770">
        <f t="shared" si="832"/>
        <v>45000</v>
      </c>
      <c r="HY30" s="770">
        <f t="shared" si="832"/>
        <v>136000</v>
      </c>
      <c r="HZ30" s="770">
        <f t="shared" si="832"/>
        <v>47000</v>
      </c>
      <c r="IA30" s="771">
        <f t="shared" si="832"/>
        <v>30000</v>
      </c>
      <c r="IB30" s="772">
        <f>SUM(IC30:II30)</f>
        <v>627000</v>
      </c>
      <c r="IC30" s="770">
        <f>SUM(IC26:IC29)</f>
        <v>99000</v>
      </c>
      <c r="ID30" s="770">
        <f t="shared" ref="ID30:II30" si="833">SUM(ID26:ID29)</f>
        <v>100000</v>
      </c>
      <c r="IE30" s="770">
        <f t="shared" si="833"/>
        <v>104000</v>
      </c>
      <c r="IF30" s="770">
        <f t="shared" si="833"/>
        <v>121000</v>
      </c>
      <c r="IG30" s="770">
        <f t="shared" si="833"/>
        <v>120000</v>
      </c>
      <c r="IH30" s="770">
        <f t="shared" si="833"/>
        <v>45000</v>
      </c>
      <c r="II30" s="771">
        <f t="shared" si="833"/>
        <v>38000</v>
      </c>
      <c r="IJ30" s="772">
        <f>SUM(IK30:IQ30)</f>
        <v>619000</v>
      </c>
      <c r="IK30" s="770">
        <f>SUM(IK26:IK29)</f>
        <v>107000</v>
      </c>
      <c r="IL30" s="770">
        <f t="shared" ref="IL30:IQ30" si="834">SUM(IL26:IL29)</f>
        <v>99000</v>
      </c>
      <c r="IM30" s="770">
        <f t="shared" si="834"/>
        <v>96000</v>
      </c>
      <c r="IN30" s="770">
        <f t="shared" si="834"/>
        <v>118000</v>
      </c>
      <c r="IO30" s="770">
        <f t="shared" si="834"/>
        <v>120000</v>
      </c>
      <c r="IP30" s="770">
        <f t="shared" si="834"/>
        <v>49000</v>
      </c>
      <c r="IQ30" s="771">
        <f t="shared" si="834"/>
        <v>30000</v>
      </c>
      <c r="IR30" s="772">
        <f>SUM(IS30:IY30)</f>
        <v>548000</v>
      </c>
      <c r="IS30" s="770">
        <f>SUM(IS26:IS29)</f>
        <v>96000</v>
      </c>
      <c r="IT30" s="770">
        <f t="shared" ref="IT30:IY30" si="835">SUM(IT26:IT29)</f>
        <v>97000</v>
      </c>
      <c r="IU30" s="770">
        <f t="shared" si="835"/>
        <v>97000</v>
      </c>
      <c r="IV30" s="770">
        <f t="shared" si="835"/>
        <v>111000</v>
      </c>
      <c r="IW30" s="770">
        <f t="shared" si="835"/>
        <v>117000</v>
      </c>
      <c r="IX30" s="770">
        <f t="shared" si="835"/>
        <v>30000</v>
      </c>
      <c r="IY30" s="771">
        <f t="shared" si="835"/>
        <v>0</v>
      </c>
      <c r="IZ30" s="772">
        <f>SUM(JA30:JG30)</f>
        <v>580000</v>
      </c>
      <c r="JA30" s="770">
        <f>SUM(JA26:JA29)</f>
        <v>36000</v>
      </c>
      <c r="JB30" s="770">
        <f t="shared" ref="JB30:JG30" si="836">SUM(JB26:JB29)</f>
        <v>102000</v>
      </c>
      <c r="JC30" s="770">
        <f t="shared" si="836"/>
        <v>101000</v>
      </c>
      <c r="JD30" s="770">
        <f t="shared" si="836"/>
        <v>122000</v>
      </c>
      <c r="JE30" s="770">
        <f t="shared" si="836"/>
        <v>126000</v>
      </c>
      <c r="JF30" s="770">
        <f t="shared" si="836"/>
        <v>53000</v>
      </c>
      <c r="JG30" s="771">
        <f t="shared" si="836"/>
        <v>40000</v>
      </c>
      <c r="JH30" s="772">
        <f>SUM(JI30:JO30)</f>
        <v>728000</v>
      </c>
      <c r="JI30" s="770">
        <f>SUM(JI26:JI29)</f>
        <v>105000</v>
      </c>
      <c r="JJ30" s="770">
        <f t="shared" ref="JJ30:JN30" si="837">SUM(JJ26:JJ29)</f>
        <v>106000</v>
      </c>
      <c r="JK30" s="770">
        <f t="shared" si="837"/>
        <v>111000</v>
      </c>
      <c r="JL30" s="770">
        <f t="shared" si="837"/>
        <v>150000</v>
      </c>
      <c r="JM30" s="770">
        <f t="shared" si="837"/>
        <v>154000</v>
      </c>
      <c r="JN30" s="770">
        <f t="shared" si="837"/>
        <v>52000</v>
      </c>
      <c r="JO30" s="771">
        <f>SUM(JO26:JO29)</f>
        <v>50000</v>
      </c>
      <c r="JP30" s="772">
        <f>SUM(JQ30:JW30)</f>
        <v>795000</v>
      </c>
      <c r="JQ30" s="770">
        <f>SUM(JQ26:JQ29)</f>
        <v>124000</v>
      </c>
      <c r="JR30" s="770">
        <f t="shared" ref="JR30:JW30" si="838">SUM(JR26:JR29)</f>
        <v>126000</v>
      </c>
      <c r="JS30" s="770">
        <f t="shared" si="838"/>
        <v>126000</v>
      </c>
      <c r="JT30" s="770">
        <f t="shared" si="838"/>
        <v>155000</v>
      </c>
      <c r="JU30" s="770">
        <f t="shared" si="838"/>
        <v>156000</v>
      </c>
      <c r="JV30" s="770">
        <f t="shared" si="838"/>
        <v>58000</v>
      </c>
      <c r="JW30" s="771">
        <f t="shared" si="838"/>
        <v>50000</v>
      </c>
      <c r="JX30" s="772">
        <f>SUM(JY30:KE30)</f>
        <v>821000</v>
      </c>
      <c r="JY30" s="770">
        <f>SUM(JY26:JY29)</f>
        <v>133000</v>
      </c>
      <c r="JZ30" s="770">
        <f t="shared" ref="JZ30:KE30" si="839">SUM(JZ26:JZ29)</f>
        <v>139000</v>
      </c>
      <c r="KA30" s="770">
        <f t="shared" si="839"/>
        <v>129000</v>
      </c>
      <c r="KB30" s="770">
        <f t="shared" si="839"/>
        <v>159000</v>
      </c>
      <c r="KC30" s="770">
        <f t="shared" si="839"/>
        <v>160000</v>
      </c>
      <c r="KD30" s="770">
        <f t="shared" si="839"/>
        <v>58000</v>
      </c>
      <c r="KE30" s="771">
        <f t="shared" si="839"/>
        <v>43000</v>
      </c>
      <c r="KF30" s="772">
        <f>SUM(KG30:KM30)</f>
        <v>811000</v>
      </c>
      <c r="KG30" s="770">
        <f>SUM(KG26:KG29)</f>
        <v>136000</v>
      </c>
      <c r="KH30" s="770">
        <f t="shared" ref="KH30:KM30" si="840">SUM(KH26:KH29)</f>
        <v>133000</v>
      </c>
      <c r="KI30" s="770">
        <f t="shared" si="840"/>
        <v>131000</v>
      </c>
      <c r="KJ30" s="770">
        <f t="shared" si="840"/>
        <v>159000</v>
      </c>
      <c r="KK30" s="770">
        <f t="shared" si="840"/>
        <v>149000</v>
      </c>
      <c r="KL30" s="770">
        <f t="shared" si="840"/>
        <v>58000</v>
      </c>
      <c r="KM30" s="771">
        <f t="shared" si="840"/>
        <v>45000</v>
      </c>
      <c r="KN30" s="772">
        <f>SUM(KO30:KU30)</f>
        <v>746000</v>
      </c>
      <c r="KO30" s="770">
        <f>SUM(KO26:KO29)</f>
        <v>115000</v>
      </c>
      <c r="KP30" s="770">
        <f t="shared" ref="KP30:KU30" si="841">SUM(KP26:KP29)</f>
        <v>111000</v>
      </c>
      <c r="KQ30" s="770">
        <f t="shared" si="841"/>
        <v>113000</v>
      </c>
      <c r="KR30" s="770">
        <f t="shared" si="841"/>
        <v>147000</v>
      </c>
      <c r="KS30" s="770">
        <f t="shared" si="841"/>
        <v>155000</v>
      </c>
      <c r="KT30" s="770">
        <f t="shared" si="841"/>
        <v>60000</v>
      </c>
      <c r="KU30" s="771">
        <f t="shared" si="841"/>
        <v>45000</v>
      </c>
      <c r="KV30" s="772">
        <f>SUM(KW30:LC30)</f>
        <v>768000</v>
      </c>
      <c r="KW30" s="770">
        <f>SUM(KW26:KW29)</f>
        <v>115000</v>
      </c>
      <c r="KX30" s="770">
        <f t="shared" ref="KX30:LC30" si="842">SUM(KX26:KX29)</f>
        <v>121000</v>
      </c>
      <c r="KY30" s="770">
        <f t="shared" si="842"/>
        <v>122000</v>
      </c>
      <c r="KZ30" s="770">
        <f t="shared" si="842"/>
        <v>143000</v>
      </c>
      <c r="LA30" s="770">
        <f t="shared" si="842"/>
        <v>157000</v>
      </c>
      <c r="LB30" s="770">
        <f t="shared" si="842"/>
        <v>60000</v>
      </c>
      <c r="LC30" s="771">
        <f t="shared" si="842"/>
        <v>50000</v>
      </c>
      <c r="LD30" s="772">
        <f>SUM(LE30:LK30)</f>
        <v>776000</v>
      </c>
      <c r="LE30" s="770">
        <f>SUM(LE26:LE29)</f>
        <v>121000</v>
      </c>
      <c r="LF30" s="770">
        <f t="shared" ref="LF30:LK30" si="843">SUM(LF26:LF29)</f>
        <v>122000</v>
      </c>
      <c r="LG30" s="770">
        <f t="shared" si="843"/>
        <v>121000</v>
      </c>
      <c r="LH30" s="770">
        <f t="shared" si="843"/>
        <v>150000</v>
      </c>
      <c r="LI30" s="770">
        <f t="shared" si="843"/>
        <v>152000</v>
      </c>
      <c r="LJ30" s="770">
        <f t="shared" si="843"/>
        <v>65000</v>
      </c>
      <c r="LK30" s="771">
        <f t="shared" si="843"/>
        <v>45000</v>
      </c>
      <c r="LL30" s="772">
        <f>SUM(LM30:LS30)</f>
        <v>819000</v>
      </c>
      <c r="LM30" s="770">
        <f>SUM(LM26:LM29)</f>
        <v>132000</v>
      </c>
      <c r="LN30" s="770">
        <f t="shared" ref="LN30:LS30" si="844">SUM(LN26:LN29)</f>
        <v>132000</v>
      </c>
      <c r="LO30" s="770">
        <f t="shared" si="844"/>
        <v>123000</v>
      </c>
      <c r="LP30" s="770">
        <f t="shared" si="844"/>
        <v>155000</v>
      </c>
      <c r="LQ30" s="770">
        <f t="shared" si="844"/>
        <v>162000</v>
      </c>
      <c r="LR30" s="770">
        <f t="shared" si="844"/>
        <v>70000</v>
      </c>
      <c r="LS30" s="771">
        <f t="shared" si="844"/>
        <v>45000</v>
      </c>
      <c r="LT30" s="772">
        <f>SUM(LU30:MA30)</f>
        <v>809000</v>
      </c>
      <c r="LU30" s="770">
        <f>SUM(LU26:LU29)</f>
        <v>126000</v>
      </c>
      <c r="LV30" s="770">
        <f t="shared" ref="LV30:MA30" si="845">SUM(LV26:LV29)</f>
        <v>126000</v>
      </c>
      <c r="LW30" s="770">
        <f t="shared" si="845"/>
        <v>128000</v>
      </c>
      <c r="LX30" s="770">
        <f t="shared" si="845"/>
        <v>155000</v>
      </c>
      <c r="LY30" s="770">
        <f t="shared" si="845"/>
        <v>159000</v>
      </c>
      <c r="LZ30" s="770">
        <f t="shared" si="845"/>
        <v>70000</v>
      </c>
      <c r="MA30" s="771">
        <f t="shared" si="845"/>
        <v>45000</v>
      </c>
      <c r="MB30" s="772">
        <f>SUM(MC30:MI30)</f>
        <v>815000</v>
      </c>
      <c r="MC30" s="770">
        <f>SUM(MC26:MC29)</f>
        <v>130000</v>
      </c>
      <c r="MD30" s="770">
        <f t="shared" ref="MD30:MI30" si="846">SUM(MD26:MD29)</f>
        <v>130000</v>
      </c>
      <c r="ME30" s="770">
        <f t="shared" si="846"/>
        <v>129000</v>
      </c>
      <c r="MF30" s="770">
        <f t="shared" si="846"/>
        <v>153000</v>
      </c>
      <c r="MG30" s="770">
        <f t="shared" si="846"/>
        <v>158000</v>
      </c>
      <c r="MH30" s="770">
        <f t="shared" si="846"/>
        <v>70000</v>
      </c>
      <c r="MI30" s="771">
        <f t="shared" si="846"/>
        <v>45000</v>
      </c>
      <c r="MJ30" s="772">
        <f>SUM(MK30:MQ30)</f>
        <v>713000</v>
      </c>
      <c r="MK30" s="770">
        <f>SUM(MK26:MK29)</f>
        <v>87000</v>
      </c>
      <c r="ML30" s="770">
        <f t="shared" ref="ML30:MQ30" si="847">SUM(ML26:ML29)</f>
        <v>35000</v>
      </c>
      <c r="MM30" s="770">
        <f t="shared" si="847"/>
        <v>141000</v>
      </c>
      <c r="MN30" s="770">
        <f t="shared" si="847"/>
        <v>166000</v>
      </c>
      <c r="MO30" s="770">
        <f t="shared" si="847"/>
        <v>166000</v>
      </c>
      <c r="MP30" s="770">
        <f t="shared" si="847"/>
        <v>70000</v>
      </c>
      <c r="MQ30" s="771">
        <f t="shared" si="847"/>
        <v>48000</v>
      </c>
      <c r="MR30" s="772">
        <f>SUM(MS30:MY30)</f>
        <v>703000</v>
      </c>
      <c r="MS30" s="770">
        <f>SUM(MS26:MS29)</f>
        <v>140000</v>
      </c>
      <c r="MT30" s="770">
        <f t="shared" ref="MT30:MY30" si="848">SUM(MT26:MT29)</f>
        <v>139000</v>
      </c>
      <c r="MU30" s="770">
        <f t="shared" si="848"/>
        <v>147000</v>
      </c>
      <c r="MV30" s="770">
        <f t="shared" si="848"/>
        <v>105000</v>
      </c>
      <c r="MW30" s="770">
        <f t="shared" si="848"/>
        <v>52000</v>
      </c>
      <c r="MX30" s="770">
        <f t="shared" si="848"/>
        <v>75000</v>
      </c>
      <c r="MY30" s="771">
        <f t="shared" si="848"/>
        <v>45000</v>
      </c>
      <c r="MZ30" s="772">
        <f>SUM(NA30:NG30)</f>
        <v>840000</v>
      </c>
      <c r="NA30" s="770">
        <f>SUM(NA26:NA29)</f>
        <v>139000</v>
      </c>
      <c r="NB30" s="770">
        <f t="shared" ref="NB30:NG30" si="849">SUM(NB26:NB29)</f>
        <v>137000</v>
      </c>
      <c r="NC30" s="770">
        <f t="shared" si="849"/>
        <v>134000</v>
      </c>
      <c r="ND30" s="770">
        <f t="shared" si="849"/>
        <v>156000</v>
      </c>
      <c r="NE30" s="770">
        <f t="shared" si="849"/>
        <v>154000</v>
      </c>
      <c r="NF30" s="770">
        <f t="shared" si="849"/>
        <v>70000</v>
      </c>
      <c r="NG30" s="771">
        <f t="shared" si="849"/>
        <v>50000</v>
      </c>
      <c r="NH30" s="772">
        <f>SUM(NI30:NO30)</f>
        <v>1000664</v>
      </c>
      <c r="NI30" s="770">
        <f>SUM(NI26:NI29)</f>
        <v>155000</v>
      </c>
      <c r="NJ30" s="770">
        <f t="shared" ref="NJ30:NO30" si="850">SUM(NJ26:NJ29)</f>
        <v>165000</v>
      </c>
      <c r="NK30" s="770">
        <f t="shared" si="850"/>
        <v>165000</v>
      </c>
      <c r="NL30" s="770">
        <f t="shared" si="850"/>
        <v>187000</v>
      </c>
      <c r="NM30" s="770">
        <f t="shared" si="850"/>
        <v>183000</v>
      </c>
      <c r="NN30" s="770">
        <f t="shared" si="850"/>
        <v>82664</v>
      </c>
      <c r="NO30" s="771">
        <f t="shared" si="850"/>
        <v>63000</v>
      </c>
      <c r="NP30" s="772">
        <f>SUM(NQ30:NW30)</f>
        <v>1008000</v>
      </c>
      <c r="NQ30" s="770">
        <f>SUM(NQ26:NQ29)</f>
        <v>179000</v>
      </c>
      <c r="NR30" s="770">
        <f t="shared" ref="NR30:NW30" si="851">SUM(NR26:NR29)</f>
        <v>179000</v>
      </c>
      <c r="NS30" s="770">
        <f t="shared" si="851"/>
        <v>171000</v>
      </c>
      <c r="NT30" s="770">
        <f t="shared" si="851"/>
        <v>177000</v>
      </c>
      <c r="NU30" s="770">
        <f t="shared" si="851"/>
        <v>179000</v>
      </c>
      <c r="NV30" s="770">
        <f t="shared" si="851"/>
        <v>70000</v>
      </c>
      <c r="NW30" s="771">
        <f t="shared" si="851"/>
        <v>53000</v>
      </c>
      <c r="NX30" s="772">
        <f>SUM(NY30:OE30)</f>
        <v>859000</v>
      </c>
      <c r="NY30" s="770">
        <f>SUM(NY26:NY29)</f>
        <v>143000</v>
      </c>
      <c r="NZ30" s="770">
        <f t="shared" ref="NZ30:OE30" si="852">SUM(NZ26:NZ29)</f>
        <v>143000</v>
      </c>
      <c r="OA30" s="770">
        <f t="shared" si="852"/>
        <v>136000</v>
      </c>
      <c r="OB30" s="770">
        <f t="shared" si="852"/>
        <v>160000</v>
      </c>
      <c r="OC30" s="770">
        <f t="shared" si="852"/>
        <v>159000</v>
      </c>
      <c r="OD30" s="770">
        <f t="shared" si="852"/>
        <v>70000</v>
      </c>
      <c r="OE30" s="771">
        <f t="shared" si="852"/>
        <v>48000</v>
      </c>
      <c r="OF30" s="772">
        <f>SUM(OG30:OM30)</f>
        <v>849000</v>
      </c>
      <c r="OG30" s="770">
        <f>SUM(OG26:OG29)</f>
        <v>135000</v>
      </c>
      <c r="OH30" s="770">
        <f t="shared" ref="OH30:OM30" si="853">SUM(OH26:OH29)</f>
        <v>133000</v>
      </c>
      <c r="OI30" s="770">
        <f t="shared" si="853"/>
        <v>137000</v>
      </c>
      <c r="OJ30" s="770">
        <f t="shared" si="853"/>
        <v>161000</v>
      </c>
      <c r="OK30" s="770">
        <f t="shared" si="853"/>
        <v>155000</v>
      </c>
      <c r="OL30" s="770">
        <f t="shared" si="853"/>
        <v>70000</v>
      </c>
      <c r="OM30" s="771">
        <f t="shared" si="853"/>
        <v>58000</v>
      </c>
      <c r="ON30" s="772">
        <f>SUM(OO30:OU30)</f>
        <v>962000</v>
      </c>
      <c r="OO30" s="770">
        <f>SUM(OO26:OO29)</f>
        <v>164000</v>
      </c>
      <c r="OP30" s="770">
        <f t="shared" ref="OP30:OU30" si="854">SUM(OP26:OP29)</f>
        <v>174000</v>
      </c>
      <c r="OQ30" s="770">
        <f t="shared" si="854"/>
        <v>181000</v>
      </c>
      <c r="OR30" s="770">
        <f t="shared" si="854"/>
        <v>185000</v>
      </c>
      <c r="OS30" s="770">
        <f t="shared" si="854"/>
        <v>194000</v>
      </c>
      <c r="OT30" s="770">
        <f t="shared" si="854"/>
        <v>18000</v>
      </c>
      <c r="OU30" s="771">
        <f t="shared" si="854"/>
        <v>46000</v>
      </c>
      <c r="OV30" s="772">
        <f>SUM(OW30:PC30)</f>
        <v>905000</v>
      </c>
      <c r="OW30" s="770">
        <f>SUM(OW26:OW29)</f>
        <v>153000</v>
      </c>
      <c r="OX30" s="770">
        <f t="shared" ref="OX30:PC30" si="855">SUM(OX26:OX29)</f>
        <v>161000</v>
      </c>
      <c r="OY30" s="770">
        <f t="shared" si="855"/>
        <v>174000</v>
      </c>
      <c r="OZ30" s="770">
        <f t="shared" si="855"/>
        <v>180000</v>
      </c>
      <c r="PA30" s="770">
        <f t="shared" si="855"/>
        <v>183000</v>
      </c>
      <c r="PB30" s="770">
        <f t="shared" si="855"/>
        <v>19000</v>
      </c>
      <c r="PC30" s="771">
        <f t="shared" si="855"/>
        <v>35000</v>
      </c>
    </row>
    <row r="31" spans="1:420" ht="16.2" thickBot="1" x14ac:dyDescent="0.35">
      <c r="B31" s="976" t="s">
        <v>224</v>
      </c>
      <c r="C31" s="682" t="s">
        <v>263</v>
      </c>
      <c r="D31" s="758"/>
      <c r="E31" s="757">
        <v>35000</v>
      </c>
      <c r="F31" s="757">
        <f>IF(E32=0,(E31+F9+F15+F21-E26-E27-E28-E29),(E32+F9+F15+F21-E26-E27-E28-E29))</f>
        <v>42848.002000000008</v>
      </c>
      <c r="G31" s="757">
        <f t="shared" ref="G31" si="856">IF(F32=0,(F31+G9+G15+G21-F26-F27-F28-F29),(F32+G9+G15+G21-F26-F27-F28-F29))</f>
        <v>47975.122000000003</v>
      </c>
      <c r="H31" s="757">
        <f>IF(G32=0,(G31+H9+H15+H21-G26-G27-G28-G29),(G32+H9+H15+H21-G26-G27-G28-G29))</f>
        <v>44816.400999999983</v>
      </c>
      <c r="I31" s="757">
        <f>IF(H32=0,(H31+I9+I15+I21-H26-H27-H28-H29),(H32+I9+I15+I21-H26-H27-H28-H29))</f>
        <v>44452.084000000003</v>
      </c>
      <c r="J31" s="757">
        <f t="shared" ref="J31:K31" si="857">IF(I32=0,(I31+J9+J15+J21-I26-I27-I28-I29),(I32+J9+J15+J21-I26-I27-I28-I29))</f>
        <v>29360.709999999992</v>
      </c>
      <c r="K31" s="757">
        <f t="shared" si="857"/>
        <v>-10811.067999999999</v>
      </c>
      <c r="L31" s="758"/>
      <c r="M31" s="757">
        <f>IF(K32=0,(K31+M9+M15+M21-K26-K27-K28),(K32+M9+M15+M21-K26-K27-K28))</f>
        <v>57762.82699999999</v>
      </c>
      <c r="N31" s="757">
        <f>IF(M32=0,(M31+N9+N15+N21-M26-M27-M28-M29),(M32+N9+N15+N21-M26-M27-M28-M29))</f>
        <v>38075.523999999976</v>
      </c>
      <c r="O31" s="757">
        <f>IF(N32=0,(N31+O9+O15+O21-N26-N27-N28-N29),(N32+O9+O15+O21-N26-N27-N28-N29))</f>
        <v>42725.584000000003</v>
      </c>
      <c r="P31" s="757">
        <f>IF(O32=0,(O31+P9+P15+P21-O26-O27-O28-O29),(O32+P9+P15+P21-O26-O27-O28-O29))</f>
        <v>44122.325000000012</v>
      </c>
      <c r="Q31" s="757">
        <f>IF(P32=0,(P31+Q9+Q15+Q21-P26-P27-P28-P29),(P32+Q9+Q15+Q21-P26-P27-P28-P29))</f>
        <v>46627.819999999978</v>
      </c>
      <c r="R31" s="757">
        <f t="shared" ref="R31:S31" si="858">IF(Q32=0,(Q31+R9+R15+R21-Q26-Q27-Q28-Q29),(Q32+R9+R15+R21-Q26-Q27-Q28-Q29))</f>
        <v>35115.207999999984</v>
      </c>
      <c r="S31" s="757">
        <f t="shared" si="858"/>
        <v>-22850.642000000014</v>
      </c>
      <c r="T31" s="695"/>
      <c r="U31" s="757">
        <f>IF(S32=0,(S31+U9+U15+U21-S26-S27-S28),(S32+U9+U15+U21-S26-S27-S28))</f>
        <v>44108.457999999984</v>
      </c>
      <c r="V31" s="757">
        <f t="shared" ref="V31:X31" si="859">IF(U32=0,(U31+V9+V15+V21-U26-U27-U28-U29),(U32+V9+V15+V21-U26-U27-U28-U29))</f>
        <v>38562.391999999993</v>
      </c>
      <c r="W31" s="757">
        <f t="shared" si="859"/>
        <v>41309.641000000003</v>
      </c>
      <c r="X31" s="757">
        <f t="shared" si="859"/>
        <v>34134.369999999995</v>
      </c>
      <c r="Y31" s="757">
        <f>IF(X32=0,(X31+Y9+Y15+Y21-X26-X27-X28-X29),(X32+Y9+Y15+Y21-X26-X27-X28-X29))</f>
        <v>38661.459000000003</v>
      </c>
      <c r="Z31" s="757">
        <f>IF(Y32=0,(Y31+Z9+Z15+Z21-Y26-Y27-Y28-Y29),(Y32+Z9+Z15+Z21-Y26-Y27-Y28-Y29))</f>
        <v>33226.168000000005</v>
      </c>
      <c r="AA31" s="840">
        <v>-32000</v>
      </c>
      <c r="AB31" s="695"/>
      <c r="AC31" s="757">
        <f>IF(AA32=0,(AA31+AC9+AC15+AC21-AA26-AA27-AA28),(AA32+AC9+AC15+AC21-AA26-AA27-AA28))</f>
        <v>37471.126000000004</v>
      </c>
      <c r="AD31" s="757">
        <f>IF(AC32=0,(AC31+AD9+AD15+AD21-AC26-AC27-AC28-AC29),(AC32+AD9+AD15+AD21-AC26-AC27-AC28-AC29))</f>
        <v>32630.25900000002</v>
      </c>
      <c r="AE31" s="757">
        <f t="shared" ref="AE31:AH31" si="860">IF(AD32=0,(AD31+AE9+AE15+AE21-AD26-AD27-AD28-AD29),(AD32+AE9+AE15+AE21-AD26-AD27-AD28-AD29))</f>
        <v>29532.266999999993</v>
      </c>
      <c r="AF31" s="757">
        <f t="shared" si="860"/>
        <v>31959.777999999991</v>
      </c>
      <c r="AG31" s="757">
        <f t="shared" si="860"/>
        <v>42318.772999999986</v>
      </c>
      <c r="AH31" s="757">
        <f t="shared" si="860"/>
        <v>38652.549999999988</v>
      </c>
      <c r="AI31" s="757">
        <f>IF(AH32=0,(AH31+AI9+AI15+AI21-AH26-AH27-AH28-AH29),(AH32+AI9+AI15+AI21-AH26-AH27-AH28-AH29))</f>
        <v>-20723.166000000012</v>
      </c>
      <c r="AJ31" s="695"/>
      <c r="AK31" s="757">
        <f>IF(AI32=0,(AI31+AK9+AK15+AK21-AI26-AI27-AI28),(AI32+AK9+AK15+AK21-AI26-AI27-AI28))</f>
        <v>46329.978999999992</v>
      </c>
      <c r="AL31" s="757">
        <f t="shared" ref="AL31:AQ31" si="861">IF(AK32=0,(AK31+AL9+AL15+AL21-AK26-AK27-AK28-AK29),(AK32+AL9+AL15+AL21-AK26-AK27-AK28-AK29))</f>
        <v>37637.229999999981</v>
      </c>
      <c r="AM31" s="757">
        <f t="shared" si="861"/>
        <v>37447.044999999984</v>
      </c>
      <c r="AN31" s="757">
        <f t="shared" si="861"/>
        <v>35900.375999999989</v>
      </c>
      <c r="AO31" s="757">
        <f t="shared" si="861"/>
        <v>36577.50900000002</v>
      </c>
      <c r="AP31" s="757">
        <f t="shared" si="861"/>
        <v>29233.092999999993</v>
      </c>
      <c r="AQ31" s="757">
        <f t="shared" si="861"/>
        <v>-26319.532000000007</v>
      </c>
      <c r="AR31" s="695"/>
      <c r="AS31" s="757">
        <f>IF(AQ32=0,(AQ31+AS9+AS15+AS21-AQ26-AQ27-AQ28),(AQ32+AS9+AS15+AS21-AQ26-AQ27-AQ28))</f>
        <v>35859.845000000001</v>
      </c>
      <c r="AT31" s="757">
        <f t="shared" ref="AT31:AY31" si="862">IF(AS32=0,(AS31+AT9+AT15+AT21-AS26-AS27-AS28-AS29),(AS32+AT9+AT15+AT21-AS26-AS27-AS28-AS29))</f>
        <v>24003.945000000007</v>
      </c>
      <c r="AU31" s="757">
        <f t="shared" si="862"/>
        <v>7002.9530000000086</v>
      </c>
      <c r="AV31" s="757">
        <f t="shared" si="862"/>
        <v>28919.206999999995</v>
      </c>
      <c r="AW31" s="757">
        <f t="shared" si="862"/>
        <v>39284.869999999995</v>
      </c>
      <c r="AX31" s="757">
        <f t="shared" si="862"/>
        <v>10102.880000000005</v>
      </c>
      <c r="AY31" s="757">
        <f t="shared" si="862"/>
        <v>-41828.319999999992</v>
      </c>
      <c r="AZ31" s="757"/>
      <c r="BA31" s="757">
        <f>IF(AY32=0,(AY31+BA9+BA15+BA21-AY26-AY27-AY28),(AY32+BA9+BA15+BA21-AY26-AY27-AY28))</f>
        <v>13465.110000000008</v>
      </c>
      <c r="BB31" s="757">
        <f t="shared" ref="BB31" si="863">IF(BA32=0,(BA31+BB9+BB15+BB21-BA26-BA27-BA28-BA29),(BA32+BB9+BB15+BB21-BA26-BA27-BA28-BA29))</f>
        <v>17595.47</v>
      </c>
      <c r="BC31" s="757">
        <f t="shared" ref="BC31" si="864">IF(BB32=0,(BB31+BC9+BC15+BC21-BB26-BB27-BB28-BB29),(BB32+BC9+BC15+BC21-BB26-BB27-BB28-BB29))</f>
        <v>8351.5420000000158</v>
      </c>
      <c r="BD31" s="757">
        <f t="shared" ref="BD31" si="865">IF(BC32=0,(BC31+BD9+BD15+BD21-BC26-BC27-BC28-BC29),(BC32+BD9+BD15+BD21-BC26-BC27-BC28-BC29))</f>
        <v>-2211.4700000000012</v>
      </c>
      <c r="BE31" s="757">
        <f t="shared" ref="BE31" si="866">IF(BD32=0,(BD31+BE9+BE15+BE21-BD26-BD27-BD28-BD29),(BD32+BE9+BE15+BE21-BD26-BD27-BD28-BD29))</f>
        <v>30231.119999999995</v>
      </c>
      <c r="BF31" s="757">
        <f t="shared" ref="BF31" si="867">IF(BE32=0,(BE31+BF9+BF15+BF21-BE26-BE27-BE28-BE29),(BE32+BF9+BF15+BF21-BE26-BE27-BE28-BE29))</f>
        <v>4523.679999999993</v>
      </c>
      <c r="BG31" s="757">
        <f t="shared" ref="BG31" si="868">IF(BF32=0,(BF31+BG9+BG15+BG21-BF26-BF27-BF28-BF29),(BF32+BG9+BG15+BG21-BF26-BF27-BF28-BF29))</f>
        <v>-47890.145000000004</v>
      </c>
      <c r="BH31" s="758"/>
      <c r="BI31" s="757">
        <f>IF(BG32=0,(BG31+BI9+BI15+BI21-BG26-BG27-BG28),(BG32+BI9+BI15+BI21-BG26-BG27-BG28))</f>
        <v>13099.744999999995</v>
      </c>
      <c r="BJ31" s="757">
        <f t="shared" ref="BJ31:BM31" si="869">IF(BI32=0,(BI31+BJ9+BJ15+BJ21-BI26-BI27-BI28-BI29),(BI32+BJ9+BJ15+BJ21-BI26-BI27-BI28-BI29))</f>
        <v>19803.225000000006</v>
      </c>
      <c r="BK31" s="757">
        <f t="shared" si="869"/>
        <v>7908.0249999999942</v>
      </c>
      <c r="BL31" s="757">
        <f t="shared" si="869"/>
        <v>3508.4599999999919</v>
      </c>
      <c r="BM31" s="757">
        <f t="shared" si="869"/>
        <v>35633.840000000026</v>
      </c>
      <c r="BN31" s="757">
        <f>IF(BM32=0,(BM31+BN9+BN15+BN21-BM26-BM27-BM28-BM29),(BM32+BN9+BN15+BN21-BM26-BM27-BM28-BM29))</f>
        <v>25832.644</v>
      </c>
      <c r="BO31" s="757">
        <f>IF(BN32=0,(BN31+BO9+BO15+BO21-BN26-BN27-BN28-BN29),(BN32+BO9+BO15+BO21-BN26-BN27-BN28-BN29))</f>
        <v>-25616.425999999999</v>
      </c>
      <c r="BP31" s="695"/>
      <c r="BQ31" s="757">
        <f>IF(BO32=0,(BO31+BQ9+BQ15+BQ21-BO26-BO27-BO28),(BO32+BQ9+BQ15+BQ21-BO26-BO27-BO28))</f>
        <v>45459.584000000003</v>
      </c>
      <c r="BR31" s="757">
        <f t="shared" ref="BR31:BW31" si="870">IF(BQ32=0,(BQ31+BR9+BR15+BR21-BQ26-BQ27-BQ28-BQ29),(BQ32+BR9+BR15+BR21-BQ26-BQ27-BQ28-BQ29))</f>
        <v>39506.464999999997</v>
      </c>
      <c r="BS31" s="757">
        <f t="shared" si="870"/>
        <v>43056.308000000019</v>
      </c>
      <c r="BT31" s="757">
        <f t="shared" si="870"/>
        <v>27697.143000000011</v>
      </c>
      <c r="BU31" s="757">
        <f>IF(BT32=0,(BT31+BU9+BU15+BU21-BT26-BT27-BT28-BT29),(BT32+BU9+BU15+BU21-BT26-BT27-BT28-BT29))</f>
        <v>27097.859999999986</v>
      </c>
      <c r="BV31" s="757">
        <f t="shared" si="870"/>
        <v>23401.700000000012</v>
      </c>
      <c r="BW31" s="757">
        <f t="shared" si="870"/>
        <v>-27569.19999999999</v>
      </c>
      <c r="BX31" s="695"/>
      <c r="BY31" s="757">
        <f>IF(BW32=0,(BW31+BY9+BY15+BY21-BW26-BW27-BW28),(BW32+BY9+BY15+BY21-BW26-BW27-BW28))</f>
        <v>40137.840000000011</v>
      </c>
      <c r="BZ31" s="757">
        <f t="shared" ref="BZ31:CE31" si="871">IF(BY32=0,(BY31+BZ9+BZ15+BZ21-BY26-BY27-BY28-BY29),(BY32+BZ9+BZ15+BZ21-BY26-BY27-BY28-BY29))</f>
        <v>46580.315999999992</v>
      </c>
      <c r="CA31" s="757">
        <f t="shared" si="871"/>
        <v>39403.997999999992</v>
      </c>
      <c r="CB31" s="757">
        <f t="shared" si="871"/>
        <v>35384.5</v>
      </c>
      <c r="CC31" s="757">
        <f t="shared" si="871"/>
        <v>34737.102000000014</v>
      </c>
      <c r="CD31" s="757">
        <f t="shared" si="871"/>
        <v>14669.70199999999</v>
      </c>
      <c r="CE31" s="757">
        <f t="shared" si="871"/>
        <v>-36892.822000000007</v>
      </c>
      <c r="CF31" s="695"/>
      <c r="CG31" s="757">
        <f>IF(CE32=0,(CE31+CG9+CG15+CG21-CE26-CE27-CE28),(CE32+CG9+CG15+CG21-CE26-CE27-CE28))</f>
        <v>26587.709999999992</v>
      </c>
      <c r="CH31" s="757">
        <f t="shared" ref="CH31:CM31" si="872">IF(CG32=0,(CG31+CH9+CH15+CH21-CG26-CG27-CG28-CG29),(CG32+CH9+CH15+CH21-CG26-CG27-CG28-CG29))</f>
        <v>27936.131999999983</v>
      </c>
      <c r="CI31" s="757">
        <f t="shared" si="872"/>
        <v>22485.040000000008</v>
      </c>
      <c r="CJ31" s="757">
        <f t="shared" si="872"/>
        <v>10510.192999999999</v>
      </c>
      <c r="CK31" s="757">
        <f t="shared" si="872"/>
        <v>30570.742999999988</v>
      </c>
      <c r="CL31" s="757">
        <f t="shared" si="872"/>
        <v>11207.766999999993</v>
      </c>
      <c r="CM31" s="757">
        <f t="shared" si="872"/>
        <v>-30598.757000000001</v>
      </c>
      <c r="CN31" s="695"/>
      <c r="CO31" s="757">
        <f>IF(CM32=0,(CM31+CO9+CO15+CO21-CM26-CM27-CM28),(CM32+CO9+CO15+CO21-CM26-CM27-CM28))</f>
        <v>29588.243000000002</v>
      </c>
      <c r="CP31" s="757">
        <f t="shared" ref="CP31:CT31" si="873">IF(CO32=0,(CO31+CP9+CP15+CP21-CO26-CO27-CO28-CO29),(CO32+CP9+CP15+CP21-CO26-CO27-CO28-CO29))</f>
        <v>26286.950000000012</v>
      </c>
      <c r="CQ31" s="757">
        <f>IF(CP32=0,(CP31+CQ9+CQ15+CQ21-CP26-CP27-CP28-CP29),(CP32+CQ9+CQ15+CQ21-CP26-CP27-CP28-CP29))</f>
        <v>34198.48000000001</v>
      </c>
      <c r="CR31" s="757">
        <f t="shared" si="873"/>
        <v>29295.502000000008</v>
      </c>
      <c r="CS31" s="757">
        <f t="shared" si="873"/>
        <v>45758.475000000006</v>
      </c>
      <c r="CT31" s="757">
        <f t="shared" si="873"/>
        <v>32108.954999999987</v>
      </c>
      <c r="CU31" s="757">
        <f>IF(CT32=0,(CT31+CU9+CU15+CU21-CT26-CT27-CT28-CT29),(CT32+CU9+CU15+CU21-CT26-CT27-CT28-CT29))</f>
        <v>-20274.477000000014</v>
      </c>
      <c r="CV31" s="758"/>
      <c r="CW31" s="757">
        <f>IF(CU32=0,(CU31+CW9+CW15+CW21-CU26-CU27-CU28),(CU32+CW9+CW15+CW21-CU26-CU27-CU28))</f>
        <v>40736.103999999992</v>
      </c>
      <c r="CX31" s="757">
        <f>IF(CW32=0,(CW31+CX9+CX15+CX21-CW26-CW27-CW28-CW29),(CW32+CX9+CX15+CX21-CW26-CW27-CW28-CW29))</f>
        <v>39904.549999999988</v>
      </c>
      <c r="CY31" s="757">
        <f t="shared" ref="CY31:DC31" si="874">IF(CX32=0,(CX31+CY9+CY15+CY21-CX26-CX27-CX28-CX29),(CX32+CY9+CY15+CY21-CX26-CX27-CX28-CX29))</f>
        <v>47517.84600000002</v>
      </c>
      <c r="CZ31" s="757">
        <f t="shared" si="874"/>
        <v>46552.003999999986</v>
      </c>
      <c r="DA31" s="757">
        <f t="shared" si="874"/>
        <v>50676.703999999998</v>
      </c>
      <c r="DB31" s="757">
        <f t="shared" si="874"/>
        <v>36828.781000000017</v>
      </c>
      <c r="DC31" s="757">
        <f t="shared" si="874"/>
        <v>-14745.523999999983</v>
      </c>
      <c r="DD31" s="758"/>
      <c r="DE31" s="757">
        <f>IF(DC32=0,(DC31+DE9+DE15+DE21-DC26-DC27-DC28),(DC32+DE9+DE15+DE21-DC26-DC27-DC28))</f>
        <v>46845.494000000006</v>
      </c>
      <c r="DF31" s="757">
        <f t="shared" ref="DF31:DK31" si="875">IF(DE32=0,(DE31+DF9+DF15+DF21-DE26-DE27-DE28-DE29),(DE32+DF9+DF15+DF21-DE26-DE27-DE28-DE29))</f>
        <v>32857.524000000005</v>
      </c>
      <c r="DG31" s="757">
        <f t="shared" si="875"/>
        <v>40455.187000000005</v>
      </c>
      <c r="DH31" s="757">
        <f t="shared" si="875"/>
        <v>33485.486000000004</v>
      </c>
      <c r="DI31" s="757">
        <f t="shared" si="875"/>
        <v>26616.829999999987</v>
      </c>
      <c r="DJ31" s="757">
        <f>IF(DI32=0,(DI31+DJ9+DJ15+DJ21-DI26-DI27-DI28-DI29),(DI32+DJ9+DJ15+DJ21-DI26-DI27-DI28-DI29))</f>
        <v>-558.28600000002189</v>
      </c>
      <c r="DK31" s="757">
        <f t="shared" si="875"/>
        <v>-26161.275000000001</v>
      </c>
      <c r="DL31" s="695"/>
      <c r="DM31" s="757">
        <f>IF(DK32=0,(DK31+DM9+DM15+DM21-DK26-DK27-DK28),(DK32+DM9+DM15+DM21-DK26-DK27-DK28))</f>
        <v>30454.992999999988</v>
      </c>
      <c r="DN31" s="757">
        <f t="shared" ref="DN31:DS31" si="876">IF(DM32=0,(DM31+DN9+DN15+DN21-DM26-DM27-DM28-DM29),(DM32+DN9+DN15+DN21-DM26-DM27-DM28-DM29))</f>
        <v>26508.158999999985</v>
      </c>
      <c r="DO31" s="757">
        <f t="shared" si="876"/>
        <v>16594.799999999988</v>
      </c>
      <c r="DP31" s="757">
        <f t="shared" si="876"/>
        <v>-2633.6009999999951</v>
      </c>
      <c r="DQ31" s="757">
        <f t="shared" si="876"/>
        <v>25892.43299999999</v>
      </c>
      <c r="DR31" s="757">
        <f t="shared" si="876"/>
        <v>28277.456000000006</v>
      </c>
      <c r="DS31" s="757">
        <f t="shared" si="876"/>
        <v>-31522.474999999999</v>
      </c>
      <c r="DT31" s="695"/>
      <c r="DU31" s="757">
        <f>IF(DS32=0,(DS31+DU9+DU15+DU21-DS26-DS27-DS28),(DS32+DU9+DU15+DU21-DS26-DS27-DS28))</f>
        <v>-31522.474999999999</v>
      </c>
      <c r="DV31" s="757">
        <f t="shared" ref="DV31:EA31" si="877">IF(DU32=0,(DU31+DV9+DV15+DV21-DU26-DU27-DU28-DU29),(DU32+DV9+DV15+DV21-DU26-DU27-DU28-DU29))</f>
        <v>-7679.6619999999966</v>
      </c>
      <c r="DW31" s="757">
        <f t="shared" si="877"/>
        <v>27639.089999999997</v>
      </c>
      <c r="DX31" s="757">
        <f t="shared" si="877"/>
        <v>42527.647999999986</v>
      </c>
      <c r="DY31" s="757">
        <f t="shared" si="877"/>
        <v>51657.40400000001</v>
      </c>
      <c r="DZ31" s="757">
        <f t="shared" si="877"/>
        <v>38990.353000000003</v>
      </c>
      <c r="EA31" s="757">
        <f t="shared" si="877"/>
        <v>-15761.062999999995</v>
      </c>
      <c r="EB31" s="695"/>
      <c r="EC31" s="757">
        <f>IF(EA32=0,(EA31+EC9+EC15+EC21-EA26-EA27-EA28),(EA32+EC9+EC15+EC21-EA26-EA27-EA28))</f>
        <v>53277.433000000019</v>
      </c>
      <c r="ED31" s="757">
        <f t="shared" ref="ED31:EI31" si="878">IF(EC32=0,(EC31+ED9+ED15+ED21-EC26-EC27-EC28-EC29),(EC32+ED9+ED15+ED21-EC26-EC27-EC28-EC29))</f>
        <v>36911.976000000024</v>
      </c>
      <c r="EE31" s="757">
        <f t="shared" si="878"/>
        <v>41157.692999999999</v>
      </c>
      <c r="EF31" s="757">
        <f t="shared" si="878"/>
        <v>35018.504000000015</v>
      </c>
      <c r="EG31" s="757">
        <f t="shared" si="878"/>
        <v>41616.223999999987</v>
      </c>
      <c r="EH31" s="757">
        <f t="shared" si="878"/>
        <v>38043.71100000001</v>
      </c>
      <c r="EI31" s="757">
        <f t="shared" si="878"/>
        <v>-18956.28899999999</v>
      </c>
      <c r="EJ31" s="695"/>
      <c r="EK31" s="757">
        <f>IF(EI32=0,(EI31+EK9+EK15+EK21-EI26-EI27-EI28),(EI32+EK9+EK15+EK21-EI26-EI27-EI28))</f>
        <v>47389.79800000001</v>
      </c>
      <c r="EL31" s="757">
        <f t="shared" ref="EL31:EP31" si="879">IF(EK32=0,(EK31+EL9+EL15+EL21-EK26-EK27-EK28-EK29),(EK32+EL9+EL15+EL21-EK26-EK27-EK28-EK29))</f>
        <v>40806.437000000005</v>
      </c>
      <c r="EM31" s="757">
        <f t="shared" si="879"/>
        <v>42187.390000000014</v>
      </c>
      <c r="EN31" s="757">
        <f t="shared" si="879"/>
        <v>38828.222000000009</v>
      </c>
      <c r="EO31" s="757">
        <f t="shared" si="879"/>
        <v>46870.84</v>
      </c>
      <c r="EP31" s="757">
        <f t="shared" si="879"/>
        <v>33069.748000000021</v>
      </c>
      <c r="EQ31" s="757">
        <f>IF(EP32=0,(EP31+EQ9+EQ15+EQ21-EP26-EP27-EP28-EP29),(EP32+EQ9+EQ15+EQ21-EP26-EP27-EP28-EP29))</f>
        <v>-26234.733</v>
      </c>
      <c r="ER31" s="758"/>
      <c r="ES31" s="757">
        <f>IF(EQ32=0,(EQ31+ES9+ES15+ES21-EQ26-EQ27-EQ28),(EQ32+ES9+ES15+ES21-EQ26-EQ27-EQ28))</f>
        <v>32967.019</v>
      </c>
      <c r="ET31" s="757">
        <f>IF(ES32=0,(ES31+ET9+ET15+ET21-ES26-ES27-ES28-ES29),(ES32+ET9+ET15+ET21-ES26-ES27-ES28-ES29))</f>
        <v>19332.524999999994</v>
      </c>
      <c r="EU31" s="757">
        <f t="shared" ref="EU31:EY31" si="880">IF(ET32=0,(ET31+EU9+EU15+EU21-ET26-ET27-ET28-ET29),(ET32+EU9+EU15+EU21-ET26-ET27-ET28-ET29))</f>
        <v>21716.255000000005</v>
      </c>
      <c r="EV31" s="757">
        <f t="shared" si="880"/>
        <v>26652.101999999984</v>
      </c>
      <c r="EW31" s="757">
        <f t="shared" si="880"/>
        <v>32141.812000000005</v>
      </c>
      <c r="EX31" s="757">
        <f t="shared" si="880"/>
        <v>23428.532000000007</v>
      </c>
      <c r="EY31" s="757">
        <f t="shared" si="880"/>
        <v>-34608.537924916411</v>
      </c>
      <c r="EZ31" s="758"/>
      <c r="FA31" s="757">
        <f>IF(EY32=0,(EY31+FA9+FA15+FA21-EY26-EY27-EY28),(EY32+FA9+FA15+FA21-EY26-EY27-EY28))</f>
        <v>27516.48607508358</v>
      </c>
      <c r="FB31" s="757">
        <f t="shared" ref="FB31:FG31" si="881">IF(FA32=0,(FA31+FB9+FB15+FB21-FA26-FA27-FA28-FA29),(FA32+FB9+FB15+FB21-FA26-FA27-FA28-FA29))</f>
        <v>22358.768000000011</v>
      </c>
      <c r="FC31" s="757">
        <f t="shared" si="881"/>
        <v>24049.486999999994</v>
      </c>
      <c r="FD31" s="757">
        <f t="shared" si="881"/>
        <v>19674.083000000013</v>
      </c>
      <c r="FE31" s="757">
        <f t="shared" si="881"/>
        <v>30114.005000000005</v>
      </c>
      <c r="FF31" s="757">
        <f t="shared" si="881"/>
        <v>1458.9860000000335</v>
      </c>
      <c r="FG31" s="757">
        <f t="shared" si="881"/>
        <v>-56881.461117962259</v>
      </c>
      <c r="FH31" s="695"/>
      <c r="FI31" s="757">
        <f>IF(FG32=0,(FG31+FI9+FI15+FI21-FG26-FG27-FG28),(FG32+FI9+FI15+FI21-FG26-FG27-FG28))</f>
        <v>-20.561117962271965</v>
      </c>
      <c r="FJ31" s="757">
        <f t="shared" ref="FJ31:FO31" si="882">IF(FI32=0,(FI31+FJ9+FJ15+FJ21-FI26-FI27-FI28-FI29),(FI32+FJ9+FJ15+FJ21-FI26-FI27-FI28-FI29))</f>
        <v>44364.602000000014</v>
      </c>
      <c r="FK31" s="757">
        <f t="shared" si="882"/>
        <v>45966.517999999982</v>
      </c>
      <c r="FL31" s="757">
        <f t="shared" si="882"/>
        <v>-45000</v>
      </c>
      <c r="FM31" s="757">
        <f t="shared" si="882"/>
        <v>46155.387999999977</v>
      </c>
      <c r="FN31" s="757">
        <f t="shared" si="882"/>
        <v>17931.829999999987</v>
      </c>
      <c r="FO31" s="757">
        <f t="shared" si="882"/>
        <v>-38617.014500552425</v>
      </c>
      <c r="FP31" s="695"/>
      <c r="FQ31" s="757">
        <f>IF(FO32=0,(FO31+FQ9+FQ15+FQ21-FO26-FO27-FO28),(FO32+FQ9+FQ15+FQ21-FO26-FO27-FO28))</f>
        <v>39862.215499447571</v>
      </c>
      <c r="FR31" s="757">
        <f t="shared" ref="FR31:FW31" si="883">IF(FQ32=0,(FQ31+FR9+FR15+FR21-FQ26-FQ27-FQ28-FQ29),(FQ32+FR9+FR15+FR21-FQ26-FQ27-FQ28-FQ29))</f>
        <v>47022.152000000002</v>
      </c>
      <c r="FS31" s="757">
        <f t="shared" si="883"/>
        <v>47741.27899999998</v>
      </c>
      <c r="FT31" s="757">
        <f t="shared" si="883"/>
        <v>45607.244000000006</v>
      </c>
      <c r="FU31" s="757">
        <f t="shared" si="883"/>
        <v>45814.912000000011</v>
      </c>
      <c r="FV31" s="757">
        <f t="shared" si="883"/>
        <v>32279.472000000009</v>
      </c>
      <c r="FW31" s="757">
        <f t="shared" si="883"/>
        <v>-19445.317999999992</v>
      </c>
      <c r="FX31" s="695"/>
      <c r="FY31" s="757">
        <f>IF(FW32=0,(FW31+FY9+FY15+FY21-FW26-FW27-FW28),(FW32+FY9+FY15+FY21-FW26-FW27-FW28))</f>
        <v>-19445.317999999992</v>
      </c>
      <c r="FZ31" s="757">
        <f t="shared" ref="FZ31:GE31" si="884">IF(FY32=0,(FY31+FZ9+FZ15+FZ21-FY26-FY27-FY28-FY29),(FY32+FZ9+FZ15+FZ21-FY26-FY27-FY28-FY29))</f>
        <v>31486.875000000015</v>
      </c>
      <c r="GA31" s="757">
        <f t="shared" si="884"/>
        <v>53163.608999999997</v>
      </c>
      <c r="GB31" s="757">
        <f t="shared" si="884"/>
        <v>42980.67200000002</v>
      </c>
      <c r="GC31" s="757">
        <f t="shared" si="884"/>
        <v>49841.241999999998</v>
      </c>
      <c r="GD31" s="757">
        <f t="shared" si="884"/>
        <v>33538.510000000009</v>
      </c>
      <c r="GE31" s="757">
        <f t="shared" si="884"/>
        <v>-20729.389999999992</v>
      </c>
      <c r="GF31" s="695"/>
      <c r="GG31" s="757">
        <f>IF(GE32=0,(GE31+GG9+GG15+GG21-GE26-GE27-GE28),(GE32+GG9+GG15+GG21-GE26-GE27-GE28))</f>
        <v>44571.653000000006</v>
      </c>
      <c r="GH31" s="757">
        <f t="shared" ref="GH31:GM31" si="885">IF(GG32=0,(GG31+GH9+GH15+GH21-GG26-GG27-GG28-GG29),(GG32+GH9+GH15+GH21-GG26-GG27-GG28-GG29))</f>
        <v>47968.890000000014</v>
      </c>
      <c r="GI31" s="757">
        <f t="shared" si="885"/>
        <v>44161.254000000015</v>
      </c>
      <c r="GJ31" s="757">
        <f t="shared" si="885"/>
        <v>38316.480999999971</v>
      </c>
      <c r="GK31" s="757">
        <f t="shared" si="885"/>
        <v>43757.398999999976</v>
      </c>
      <c r="GL31" s="757">
        <f t="shared" si="885"/>
        <v>28519.413</v>
      </c>
      <c r="GM31" s="757">
        <f t="shared" si="885"/>
        <v>-19228.597000000002</v>
      </c>
      <c r="GN31" s="758"/>
      <c r="GO31" s="757">
        <f>IF(GM32=0,(GM31+GO9+GO15+GO21-GM26-GM27-GM28),(GM32+GO9+GO15+GO21-GM26-GM27-GM28))</f>
        <v>34911.483000000007</v>
      </c>
      <c r="GP31" s="757">
        <f>IF(GO31=0,(GO31+GP9+GP15+GP21-GO26-GO27-GO28-GO29),(GO32+GP9+GP15+GP21-GO26-GO27-GO28-GO29))</f>
        <v>41130.652999999991</v>
      </c>
      <c r="GQ31" s="757">
        <f>IF(GP32=0,(GP31+GQ9+GQ15+GQ21-GP26-GP27-GP28-GP29),(GP32+GQ9+GQ15+GQ21-GP26-GP27-GP28-GP29))</f>
        <v>41449.339999999997</v>
      </c>
      <c r="GR31" s="757">
        <f>IF(GQ32=0,(GQ31+GR9+GR15+GR21-GQ26-GQ27-GQ28-GQ29),(GQ32+GR9+GR15+GR21-GQ26-GQ27-GQ28-GQ29))</f>
        <v>39565.964000000007</v>
      </c>
      <c r="GS31" s="757">
        <f t="shared" ref="GS31:GU31" si="886">IF(GR32=0,(GR31+GS9+GS15+GS21-GR26-GR27-GR28-GR29),(GR32+GS9+GS15+GS21-GR26-GR27-GR28-GR29))</f>
        <v>44298.830000000016</v>
      </c>
      <c r="GT31" s="757">
        <f t="shared" si="886"/>
        <v>26943.630000000005</v>
      </c>
      <c r="GU31" s="757">
        <f t="shared" si="886"/>
        <v>-23286.61</v>
      </c>
      <c r="GV31" s="758"/>
      <c r="GW31" s="757">
        <f>IF(GU32=0,(GU31+GW9+GW15+GW21-GU26-GU27-GU28),(GU32+GW9+GW15+GW21-GU26-GU27-GU28))</f>
        <v>40862.567999999999</v>
      </c>
      <c r="GX31" s="757">
        <f t="shared" ref="GX31:HC31" si="887">IF(GW32=0,(GW31+GX9+GX15+GX21-GW26-GW27-GW28-GW29),(GW32+GX9+GX15+GX21-GW26-GW27-GW28-GW29))</f>
        <v>42186.097999999998</v>
      </c>
      <c r="GY31" s="757">
        <f t="shared" si="887"/>
        <v>44018.69200000001</v>
      </c>
      <c r="GZ31" s="757">
        <f t="shared" si="887"/>
        <v>43318.167000000016</v>
      </c>
      <c r="HA31" s="757">
        <f t="shared" si="887"/>
        <v>42289.632000000012</v>
      </c>
      <c r="HB31" s="757">
        <f t="shared" si="887"/>
        <v>34969.771999999997</v>
      </c>
      <c r="HC31" s="757">
        <f t="shared" si="887"/>
        <v>-18644.099999999999</v>
      </c>
      <c r="HD31" s="695"/>
      <c r="HE31" s="757">
        <f>IF(HC32=0,(HC31+HE9+HE15+HE21-HC26-HC27-HC28),(HC32+HE9+HE15+HE21-HC26-HC27-HC28))</f>
        <v>42974.84600000002</v>
      </c>
      <c r="HF31" s="757">
        <f t="shared" ref="HF31:HK31" si="888">IF(HE32=0,(HE31+HF9+HF15+HF21-HE26-HE27-HE28-HE29),(HE32+HF9+HF15+HF21-HE26-HE27-HE28-HE29))</f>
        <v>44516.073999999993</v>
      </c>
      <c r="HG31" s="757">
        <f t="shared" si="888"/>
        <v>38215.861999999994</v>
      </c>
      <c r="HH31" s="757">
        <f t="shared" si="888"/>
        <v>35699.929999999993</v>
      </c>
      <c r="HI31" s="757">
        <f t="shared" si="888"/>
        <v>29366.171999999991</v>
      </c>
      <c r="HJ31" s="757">
        <f t="shared" si="888"/>
        <v>22553.097999999998</v>
      </c>
      <c r="HK31" s="757">
        <f t="shared" si="888"/>
        <v>-24446.902000000002</v>
      </c>
      <c r="HL31" s="695"/>
      <c r="HM31" s="757">
        <f>IF(HK32=0,(HK31+HM9+HM15+HM21-HK26-HK27-HK28),(HK32+HM9+HM15+HM21-HK26-HK27-HK28))</f>
        <v>30521.72199999998</v>
      </c>
      <c r="HN31" s="757">
        <f t="shared" ref="HN31:HS31" si="889">IF(HM32=0,(HM31+HN9+HN15+HN21-HM26-HM27-HM28-HM29),(HM32+HN9+HN15+HN21-HM26-HM27-HM28-HM29))</f>
        <v>36155.522999999986</v>
      </c>
      <c r="HO31" s="757">
        <f t="shared" si="889"/>
        <v>32620.629000000015</v>
      </c>
      <c r="HP31" s="757">
        <f t="shared" si="889"/>
        <v>33799.823999999993</v>
      </c>
      <c r="HQ31" s="757">
        <f t="shared" si="889"/>
        <v>22964.344000000012</v>
      </c>
      <c r="HR31" s="757">
        <f t="shared" si="889"/>
        <v>1289.5679999999993</v>
      </c>
      <c r="HS31" s="757">
        <f t="shared" si="889"/>
        <v>-38710.432000000001</v>
      </c>
      <c r="HT31" s="695"/>
      <c r="HU31" s="757">
        <f>IF(HS32=0,(HS31+HU9+HU15+HU21-HS26-HS27-HS28),(HS32+HU9+HU15+HU21-HS26-HS27-HS28))</f>
        <v>10898.929999999986</v>
      </c>
      <c r="HV31" s="757">
        <f t="shared" ref="HV31:IA31" si="890">IF(HU32=0,(HU31+HV9+HV15+HV21-HU26-HU27-HU28-HU29),(HU32+HV9+HV15+HV21-HU26-HU27-HU28-HU29))</f>
        <v>29146.324000000008</v>
      </c>
      <c r="HW31" s="757">
        <f t="shared" si="890"/>
        <v>37469.554000000004</v>
      </c>
      <c r="HX31" s="757">
        <f t="shared" si="890"/>
        <v>-38530.445999999996</v>
      </c>
      <c r="HY31" s="757">
        <f t="shared" si="890"/>
        <v>35932.755000000005</v>
      </c>
      <c r="HZ31" s="757">
        <f t="shared" si="890"/>
        <v>4483.2099999999919</v>
      </c>
      <c r="IA31" s="757">
        <f t="shared" si="890"/>
        <v>-42516.790000000008</v>
      </c>
      <c r="IB31" s="695"/>
      <c r="IC31" s="757">
        <f>IF(IA32=0,(IA31+IC9+IC15+IC21-IA26-IA27-IA28),(IA32+IC9+IC15+IC21-IA26-IA27-IA28))</f>
        <v>16134.541999999987</v>
      </c>
      <c r="ID31" s="757">
        <f t="shared" ref="ID31:II31" si="891">IF(IC32=0,(IC31+ID9+ID15+ID21-IC26-IC27-IC28-IC29),(IC32+ID9+ID15+ID21-IC26-IC27-IC28-IC29))</f>
        <v>27543.511999999988</v>
      </c>
      <c r="IE31" s="757">
        <f t="shared" si="891"/>
        <v>23970.905999999988</v>
      </c>
      <c r="IF31" s="757">
        <f t="shared" si="891"/>
        <v>21466.791000000012</v>
      </c>
      <c r="IG31" s="757">
        <f t="shared" si="891"/>
        <v>38044.426000000007</v>
      </c>
      <c r="IH31" s="757">
        <f t="shared" si="891"/>
        <v>28166.503999999986</v>
      </c>
      <c r="II31" s="757">
        <f t="shared" si="891"/>
        <v>-16833.496000000014</v>
      </c>
      <c r="IJ31" s="758"/>
      <c r="IK31" s="757">
        <f>IF(II32=0,(II31+IK9+IK15+IK21-II26-II27-II28),(II32+IK9+IK15+IK21-II26-II27-II28))</f>
        <v>44305.697999999989</v>
      </c>
      <c r="IL31" s="757">
        <f t="shared" ref="IL31:IP31" si="892">IF(IK32=0,(IK31+IL9+IL15+IL21-IK26-IK27-IK28-IK29),(IK32+IL9+IL15+IL21-IK26-IK27-IK28-IK29))</f>
        <v>34152.554000000004</v>
      </c>
      <c r="IM31" s="757">
        <f t="shared" si="892"/>
        <v>37602.80799999999</v>
      </c>
      <c r="IN31" s="757">
        <f t="shared" si="892"/>
        <v>34211</v>
      </c>
      <c r="IO31" s="757">
        <f t="shared" si="892"/>
        <v>35230</v>
      </c>
      <c r="IP31" s="757">
        <f t="shared" si="892"/>
        <v>16634.100000000006</v>
      </c>
      <c r="IQ31" s="757">
        <f>IF(IP32=0,(IP31+IQ9+IQ15+IQ21-IP26-IP27-IP28-IP29),(IP32+IQ9+IQ15+IQ21-IP26-IP27-IP28-IP29))</f>
        <v>-32365.899999999994</v>
      </c>
      <c r="IR31" s="758"/>
      <c r="IS31" s="757">
        <f>IF(IQ32=0,(IQ31+IS9+IS15+IS21-IQ26-IQ27-IQ28),(IQ32+IS9+IS15+IS21-IQ26-IQ27-IQ28))</f>
        <v>32020.304000000004</v>
      </c>
      <c r="IT31" s="757">
        <f t="shared" ref="IT31:IY31" si="893">IF(IS32=0,(IS31+IT9+IT15+IT21-IS26-IS27-IS28-IS29),(IS32+IT9+IT15+IT21-IS26-IS27-IS28-IS29))</f>
        <v>36704.19</v>
      </c>
      <c r="IU31" s="757">
        <f t="shared" si="893"/>
        <v>29274.141000000003</v>
      </c>
      <c r="IV31" s="757">
        <f t="shared" si="893"/>
        <v>25567.377999999997</v>
      </c>
      <c r="IW31" s="757">
        <f t="shared" si="893"/>
        <v>34700.114000000001</v>
      </c>
      <c r="IX31" s="757">
        <f t="shared" si="893"/>
        <v>22930.987999999983</v>
      </c>
      <c r="IY31" s="757">
        <f t="shared" si="893"/>
        <v>-7069.012000000017</v>
      </c>
      <c r="IZ31" s="695"/>
      <c r="JA31" s="757">
        <f>IF(IY32=0,(IY31+JA9+JA15+JA21-IY26-IY27-IY28),(IY32+JA9+JA15+JA21-IY26-IY27-IY28))</f>
        <v>-7069.012000000017</v>
      </c>
      <c r="JB31" s="757">
        <f t="shared" ref="JB31:JD31" si="894">IF(JA32=0,(JA31+JB9+JB15+JB21-JA26-JA27-JA28-JA29),(JA32+JB9+JB15+JB21-JA26-JA27-JA28-JA29))</f>
        <v>32593.816999999981</v>
      </c>
      <c r="JC31" s="757">
        <f t="shared" si="894"/>
        <v>34077.508000000002</v>
      </c>
      <c r="JD31" s="757">
        <f t="shared" si="894"/>
        <v>37966.633000000002</v>
      </c>
      <c r="JE31" s="757">
        <f>IF(JD32=0,(JD31+JE9+JE15+JE21-JD26-JD27-JD28-JD29),(JD32+JE9+JE15+JE21-JD26-JD27-JD28-JD29))</f>
        <v>35120.757999999973</v>
      </c>
      <c r="JF31" s="757">
        <f>IF(JE32=0,(JE31+JF9+JF15+JF21-JE26-JE27-JE28-JE29),(JE32+JF9+JF15+JF21-JE26-JE27-JE28-JE29))</f>
        <v>14119.583999999973</v>
      </c>
      <c r="JG31" s="757">
        <f>IF(JF32=0,(JF31+JG9+JG15+JG21-JF26-JF27-JF28-JF29),(JF32+JG9+JG15+JG21-JF26-JF27-JF28-JF29))</f>
        <v>-31000</v>
      </c>
      <c r="JH31" s="695"/>
      <c r="JI31" s="757">
        <f>IF(JG32=0,(JG31+JI9+JI15+JI21-JG26-JG27-JG28),(JG32+JI9+JI15+JI21-JG26-JG27-JG28))</f>
        <v>28083.160000000003</v>
      </c>
      <c r="JJ31" s="757">
        <f t="shared" ref="JJ31:JO31" si="895">IF(JI32=0,(JI31+JJ9+JJ15+JJ21-JI26-JI27-JI28-JI29),(JI32+JJ9+JJ15+JJ21-JI26-JI27-JI28-JI29))</f>
        <v>20065.64</v>
      </c>
      <c r="JK31" s="757">
        <f t="shared" si="895"/>
        <v>22954.062999999995</v>
      </c>
      <c r="JL31" s="757">
        <f t="shared" si="895"/>
        <v>13573.90400000001</v>
      </c>
      <c r="JM31" s="757">
        <f t="shared" si="895"/>
        <v>25489.799999999988</v>
      </c>
      <c r="JN31" s="757">
        <f t="shared" si="895"/>
        <v>15028.075000000012</v>
      </c>
      <c r="JO31" s="757">
        <f t="shared" si="895"/>
        <v>-37000</v>
      </c>
      <c r="JP31" s="695"/>
      <c r="JQ31" s="757">
        <f>IF(JO32=0,(JO31+JQ9+JQ15+JQ21-JO26-JO27-JO28),(JO32+JQ9+JQ15+JQ21-JO26-JO27-JO28))</f>
        <v>31932.065999999992</v>
      </c>
      <c r="JR31" s="757">
        <f>IF(JQ32=0,(JQ31+JR9+JR15+JR21-JQ26-JQ27-JQ28-JQ29),(JQ32+JR9+JR15+JR21-JQ26-JQ27-JQ28-JQ29))</f>
        <v>42849.692999999999</v>
      </c>
      <c r="JS31" s="757">
        <f>IF(JR32=0,(JR31+JS9+JS15+JS21-JR26-JR27-JR28-JR29),(JR32+JS9+JS15+JS21-JR26-JR27-JR28-JR29))</f>
        <v>40784.450000000012</v>
      </c>
      <c r="JT31" s="757">
        <f t="shared" ref="JT31:JW31" si="896">IF(JS32=0,(JS31+JT9+JT15+JT21-JS26-JS27-JS28-JS29),(JS32+JT9+JT15+JT21-JS26-JS27-JS28-JS29))</f>
        <v>35636.049999999988</v>
      </c>
      <c r="JU31" s="757">
        <f t="shared" si="896"/>
        <v>41098.741999999998</v>
      </c>
      <c r="JV31" s="757">
        <f t="shared" si="896"/>
        <v>25840.559999999998</v>
      </c>
      <c r="JW31" s="757">
        <f t="shared" si="896"/>
        <v>-32159.440000000002</v>
      </c>
      <c r="JX31" s="695"/>
      <c r="JY31" s="757">
        <f>IF(JW32=0,(JW31+JY9+JY15+JY21-JW26-JW27-JW28),(JW32+JY9+JY15+JY21-JW26-JW27-JW28))</f>
        <v>45439.877999999997</v>
      </c>
      <c r="JZ31" s="757">
        <f t="shared" ref="JZ31:KE31" si="897">IF(JY32=0,(JY31+JZ9+JZ15+JZ21-JY26-JY27-JY28-JY29),(JY32+JZ9+JZ15+JZ21-JY26-JY27-JY28-JY29))</f>
        <v>50307.454000000027</v>
      </c>
      <c r="KA31" s="757">
        <f t="shared" si="897"/>
        <v>45434.369999999995</v>
      </c>
      <c r="KB31" s="757">
        <f t="shared" si="897"/>
        <v>43794.051000000007</v>
      </c>
      <c r="KC31" s="757">
        <f t="shared" si="897"/>
        <v>38212.200000000012</v>
      </c>
      <c r="KD31" s="757">
        <f t="shared" si="897"/>
        <v>24821.201000000001</v>
      </c>
      <c r="KE31" s="757">
        <f t="shared" si="897"/>
        <v>-33178.798999999999</v>
      </c>
      <c r="KF31" s="758"/>
      <c r="KG31" s="757">
        <f>IF(KE32=0,(KE31+KG9+KG15+KG21-KE26-KE27-KE28),(KE32+KG9+KG15+KG21-KE26-KE27-KE28))</f>
        <v>43279.45199999999</v>
      </c>
      <c r="KH31" s="757">
        <f t="shared" ref="KH31:KM31" si="898">IF(KG32=0,(KG31+KH9+KH15+KH21-KG26-KG27-KG28-KG29),(KG32+KH9+KH15+KH21-KG26-KG27-KG28-KG29))</f>
        <v>13005.733999999997</v>
      </c>
      <c r="KI31" s="757">
        <f t="shared" si="898"/>
        <v>10185.712999999989</v>
      </c>
      <c r="KJ31" s="757">
        <f t="shared" si="898"/>
        <v>-15804.690000000017</v>
      </c>
      <c r="KK31" s="757">
        <f t="shared" si="898"/>
        <v>15149.150000000023</v>
      </c>
      <c r="KL31" s="757">
        <f t="shared" si="898"/>
        <v>-6490.0229999999865</v>
      </c>
      <c r="KM31" s="757">
        <f t="shared" si="898"/>
        <v>-30000</v>
      </c>
      <c r="KN31" s="758"/>
      <c r="KO31" s="757">
        <f>IF(KM32=0,(KM31+KO9+KO15+KO21-KM26-KM27-KM28),(KM32+KO9+KO15+KO21-KM26-KM27-KM28))</f>
        <v>40451.423999999999</v>
      </c>
      <c r="KP31" s="757">
        <f>IF(KO32=0,(KO31+KP9+KP15+KP21-KO26-KO27-KO28-KO29),(KO32+KP9+KP15+KP21-KO26-KO27-KO28-KO29))</f>
        <v>32263.129999999976</v>
      </c>
      <c r="KQ31" s="757">
        <f t="shared" ref="KQ31:KU31" si="899">IF(KP32=0,(KP31+KQ9+KQ15+KQ21-KP26-KP27-KP28-KP29),(KP32+KQ9+KQ15+KQ21-KP26-KP27-KP28-KP29))</f>
        <v>32335.795999999973</v>
      </c>
      <c r="KR31" s="757">
        <f t="shared" si="899"/>
        <v>29176.013000000006</v>
      </c>
      <c r="KS31" s="757">
        <f t="shared" si="899"/>
        <v>31767.599999999977</v>
      </c>
      <c r="KT31" s="757">
        <f t="shared" si="899"/>
        <v>19224.993000000017</v>
      </c>
      <c r="KU31" s="757">
        <f t="shared" si="899"/>
        <v>-40775.006999999983</v>
      </c>
      <c r="KV31" s="695"/>
      <c r="KW31" s="757">
        <f>IF(KU32=0,(KU31+KW9+KW15+KW21-KU26-KU27-KU28),(KU32+KW9+KW15+KW21-KU26-KU27-KU28))</f>
        <v>30701.06700000001</v>
      </c>
      <c r="KX31" s="757">
        <f t="shared" ref="KX31:LC31" si="900">IF(KW32=0,(KW31+KX9+KX15+KX21-KW26-KW27-KW28-KW29),(KW32+KX9+KX15+KX21-KW26-KW27-KW28-KW29))</f>
        <v>46464.885000000009</v>
      </c>
      <c r="KY31" s="757">
        <f t="shared" si="900"/>
        <v>39251.834999999992</v>
      </c>
      <c r="KZ31" s="757">
        <f t="shared" si="900"/>
        <v>39303.913</v>
      </c>
      <c r="LA31" s="757">
        <f t="shared" si="900"/>
        <v>45338.034000000014</v>
      </c>
      <c r="LB31" s="757">
        <f t="shared" si="900"/>
        <v>30551.378000000026</v>
      </c>
      <c r="LC31" s="757">
        <f t="shared" si="900"/>
        <v>-29448.621999999974</v>
      </c>
      <c r="LD31" s="695"/>
      <c r="LE31" s="757">
        <f>IF(LC32=0,(LC31+LE9+LE15+LE21-LC26-LC27-LC28),(LC32+LE9+LE15+LE21-LC26-LC27-LC28))</f>
        <v>51270.978000000032</v>
      </c>
      <c r="LF31" s="757">
        <f t="shared" ref="LF31:LK31" si="901">IF(LE32=0,(LE31+LF9+LF15+LF21-LE26-LE27-LE28-LE29),(LE32+LF9+LF15+LF21-LE26-LE27-LE28-LE29))</f>
        <v>44673.972000000009</v>
      </c>
      <c r="LG31" s="757">
        <f t="shared" si="901"/>
        <v>46683.272999999986</v>
      </c>
      <c r="LH31" s="757">
        <f t="shared" si="901"/>
        <v>46550.316000000021</v>
      </c>
      <c r="LI31" s="757">
        <f t="shared" si="901"/>
        <v>44672.25</v>
      </c>
      <c r="LJ31" s="757">
        <f t="shared" si="901"/>
        <v>30188.745999999985</v>
      </c>
      <c r="LK31" s="757">
        <f t="shared" si="901"/>
        <v>-34811.254000000015</v>
      </c>
      <c r="LL31" s="695"/>
      <c r="LM31" s="757">
        <f>IF(LK32=0,(LK31+LM9+LM15+LM21-LK26-LK27-LK28),(LK32+LM9+LM15+LM21-LK26-LK27-LK28))</f>
        <v>48761.530999999988</v>
      </c>
      <c r="LN31" s="757">
        <f t="shared" ref="LN31:LS31" si="902">IF(LM32=0,(LM31+LN9+LN15+LN21-LM26-LM27-LM28-LM29),(LM32+LN9+LN15+LN21-LM26-LM27-LM28-LM29))</f>
        <v>41810.19</v>
      </c>
      <c r="LO31" s="757">
        <f t="shared" si="902"/>
        <v>38730.295000000013</v>
      </c>
      <c r="LP31" s="757">
        <f t="shared" si="902"/>
        <v>30967.018000000011</v>
      </c>
      <c r="LQ31" s="757">
        <f t="shared" si="902"/>
        <v>38789.268999999971</v>
      </c>
      <c r="LR31" s="757">
        <f t="shared" si="902"/>
        <v>21666.722000000009</v>
      </c>
      <c r="LS31" s="757">
        <f t="shared" si="902"/>
        <v>-48333.277999999991</v>
      </c>
      <c r="LT31" s="695"/>
      <c r="LU31" s="757">
        <f>IF(LS32=0,(LS31+LU9+LU15+LU21-LS26-LS27-LS28),(LS32+LU9+LU15+LU21-LS26-LS27-LS28))</f>
        <v>25784.512000000002</v>
      </c>
      <c r="LV31" s="757">
        <f t="shared" ref="LV31:MA31" si="903">IF(LU32=0,(LU31+LV9+LV15+LV21-LU26-LU27-LU28-LU29),(LU32+LV9+LV15+LV21-LU26-LU27-LU28-LU29))</f>
        <v>35534.284000000014</v>
      </c>
      <c r="LW31" s="757">
        <f t="shared" si="903"/>
        <v>23961.282000000007</v>
      </c>
      <c r="LX31" s="757">
        <f t="shared" si="903"/>
        <v>8721.5100000000093</v>
      </c>
      <c r="LY31" s="757">
        <f t="shared" si="903"/>
        <v>-5041.5260000000126</v>
      </c>
      <c r="LZ31" s="757">
        <f t="shared" si="903"/>
        <v>-35069.870000000024</v>
      </c>
      <c r="MA31" s="757">
        <f t="shared" si="903"/>
        <v>-105069.87000000002</v>
      </c>
      <c r="MB31" s="758"/>
      <c r="MC31" s="757">
        <v>0</v>
      </c>
      <c r="MD31" s="757">
        <f t="shared" ref="MD31:MI31" si="904">IF(MC32=0,(MC31+MD9+MD15+MD21-MC26-MC27-MC28-MC29),(MC32+MD9+MD15+MD21-MC26-MC27-MC28-MC29))</f>
        <v>33031.459999999992</v>
      </c>
      <c r="ME31" s="757">
        <f t="shared" si="904"/>
        <v>19880.299999999988</v>
      </c>
      <c r="MF31" s="757">
        <f t="shared" si="904"/>
        <v>9420.051999999996</v>
      </c>
      <c r="MG31" s="757">
        <f t="shared" si="904"/>
        <v>37932.432000000001</v>
      </c>
      <c r="MH31" s="757">
        <f t="shared" si="904"/>
        <v>33418.330000000016</v>
      </c>
      <c r="MI31" s="757">
        <f t="shared" si="904"/>
        <v>-36000</v>
      </c>
      <c r="MJ31" s="758"/>
      <c r="MK31" s="757">
        <f>IF(MI32=0,(MI31+MK9+MK15+MK21-MI26-MI27-MI28),(MI32+MK9+MK15+MK21-MI26-MI27-MI28))</f>
        <v>44005.616999999998</v>
      </c>
      <c r="ML31" s="757">
        <f t="shared" ref="ML31:MQ31" si="905">IF(MK32=0,(MK31+ML9+ML15+ML21-MK26-MK27-MK28-MK29),(MK32+ML9+ML15+ML21-MK26-MK27-MK28-MK29))</f>
        <v>-45000</v>
      </c>
      <c r="MM31" s="757">
        <f t="shared" si="905"/>
        <v>41708.817999999999</v>
      </c>
      <c r="MN31" s="757">
        <f t="shared" si="905"/>
        <v>29640.500999999989</v>
      </c>
      <c r="MO31" s="757">
        <f t="shared" si="905"/>
        <v>34638.686000000016</v>
      </c>
      <c r="MP31" s="757">
        <f t="shared" si="905"/>
        <v>29191.309999999998</v>
      </c>
      <c r="MQ31" s="757">
        <f t="shared" si="905"/>
        <v>-36000</v>
      </c>
      <c r="MR31" s="695"/>
      <c r="MS31" s="757">
        <f>IF(MQ32=0,(MQ31+MS9+MS15+MS21-MQ26-MQ27-MQ28),(MQ32+MS9+MS15+MS21-MQ26-MQ27-MQ28))</f>
        <v>51265.184999999998</v>
      </c>
      <c r="MT31" s="757">
        <f t="shared" ref="MT31:MY31" si="906">IF(MS32=0,(MS31+MT9+MT15+MT21-MS26-MS27-MS28-MS29),(MS32+MT9+MT15+MT21-MS26-MS27-MS28-MS29))</f>
        <v>50003.716000000015</v>
      </c>
      <c r="MU31" s="757">
        <f t="shared" si="906"/>
        <v>31985.224000000017</v>
      </c>
      <c r="MV31" s="757">
        <f t="shared" si="906"/>
        <v>45714.525999999983</v>
      </c>
      <c r="MW31" s="757">
        <f t="shared" si="906"/>
        <v>-60000</v>
      </c>
      <c r="MX31" s="757">
        <f t="shared" si="906"/>
        <v>44916.979999999996</v>
      </c>
      <c r="MY31" s="757">
        <f t="shared" si="906"/>
        <v>-37000</v>
      </c>
      <c r="MZ31" s="695"/>
      <c r="NA31" s="757">
        <f>IF(MY32=0,(MY31+NA9+NA15+NA21-MY26-MY27-MY28),(MY32+NA9+NA15+NA21-MY26-MY27-MY28))</f>
        <v>48788.621606192697</v>
      </c>
      <c r="NB31" s="757">
        <f t="shared" ref="NB31:NF31" si="907">IF(NA32=0,(NA31+NB9+NB15+NB21-NA26-NA27-NA28-NA29),(NA32+NB9+NB15+NB21-NA26-NA27-NA28-NA29))</f>
        <v>36411.412000000011</v>
      </c>
      <c r="NC31" s="757">
        <f t="shared" si="907"/>
        <v>37224.700000000012</v>
      </c>
      <c r="ND31" s="757">
        <f t="shared" si="907"/>
        <v>18629.627999999997</v>
      </c>
      <c r="NE31" s="757">
        <f t="shared" si="907"/>
        <v>11484.246000000014</v>
      </c>
      <c r="NF31" s="757">
        <f t="shared" si="907"/>
        <v>13410.410999999993</v>
      </c>
      <c r="NG31" s="757">
        <f>IF(NF32=0,(NF31+NG9+NG15+NG21-NF26-NF27-NF28-NF29),(NF32+NG9+NG15+NG21-NF26-NF27-NF28-NF29))</f>
        <v>-35000</v>
      </c>
      <c r="NH31" s="695"/>
      <c r="NI31" s="757">
        <f>IF(NG32=0,(NG31+NI9+NI15+NI21-NG26-NG27-NG28),(NG32+NI9+NI15+NI21-NG26-NG27-NG28))</f>
        <v>43185.2</v>
      </c>
      <c r="NJ31" s="757">
        <f t="shared" ref="NJ31:NO31" si="908">IF(NI32=0,(NI31+NJ9+NJ15+NJ21-NI26-NI27-NI28-NI29),(NI32+NJ9+NJ15+NJ21-NI26-NI27-NI28-NI29))</f>
        <v>20771.07699999999</v>
      </c>
      <c r="NK31" s="757">
        <f t="shared" si="908"/>
        <v>1767.4139999999898</v>
      </c>
      <c r="NL31" s="757">
        <f t="shared" si="908"/>
        <v>-8972.5069999999832</v>
      </c>
      <c r="NM31" s="757">
        <f t="shared" si="908"/>
        <v>18080.312000000005</v>
      </c>
      <c r="NN31" s="757">
        <f t="shared" si="908"/>
        <v>36031.100000000006</v>
      </c>
      <c r="NO31" s="757">
        <f t="shared" si="908"/>
        <v>-43664</v>
      </c>
      <c r="NP31" s="695"/>
      <c r="NQ31" s="757">
        <f>IF(NO32=0,(NO31+NQ9+NQ15+NQ21-NO26-NO27-NO28),(NO32+NQ9+NQ15+NQ21-NO26-NO27-NO28))</f>
        <v>47675.01999999999</v>
      </c>
      <c r="NR31" s="757">
        <f t="shared" ref="NR31:NV31" si="909">IF(NQ32=0,(NQ31+NR9+NR15+NR21-NQ26-NQ27-NQ28-NQ29),(NQ32+NR9+NR15+NR21-NQ26-NQ27-NQ28-NQ29))</f>
        <v>42164.070000000007</v>
      </c>
      <c r="NS31" s="757">
        <f t="shared" si="909"/>
        <v>47623.326000000001</v>
      </c>
      <c r="NT31" s="757">
        <f t="shared" si="909"/>
        <v>48609.276000000013</v>
      </c>
      <c r="NU31" s="757">
        <f t="shared" si="909"/>
        <v>58571.641000000003</v>
      </c>
      <c r="NV31" s="757">
        <f t="shared" si="909"/>
        <v>48192.883000000002</v>
      </c>
      <c r="NW31" s="757">
        <f>IF(NV32=0,(NV31+NW9+NW15+NW21-NV26-NV27-NV28-NV29),(NV32+NW9+NW15+NW21-NV26-NV27-NV28-NV29))</f>
        <v>-28000</v>
      </c>
      <c r="NX31" s="758"/>
      <c r="NY31" s="757">
        <f>IF(NW32=0,(NW31+NY9+NY15+NY21-NW26-NW27-NW28),(NW32+NY9+NY15+NY21-NW26-NW27-NW28))</f>
        <v>61470.306000000011</v>
      </c>
      <c r="NZ31" s="757">
        <f>IF(NY32=0,(NY31+NZ9+NZ15+NZ21-NY26-NY27-NY28-NY29),(NY32+NZ9+NZ15+NZ21-NY26-NY27-NY28-NY29))</f>
        <v>49246.565999999992</v>
      </c>
      <c r="OA31" s="757">
        <f>IF(NZ32=0,(NZ31+OA9+OA15+OA21-NZ26-NZ27-NZ28-NZ29),(NZ32+OA9+OA15+OA21-NZ26-NZ27-NZ28-NZ29))</f>
        <v>36853.503999999986</v>
      </c>
      <c r="OB31" s="757">
        <f>IF(OA32=0,(OA31+OB9+OB15+OB21-OA26-OA27-OA28-OA29),(OA32+OB9+OB15+OB21-OA26-OA27-OA28-OA29))</f>
        <v>14624.079999999987</v>
      </c>
      <c r="OC31" s="757">
        <f>IF(OB32=0,(OB31+OC9+OC15+OC21-OB26-OB27-OB28-OB29),(OB32+OC9+OC15+OC21-OB26-OB27-OB28-OB29))</f>
        <v>35765.609999999986</v>
      </c>
      <c r="OD31" s="757">
        <f>IF(OC32=0,(OC31+OD9+OD15+OD21-OC26-OC27-OC28-OC29),(OC32+OD9+OD15+OD21-OC26-OC27-OC28-OC29))</f>
        <v>24349.622000000032</v>
      </c>
      <c r="OE31" s="757">
        <f t="shared" ref="OE31" si="910">IF(OD32=0,(OD31+OE9+OE15+OE21-OD26-OD27-OD28-OD29),(OD32+OE9+OE15+OE21-OD26-OD27-OD28-OD29))</f>
        <v>-45650.377999999968</v>
      </c>
      <c r="OF31" s="758"/>
      <c r="OG31" s="757">
        <f>IF(OE32=0,(OE31+OG9+OG15+OG21-OE26-OE27-OE28),(OE32+OG9+OG15+OG21-OE26-OE27-OE28))</f>
        <v>34205.647000000026</v>
      </c>
      <c r="OH31" s="757">
        <f t="shared" ref="OH31:OM31" si="911">IF(OG32=0,(OG31+OH9+OH15+OH21-OG26-OG27-OG28-OG29),(OG32+OH9+OH15+OH21-OG26-OG27-OG28-OG29))</f>
        <v>45726.32699999999</v>
      </c>
      <c r="OI31" s="757">
        <f t="shared" si="911"/>
        <v>42150.15399999998</v>
      </c>
      <c r="OJ31" s="757">
        <f t="shared" si="911"/>
        <v>26391.918999999994</v>
      </c>
      <c r="OK31" s="757">
        <f t="shared" si="911"/>
        <v>22385.164999999979</v>
      </c>
      <c r="OL31" s="757">
        <f t="shared" si="911"/>
        <v>11265.779999999999</v>
      </c>
      <c r="OM31" s="757">
        <f t="shared" si="911"/>
        <v>-58734.22</v>
      </c>
      <c r="ON31" s="695"/>
      <c r="OO31" s="757">
        <f>IF(OM32=0,(OM31+OO9+OO15+OO21-OM26-OM27-OM28),(OM32+OO9+OO15+OO21-OM26-OM27-OM28))</f>
        <v>6520.2849999999962</v>
      </c>
      <c r="OP31" s="757">
        <f t="shared" ref="OP31:OU31" si="912">IF(OO32=0,(OO31+OP9+OP15+OP21-OO26-OO27-OO28-OO29),(OO32+OP9+OP15+OP21-OO26-OO27-OO28-OO29))</f>
        <v>20148.656000000017</v>
      </c>
      <c r="OQ31" s="757">
        <f t="shared" si="912"/>
        <v>23409.300000000017</v>
      </c>
      <c r="OR31" s="757">
        <f t="shared" si="912"/>
        <v>44055.755000000005</v>
      </c>
      <c r="OS31" s="757">
        <f t="shared" si="912"/>
        <v>68136.517999999982</v>
      </c>
      <c r="OT31" s="757">
        <f>IF(OS32=0,(OS31+OT9+OT15+OT21-OS26-OS27-OS28-OS29),(OS32+OT9+OT15+OT21-OS26-OS27-OS28-OS29))</f>
        <v>-15308.301000000007</v>
      </c>
      <c r="OU31" s="757">
        <f t="shared" si="912"/>
        <v>-33308.301000000007</v>
      </c>
      <c r="OV31" s="695"/>
      <c r="OW31" s="757">
        <f>IF(OU32=0,(OU31+OW9+OW15+OW21-OU26-OU27-OU28),(OU32+OW9+OW15+OW21-OU26-OU27-OU28))</f>
        <v>-10169.077000000005</v>
      </c>
      <c r="OX31" s="757">
        <f t="shared" ref="OX31:PC31" si="913">IF(OW32=0,(OW31+OX9+OX15+OX21-OW26-OW27-OW28-OW29),(OW32+OX9+OX15+OX21-OW26-OW27-OW28-OW29))</f>
        <v>-29036.33</v>
      </c>
      <c r="OY31" s="757">
        <f t="shared" si="913"/>
        <v>-14566.603999999992</v>
      </c>
      <c r="OZ31" s="757">
        <f t="shared" si="913"/>
        <v>-26171.587</v>
      </c>
      <c r="PA31" s="757">
        <f t="shared" si="913"/>
        <v>15071.108000000007</v>
      </c>
      <c r="PB31" s="757">
        <f t="shared" si="913"/>
        <v>-47289.873000000021</v>
      </c>
      <c r="PC31" s="757">
        <f t="shared" si="913"/>
        <v>-66289.873000000021</v>
      </c>
    </row>
    <row r="32" spans="1:420" s="166" customFormat="1" ht="16.2" thickBot="1" x14ac:dyDescent="0.35">
      <c r="A32" s="85"/>
      <c r="B32" s="977"/>
      <c r="C32" s="702" t="s">
        <v>213</v>
      </c>
      <c r="D32" s="800"/>
      <c r="E32" s="789">
        <v>34000</v>
      </c>
      <c r="F32" s="697">
        <v>49000</v>
      </c>
      <c r="G32" s="697">
        <v>53000</v>
      </c>
      <c r="H32" s="697">
        <v>48000</v>
      </c>
      <c r="I32" s="697">
        <v>42000</v>
      </c>
      <c r="J32" s="697">
        <v>45000</v>
      </c>
      <c r="K32" s="701"/>
      <c r="L32" s="800"/>
      <c r="M32" s="789">
        <v>58000</v>
      </c>
      <c r="N32" s="697">
        <v>34000</v>
      </c>
      <c r="O32" s="697">
        <v>34000</v>
      </c>
      <c r="P32" s="697">
        <v>46000</v>
      </c>
      <c r="Q32" s="697">
        <v>47000</v>
      </c>
      <c r="R32" s="697"/>
      <c r="S32" s="701"/>
      <c r="T32" s="713"/>
      <c r="U32" s="697">
        <v>46000</v>
      </c>
      <c r="V32" s="697">
        <v>40000</v>
      </c>
      <c r="W32" s="697">
        <v>46500</v>
      </c>
      <c r="X32" s="697">
        <v>36000</v>
      </c>
      <c r="Y32" s="697">
        <v>44000</v>
      </c>
      <c r="Z32" s="697">
        <v>37000</v>
      </c>
      <c r="AA32" s="701"/>
      <c r="AB32" s="713"/>
      <c r="AC32" s="697">
        <v>37500</v>
      </c>
      <c r="AD32" s="697">
        <v>34700</v>
      </c>
      <c r="AE32" s="697">
        <v>31000</v>
      </c>
      <c r="AF32" s="697">
        <v>36500</v>
      </c>
      <c r="AG32" s="697">
        <v>40000</v>
      </c>
      <c r="AH32" s="697"/>
      <c r="AI32" s="701"/>
      <c r="AJ32" s="713"/>
      <c r="AK32" s="697">
        <v>40000</v>
      </c>
      <c r="AL32" s="697">
        <v>38000</v>
      </c>
      <c r="AM32" s="697">
        <v>43000</v>
      </c>
      <c r="AN32" s="697">
        <v>36000</v>
      </c>
      <c r="AO32" s="697">
        <v>37000</v>
      </c>
      <c r="AP32" s="697"/>
      <c r="AQ32" s="701">
        <v>-29837</v>
      </c>
      <c r="AR32" s="713"/>
      <c r="AS32" s="697">
        <v>43000</v>
      </c>
      <c r="AT32" s="697">
        <v>27000</v>
      </c>
      <c r="AU32" s="697">
        <v>30000</v>
      </c>
      <c r="AV32" s="697">
        <v>31000</v>
      </c>
      <c r="AW32" s="697">
        <v>34500</v>
      </c>
      <c r="AX32" s="697"/>
      <c r="AY32" s="701"/>
      <c r="AZ32" s="800"/>
      <c r="BA32" s="789">
        <v>34000</v>
      </c>
      <c r="BB32" s="697">
        <v>37000</v>
      </c>
      <c r="BC32" s="697">
        <v>27000</v>
      </c>
      <c r="BD32" s="697">
        <v>35000</v>
      </c>
      <c r="BE32" s="697">
        <v>30000</v>
      </c>
      <c r="BF32" s="697"/>
      <c r="BG32" s="701"/>
      <c r="BH32" s="800"/>
      <c r="BI32" s="789">
        <v>38500</v>
      </c>
      <c r="BJ32" s="697">
        <v>35000</v>
      </c>
      <c r="BK32" s="697">
        <v>32000</v>
      </c>
      <c r="BL32" s="697">
        <v>31000</v>
      </c>
      <c r="BM32" s="697">
        <v>32000</v>
      </c>
      <c r="BN32" s="697"/>
      <c r="BO32" s="701"/>
      <c r="BP32" s="713"/>
      <c r="BQ32" s="697">
        <v>42000</v>
      </c>
      <c r="BR32" s="697">
        <v>42000</v>
      </c>
      <c r="BS32" s="697">
        <v>39000</v>
      </c>
      <c r="BT32" s="697">
        <v>31000</v>
      </c>
      <c r="BU32" s="697">
        <v>40000</v>
      </c>
      <c r="BV32" s="697"/>
      <c r="BW32" s="701"/>
      <c r="BX32" s="713"/>
      <c r="BY32" s="697">
        <v>42000</v>
      </c>
      <c r="BZ32" s="697">
        <v>40000</v>
      </c>
      <c r="CA32" s="697">
        <v>38000</v>
      </c>
      <c r="CB32" s="697">
        <v>35000</v>
      </c>
      <c r="CC32" s="697">
        <v>42000</v>
      </c>
      <c r="CD32" s="697"/>
      <c r="CE32" s="701"/>
      <c r="CF32" s="713"/>
      <c r="CG32" s="697">
        <v>33000</v>
      </c>
      <c r="CH32" s="697">
        <v>33500</v>
      </c>
      <c r="CI32" s="697">
        <v>25500</v>
      </c>
      <c r="CJ32" s="697">
        <v>28600</v>
      </c>
      <c r="CK32" s="697">
        <v>29000</v>
      </c>
      <c r="CL32" s="697">
        <v>22000</v>
      </c>
      <c r="CM32" s="701"/>
      <c r="CN32" s="713"/>
      <c r="CO32" s="697">
        <v>34600</v>
      </c>
      <c r="CP32" s="697">
        <v>40000</v>
      </c>
      <c r="CQ32" s="697">
        <v>37000</v>
      </c>
      <c r="CR32" s="697">
        <v>37000</v>
      </c>
      <c r="CS32" s="697">
        <v>48000</v>
      </c>
      <c r="CT32" s="697"/>
      <c r="CU32" s="701"/>
      <c r="CV32" s="800"/>
      <c r="CW32" s="789">
        <v>46000</v>
      </c>
      <c r="CX32" s="697">
        <v>45000</v>
      </c>
      <c r="CY32" s="697">
        <v>47000</v>
      </c>
      <c r="CZ32" s="697">
        <v>40000</v>
      </c>
      <c r="DA32" s="697">
        <v>54000</v>
      </c>
      <c r="DB32" s="697"/>
      <c r="DC32" s="701"/>
      <c r="DD32" s="800"/>
      <c r="DE32" s="789">
        <v>38000</v>
      </c>
      <c r="DF32" s="697">
        <v>42000</v>
      </c>
      <c r="DG32" s="697">
        <v>42000</v>
      </c>
      <c r="DH32" s="697">
        <v>37000</v>
      </c>
      <c r="DI32" s="697">
        <v>32000</v>
      </c>
      <c r="DJ32" s="697">
        <v>30000</v>
      </c>
      <c r="DK32" s="701"/>
      <c r="DL32" s="713"/>
      <c r="DM32" s="697">
        <v>35000</v>
      </c>
      <c r="DN32" s="697">
        <v>43000</v>
      </c>
      <c r="DO32" s="697">
        <v>24000</v>
      </c>
      <c r="DP32" s="697">
        <v>30000</v>
      </c>
      <c r="DQ32" s="697">
        <v>40000</v>
      </c>
      <c r="DR32" s="697"/>
      <c r="DS32" s="701"/>
      <c r="DT32" s="713"/>
      <c r="DU32" s="697"/>
      <c r="DV32" s="697"/>
      <c r="DW32" s="697">
        <v>39000</v>
      </c>
      <c r="DX32" s="697">
        <v>39000</v>
      </c>
      <c r="DY32" s="697">
        <v>45000</v>
      </c>
      <c r="DZ32" s="697"/>
      <c r="EA32" s="701"/>
      <c r="EB32" s="713"/>
      <c r="EC32" s="697">
        <v>40000</v>
      </c>
      <c r="ED32" s="697">
        <v>40000</v>
      </c>
      <c r="EE32" s="697">
        <v>40000</v>
      </c>
      <c r="EF32" s="697">
        <v>38000</v>
      </c>
      <c r="EG32" s="697">
        <v>43000</v>
      </c>
      <c r="EH32" s="697"/>
      <c r="EI32" s="701"/>
      <c r="EJ32" s="713"/>
      <c r="EK32" s="697">
        <v>45000</v>
      </c>
      <c r="EL32" s="697">
        <v>45000</v>
      </c>
      <c r="EM32" s="697">
        <v>45000</v>
      </c>
      <c r="EN32" s="697">
        <v>39000</v>
      </c>
      <c r="EO32" s="697">
        <v>53000</v>
      </c>
      <c r="EP32" s="697">
        <v>35000</v>
      </c>
      <c r="EQ32" s="701"/>
      <c r="ER32" s="800"/>
      <c r="ES32" s="789">
        <v>39000</v>
      </c>
      <c r="ET32" s="697">
        <v>43000</v>
      </c>
      <c r="EU32" s="697">
        <v>45000</v>
      </c>
      <c r="EV32" s="697">
        <v>41000</v>
      </c>
      <c r="EW32" s="697">
        <v>48000</v>
      </c>
      <c r="EX32" s="697"/>
      <c r="EY32" s="701"/>
      <c r="EZ32" s="800"/>
      <c r="FA32" s="789">
        <v>40000</v>
      </c>
      <c r="FB32" s="697">
        <v>40000</v>
      </c>
      <c r="FC32" s="697">
        <v>37000</v>
      </c>
      <c r="FD32" s="697">
        <v>36000</v>
      </c>
      <c r="FE32" s="697"/>
      <c r="FF32" s="697"/>
      <c r="FG32" s="701"/>
      <c r="FH32" s="713"/>
      <c r="FI32" s="697">
        <v>40000</v>
      </c>
      <c r="FJ32" s="697">
        <v>46000</v>
      </c>
      <c r="FK32" s="697">
        <v>42000</v>
      </c>
      <c r="FL32" s="697"/>
      <c r="FM32" s="697">
        <v>41000</v>
      </c>
      <c r="FN32" s="697"/>
      <c r="FO32" s="701"/>
      <c r="FP32" s="713"/>
      <c r="FQ32" s="697">
        <v>50000</v>
      </c>
      <c r="FR32" s="697">
        <v>41000</v>
      </c>
      <c r="FS32" s="697">
        <v>50000</v>
      </c>
      <c r="FT32" s="697">
        <v>44000</v>
      </c>
      <c r="FU32" s="697"/>
      <c r="FV32" s="697"/>
      <c r="FW32" s="701"/>
      <c r="FX32" s="713"/>
      <c r="FY32" s="697"/>
      <c r="FZ32" s="697">
        <v>33000</v>
      </c>
      <c r="GA32" s="697">
        <v>50000</v>
      </c>
      <c r="GB32" s="697">
        <v>38000</v>
      </c>
      <c r="GC32" s="697">
        <v>47000</v>
      </c>
      <c r="GD32" s="697"/>
      <c r="GE32" s="701"/>
      <c r="GF32" s="713"/>
      <c r="GG32" s="697">
        <v>51000</v>
      </c>
      <c r="GH32" s="697">
        <v>54000</v>
      </c>
      <c r="GI32" s="697">
        <v>45000</v>
      </c>
      <c r="GJ32" s="697">
        <v>46000</v>
      </c>
      <c r="GK32" s="697">
        <v>43000</v>
      </c>
      <c r="GL32" s="697">
        <v>35000</v>
      </c>
      <c r="GM32" s="701"/>
      <c r="GN32" s="800"/>
      <c r="GO32" s="697">
        <v>39000</v>
      </c>
      <c r="GP32" s="697">
        <v>47000</v>
      </c>
      <c r="GQ32" s="697">
        <v>48000</v>
      </c>
      <c r="GR32" s="697">
        <v>45000</v>
      </c>
      <c r="GS32" s="697">
        <v>47000</v>
      </c>
      <c r="GT32" s="697">
        <v>32000</v>
      </c>
      <c r="GU32" s="701"/>
      <c r="GV32" s="800"/>
      <c r="GW32" s="789">
        <v>44000</v>
      </c>
      <c r="GX32" s="697">
        <v>49000</v>
      </c>
      <c r="GY32" s="697">
        <v>43000</v>
      </c>
      <c r="GZ32" s="697">
        <v>43000</v>
      </c>
      <c r="HA32" s="697">
        <v>47000</v>
      </c>
      <c r="HB32" s="697">
        <v>36000</v>
      </c>
      <c r="HC32" s="701"/>
      <c r="HD32" s="713"/>
      <c r="HE32" s="866">
        <v>43000</v>
      </c>
      <c r="HF32" s="867">
        <v>43500</v>
      </c>
      <c r="HG32" s="867">
        <v>38000</v>
      </c>
      <c r="HH32" s="697">
        <v>35000</v>
      </c>
      <c r="HI32" s="697">
        <v>36000</v>
      </c>
      <c r="HJ32" s="697"/>
      <c r="HK32" s="701"/>
      <c r="HL32" s="713"/>
      <c r="HM32" s="697">
        <v>31000</v>
      </c>
      <c r="HN32" s="697">
        <v>32000</v>
      </c>
      <c r="HO32" s="697">
        <v>37000</v>
      </c>
      <c r="HP32" s="697">
        <v>31000</v>
      </c>
      <c r="HQ32" s="697">
        <v>24000</v>
      </c>
      <c r="HR32" s="697"/>
      <c r="HS32" s="701"/>
      <c r="HT32" s="713"/>
      <c r="HU32" s="697">
        <v>29000</v>
      </c>
      <c r="HV32" s="697">
        <v>34000</v>
      </c>
      <c r="HW32" s="697"/>
      <c r="HX32" s="697"/>
      <c r="HY32" s="697">
        <v>32000</v>
      </c>
      <c r="HZ32" s="697"/>
      <c r="IA32" s="701"/>
      <c r="IB32" s="713"/>
      <c r="IC32" s="697">
        <v>29000</v>
      </c>
      <c r="ID32" s="697">
        <v>37000</v>
      </c>
      <c r="IE32" s="697">
        <v>32000</v>
      </c>
      <c r="IF32" s="697">
        <v>35000</v>
      </c>
      <c r="IG32" s="697">
        <v>35000</v>
      </c>
      <c r="IH32" s="697"/>
      <c r="II32" s="701"/>
      <c r="IJ32" s="800"/>
      <c r="IK32" s="789">
        <v>37000</v>
      </c>
      <c r="IL32" s="697">
        <v>34000</v>
      </c>
      <c r="IM32" s="697">
        <v>32000</v>
      </c>
      <c r="IN32" s="697">
        <v>39000</v>
      </c>
      <c r="IO32" s="697">
        <v>35000</v>
      </c>
      <c r="IP32" s="697"/>
      <c r="IQ32" s="701"/>
      <c r="IR32" s="800"/>
      <c r="IS32" s="789">
        <v>36000</v>
      </c>
      <c r="IT32" s="697">
        <v>37000</v>
      </c>
      <c r="IU32" s="697">
        <v>32000</v>
      </c>
      <c r="IV32" s="697">
        <v>32000</v>
      </c>
      <c r="IW32" s="697">
        <v>32000</v>
      </c>
      <c r="IX32" s="697"/>
      <c r="IY32" s="701"/>
      <c r="IZ32" s="713"/>
      <c r="JA32" s="697"/>
      <c r="JB32" s="697">
        <v>28000</v>
      </c>
      <c r="JC32" s="697">
        <v>36000</v>
      </c>
      <c r="JD32" s="697">
        <v>36000</v>
      </c>
      <c r="JE32" s="697">
        <v>33000</v>
      </c>
      <c r="JF32" s="697">
        <v>22000</v>
      </c>
      <c r="JG32" s="701"/>
      <c r="JH32" s="713"/>
      <c r="JI32" s="697">
        <v>29000</v>
      </c>
      <c r="JJ32" s="697">
        <v>29000</v>
      </c>
      <c r="JK32" s="697">
        <v>26000</v>
      </c>
      <c r="JL32" s="697">
        <v>24000</v>
      </c>
      <c r="JM32" s="697">
        <v>29000</v>
      </c>
      <c r="JN32" s="697">
        <v>15000</v>
      </c>
      <c r="JO32" s="701"/>
      <c r="JP32" s="713"/>
      <c r="JQ32" s="697">
        <v>43000</v>
      </c>
      <c r="JR32" s="867">
        <v>41000</v>
      </c>
      <c r="JS32" s="867">
        <v>37000</v>
      </c>
      <c r="JT32" s="697">
        <v>37000</v>
      </c>
      <c r="JU32" s="697">
        <v>33000</v>
      </c>
      <c r="JV32" s="697"/>
      <c r="JW32" s="701"/>
      <c r="JX32" s="713"/>
      <c r="JY32" s="697">
        <v>44000</v>
      </c>
      <c r="JZ32" s="697">
        <v>43000</v>
      </c>
      <c r="KA32" s="697">
        <v>45000</v>
      </c>
      <c r="KB32" s="697">
        <v>42000</v>
      </c>
      <c r="KC32" s="697"/>
      <c r="KD32" s="697"/>
      <c r="KE32" s="701"/>
      <c r="KF32" s="800"/>
      <c r="KG32" s="789">
        <v>42000</v>
      </c>
      <c r="KH32" s="697">
        <v>33000</v>
      </c>
      <c r="KI32" s="697"/>
      <c r="KJ32" s="697">
        <v>32000</v>
      </c>
      <c r="KK32" s="697"/>
      <c r="KL32" s="697">
        <v>28000</v>
      </c>
      <c r="KM32" s="701"/>
      <c r="KN32" s="800"/>
      <c r="KO32" s="789">
        <v>36000</v>
      </c>
      <c r="KP32" s="697">
        <v>32000</v>
      </c>
      <c r="KQ32" s="697">
        <v>34000</v>
      </c>
      <c r="KR32" s="697">
        <v>33000</v>
      </c>
      <c r="KS32" s="697">
        <v>41000</v>
      </c>
      <c r="KT32" s="697"/>
      <c r="KU32" s="701"/>
      <c r="KV32" s="713"/>
      <c r="KW32" s="697">
        <v>43000</v>
      </c>
      <c r="KX32" s="697">
        <v>40000</v>
      </c>
      <c r="KY32" s="697">
        <v>45000</v>
      </c>
      <c r="KZ32" s="697">
        <v>38000</v>
      </c>
      <c r="LA32" s="697">
        <v>36000</v>
      </c>
      <c r="LB32" s="697"/>
      <c r="LC32" s="701"/>
      <c r="LD32" s="713"/>
      <c r="LE32" s="697">
        <v>46000</v>
      </c>
      <c r="LF32" s="697">
        <v>44000</v>
      </c>
      <c r="LG32" s="697">
        <v>43000</v>
      </c>
      <c r="LH32" s="697">
        <v>36000</v>
      </c>
      <c r="LI32" s="697">
        <v>36000</v>
      </c>
      <c r="LJ32" s="697"/>
      <c r="LK32" s="701"/>
      <c r="LL32" s="713"/>
      <c r="LM32" s="697">
        <v>48000</v>
      </c>
      <c r="LN32" s="697">
        <v>43000</v>
      </c>
      <c r="LO32" s="697">
        <v>40000</v>
      </c>
      <c r="LP32" s="697">
        <v>36000</v>
      </c>
      <c r="LQ32" s="697">
        <v>41000</v>
      </c>
      <c r="LR32" s="697"/>
      <c r="LS32" s="701"/>
      <c r="LT32" s="713"/>
      <c r="LU32" s="697">
        <v>43000</v>
      </c>
      <c r="LV32" s="697">
        <v>42000</v>
      </c>
      <c r="LW32" s="697">
        <v>35000</v>
      </c>
      <c r="LX32" s="697"/>
      <c r="LY32" s="697"/>
      <c r="LZ32" s="697"/>
      <c r="MA32" s="701"/>
      <c r="MB32" s="800"/>
      <c r="MC32" s="789">
        <v>42000</v>
      </c>
      <c r="MD32" s="697">
        <v>42000</v>
      </c>
      <c r="ME32" s="697">
        <v>34000</v>
      </c>
      <c r="MF32" s="697">
        <v>42000</v>
      </c>
      <c r="MG32" s="697">
        <v>48000</v>
      </c>
      <c r="MH32" s="697">
        <v>34000</v>
      </c>
      <c r="MI32" s="701"/>
      <c r="MJ32" s="800"/>
      <c r="MK32" s="789">
        <v>42000</v>
      </c>
      <c r="ML32" s="697"/>
      <c r="MM32" s="697">
        <v>42000</v>
      </c>
      <c r="MN32" s="697">
        <v>39000</v>
      </c>
      <c r="MO32" s="697">
        <v>39000</v>
      </c>
      <c r="MP32" s="697">
        <v>34000</v>
      </c>
      <c r="MQ32" s="701"/>
      <c r="MR32" s="713"/>
      <c r="MS32" s="697">
        <v>45000</v>
      </c>
      <c r="MT32" s="697">
        <v>47000</v>
      </c>
      <c r="MU32" s="697">
        <v>37000</v>
      </c>
      <c r="MV32" s="697">
        <v>45000</v>
      </c>
      <c r="MW32" s="697"/>
      <c r="MX32" s="697">
        <v>38000</v>
      </c>
      <c r="MY32" s="701"/>
      <c r="MZ32" s="713"/>
      <c r="NA32" s="866">
        <v>44000</v>
      </c>
      <c r="NB32" s="867">
        <v>45000</v>
      </c>
      <c r="NC32" s="867">
        <v>41000</v>
      </c>
      <c r="ND32" s="697"/>
      <c r="NE32" s="697">
        <v>25000</v>
      </c>
      <c r="NF32" s="697">
        <v>35000</v>
      </c>
      <c r="NG32" s="701"/>
      <c r="NH32" s="713"/>
      <c r="NI32" s="697">
        <v>42000</v>
      </c>
      <c r="NJ32" s="697">
        <v>33000</v>
      </c>
      <c r="NK32" s="697">
        <v>28000</v>
      </c>
      <c r="NL32" s="697">
        <v>30000</v>
      </c>
      <c r="NM32" s="697">
        <v>35000</v>
      </c>
      <c r="NN32" s="697">
        <v>39000</v>
      </c>
      <c r="NO32" s="701"/>
      <c r="NP32" s="713"/>
      <c r="NQ32" s="697">
        <v>50000</v>
      </c>
      <c r="NR32" s="697">
        <v>50000</v>
      </c>
      <c r="NS32" s="697">
        <v>51000</v>
      </c>
      <c r="NT32" s="697">
        <v>52000</v>
      </c>
      <c r="NU32" s="697">
        <v>60000</v>
      </c>
      <c r="NV32" s="697">
        <v>42000</v>
      </c>
      <c r="NW32" s="701"/>
      <c r="NX32" s="800"/>
      <c r="NY32" s="789">
        <v>50000</v>
      </c>
      <c r="NZ32" s="697"/>
      <c r="OA32" s="697">
        <v>35000</v>
      </c>
      <c r="OB32" s="697">
        <v>40000</v>
      </c>
      <c r="OC32" s="697">
        <v>38000</v>
      </c>
      <c r="OD32" s="697"/>
      <c r="OE32" s="701"/>
      <c r="OF32" s="800"/>
      <c r="OG32" s="866">
        <v>45000</v>
      </c>
      <c r="OH32" s="867">
        <v>47000</v>
      </c>
      <c r="OI32" s="867">
        <v>42000</v>
      </c>
      <c r="OJ32" s="867">
        <v>40000</v>
      </c>
      <c r="OK32" s="697">
        <v>32000</v>
      </c>
      <c r="OL32" s="697"/>
      <c r="OM32" s="701"/>
      <c r="ON32" s="713"/>
      <c r="OO32" s="697">
        <v>43000</v>
      </c>
      <c r="OP32" s="697">
        <v>33000</v>
      </c>
      <c r="OQ32" s="697">
        <v>45000</v>
      </c>
      <c r="OR32" s="697">
        <v>52000</v>
      </c>
      <c r="OS32" s="697">
        <v>65000</v>
      </c>
      <c r="OT32" s="697"/>
      <c r="OU32" s="701"/>
      <c r="OV32" s="713"/>
      <c r="OW32" s="697">
        <v>28000</v>
      </c>
      <c r="OX32" s="697">
        <v>21000</v>
      </c>
      <c r="OY32" s="697">
        <v>29000</v>
      </c>
      <c r="OZ32" s="697">
        <v>23000</v>
      </c>
      <c r="PA32" s="697">
        <v>36000</v>
      </c>
      <c r="PB32" s="697"/>
      <c r="PC32" s="701"/>
      <c r="PD32" s="820"/>
    </row>
    <row r="33" spans="1:419" s="166" customFormat="1" ht="16.2" thickBot="1" x14ac:dyDescent="0.35">
      <c r="A33" s="85"/>
      <c r="B33" s="776" t="s">
        <v>264</v>
      </c>
      <c r="C33" s="774"/>
      <c r="D33" s="775"/>
      <c r="L33" s="775"/>
      <c r="T33" s="775"/>
      <c r="AB33" s="775"/>
      <c r="AJ33" s="775"/>
      <c r="AR33" s="775"/>
      <c r="AZ33" s="775"/>
      <c r="BH33" s="775"/>
      <c r="BP33" s="775"/>
      <c r="BX33" s="775"/>
      <c r="CF33" s="775"/>
      <c r="CN33" s="775"/>
      <c r="CV33" s="775"/>
      <c r="DD33" s="775"/>
      <c r="DL33" s="775"/>
      <c r="DT33" s="775"/>
      <c r="EB33" s="775"/>
      <c r="EJ33" s="775"/>
      <c r="ER33" s="775"/>
      <c r="EZ33" s="775"/>
      <c r="FH33" s="775"/>
      <c r="FP33" s="775"/>
      <c r="FX33" s="775"/>
      <c r="GF33" s="775"/>
      <c r="GN33" s="775"/>
      <c r="GV33" s="775"/>
      <c r="HD33" s="775"/>
      <c r="HL33" s="775"/>
      <c r="HT33" s="775"/>
      <c r="IB33" s="775"/>
      <c r="IJ33" s="775"/>
      <c r="IR33" s="775"/>
      <c r="IZ33" s="775"/>
      <c r="JH33" s="775"/>
      <c r="JP33" s="775"/>
      <c r="JX33" s="775"/>
      <c r="KF33" s="775"/>
      <c r="KN33" s="775"/>
      <c r="KV33" s="775"/>
      <c r="LD33" s="775"/>
      <c r="LL33" s="775"/>
      <c r="LT33" s="775"/>
      <c r="MB33" s="775"/>
      <c r="MJ33" s="775"/>
      <c r="MR33" s="775"/>
      <c r="MZ33" s="775"/>
      <c r="NH33" s="777"/>
      <c r="NI33" s="762"/>
      <c r="NP33" s="775"/>
      <c r="NX33" s="775"/>
      <c r="NZ33" s="710"/>
      <c r="OF33" s="775"/>
      <c r="ON33" s="775"/>
      <c r="OV33" s="775"/>
    </row>
    <row r="34" spans="1:419" x14ac:dyDescent="0.3">
      <c r="B34" s="971" t="s">
        <v>159</v>
      </c>
      <c r="C34" s="680" t="s">
        <v>265</v>
      </c>
      <c r="D34" s="691">
        <f t="shared" ref="D34:D43" si="914">SUM(E34:K34)</f>
        <v>369906.91178016964</v>
      </c>
      <c r="E34" s="663">
        <f>INDEX(DB!$3:$367,MATCH(E$2,DB!$D$3:$D$367),44)</f>
        <v>85794.442754002535</v>
      </c>
      <c r="F34" s="663">
        <f>INDEX(DB!$3:$367,MATCH(F$2,DB!$D$3:$D$367),44)</f>
        <v>65323.939111411899</v>
      </c>
      <c r="G34" s="663">
        <f>INDEX(DB!$3:$367,MATCH(G$2,DB!$D$3:$D$367),44)</f>
        <v>59060.496963457772</v>
      </c>
      <c r="H34" s="663">
        <f>INDEX(DB!$3:$367,MATCH(H$2,DB!$D$3:$D$367),44)</f>
        <v>54098.434314795879</v>
      </c>
      <c r="I34" s="663">
        <f>INDEX(DB!$3:$367,MATCH(I$2,DB!$D$3:$D$367),44)</f>
        <v>48633.525709944879</v>
      </c>
      <c r="J34" s="663">
        <f>INDEX(DB!$3:$367,MATCH(J$2,DB!$D$3:$D$367),44)</f>
        <v>56996.072926556611</v>
      </c>
      <c r="K34" s="664">
        <f>INDEX(DB!$3:$367,MATCH(K$2,DB!$D$3:$D$367),44)</f>
        <v>0</v>
      </c>
      <c r="L34" s="691">
        <f t="shared" ref="L34:L43" si="915">SUM(M34:S34)</f>
        <v>377860.89760615124</v>
      </c>
      <c r="M34" s="663">
        <f>INDEX(DB!$3:$367,MATCH(M$2,DB!$D$3:$D$367),44)</f>
        <v>87580.677408080795</v>
      </c>
      <c r="N34" s="663">
        <f>INDEX(DB!$3:$367,MATCH(N$2,DB!$D$3:$D$367),44)</f>
        <v>66045.894881257351</v>
      </c>
      <c r="O34" s="663">
        <f>INDEX(DB!$3:$367,MATCH(O$2,DB!$D$3:$D$367),44)</f>
        <v>60290.167796462476</v>
      </c>
      <c r="P34" s="663">
        <f>INDEX(DB!$3:$367,MATCH(P$2,DB!$D$3:$D$367),44)</f>
        <v>54515.406929875229</v>
      </c>
      <c r="Q34" s="663">
        <f>INDEX(DB!$3:$367,MATCH(Q$2,DB!$D$3:$D$367),44)</f>
        <v>49645.857313646018</v>
      </c>
      <c r="R34" s="663">
        <f>INDEX(DB!$3:$367,MATCH(R$2,DB!$D$3:$D$367),44)</f>
        <v>59782.893276829345</v>
      </c>
      <c r="S34" s="664">
        <f>INDEX(DB!$3:$367,MATCH(S$2,DB!$D$3:$D$367),44)</f>
        <v>0</v>
      </c>
      <c r="T34" s="691">
        <f t="shared" ref="T34:T43" si="916">SUM(U34:AA34)</f>
        <v>393596.52690262324</v>
      </c>
      <c r="U34" s="663">
        <f>INDEX(DB!$3:$367,MATCH(U$2,DB!$D$3:$D$367),44)</f>
        <v>89206.629164396814</v>
      </c>
      <c r="V34" s="663">
        <f>INDEX(DB!$3:$367,MATCH(V$2,DB!$D$3:$D$367),44)</f>
        <v>66616.908335028435</v>
      </c>
      <c r="W34" s="663">
        <f>INDEX(DB!$3:$367,MATCH(W$2,DB!$D$3:$D$367),44)</f>
        <v>64106.219722788454</v>
      </c>
      <c r="X34" s="663">
        <f>INDEX(DB!$3:$367,MATCH(X$2,DB!$D$3:$D$367),44)</f>
        <v>61336.583148954604</v>
      </c>
      <c r="Y34" s="663">
        <f>INDEX(DB!$3:$367,MATCH(Y$2,DB!$D$3:$D$367),44)</f>
        <v>52553.599466996595</v>
      </c>
      <c r="Z34" s="663">
        <f>INDEX(DB!$3:$367,MATCH(Z$2,DB!$D$3:$D$367),44)</f>
        <v>59776.58706445837</v>
      </c>
      <c r="AA34" s="663">
        <f>INDEX(DB!$3:$367,MATCH(AA$2,DB!$D$3:$D$367),44)</f>
        <v>0</v>
      </c>
      <c r="AB34" s="691">
        <f>SUM(AC34:AI34)</f>
        <v>395838.68786985346</v>
      </c>
      <c r="AC34" s="663">
        <f>INDEX(DB!$3:$367,MATCH(AC$2,DB!$D$3:$D$367),44)</f>
        <v>89714.804777957761</v>
      </c>
      <c r="AD34" s="663">
        <f>INDEX(DB!$3:$367,MATCH(AD$2,DB!$D$3:$D$367),44)</f>
        <v>66996.698678699438</v>
      </c>
      <c r="AE34" s="663">
        <f>INDEX(DB!$3:$367,MATCH(AE$2,DB!$D$3:$D$367),44)</f>
        <v>64471.402745549029</v>
      </c>
      <c r="AF34" s="663">
        <f>INDEX(DB!$3:$367,MATCH(AF$2,DB!$D$3:$D$367),44)</f>
        <v>61685.830912540172</v>
      </c>
      <c r="AG34" s="663">
        <f>INDEX(DB!$3:$367,MATCH(AG$2,DB!$D$3:$D$367),44)</f>
        <v>52852.828222616168</v>
      </c>
      <c r="AH34" s="663">
        <f>INDEX(DB!$3:$367,MATCH(AH$2,DB!$D$3:$D$367),44)</f>
        <v>60117.122532490946</v>
      </c>
      <c r="AI34" s="663">
        <f>INDEX(DB!$3:$367,MATCH(AI$2,DB!$D$3:$D$367),44)</f>
        <v>0</v>
      </c>
      <c r="AJ34" s="691">
        <f t="shared" ref="AJ34:AJ43" si="917">SUM(AK34:AQ34)</f>
        <v>402747.41386011458</v>
      </c>
      <c r="AK34" s="663">
        <f>INDEX(DB!$3:$367,MATCH(AK$2,DB!$D$3:$D$367),44)</f>
        <v>91280.847516749534</v>
      </c>
      <c r="AL34" s="663">
        <f>INDEX(DB!$3:$367,MATCH(AL$2,DB!$D$3:$D$367),44)</f>
        <v>68165.726997621474</v>
      </c>
      <c r="AM34" s="663">
        <f>INDEX(DB!$3:$367,MATCH(AM$2,DB!$D$3:$D$367),44)</f>
        <v>65596.609101739799</v>
      </c>
      <c r="AN34" s="663">
        <f>INDEX(DB!$3:$367,MATCH(AN$2,DB!$D$3:$D$367),44)</f>
        <v>62762.346199029533</v>
      </c>
      <c r="AO34" s="663">
        <f>INDEX(DB!$3:$367,MATCH(AO$2,DB!$D$3:$D$367),44)</f>
        <v>53775.302670413796</v>
      </c>
      <c r="AP34" s="663">
        <f>INDEX(DB!$3:$367,MATCH(AP$2,DB!$D$3:$D$367),44)</f>
        <v>61166.581374560461</v>
      </c>
      <c r="AQ34" s="663">
        <f>INDEX(DB!$3:$367,MATCH(AQ$2,DB!$D$3:$D$367),44)</f>
        <v>0</v>
      </c>
      <c r="AR34" s="663"/>
      <c r="AS34" s="663">
        <f>INDEX(DB!$3:$367,MATCH(AS$2,DB!$D$3:$D$367),44)</f>
        <v>91808.992802818568</v>
      </c>
      <c r="AT34" s="663">
        <f>INDEX(DB!$3:$367,MATCH(AT$2,DB!$D$3:$D$367),44)</f>
        <v>68560.124662202899</v>
      </c>
      <c r="AU34" s="663">
        <f>INDEX(DB!$3:$367,MATCH(AU$2,DB!$D$3:$D$367),44)</f>
        <v>65976.399445410803</v>
      </c>
      <c r="AV34" s="663">
        <f>INDEX(DB!$3:$367,MATCH(AV$2,DB!$D$3:$D$367),44)</f>
        <v>63125.758637437328</v>
      </c>
      <c r="AW34" s="663">
        <f>INDEX(DB!$3:$367,MATCH(AW$2,DB!$D$3:$D$367),44)</f>
        <v>54086.482870414628</v>
      </c>
      <c r="AX34" s="663">
        <f>INDEX(DB!$3:$367,MATCH(AX$2,DB!$D$3:$D$367),44)</f>
        <v>61520.254785032565</v>
      </c>
      <c r="AY34" s="663">
        <f>INDEX(DB!$3:$367,MATCH(AY$2,DB!$D$3:$D$367),44)</f>
        <v>0</v>
      </c>
      <c r="AZ34" s="691"/>
      <c r="BA34" s="663">
        <f>INDEX(DB!$3:$367,MATCH(BA$2,DB!$D$3:$D$367),44)</f>
        <v>147902.29841560099</v>
      </c>
      <c r="BB34" s="663">
        <f>INDEX(DB!$3:$367,MATCH(BB$2,DB!$D$3:$D$367),44)</f>
        <v>65206.195251952129</v>
      </c>
      <c r="BC34" s="663">
        <f>INDEX(DB!$3:$367,MATCH(BC$2,DB!$D$3:$D$367),44)</f>
        <v>60536.279021498696</v>
      </c>
      <c r="BD34" s="663">
        <f>INDEX(DB!$3:$367,MATCH(BD$2,DB!$D$3:$D$367),44)</f>
        <v>57180.579026895146</v>
      </c>
      <c r="BE34" s="663">
        <f>INDEX(DB!$3:$367,MATCH(BE$2,DB!$D$3:$D$367),44)</f>
        <v>57286.371441973664</v>
      </c>
      <c r="BF34" s="663">
        <f>INDEX(DB!$3:$367,MATCH(BF$2,DB!$D$3:$D$367),44)</f>
        <v>60975.818450338513</v>
      </c>
      <c r="BG34" s="663">
        <f>INDEX(DB!$3:$367,MATCH(BG$2,DB!$D$3:$D$367),44)</f>
        <v>0</v>
      </c>
      <c r="BH34" s="691"/>
      <c r="BI34" s="663">
        <f>INDEX(DB!$3:$367,MATCH(BI$2,DB!$D$3:$D$367),44)</f>
        <v>91629</v>
      </c>
      <c r="BJ34" s="663">
        <f>INDEX(DB!$3:$367,MATCH(BJ$2,DB!$D$3:$D$367),44)</f>
        <v>65231</v>
      </c>
      <c r="BK34" s="663">
        <f>INDEX(DB!$3:$367,MATCH(BK$2,DB!$D$3:$D$367),44)</f>
        <v>59137</v>
      </c>
      <c r="BL34" s="663">
        <f>INDEX(DB!$3:$367,MATCH(BL$2,DB!$D$3:$D$367),44)</f>
        <v>56059</v>
      </c>
      <c r="BM34" s="663">
        <f>INDEX(DB!$3:$367,MATCH(BM$2,DB!$D$3:$D$367),44)</f>
        <v>52533</v>
      </c>
      <c r="BN34" s="663">
        <f>INDEX(DB!$3:$367,MATCH(BN$2,DB!$D$3:$D$367),44)</f>
        <v>62368</v>
      </c>
      <c r="BO34" s="663">
        <f>INDEX(DB!$3:$367,MATCH(BO$2,DB!$D$3:$D$367),44)</f>
        <v>0</v>
      </c>
      <c r="BP34" s="691" t="e">
        <f>INDEX(DB!$3:$367,MATCH(BP$2,DB!$D$3:$D$367),44)</f>
        <v>#N/A</v>
      </c>
      <c r="BQ34" s="663">
        <f>INDEX(DB!$3:$367,MATCH(BQ$2,DB!$D$3:$D$367),44)</f>
        <v>87292.693709806335</v>
      </c>
      <c r="BR34" s="663">
        <f>INDEX(DB!$3:$367,MATCH(BR$2,DB!$D$3:$D$367),44)</f>
        <v>65187.604116247952</v>
      </c>
      <c r="BS34" s="663">
        <f>INDEX(DB!$3:$367,MATCH(BS$2,DB!$D$3:$D$367),44)</f>
        <v>62730.918326767714</v>
      </c>
      <c r="BT34" s="663">
        <f>INDEX(DB!$3:$367,MATCH(BT$2,DB!$D$3:$D$367),44)</f>
        <v>60020.153682663746</v>
      </c>
      <c r="BU34" s="663">
        <f>INDEX(DB!$3:$367,MATCH(BU$2,DB!$D$3:$D$367),44)</f>
        <v>51425.737234276654</v>
      </c>
      <c r="BV34" s="663">
        <f>INDEX(DB!$3:$367,MATCH(BV$2,DB!$D$3:$D$367),44)</f>
        <v>58494.323882360419</v>
      </c>
      <c r="BW34" s="664">
        <f>INDEX(DB!$3:$367,MATCH(BW$2,DB!$D$3:$D$367),44)</f>
        <v>0</v>
      </c>
      <c r="BX34" s="847" t="e">
        <f>INDEX(DB!$3:$367,MATCH(BX$2,DB!$D$3:$D$367),44)</f>
        <v>#N/A</v>
      </c>
      <c r="BY34" s="663">
        <f>INDEX(DB!$3:$367,MATCH(BY$2,DB!$D$3:$D$367),44)</f>
        <v>92645.616977367725</v>
      </c>
      <c r="BZ34" s="663">
        <f>INDEX(DB!$3:$367,MATCH(BZ$2,DB!$D$3:$D$367),44)</f>
        <v>64396.595556644133</v>
      </c>
      <c r="CA34" s="663">
        <f>INDEX(DB!$3:$367,MATCH(CA$2,DB!$D$3:$D$367),44)</f>
        <v>55362.188896591571</v>
      </c>
      <c r="CB34" s="663">
        <f>INDEX(DB!$3:$367,MATCH(CB$2,DB!$D$3:$D$367),44)</f>
        <v>50640.925719907566</v>
      </c>
      <c r="CC34" s="663">
        <f>INDEX(DB!$3:$367,MATCH(CC$2,DB!$D$3:$D$367),44)</f>
        <v>50384.633634842867</v>
      </c>
      <c r="CD34" s="663">
        <f>INDEX(DB!$3:$367,MATCH(CD$2,DB!$D$3:$D$367),44)</f>
        <v>61894.423385710325</v>
      </c>
      <c r="CE34" s="663">
        <f>INDEX(DB!$3:$367,MATCH(CE$2,DB!$D$3:$D$367),44)</f>
        <v>0</v>
      </c>
      <c r="CF34" s="663" t="e">
        <f>INDEX(DB!$3:$367,MATCH(CF$2,DB!$D$3:$D$367),44)</f>
        <v>#N/A</v>
      </c>
      <c r="CG34" s="663">
        <f>INDEX(DB!$3:$367,MATCH(CG$2,DB!$D$3:$D$367),44)</f>
        <v>92825.344029940476</v>
      </c>
      <c r="CH34" s="663">
        <f>INDEX(DB!$3:$367,MATCH(CH$2,DB!$D$3:$D$367),44)</f>
        <v>64521.864399603219</v>
      </c>
      <c r="CI34" s="663">
        <f>INDEX(DB!$3:$367,MATCH(CI$2,DB!$D$3:$D$367),44)</f>
        <v>55469.75189602287</v>
      </c>
      <c r="CJ34" s="663">
        <f>INDEX(DB!$3:$367,MATCH(CJ$2,DB!$D$3:$D$367),44)</f>
        <v>50739.193151486776</v>
      </c>
      <c r="CK34" s="663">
        <f>INDEX(DB!$3:$367,MATCH(CK$2,DB!$D$3:$D$367),44)</f>
        <v>50482.458420333882</v>
      </c>
      <c r="CL34" s="663">
        <f>INDEX(DB!$3:$367,MATCH(CL$2,DB!$D$3:$D$367),44)</f>
        <v>62014.766938456407</v>
      </c>
      <c r="CM34" s="663">
        <f>INDEX(DB!$3:$367,MATCH(CM$2,DB!$D$3:$D$367),44)</f>
        <v>0</v>
      </c>
      <c r="CN34" s="663" t="e">
        <f>INDEX(DB!$3:$367,MATCH(CN$2,DB!$D$3:$D$367),44)</f>
        <v>#N/A</v>
      </c>
      <c r="CO34" s="663">
        <f>INDEX(DB!$3:$367,MATCH(CO$2,DB!$D$3:$D$367),44)</f>
        <v>92036.016448173614</v>
      </c>
      <c r="CP34" s="663">
        <f>INDEX(DB!$3:$367,MATCH(CP$2,DB!$D$3:$D$367),44)</f>
        <v>65446.552077841814</v>
      </c>
      <c r="CQ34" s="663">
        <f>INDEX(DB!$3:$367,MATCH(CQ$2,DB!$D$3:$D$367),44)</f>
        <v>59679.316194753876</v>
      </c>
      <c r="CR34" s="663">
        <f>INDEX(DB!$3:$367,MATCH(CR$2,DB!$D$3:$D$367),44)</f>
        <v>56573.711239980294</v>
      </c>
      <c r="CS34" s="663">
        <f>INDEX(DB!$3:$367,MATCH(CS$2,DB!$D$3:$D$367),44)</f>
        <v>51187.593638827944</v>
      </c>
      <c r="CT34" s="663">
        <f>INDEX(DB!$3:$367,MATCH(CT$2,DB!$D$3:$D$367),44)</f>
        <v>65979.272449008451</v>
      </c>
      <c r="CU34" s="663">
        <f>INDEX(DB!$3:$367,MATCH(CU$2,DB!$D$3:$D$367),44)</f>
        <v>0</v>
      </c>
      <c r="CV34" s="663" t="e">
        <f>INDEX(DB!$3:$367,MATCH(CV$2,DB!$D$3:$D$367),44)</f>
        <v>#N/A</v>
      </c>
      <c r="CW34" s="663">
        <f>INDEX(DB!$3:$367,MATCH(CW$2,DB!$D$3:$D$367),44)</f>
        <v>98963.916255385659</v>
      </c>
      <c r="CX34" s="663">
        <f>INDEX(DB!$3:$367,MATCH(CX$2,DB!$D$3:$D$367),44)</f>
        <v>59969.249382521368</v>
      </c>
      <c r="CY34" s="663">
        <f>INDEX(DB!$3:$367,MATCH(CY$2,DB!$D$3:$D$367),44)</f>
        <v>57475.823967720971</v>
      </c>
      <c r="CZ34" s="663">
        <f>INDEX(DB!$3:$367,MATCH(CZ$2,DB!$D$3:$D$367),44)</f>
        <v>52908.158983640496</v>
      </c>
      <c r="DA34" s="663">
        <f>INDEX(DB!$3:$367,MATCH(DA$2,DB!$D$3:$D$367),44)</f>
        <v>54102.860775677829</v>
      </c>
      <c r="DB34" s="663">
        <f>INDEX(DB!$3:$367,MATCH(DB$2,DB!$D$3:$D$367),44)</f>
        <v>68572.176768873745</v>
      </c>
      <c r="DC34" s="663">
        <f>INDEX(DB!$3:$367,MATCH(DC$2,DB!$D$3:$D$367),44)</f>
        <v>0</v>
      </c>
      <c r="DD34" s="663" t="e">
        <f>INDEX(DB!$3:$367,MATCH(DD$2,DB!$D$3:$D$367),44)</f>
        <v>#N/A</v>
      </c>
      <c r="DE34" s="663">
        <f>INDEX(DB!$3:$367,MATCH(DE$2,DB!$D$3:$D$367),44)</f>
        <v>89461</v>
      </c>
      <c r="DF34" s="663">
        <f>INDEX(DB!$3:$367,MATCH(DF$2,DB!$D$3:$D$367),44)</f>
        <v>57674</v>
      </c>
      <c r="DG34" s="663">
        <f>INDEX(DB!$3:$367,MATCH(DG$2,DB!$D$3:$D$367),44)</f>
        <v>55615</v>
      </c>
      <c r="DH34" s="663">
        <f>INDEX(DB!$3:$367,MATCH(DH$2,DB!$D$3:$D$367),44)</f>
        <v>55440</v>
      </c>
      <c r="DI34" s="663">
        <f>INDEX(DB!$3:$367,MATCH(DI$2,DB!$D$3:$D$367),44)</f>
        <v>52705</v>
      </c>
      <c r="DJ34" s="663">
        <f>INDEX(DB!$3:$367,MATCH(DJ$2,DB!$D$3:$D$367),44)</f>
        <v>67612</v>
      </c>
      <c r="DK34" s="663">
        <f>INDEX(DB!$3:$367,MATCH(DK$2,DB!$D$3:$D$367),44)</f>
        <v>0</v>
      </c>
      <c r="DL34" s="663" t="e">
        <f>INDEX(DB!$3:$367,MATCH(DL$2,DB!$D$3:$D$367),44)</f>
        <v>#N/A</v>
      </c>
      <c r="DM34" s="663">
        <f>INDEX(DB!$3:$367,MATCH(DM$2,DB!$D$3:$D$367),44)</f>
        <v>102679.52310951061</v>
      </c>
      <c r="DN34" s="663">
        <f>INDEX(DB!$3:$367,MATCH(DN$2,DB!$D$3:$D$367),44)</f>
        <v>67732.13878679453</v>
      </c>
      <c r="DO34" s="663">
        <f>INDEX(DB!$3:$367,MATCH(DO$2,DB!$D$3:$D$367),44)</f>
        <v>68789.651232881894</v>
      </c>
      <c r="DP34" s="663">
        <f>INDEX(DB!$3:$367,MATCH(DP$2,DB!$D$3:$D$367),44)</f>
        <v>66165.818167157253</v>
      </c>
      <c r="DQ34" s="663">
        <f>INDEX(DB!$3:$367,MATCH(DQ$2,DB!$D$3:$D$367),44)</f>
        <v>63996.940710256218</v>
      </c>
      <c r="DR34" s="663">
        <f>INDEX(DB!$3:$367,MATCH(DR$2,DB!$D$3:$D$367),44)</f>
        <v>56043.675611792241</v>
      </c>
      <c r="DS34" s="663">
        <f>INDEX(DB!$3:$367,MATCH(DS$2,DB!$D$3:$D$367),44)</f>
        <v>0</v>
      </c>
      <c r="DT34" s="663" t="e">
        <f>INDEX(DB!$3:$367,MATCH(DT$2,DB!$D$3:$D$367),44)</f>
        <v>#N/A</v>
      </c>
      <c r="DU34" s="663">
        <f>INDEX(DB!$3:$367,MATCH(DU$2,DB!$D$3:$D$367),44)</f>
        <v>0</v>
      </c>
      <c r="DV34" s="663">
        <f>INDEX(DB!$3:$367,MATCH(DV$2,DB!$D$3:$D$367),44)</f>
        <v>81040.622022673473</v>
      </c>
      <c r="DW34" s="663">
        <f>INDEX(DB!$3:$367,MATCH(DW$2,DB!$D$3:$D$367),44)</f>
        <v>58967.273526457197</v>
      </c>
      <c r="DX34" s="663">
        <f>INDEX(DB!$3:$367,MATCH(DX$2,DB!$D$3:$D$367),44)</f>
        <v>59909.70549317354</v>
      </c>
      <c r="DY34" s="663">
        <f>INDEX(DB!$3:$367,MATCH(DY$2,DB!$D$3:$D$367),44)</f>
        <v>57751.017682929407</v>
      </c>
      <c r="DZ34" s="663">
        <f>INDEX(DB!$3:$367,MATCH(DZ$2,DB!$D$3:$D$367),44)</f>
        <v>54438.105072834922</v>
      </c>
      <c r="EA34" s="663">
        <f>INDEX(DB!$3:$367,MATCH(EA$2,DB!$D$3:$D$367),44)</f>
        <v>0</v>
      </c>
      <c r="EB34" s="663" t="e">
        <f>INDEX(DB!$3:$367,MATCH(EB$2,DB!$D$3:$D$367),44)</f>
        <v>#N/A</v>
      </c>
      <c r="EC34" s="663">
        <f>INDEX(DB!$3:$367,MATCH(EC$2,DB!$D$3:$D$367),44)</f>
        <v>90650.857877846691</v>
      </c>
      <c r="ED34" s="663">
        <f>INDEX(DB!$3:$367,MATCH(ED$2,DB!$D$3:$D$367),44)</f>
        <v>59145.864877811917</v>
      </c>
      <c r="EE34" s="663">
        <f>INDEX(DB!$3:$367,MATCH(EE$2,DB!$D$3:$D$367),44)</f>
        <v>61570.415456477662</v>
      </c>
      <c r="EF34" s="663">
        <f>INDEX(DB!$3:$367,MATCH(EF$2,DB!$D$3:$D$367),44)</f>
        <v>56480.396073250668</v>
      </c>
      <c r="EG34" s="663">
        <f>INDEX(DB!$3:$367,MATCH(EG$2,DB!$D$3:$D$367),44)</f>
        <v>55432.868521330565</v>
      </c>
      <c r="EH34" s="663">
        <f>INDEX(DB!$3:$367,MATCH(EH$2,DB!$D$3:$D$367),44)</f>
        <v>49030.107612966698</v>
      </c>
      <c r="EI34" s="663">
        <f>INDEX(DB!$3:$367,MATCH(EI$2,DB!$D$3:$D$367),44)</f>
        <v>0</v>
      </c>
      <c r="EJ34" s="663" t="e">
        <f>INDEX(DB!$3:$367,MATCH(EJ$2,DB!$D$3:$D$367),44)</f>
        <v>#N/A</v>
      </c>
      <c r="EK34" s="663">
        <f>INDEX(DB!$3:$367,MATCH(EK$2,DB!$D$3:$D$367),44)</f>
        <v>100942.59476041229</v>
      </c>
      <c r="EL34" s="663">
        <f>INDEX(DB!$3:$367,MATCH(EL$2,DB!$D$3:$D$367),44)</f>
        <v>67093.115366024824</v>
      </c>
      <c r="EM34" s="663">
        <f>INDEX(DB!$3:$367,MATCH(EM$2,DB!$D$3:$D$367),44)</f>
        <v>65257.871426614533</v>
      </c>
      <c r="EN34" s="663">
        <f>INDEX(DB!$3:$367,MATCH(EN$2,DB!$D$3:$D$367),44)</f>
        <v>63816.388972557019</v>
      </c>
      <c r="EO34" s="663">
        <f>INDEX(DB!$3:$367,MATCH(EO$2,DB!$D$3:$D$367),44)</f>
        <v>58184.916516216392</v>
      </c>
      <c r="EP34" s="663">
        <f>INDEX(DB!$3:$367,MATCH(EP$2,DB!$D$3:$D$367),44)</f>
        <v>60796.611304095575</v>
      </c>
      <c r="EQ34" s="663">
        <f>INDEX(DB!$3:$367,MATCH(EQ$2,DB!$D$3:$D$367),44)</f>
        <v>0</v>
      </c>
      <c r="ER34" s="663" t="e">
        <f>INDEX(DB!$3:$367,MATCH(ER$2,DB!$D$3:$D$367),44)</f>
        <v>#N/A</v>
      </c>
      <c r="ES34" s="861">
        <f>INDEX(DB!$3:$367,MATCH(ES$2,DB!$D$3:$D$367),44)</f>
        <v>103769.4674692777</v>
      </c>
      <c r="ET34" s="663">
        <f>INDEX(DB!$3:$367,MATCH(ET$2,DB!$D$3:$D$367),44)</f>
        <v>66717.729732460546</v>
      </c>
      <c r="EU34" s="663">
        <f>INDEX(DB!$3:$367,MATCH(EU$2,DB!$D$3:$D$367),44)</f>
        <v>63909.213526771855</v>
      </c>
      <c r="EV34" s="663">
        <f>INDEX(DB!$3:$367,MATCH(EV$2,DB!$D$3:$D$367),44)</f>
        <v>59648.343564024806</v>
      </c>
      <c r="EW34" s="663">
        <f>INDEX(DB!$3:$367,MATCH(EW$2,DB!$D$3:$D$367),44)</f>
        <v>57664.833847380076</v>
      </c>
      <c r="EX34" s="663">
        <f>INDEX(DB!$3:$367,MATCH(EX$2,DB!$D$3:$D$367),44)</f>
        <v>59931.051336991906</v>
      </c>
      <c r="EY34" s="663">
        <f>INDEX(DB!$3:$367,MATCH(EY$2,DB!$D$3:$D$367),44)</f>
        <v>0</v>
      </c>
      <c r="EZ34" s="663" t="e">
        <f>INDEX(DB!$3:$367,MATCH(EZ$2,DB!$D$3:$D$367),44)</f>
        <v>#N/A</v>
      </c>
      <c r="FA34" s="663">
        <f>INDEX(DB!$3:$367,MATCH(FA$2,DB!$D$3:$D$367),44)</f>
        <v>101870.5203639978</v>
      </c>
      <c r="FB34" s="663">
        <f>INDEX(DB!$3:$367,MATCH(FB$2,DB!$D$3:$D$367),44)</f>
        <v>62385.511762605958</v>
      </c>
      <c r="FC34" s="663">
        <f>INDEX(DB!$3:$367,MATCH(FC$2,DB!$D$3:$D$367),44)</f>
        <v>60376.833053928051</v>
      </c>
      <c r="FD34" s="663">
        <f>INDEX(DB!$3:$367,MATCH(FD$2,DB!$D$3:$D$367),44)</f>
        <v>56748.692723049957</v>
      </c>
      <c r="FE34" s="663">
        <f>INDEX(DB!$3:$367,MATCH(FE$2,DB!$D$3:$D$367),44)</f>
        <v>55594.135446805565</v>
      </c>
      <c r="FF34" s="663">
        <f>INDEX(DB!$3:$367,MATCH(FF$2,DB!$D$3:$D$367),44)</f>
        <v>61736.559393895419</v>
      </c>
      <c r="FG34" s="663">
        <f>INDEX(DB!$3:$367,MATCH(FG$2,DB!$D$3:$D$367),44)</f>
        <v>0</v>
      </c>
      <c r="FH34" s="663" t="e">
        <f>INDEX(DB!$3:$367,MATCH(FH$2,DB!$D$3:$D$367),44)</f>
        <v>#N/A</v>
      </c>
      <c r="FI34" s="663">
        <f>INDEX(DB!$3:$367,MATCH(FI$2,DB!$D$3:$D$367),44)</f>
        <v>112076.06545034557</v>
      </c>
      <c r="FJ34" s="663">
        <f>INDEX(DB!$3:$367,MATCH(FJ$2,DB!$D$3:$D$367),44)</f>
        <v>53338.467507959816</v>
      </c>
      <c r="FK34" s="663">
        <f>INDEX(DB!$3:$367,MATCH(FK$2,DB!$D$3:$D$367),44)</f>
        <v>55812.465627458027</v>
      </c>
      <c r="FL34" s="663">
        <f>INDEX(DB!$3:$367,MATCH(FL$2,DB!$D$3:$D$367),44)</f>
        <v>0</v>
      </c>
      <c r="FM34" s="663">
        <f>INDEX(DB!$3:$367,MATCH(FM$2,DB!$D$3:$D$367),44)</f>
        <v>50418.27473754566</v>
      </c>
      <c r="FN34" s="663">
        <f>INDEX(DB!$3:$367,MATCH(FN$2,DB!$D$3:$D$367),44)</f>
        <v>56398.967119913374</v>
      </c>
      <c r="FO34" s="664">
        <f>INDEX(DB!$3:$367,MATCH(FO$2,DB!$D$3:$D$367),48)</f>
        <v>0</v>
      </c>
      <c r="FP34" s="691">
        <f>SUM(FQ34:FW34)</f>
        <v>404860.38609128364</v>
      </c>
      <c r="FQ34" s="663">
        <f>INDEX(DB!$3:$367,MATCH(FQ$2,DB!$D$3:$D$367),44)</f>
        <v>98434.304386934265</v>
      </c>
      <c r="FR34" s="663">
        <f>INDEX(DB!$3:$367,MATCH(FR$2,DB!$D$3:$D$367),44)</f>
        <v>70477.191845130175</v>
      </c>
      <c r="FS34" s="663">
        <f>INDEX(DB!$3:$367,MATCH(FS$2,DB!$D$3:$D$367),44)</f>
        <v>62515.902111117161</v>
      </c>
      <c r="FT34" s="663">
        <f>INDEX(DB!$3:$367,MATCH(FT$2,DB!$D$3:$D$367),44)</f>
        <v>59605.342185646317</v>
      </c>
      <c r="FU34" s="663">
        <f>INDEX(DB!$3:$367,MATCH(FU$2,DB!$D$3:$D$367),44)</f>
        <v>53492.009173969229</v>
      </c>
      <c r="FV34" s="663">
        <f>INDEX(DB!$3:$367,MATCH(FV$2,DB!$D$3:$D$367),44)</f>
        <v>60335.636388486513</v>
      </c>
      <c r="FW34" s="664">
        <f>INDEX(DB!$3:$367,MATCH(FW$2,DB!$D$3:$D$367),48)</f>
        <v>0</v>
      </c>
      <c r="FX34" s="691">
        <f>SUM(FY34:GE34)</f>
        <v>314925.19012229465</v>
      </c>
      <c r="FY34" s="663">
        <f>INDEX(DB!$3:$367,MATCH(FY$2,DB!$D$3:$D$367),44)</f>
        <v>0</v>
      </c>
      <c r="FZ34" s="663">
        <f>INDEX(DB!$3:$367,MATCH(FZ$2,DB!$D$3:$D$367),44)</f>
        <v>86207.158843747864</v>
      </c>
      <c r="GA34" s="663">
        <f>INDEX(DB!$3:$367,MATCH(GA$2,DB!$D$3:$D$367),44)</f>
        <v>57255.31338621</v>
      </c>
      <c r="GB34" s="663">
        <f>INDEX(DB!$3:$367,MATCH(GB$2,DB!$D$3:$D$367),44)</f>
        <v>57574.319187916975</v>
      </c>
      <c r="GC34" s="663">
        <f>INDEX(DB!$3:$367,MATCH(GC$2,DB!$D$3:$D$367),44)</f>
        <v>55072.698354912282</v>
      </c>
      <c r="GD34" s="663">
        <f>INDEX(DB!$3:$367,MATCH(GD$2,DB!$D$3:$D$367),44)</f>
        <v>58815.700349507519</v>
      </c>
      <c r="GE34" s="664">
        <f>INDEX(DB!$3:$367,MATCH(GE$2,DB!$D$3:$D$367),48)</f>
        <v>0</v>
      </c>
      <c r="GF34" s="691">
        <f>SUM(GG34:GM34)</f>
        <v>396854.45199198951</v>
      </c>
      <c r="GG34" s="663">
        <f>INDEX(DB!$3:$367,MATCH(GG$2,DB!$D$3:$D$367),44)</f>
        <v>96667.372564468984</v>
      </c>
      <c r="GH34" s="663">
        <f>INDEX(DB!$3:$367,MATCH(GH$2,DB!$D$3:$D$367),44)</f>
        <v>66891.684661621737</v>
      </c>
      <c r="GI34" s="663">
        <f>INDEX(DB!$3:$367,MATCH(GI$2,DB!$D$3:$D$367),44)</f>
        <v>61393.937213247933</v>
      </c>
      <c r="GJ34" s="663">
        <f>INDEX(DB!$3:$367,MATCH(GJ$2,DB!$D$3:$D$367),44)</f>
        <v>57778.462573692756</v>
      </c>
      <c r="GK34" s="663">
        <f>INDEX(DB!$3:$367,MATCH(GK$2,DB!$D$3:$D$367),44)</f>
        <v>55121.389424613692</v>
      </c>
      <c r="GL34" s="663">
        <f>INDEX(DB!$3:$367,MATCH(GL$2,DB!$D$3:$D$367),44)</f>
        <v>59001.605554344402</v>
      </c>
      <c r="GM34" s="664">
        <f>INDEX(DB!$3:$367,MATCH(GM$2,DB!$D$3:$D$367),48)</f>
        <v>0</v>
      </c>
      <c r="GN34" s="691">
        <f>SUM(GO34:GU34)</f>
        <v>397402.91696815402</v>
      </c>
      <c r="GO34" s="663">
        <f>INDEX(DB!$3:$367,MATCH(GO$2,DB!$D$3:$D$367),44)</f>
        <v>96801.024400376351</v>
      </c>
      <c r="GP34" s="663">
        <f>INDEX(DB!$3:$367,MATCH(GP$2,DB!$D$3:$D$367),44)</f>
        <v>66984.213879260657</v>
      </c>
      <c r="GQ34" s="663">
        <f>INDEX(DB!$3:$367,MATCH(GQ$2,DB!$D$3:$D$367),44)</f>
        <v>61478.545877828525</v>
      </c>
      <c r="GR34" s="663">
        <f>INDEX(DB!$3:$367,MATCH(GR$2,DB!$D$3:$D$367),44)</f>
        <v>57858.580931303208</v>
      </c>
      <c r="GS34" s="663">
        <f>INDEX(DB!$3:$367,MATCH(GS$2,DB!$D$3:$D$367),44)</f>
        <v>55197.524551783164</v>
      </c>
      <c r="GT34" s="663">
        <f>INDEX(DB!$3:$367,MATCH(GT$2,DB!$D$3:$D$367),44)</f>
        <v>59083.027327602074</v>
      </c>
      <c r="GU34" s="664">
        <f>INDEX(DB!$3:$367,MATCH(GU$2,DB!$D$3:$D$367),48)</f>
        <v>0</v>
      </c>
      <c r="GV34" s="691">
        <f>SUM(GW34:HC34)</f>
        <v>381528.50760086643</v>
      </c>
      <c r="GW34" s="663">
        <f>INDEX(DB!$3:$367,MATCH(GW$2,DB!$D$3:$D$367),44)</f>
        <v>92933.849442223727</v>
      </c>
      <c r="GX34" s="663">
        <f>INDEX(DB!$3:$367,MATCH(GX$2,DB!$D$3:$D$367),44)</f>
        <v>64308.731551231067</v>
      </c>
      <c r="GY34" s="663">
        <f>INDEX(DB!$3:$367,MATCH(GY$2,DB!$D$3:$D$367),44)</f>
        <v>59022.644374550386</v>
      </c>
      <c r="GZ34" s="663">
        <f>INDEX(DB!$3:$367,MATCH(GZ$2,DB!$D$3:$D$367),44)</f>
        <v>55547.370004981385</v>
      </c>
      <c r="HA34" s="663">
        <f>INDEX(DB!$3:$367,MATCH(HA$2,DB!$D$3:$D$367),44)</f>
        <v>52992.704386485675</v>
      </c>
      <c r="HB34" s="663">
        <f>INDEX(DB!$3:$367,MATCH(HB$2,DB!$D$3:$D$367),44)</f>
        <v>56723.207841394156</v>
      </c>
      <c r="HC34" s="664">
        <f>INDEX(DB!$3:$367,MATCH(HC$2,DB!$D$3:$D$367),48)</f>
        <v>0</v>
      </c>
      <c r="HD34" s="691">
        <f>SUM(HE34:HK34)</f>
        <v>333621.77555982926</v>
      </c>
      <c r="HE34" s="663">
        <f>INDEX(DB!$3:$367,MATCH(HE$2,DB!$D$3:$D$367),44)</f>
        <v>85022.751791902207</v>
      </c>
      <c r="HF34" s="663">
        <f>INDEX(DB!$3:$367,MATCH(HF$2,DB!$D$3:$D$367),44)</f>
        <v>59504.151925329752</v>
      </c>
      <c r="HG34" s="663">
        <f>INDEX(DB!$3:$367,MATCH(HG$2,DB!$D$3:$D$367),44)</f>
        <v>49762.946109945704</v>
      </c>
      <c r="HH34" s="663">
        <f>INDEX(DB!$3:$367,MATCH(HH$2,DB!$D$3:$D$367),44)</f>
        <v>45781.983298270272</v>
      </c>
      <c r="HI34" s="663">
        <f>INDEX(DB!$3:$367,MATCH(HI$2,DB!$D$3:$D$367),44)</f>
        <v>44543.918501114618</v>
      </c>
      <c r="HJ34" s="663">
        <f>INDEX(DB!$3:$367,MATCH(HJ$2,DB!$D$3:$D$367),44)</f>
        <v>49006.023933266682</v>
      </c>
      <c r="HK34" s="664">
        <f>INDEX(DB!$3:$367,MATCH(HK$2,DB!$D$3:$D$367),48)</f>
        <v>0</v>
      </c>
      <c r="HL34" s="691">
        <f>SUM(HM34:HS34)</f>
        <v>321457.43371232768</v>
      </c>
      <c r="HM34" s="663">
        <f>INDEX(DB!$3:$367,MATCH(HM$2,DB!$D$3:$D$367),44)</f>
        <v>80053.600000000006</v>
      </c>
      <c r="HN34" s="663">
        <f>INDEX(DB!$3:$367,MATCH(HN$2,DB!$D$3:$D$367),44)</f>
        <v>54939.360000000001</v>
      </c>
      <c r="HO34" s="663">
        <f>INDEX(DB!$3:$367,MATCH(HO$2,DB!$D$3:$D$367),44)</f>
        <v>53995.5</v>
      </c>
      <c r="HP34" s="663">
        <f>INDEX(DB!$3:$367,MATCH(HP$2,DB!$D$3:$D$367),44)</f>
        <v>45738.981919891776</v>
      </c>
      <c r="HQ34" s="663">
        <f>INDEX(DB!$3:$367,MATCH(HQ$2,DB!$D$3:$D$367),44)</f>
        <v>40023.074000000001</v>
      </c>
      <c r="HR34" s="663">
        <f>INDEX(DB!$3:$367,MATCH(HR$2,DB!$D$3:$D$367),44)</f>
        <v>46706.917792435874</v>
      </c>
      <c r="HS34" s="664">
        <f>INDEX(DB!$3:$367,MATCH(HS$2,DB!$D$3:$D$367),48)</f>
        <v>0</v>
      </c>
      <c r="HT34" s="691">
        <f>SUM(HU34:IA34)</f>
        <v>271873.57670538279</v>
      </c>
      <c r="HU34" s="663">
        <f>INDEX(DB!$3:$367,MATCH(HU$2,DB!$D$3:$D$367),44)</f>
        <v>76897.700000000012</v>
      </c>
      <c r="HV34" s="663">
        <f>INDEX(DB!$3:$367,MATCH(HV$2,DB!$D$3:$D$367),44)</f>
        <v>54842.879999999997</v>
      </c>
      <c r="HW34" s="663">
        <f>INDEX(DB!$3:$367,MATCH(HW$2,DB!$D$3:$D$367),44)</f>
        <v>51537</v>
      </c>
      <c r="HX34" s="663">
        <f>INDEX(DB!$3:$367,MATCH(HX$2,DB!$D$3:$D$367),44)</f>
        <v>0</v>
      </c>
      <c r="HY34" s="663">
        <f>INDEX(DB!$3:$367,MATCH(HY$2,DB!$D$3:$D$367),44)</f>
        <v>40934.138000000006</v>
      </c>
      <c r="HZ34" s="663">
        <f>INDEX(DB!$3:$367,MATCH(HZ$2,DB!$D$3:$D$367),44)</f>
        <v>47661.858705382794</v>
      </c>
      <c r="IA34" s="663">
        <f>INDEX(DB!$3:$367,MATCH(IA$2,DB!$D$3:$D$367),44)</f>
        <v>0</v>
      </c>
      <c r="IB34" s="691" t="e">
        <f>INDEX(DB!$3:$367,MATCH(IB$2,DB!$D$3:$D$367),44)</f>
        <v>#N/A</v>
      </c>
      <c r="IC34" s="663">
        <f>INDEX(DB!$3:$367,MATCH(IC$2,DB!$D$3:$D$367),44)</f>
        <v>79558.600000000006</v>
      </c>
      <c r="ID34" s="663">
        <f>INDEX(DB!$3:$367,MATCH(ID$2,DB!$D$3:$D$367),44)</f>
        <v>57297.599999999999</v>
      </c>
      <c r="IE34" s="663">
        <f>INDEX(DB!$3:$367,MATCH(IE$2,DB!$D$3:$D$367),44)</f>
        <v>51311.5</v>
      </c>
      <c r="IF34" s="663">
        <f>INDEX(DB!$3:$367,MATCH(IF$2,DB!$D$3:$D$367),44)</f>
        <v>42490.340944918862</v>
      </c>
      <c r="IG34" s="663">
        <f>INDEX(DB!$3:$367,MATCH(IG$2,DB!$D$3:$D$367),44)</f>
        <v>37918.776000000005</v>
      </c>
      <c r="IH34" s="663">
        <f>INDEX(DB!$3:$367,MATCH(IH$2,DB!$D$3:$D$367),44)</f>
        <v>45482.767317041624</v>
      </c>
      <c r="II34" s="663">
        <f>INDEX(DB!$3:$367,MATCH(II$2,DB!$D$3:$D$367),44)</f>
        <v>0</v>
      </c>
      <c r="IJ34" s="663" t="e">
        <f>INDEX(DB!$3:$367,MATCH(IJ$2,DB!$D$3:$D$367),44)</f>
        <v>#N/A</v>
      </c>
      <c r="IK34" s="663">
        <f>INDEX(DB!$3:$367,MATCH(IK$2,DB!$D$3:$D$367),44)</f>
        <v>72018.44</v>
      </c>
      <c r="IL34" s="663">
        <f>INDEX(DB!$3:$367,MATCH(IL$2,DB!$D$3:$D$367),44)</f>
        <v>52116.696000000004</v>
      </c>
      <c r="IM34" s="663">
        <f>INDEX(DB!$3:$367,MATCH(IM$2,DB!$D$3:$D$367),44)</f>
        <v>47162.879999999997</v>
      </c>
      <c r="IN34" s="663">
        <f>INDEX(DB!$3:$367,MATCH(IN$2,DB!$D$3:$D$367),44)</f>
        <v>38647.11</v>
      </c>
      <c r="IO34" s="663">
        <f>INDEX(DB!$3:$367,MATCH(IO$2,DB!$D$3:$D$367),44)</f>
        <v>36305.332000000002</v>
      </c>
      <c r="IP34" s="663">
        <f>INDEX(DB!$3:$367,MATCH(IP$2,DB!$D$3:$D$367),44)</f>
        <v>43547.47060238527</v>
      </c>
      <c r="IQ34" s="663">
        <f>INDEX(DB!$3:$367,MATCH(IQ$2,DB!$D$3:$D$367),44)</f>
        <v>0</v>
      </c>
      <c r="IR34" s="663" t="e">
        <f>INDEX(DB!$3:$367,MATCH(IR$2,DB!$D$3:$D$367),44)</f>
        <v>#N/A</v>
      </c>
      <c r="IS34" s="663">
        <f>INDEX(DB!$3:$367,MATCH(IS$2,DB!$D$3:$D$367),44)</f>
        <v>70842.720000000001</v>
      </c>
      <c r="IT34" s="663">
        <f>INDEX(DB!$3:$367,MATCH(IT$2,DB!$D$3:$D$367),44)+5000</f>
        <v>56265.8</v>
      </c>
      <c r="IU34" s="663">
        <f>INDEX(DB!$3:$367,MATCH(IU$2,DB!$D$3:$D$367),44)</f>
        <v>46392.959999999999</v>
      </c>
      <c r="IV34" s="663">
        <f>INDEX(DB!$3:$367,MATCH(IV$2,DB!$D$3:$D$367),44)</f>
        <v>38016.300000000003</v>
      </c>
      <c r="IW34" s="663">
        <f>INDEX(DB!$3:$367,MATCH(IW$2,DB!$D$3:$D$367),44)</f>
        <v>35712.572</v>
      </c>
      <c r="IX34" s="663">
        <f>INDEX(DB!$3:$367,MATCH(IX$2,DB!$D$3:$D$367),44)</f>
        <v>42836.795009211368</v>
      </c>
      <c r="IY34" s="663">
        <f>INDEX(DB!$3:$367,MATCH(IY$2,DB!$D$3:$D$367),44)</f>
        <v>0</v>
      </c>
      <c r="IZ34" s="663" t="e">
        <f>INDEX(DB!$3:$367,MATCH(IZ$2,DB!$D$3:$D$367),44)</f>
        <v>#N/A</v>
      </c>
      <c r="JA34" s="663">
        <f>INDEX(DB!$3:$367,MATCH(JA$2,DB!$D$3:$D$367),44)</f>
        <v>0</v>
      </c>
      <c r="JB34" s="663">
        <f>INDEX(DB!$3:$367,MATCH(JB$2,DB!$D$3:$D$367),44)</f>
        <v>62413.175999999999</v>
      </c>
      <c r="JC34" s="663">
        <f>INDEX(DB!$3:$367,MATCH(JC$2,DB!$D$3:$D$367),44)</f>
        <v>49930.559999999998</v>
      </c>
      <c r="JD34" s="663">
        <f>INDEX(DB!$3:$367,MATCH(JD$2,DB!$D$3:$D$367),44)</f>
        <v>44729.46</v>
      </c>
      <c r="JE34" s="663">
        <f>INDEX(DB!$3:$367,MATCH(JE$2,DB!$D$3:$D$367),44)</f>
        <v>42232.932000000001</v>
      </c>
      <c r="JF34" s="663">
        <f>INDEX(DB!$3:$367,MATCH(JF$2,DB!$D$3:$D$367),44)</f>
        <v>46380.76005331699</v>
      </c>
      <c r="JG34" s="663">
        <f>INDEX(DB!$3:$367,MATCH(JG$2,DB!$D$3:$D$367),44)</f>
        <v>0</v>
      </c>
      <c r="JH34" s="663" t="e">
        <f>INDEX(DB!$3:$367,MATCH(JH$2,DB!$D$3:$D$367),44)</f>
        <v>#N/A</v>
      </c>
      <c r="JI34" s="663">
        <f>INDEX(DB!$3:$367,MATCH(JI$2,DB!$D$3:$D$367),44)</f>
        <v>130029.5</v>
      </c>
      <c r="JJ34" s="663">
        <f>INDEX(DB!$3:$367,MATCH(JJ$2,DB!$D$3:$D$367),44)</f>
        <v>61770.671999999999</v>
      </c>
      <c r="JK34" s="663">
        <f>INDEX(DB!$3:$367,MATCH(JK$2,DB!$D$3:$D$367),44)</f>
        <v>54262.559999999998</v>
      </c>
      <c r="JL34" s="663">
        <f>INDEX(DB!$3:$367,MATCH(JL$2,DB!$D$3:$D$367),44)</f>
        <v>49477.09</v>
      </c>
      <c r="JM34" s="663">
        <f>INDEX(DB!$3:$367,MATCH(JM$2,DB!$D$3:$D$367),44)</f>
        <v>47141.066000000006</v>
      </c>
      <c r="JN34" s="663">
        <f>INDEX(DB!$3:$367,MATCH(JN$2,DB!$D$3:$D$367),44)</f>
        <v>55026.528693452492</v>
      </c>
      <c r="JO34" s="663">
        <f>INDEX(DB!$3:$367,MATCH(JO$2,DB!$D$3:$D$367),44)</f>
        <v>0</v>
      </c>
      <c r="JP34" s="663" t="e">
        <f>INDEX(DB!$3:$367,MATCH(JP$2,DB!$D$3:$D$367),44)</f>
        <v>#N/A</v>
      </c>
      <c r="JQ34" s="663">
        <f>INDEX(DB!$3:$367,MATCH(JQ$2,DB!$D$3:$D$367),44)</f>
        <v>129172.8</v>
      </c>
      <c r="JR34" s="663">
        <f>INDEX(DB!$3:$367,MATCH(JR$2,DB!$D$3:$D$367),44)</f>
        <v>64334.76</v>
      </c>
      <c r="JS34" s="663">
        <f>INDEX(DB!$3:$367,MATCH(JS$2,DB!$D$3:$D$367),44)</f>
        <v>64955.839999999997</v>
      </c>
      <c r="JT34" s="663">
        <f>INDEX(DB!$3:$367,MATCH(JT$2,DB!$D$3:$D$367),44)</f>
        <v>54536.47</v>
      </c>
      <c r="JU34" s="663">
        <f>INDEX(DB!$3:$367,MATCH(JU$2,DB!$D$3:$D$367),44)</f>
        <v>51232.328000000001</v>
      </c>
      <c r="JV34" s="663">
        <f>INDEX(DB!$3:$367,MATCH(JV$2,DB!$D$3:$D$367),44)</f>
        <v>61452.259735573884</v>
      </c>
      <c r="JW34" s="663">
        <f>INDEX(DB!$3:$367,MATCH(JW$2,DB!$D$3:$D$367),44)</f>
        <v>0</v>
      </c>
      <c r="JX34" s="663" t="e">
        <f>INDEX(DB!$3:$367,MATCH(JX$2,DB!$D$3:$D$367),44)</f>
        <v>#N/A</v>
      </c>
      <c r="JY34" s="663">
        <f>INDEX(DB!$3:$367,MATCH(JY$2,DB!$D$3:$D$367),44)</f>
        <v>108371.78</v>
      </c>
      <c r="JZ34" s="663">
        <f>INDEX(DB!$3:$367,MATCH(JZ$2,DB!$D$3:$D$367),44)</f>
        <v>71969.567999999999</v>
      </c>
      <c r="KA34" s="663">
        <f>INDEX(DB!$3:$367,MATCH(KA$2,DB!$D$3:$D$367),44)</f>
        <v>72902.399999999994</v>
      </c>
      <c r="KB34" s="663">
        <f>INDEX(DB!$3:$367,MATCH(KB$2,DB!$D$3:$D$367),44)</f>
        <v>62486.74</v>
      </c>
      <c r="KC34" s="663">
        <f>INDEX(DB!$3:$367,MATCH(KC$2,DB!$D$3:$D$367),44)</f>
        <v>50550.654000000002</v>
      </c>
      <c r="KD34" s="663">
        <f>INDEX(DB!$3:$367,MATCH(KD$2,DB!$D$3:$D$367),44)</f>
        <v>56142.90121465017</v>
      </c>
      <c r="KE34" s="663">
        <f>INDEX(DB!$3:$367,MATCH(KE$2,DB!$D$3:$D$367),44)</f>
        <v>0</v>
      </c>
      <c r="KF34" s="663" t="e">
        <f>INDEX(DB!$3:$367,MATCH(KF$2,DB!$D$3:$D$367),44)</f>
        <v>#N/A</v>
      </c>
      <c r="KG34" s="663">
        <f>INDEX(DB!$3:$367,MATCH(KG$2,DB!$D$3:$D$367),44)</f>
        <v>158526</v>
      </c>
      <c r="KH34" s="663">
        <f>INDEX(DB!$3:$367,MATCH(KH$2,DB!$D$3:$D$367),44)</f>
        <v>68807.664000000004</v>
      </c>
      <c r="KI34" s="663">
        <f>INDEX(DB!$3:$367,MATCH(KI$2,DB!$D$3:$D$367),44)</f>
        <v>67241.759999999995</v>
      </c>
      <c r="KJ34" s="663">
        <f>INDEX(DB!$3:$367,MATCH(KJ$2,DB!$D$3:$D$367),44)</f>
        <v>56898.03</v>
      </c>
      <c r="KK34" s="663">
        <f>INDEX(DB!$3:$367,MATCH(KK$2,DB!$D$3:$D$367),44)</f>
        <v>53821.796000000002</v>
      </c>
      <c r="KL34" s="663">
        <f>INDEX(DB!$3:$367,MATCH(KL$2,DB!$D$3:$D$367),44)</f>
        <v>55937.699520197311</v>
      </c>
      <c r="KM34" s="663">
        <f>INDEX(DB!$3:$367,MATCH(KM$2,DB!$D$3:$D$367),44)</f>
        <v>0</v>
      </c>
      <c r="KN34" s="663" t="e">
        <f>INDEX(DB!$3:$367,MATCH(KN$2,DB!$D$3:$D$367),44)</f>
        <v>#N/A</v>
      </c>
      <c r="KO34" s="663">
        <f>INDEX(DB!$3:$367,MATCH(KO$2,DB!$D$3:$D$367),44)</f>
        <v>94690</v>
      </c>
      <c r="KP34" s="663">
        <f>INDEX(DB!$3:$367,MATCH(KP$2,DB!$D$3:$D$367),44)</f>
        <v>67428</v>
      </c>
      <c r="KQ34" s="663">
        <f>INDEX(DB!$3:$367,MATCH(KQ$2,DB!$D$3:$D$367),44)</f>
        <v>66269</v>
      </c>
      <c r="KR34" s="663">
        <f>INDEX(DB!$3:$367,MATCH(KR$2,DB!$D$3:$D$367),44)</f>
        <v>56179</v>
      </c>
      <c r="KS34" s="663">
        <f>INDEX(DB!$3:$367,MATCH(KS$2,DB!$D$3:$D$367),44)</f>
        <v>49120</v>
      </c>
      <c r="KT34" s="663">
        <f>INDEX(DB!$3:$367,MATCH(KT$2,DB!$D$3:$D$367),44)</f>
        <v>57324</v>
      </c>
      <c r="KU34" s="663">
        <f>INDEX(DB!$3:$367,MATCH(KU$2,DB!$D$3:$D$367),44)</f>
        <v>0</v>
      </c>
      <c r="KV34" s="663" t="e">
        <f>INDEX(DB!$3:$367,MATCH(KV$2,DB!$D$3:$D$367),44)</f>
        <v>#N/A</v>
      </c>
      <c r="KW34" s="663">
        <f>INDEX(DB!$3:$367,MATCH(KW$2,DB!$D$3:$D$367),44)</f>
        <v>96356.700000000012</v>
      </c>
      <c r="KX34" s="663">
        <f>INDEX(DB!$3:$367,MATCH(KX$2,DB!$D$3:$D$367),44)</f>
        <v>68614.080000000002</v>
      </c>
      <c r="KY34" s="663">
        <f>INDEX(DB!$3:$367,MATCH(KY$2,DB!$D$3:$D$367),44)</f>
        <v>67435</v>
      </c>
      <c r="KZ34" s="663">
        <f>INDEX(DB!$3:$367,MATCH(KZ$2,DB!$D$3:$D$367),44)</f>
        <v>57168.147000000004</v>
      </c>
      <c r="LA34" s="663">
        <f>INDEX(DB!$3:$367,MATCH(LA$2,DB!$D$3:$D$367),44)</f>
        <v>49984.69</v>
      </c>
      <c r="LB34" s="663">
        <f>INDEX(DB!$3:$367,MATCH(LB$2,DB!$D$3:$D$367),44)</f>
        <v>58332.817463019819</v>
      </c>
      <c r="LC34" s="663">
        <f>INDEX(DB!$3:$367,MATCH(LC$2,DB!$D$3:$D$367),44)</f>
        <v>0</v>
      </c>
      <c r="LD34" s="663" t="e">
        <f>INDEX(DB!$3:$367,MATCH(LD$2,DB!$D$3:$D$367),44)</f>
        <v>#N/A</v>
      </c>
      <c r="LE34" s="663">
        <f>INDEX(DB!$3:$367,MATCH(LE$2,DB!$D$3:$D$367),44)</f>
        <v>102945.95000000001</v>
      </c>
      <c r="LF34" s="663">
        <f>INDEX(DB!$3:$367,MATCH(LF$2,DB!$D$3:$D$367),44)</f>
        <v>67609.919999999998</v>
      </c>
      <c r="LG34" s="663">
        <f>INDEX(DB!$3:$367,MATCH(LG$2,DB!$D$3:$D$367),44)</f>
        <v>66448</v>
      </c>
      <c r="LH34" s="663">
        <f>INDEX(DB!$3:$367,MATCH(LH$2,DB!$D$3:$D$367),44)</f>
        <v>56331.455999999998</v>
      </c>
      <c r="LI34" s="663">
        <f>INDEX(DB!$3:$367,MATCH(LI$2,DB!$D$3:$D$367),44)</f>
        <v>49253.078000000001</v>
      </c>
      <c r="LJ34" s="663">
        <f>INDEX(DB!$3:$367,MATCH(LJ$2,DB!$D$3:$D$367),44)</f>
        <v>57479.065459034748</v>
      </c>
      <c r="LK34" s="663">
        <f>INDEX(DB!$3:$367,MATCH(LK$2,DB!$D$3:$D$367),44)</f>
        <v>0</v>
      </c>
      <c r="LL34" s="663" t="e">
        <f>INDEX(DB!$3:$367,MATCH(LL$2,DB!$D$3:$D$367),44)</f>
        <v>#N/A</v>
      </c>
      <c r="LM34" s="663">
        <f>INDEX(DB!$3:$367,MATCH(LM$2,DB!$D$3:$D$367),44)</f>
        <v>103129.95000000001</v>
      </c>
      <c r="LN34" s="663">
        <f>INDEX(DB!$3:$367,MATCH(LN$2,DB!$D$3:$D$367),44)</f>
        <v>73437.599999999991</v>
      </c>
      <c r="LO34" s="663">
        <f>INDEX(DB!$3:$367,MATCH(LO$2,DB!$D$3:$D$367),44)</f>
        <v>67175.5</v>
      </c>
      <c r="LP34" s="663">
        <f>INDEX(DB!$3:$367,MATCH(LP$2,DB!$D$3:$D$367),44)</f>
        <v>56186.71</v>
      </c>
      <c r="LQ34" s="663">
        <f>INDEX(DB!$3:$367,MATCH(LQ$2,DB!$D$3:$D$367),44)</f>
        <v>53498.62</v>
      </c>
      <c r="LR34" s="663">
        <f>INDEX(DB!$3:$367,MATCH(LR$2,DB!$D$3:$D$367),44)</f>
        <v>62433.08618337151</v>
      </c>
      <c r="LS34" s="663">
        <f>INDEX(DB!$3:$367,MATCH(LS$2,DB!$D$3:$D$367),44)</f>
        <v>0</v>
      </c>
      <c r="LT34" s="663" t="e">
        <f>INDEX(DB!$3:$367,MATCH(LT$2,DB!$D$3:$D$367),44)</f>
        <v>#N/A</v>
      </c>
      <c r="LU34" s="663">
        <f>INDEX(DB!$3:$367,MATCH(LU$2,DB!$D$3:$D$367),44)</f>
        <v>102477.1</v>
      </c>
      <c r="LV34" s="663">
        <f>INDEX(DB!$3:$367,MATCH(LV$2,DB!$D$3:$D$367),44)</f>
        <v>72972.479999999996</v>
      </c>
      <c r="LW34" s="663">
        <f>INDEX(DB!$3:$367,MATCH(LW$2,DB!$D$3:$D$367),44)</f>
        <v>66718.5</v>
      </c>
      <c r="LX34" s="663">
        <f>INDEX(DB!$3:$367,MATCH(LX$2,DB!$D$3:$D$367),44)</f>
        <v>55799.395000000004</v>
      </c>
      <c r="LY34" s="663">
        <f>INDEX(DB!$3:$367,MATCH(LY$2,DB!$D$3:$D$367),44)</f>
        <v>53160.016000000003</v>
      </c>
      <c r="LZ34" s="663">
        <f>INDEX(DB!$3:$367,MATCH(LZ$2,DB!$D$3:$D$367),44)</f>
        <v>62037.743469288012</v>
      </c>
      <c r="MA34" s="663">
        <f>INDEX(DB!$3:$367,MATCH(MA$2,DB!$D$3:$D$367),44)</f>
        <v>0</v>
      </c>
      <c r="MB34" s="663" t="e">
        <f>INDEX(DB!$3:$367,MATCH(MB$2,DB!$D$3:$D$367),44)</f>
        <v>#N/A</v>
      </c>
      <c r="MC34" s="663">
        <f>INDEX(DB!$3:$367,MATCH(MC$2,DB!$D$3:$D$367),44)</f>
        <v>99840.950000000012</v>
      </c>
      <c r="MD34" s="663">
        <f>INDEX(DB!$3:$367,MATCH(MD$2,DB!$D$3:$D$367),44)</f>
        <v>71095.679999999993</v>
      </c>
      <c r="ME34" s="663">
        <f>INDEX(DB!$3:$367,MATCH(ME$2,DB!$D$3:$D$367),44)</f>
        <v>64874</v>
      </c>
      <c r="MF34" s="663">
        <f>INDEX(DB!$3:$367,MATCH(MF$2,DB!$D$3:$D$367),44)</f>
        <v>56235.639000000003</v>
      </c>
      <c r="MG34" s="663">
        <f>INDEX(DB!$3:$367,MATCH(MG$2,DB!$D$3:$D$367),44)</f>
        <v>51792.608</v>
      </c>
      <c r="MH34" s="663">
        <f>INDEX(DB!$3:$367,MATCH(MH$2,DB!$D$3:$D$367),44)</f>
        <v>60442.25323030819</v>
      </c>
      <c r="MI34" s="663">
        <f>INDEX(DB!$3:$367,MATCH(MI$2,DB!$D$3:$D$367),44)</f>
        <v>0</v>
      </c>
      <c r="MJ34" s="663">
        <f t="shared" ref="MJ34" si="918">SUM(MK34:MQ34)</f>
        <v>416411.46992616827</v>
      </c>
      <c r="MK34" s="663">
        <v>83700</v>
      </c>
      <c r="ML34" s="663">
        <f>INDEX(DB!$3:$367,MATCH(ML$2,DB!$D$3:$D$367),44)</f>
        <v>0</v>
      </c>
      <c r="MM34" s="663">
        <f>INDEX(DB!$3:$367,MATCH(MM$2,DB!$D$3:$D$367),44)</f>
        <v>122369.5</v>
      </c>
      <c r="MN34" s="663">
        <f>INDEX(DB!$3:$367,MATCH(MN$2,DB!$D$3:$D$367),44)</f>
        <v>62373.57</v>
      </c>
      <c r="MO34" s="663">
        <f>INDEX(DB!$3:$367,MATCH(MO$2,DB!$D$3:$D$367),44)</f>
        <v>93396.986000000004</v>
      </c>
      <c r="MP34" s="663">
        <f>INDEX(DB!$3:$367,MATCH(MP$2,DB!$D$3:$D$367),44)</f>
        <v>54571.413926168272</v>
      </c>
      <c r="MQ34" s="663">
        <f>INDEX(DB!$3:$367,MATCH(MQ$2,DB!$D$3:$D$367),44)</f>
        <v>0</v>
      </c>
      <c r="MR34" s="663">
        <f t="shared" ref="MR34:MR43" si="919">SUM(MS34:MY34)</f>
        <v>452740.10575916886</v>
      </c>
      <c r="MS34" s="663">
        <f>INDEX(DB!$3:$367,MATCH(MS$2,DB!$D$3:$D$367),44)</f>
        <v>87129.35</v>
      </c>
      <c r="MT34" s="663">
        <f>INDEX(DB!$3:$367,MATCH(MT$2,DB!$D$3:$D$367),44)</f>
        <v>130567.16</v>
      </c>
      <c r="MU34" s="663">
        <f>INDEX(DB!$3:$367,MATCH(MU$2,DB!$D$3:$D$367),44)</f>
        <v>73808</v>
      </c>
      <c r="MV34" s="663">
        <f>INDEX(DB!$3:$367,MATCH(MV$2,DB!$D$3:$D$367),44)</f>
        <v>107011.048</v>
      </c>
      <c r="MW34" s="663">
        <f>INDEX(DB!$3:$367,MATCH(MW$2,DB!$D$3:$D$367),44)</f>
        <v>0</v>
      </c>
      <c r="MX34" s="663">
        <f>INDEX(DB!$3:$367,MATCH(MX$2,DB!$D$3:$D$367),44)</f>
        <v>54224.547759168825</v>
      </c>
      <c r="MY34" s="663">
        <f>INDEX(DB!$3:$367,MATCH(MY$2,DB!$D$3:$D$367),44)</f>
        <v>0</v>
      </c>
      <c r="MZ34" s="691">
        <f t="shared" ref="MZ34:MZ43" si="920">SUM(NA34:NG34)</f>
        <v>496090.55025961919</v>
      </c>
      <c r="NA34" s="663">
        <f>INDEX(DB!$3:$367,MATCH(NA$2,DB!$D$3:$D$367),44)</f>
        <v>101431.55</v>
      </c>
      <c r="NB34" s="663">
        <f>INDEX(DB!$3:$367,MATCH(NB$2,DB!$D$3:$D$367),44)</f>
        <v>72925.440000000002</v>
      </c>
      <c r="NC34" s="663">
        <f>INDEX(DB!$3:$367,MATCH(NC$2,DB!$D$3:$D$367),44)</f>
        <v>89377.5</v>
      </c>
      <c r="ND34" s="663">
        <f>INDEX(DB!$3:$367,MATCH(ND$2,DB!$D$3:$D$367),44)</f>
        <v>94153.157999999996</v>
      </c>
      <c r="NE34" s="663">
        <f>INDEX(DB!$3:$367,MATCH(NE$2,DB!$D$3:$D$367),44)</f>
        <v>64551.784000000007</v>
      </c>
      <c r="NF34" s="663">
        <f>INDEX(DB!$3:$367,MATCH(NF$2,DB!$D$3:$D$367),44)</f>
        <v>73651.118259619223</v>
      </c>
      <c r="NG34" s="663">
        <f>INDEX(DB!$3:$367,MATCH(NG$2,DB!$D$3:$D$367),48)</f>
        <v>0</v>
      </c>
      <c r="NH34" s="691">
        <f t="shared" ref="NH34:NH43" si="921">SUM(NI34:NO34)</f>
        <v>451210.77750543179</v>
      </c>
      <c r="NI34" s="663">
        <f>INDEX(DB!$3:$367,MATCH(NI$2,DB!$D$3:$D$367),44)</f>
        <v>123021.62000000001</v>
      </c>
      <c r="NJ34" s="663">
        <f>INDEX(DB!$3:$367,MATCH(NJ$2,DB!$D$3:$D$367),44)</f>
        <v>73439</v>
      </c>
      <c r="NK34" s="663">
        <f>INDEX(DB!$3:$367,MATCH(NK$2,DB!$D$3:$D$367),44)</f>
        <v>73578.239999999991</v>
      </c>
      <c r="NL34" s="663">
        <f>INDEX(DB!$3:$367,MATCH(NL$2,DB!$D$3:$D$367),44)</f>
        <v>62106.488999999994</v>
      </c>
      <c r="NM34" s="663">
        <f>INDEX(DB!$3:$367,MATCH(NM$2,DB!$D$3:$D$367),44)</f>
        <v>54737.502</v>
      </c>
      <c r="NN34" s="663">
        <f>INDEX(DB!$3:$367,MATCH(NN$2,DB!$D$3:$D$367),44)</f>
        <v>64327.926505431795</v>
      </c>
      <c r="NO34" s="663">
        <f>INDEX(DB!$3:$367,MATCH(NO$2,DB!$D$3:$D$367),44)</f>
        <v>0</v>
      </c>
      <c r="NP34" s="691">
        <f t="shared" ref="NP34:NP43" si="922">SUM(NQ34:NW34)</f>
        <v>510358.62932023377</v>
      </c>
      <c r="NQ34" s="663">
        <f>INDEX(DB!$3:$367,MATCH(NQ$2,DB!$D$3:$D$367),44)</f>
        <v>161687</v>
      </c>
      <c r="NR34" s="663">
        <f>INDEX(DB!$3:$367,MATCH(NR$2,DB!$D$3:$D$367),44)</f>
        <v>79465.919999999998</v>
      </c>
      <c r="NS34" s="663">
        <f>INDEX(DB!$3:$367,MATCH(NS$2,DB!$D$3:$D$367),44)</f>
        <v>78236.160000000003</v>
      </c>
      <c r="NT34" s="663">
        <f>INDEX(DB!$3:$367,MATCH(NT$2,DB!$D$3:$D$367),44)</f>
        <v>66038.128999999986</v>
      </c>
      <c r="NU34" s="663">
        <f>INDEX(DB!$3:$367,MATCH(NU$2,DB!$D$3:$D$367),44)</f>
        <v>57431.396000000001</v>
      </c>
      <c r="NV34" s="663">
        <f>INDEX(DB!$3:$367,MATCH(NV$2,DB!$D$3:$D$367),44)</f>
        <v>67500.024320233846</v>
      </c>
      <c r="NW34" s="663">
        <f>INDEX(DB!$3:$367,MATCH(NW$2,DB!$D$3:$D$367),44)</f>
        <v>0</v>
      </c>
      <c r="NX34" s="663" t="e">
        <f>INDEX(DB!$3:$367,MATCH(NX$2,DB!$D$3:$D$367),44)</f>
        <v>#N/A</v>
      </c>
      <c r="NY34" s="663">
        <f>INDEX(DB!$3:$367,MATCH(NY$2,DB!$D$3:$D$367),44)</f>
        <v>102602</v>
      </c>
      <c r="NZ34" s="663">
        <f>INDEX(DB!$3:$367,MATCH(NZ$2,DB!$D$3:$D$367),44)</f>
        <v>68159.58</v>
      </c>
      <c r="OA34" s="663">
        <f>INDEX(DB!$3:$367,MATCH(OA$2,DB!$D$3:$D$367),44)</f>
        <v>67104.479999999996</v>
      </c>
      <c r="OB34" s="663">
        <f>INDEX(DB!$3:$367,MATCH(OB$2,DB!$D$3:$D$367),44)</f>
        <v>56642.028999999995</v>
      </c>
      <c r="OC34" s="663">
        <f>INDEX(DB!$3:$367,MATCH(OC$2,DB!$D$3:$D$367),44)</f>
        <v>49260.162000000004</v>
      </c>
      <c r="OD34" s="663">
        <f>INDEX(DB!$3:$367,MATCH(OD$2,DB!$D$3:$D$367),44)</f>
        <v>57896.305534717918</v>
      </c>
      <c r="OE34" s="663">
        <f>INDEX(DB!$3:$367,MATCH(OE$2,DB!$D$3:$D$367),44)</f>
        <v>0</v>
      </c>
      <c r="OF34" s="663" t="e">
        <f>INDEX(DB!$3:$367,MATCH(OF$2,DB!$D$3:$D$367),44)</f>
        <v>#N/A</v>
      </c>
      <c r="OG34" s="663">
        <f>INDEX(DB!$3:$367,MATCH(OG$2,DB!$D$3:$D$367),44)</f>
        <v>127238</v>
      </c>
      <c r="OH34" s="663">
        <f>INDEX(DB!$3:$367,MATCH(OH$2,DB!$D$3:$D$367),44)</f>
        <v>69614.574999999997</v>
      </c>
      <c r="OI34" s="663">
        <f>INDEX(DB!$3:$367,MATCH(OI$2,DB!$D$3:$D$367),44)</f>
        <v>68447.115000000005</v>
      </c>
      <c r="OJ34" s="663">
        <f>INDEX(DB!$3:$367,MATCH(OJ$2,DB!$D$3:$D$367),44)</f>
        <v>57965.375999999997</v>
      </c>
      <c r="OK34" s="663">
        <f>INDEX(DB!$3:$367,MATCH(OK$2,DB!$D$3:$D$367),44)</f>
        <v>50616.626000000004</v>
      </c>
      <c r="OL34" s="663">
        <f>INDEX(DB!$3:$367,MATCH(OL$2,DB!$D$3:$D$367),44)</f>
        <v>59171.045365157232</v>
      </c>
      <c r="OM34" s="663">
        <f>INDEX(DB!$3:$367,MATCH(OM$2,DB!$D$3:$D$367),44)</f>
        <v>0</v>
      </c>
      <c r="ON34" s="663" t="e">
        <f>INDEX(DB!$3:$367,MATCH(ON$2,DB!$D$3:$D$367),44)</f>
        <v>#N/A</v>
      </c>
      <c r="OO34" s="663">
        <f>INDEX(DB!$3:$367,MATCH(OO$2,DB!$D$3:$D$367),44)</f>
        <v>80000</v>
      </c>
      <c r="OP34" s="663">
        <f>INDEX(DB!$3:$367,MATCH(OP$2,DB!$D$3:$D$367),44)</f>
        <v>77948.45</v>
      </c>
      <c r="OQ34" s="663">
        <f>INDEX(DB!$3:$367,MATCH(OQ$2,DB!$D$3:$D$367),44)</f>
        <v>76588.38</v>
      </c>
      <c r="OR34" s="663">
        <f>INDEX(DB!$3:$367,MATCH(OR$2,DB!$D$3:$D$367),44)</f>
        <v>69316.351999999999</v>
      </c>
      <c r="OS34" s="663">
        <f>INDEX(DB!$3:$367,MATCH(OS$2,DB!$D$3:$D$367),44)</f>
        <v>56404.259000000005</v>
      </c>
      <c r="OT34" s="663">
        <f>INDEX(DB!$3:$367,MATCH(OT$2,DB!$D$3:$D$367),44)</f>
        <v>69863.676488370707</v>
      </c>
      <c r="OU34" s="663">
        <f>INDEX(DB!$3:$367,MATCH(OU$2,DB!$D$3:$D$367),44)</f>
        <v>0</v>
      </c>
      <c r="OV34" s="663" t="e">
        <f>INDEX(DB!$3:$367,MATCH(OV$2,DB!$D$3:$D$367),44)</f>
        <v>#N/A</v>
      </c>
      <c r="OW34" s="663">
        <f>INDEX(DB!$3:$367,MATCH(OW$2,DB!$D$3:$D$367),44)</f>
        <v>95488</v>
      </c>
      <c r="OX34" s="663">
        <f>INDEX(DB!$3:$367,MATCH(OX$2,DB!$D$3:$D$367),44)</f>
        <v>71459.26999999999</v>
      </c>
      <c r="OY34" s="663">
        <f>INDEX(DB!$3:$367,MATCH(OY$2,DB!$D$3:$D$367),44)</f>
        <v>71916.319999999992</v>
      </c>
      <c r="OZ34" s="663">
        <f>INDEX(DB!$3:$367,MATCH(OZ$2,DB!$D$3:$D$367),44)</f>
        <v>60346.34599999999</v>
      </c>
      <c r="PA34" s="663">
        <f>INDEX(DB!$3:$367,MATCH(PA$2,DB!$D$3:$D$367),44)</f>
        <v>52203.887999999999</v>
      </c>
      <c r="PB34" s="663">
        <f>INDEX(DB!$3:$367,MATCH(PB$2,DB!$D$3:$D$367),44)</f>
        <v>62750.131426049978</v>
      </c>
      <c r="PC34" s="663">
        <f>INDEX(DB!$3:$367,MATCH(PC$2,DB!$D$3:$D$367),44)</f>
        <v>62750.131426049978</v>
      </c>
    </row>
    <row r="35" spans="1:419" x14ac:dyDescent="0.3">
      <c r="B35" s="972"/>
      <c r="C35" s="768" t="s">
        <v>266</v>
      </c>
      <c r="D35" s="191">
        <f t="shared" si="914"/>
        <v>300694.07292655663</v>
      </c>
      <c r="E35" s="169">
        <v>84224</v>
      </c>
      <c r="F35" s="169">
        <v>49564</v>
      </c>
      <c r="G35" s="169">
        <v>45890</v>
      </c>
      <c r="H35" s="169">
        <v>26976</v>
      </c>
      <c r="I35" s="169">
        <v>37044</v>
      </c>
      <c r="J35" s="169">
        <f t="shared" ref="J35" si="923">J34</f>
        <v>56996.072926556611</v>
      </c>
      <c r="K35" s="193"/>
      <c r="L35" s="191">
        <f t="shared" si="915"/>
        <v>346429</v>
      </c>
      <c r="M35" s="169">
        <v>71540</v>
      </c>
      <c r="N35" s="169">
        <v>63644</v>
      </c>
      <c r="O35" s="773">
        <f>56861+9572</f>
        <v>66433</v>
      </c>
      <c r="P35" s="773">
        <f>51808+994</f>
        <v>52802</v>
      </c>
      <c r="Q35" s="169">
        <f>38649+3764+1141</f>
        <v>43554</v>
      </c>
      <c r="R35" s="169">
        <f>47930+526</f>
        <v>48456</v>
      </c>
      <c r="S35" s="193"/>
      <c r="T35" s="191">
        <f t="shared" si="916"/>
        <v>375572.58706445835</v>
      </c>
      <c r="U35" s="169">
        <v>81534</v>
      </c>
      <c r="V35" s="169">
        <v>72886</v>
      </c>
      <c r="W35" s="169">
        <v>53783</v>
      </c>
      <c r="X35" s="169">
        <f>50127+1005+4436</f>
        <v>55568</v>
      </c>
      <c r="Y35" s="169">
        <f>52025</f>
        <v>52025</v>
      </c>
      <c r="Z35" s="169">
        <f t="shared" ref="Z35" si="924">Z34</f>
        <v>59776.58706445837</v>
      </c>
      <c r="AA35" s="193"/>
      <c r="AB35" s="191"/>
      <c r="AC35" s="773">
        <f>100740+1000+526</f>
        <v>102266</v>
      </c>
      <c r="AD35" s="773">
        <v>80584</v>
      </c>
      <c r="AE35" s="773">
        <v>70974</v>
      </c>
      <c r="AF35" s="773">
        <f>63137+4428</f>
        <v>67565</v>
      </c>
      <c r="AG35" s="169">
        <v>57571</v>
      </c>
      <c r="AH35" s="773">
        <v>61000</v>
      </c>
      <c r="AI35" s="193"/>
      <c r="AJ35" s="191">
        <f t="shared" si="917"/>
        <v>335491</v>
      </c>
      <c r="AK35" s="169">
        <f>79398+3834</f>
        <v>83232</v>
      </c>
      <c r="AL35" s="169">
        <v>80128</v>
      </c>
      <c r="AM35" s="169">
        <v>61760</v>
      </c>
      <c r="AN35" s="169">
        <v>62943</v>
      </c>
      <c r="AO35" s="169">
        <v>47428</v>
      </c>
      <c r="AP35" s="169"/>
      <c r="AQ35" s="193"/>
      <c r="AR35" s="191"/>
      <c r="AS35" s="169">
        <v>92633</v>
      </c>
      <c r="AT35" s="169">
        <v>79134</v>
      </c>
      <c r="AU35" s="169">
        <v>67710</v>
      </c>
      <c r="AV35" s="169">
        <v>56506</v>
      </c>
      <c r="AW35" s="169">
        <v>59586</v>
      </c>
      <c r="AX35" s="169"/>
      <c r="AY35" s="169"/>
      <c r="AZ35" s="191"/>
      <c r="BA35" s="169">
        <v>147891</v>
      </c>
      <c r="BB35" s="169">
        <v>62166</v>
      </c>
      <c r="BC35" s="169">
        <v>57928</v>
      </c>
      <c r="BD35" s="169">
        <v>29278</v>
      </c>
      <c r="BE35" s="169">
        <v>37975</v>
      </c>
      <c r="BF35" s="169">
        <v>52677</v>
      </c>
      <c r="BG35" s="169"/>
      <c r="BH35" s="191"/>
      <c r="BI35" s="169">
        <v>96552</v>
      </c>
      <c r="BJ35" s="169">
        <v>70073</v>
      </c>
      <c r="BK35" s="169">
        <v>58581</v>
      </c>
      <c r="BL35" s="169">
        <v>43403</v>
      </c>
      <c r="BM35" s="169">
        <v>43941</v>
      </c>
      <c r="BN35" s="169">
        <v>58652</v>
      </c>
      <c r="BO35" s="169"/>
      <c r="BP35" s="191"/>
      <c r="BQ35" s="169">
        <v>89479</v>
      </c>
      <c r="BR35" s="169">
        <v>70053</v>
      </c>
      <c r="BS35" s="169">
        <v>71588</v>
      </c>
      <c r="BT35" s="169">
        <v>43944</v>
      </c>
      <c r="BU35" s="169">
        <v>49965</v>
      </c>
      <c r="BV35" s="169">
        <v>59277</v>
      </c>
      <c r="BW35" s="193"/>
      <c r="BX35" s="845"/>
      <c r="BY35" s="169">
        <v>102312</v>
      </c>
      <c r="BZ35" s="169">
        <v>78405</v>
      </c>
      <c r="CA35" s="169">
        <v>59062</v>
      </c>
      <c r="CB35" s="169">
        <v>46653</v>
      </c>
      <c r="CC35" s="169">
        <v>55723</v>
      </c>
      <c r="CD35" s="169">
        <v>51390</v>
      </c>
      <c r="CE35" s="169"/>
      <c r="CF35" s="169"/>
      <c r="CG35" s="169">
        <v>106046</v>
      </c>
      <c r="CH35" s="169">
        <v>78925</v>
      </c>
      <c r="CI35" s="169">
        <v>50694</v>
      </c>
      <c r="CJ35" s="169">
        <v>46864</v>
      </c>
      <c r="CK35" s="169">
        <v>52783</v>
      </c>
      <c r="CL35" s="169">
        <v>48653</v>
      </c>
      <c r="CM35" s="169"/>
      <c r="CN35" s="169"/>
      <c r="CO35" s="169">
        <v>99066</v>
      </c>
      <c r="CP35" s="169">
        <v>73190</v>
      </c>
      <c r="CQ35" s="169">
        <v>55690</v>
      </c>
      <c r="CR35" s="169">
        <v>53803</v>
      </c>
      <c r="CS35" s="169">
        <v>54274</v>
      </c>
      <c r="CT35" s="169">
        <v>61257</v>
      </c>
      <c r="CU35" s="169"/>
      <c r="CV35" s="169"/>
      <c r="CW35" s="169">
        <v>111324</v>
      </c>
      <c r="CX35" s="169">
        <v>61811</v>
      </c>
      <c r="CY35" s="169">
        <v>57242</v>
      </c>
      <c r="CZ35" s="169">
        <v>39725</v>
      </c>
      <c r="DA35" s="169">
        <v>50831</v>
      </c>
      <c r="DB35" s="169">
        <v>66915</v>
      </c>
      <c r="DC35" s="169"/>
      <c r="DD35" s="169"/>
      <c r="DE35" s="169">
        <v>104544</v>
      </c>
      <c r="DF35" s="169">
        <v>79494</v>
      </c>
      <c r="DG35" s="169">
        <v>44576</v>
      </c>
      <c r="DH35" s="169">
        <v>33102</v>
      </c>
      <c r="DI35" s="169">
        <v>66687</v>
      </c>
      <c r="DJ35" s="169"/>
      <c r="DK35" s="169"/>
      <c r="DL35" s="169"/>
      <c r="DM35" s="169">
        <v>108071</v>
      </c>
      <c r="DN35" s="169">
        <v>63663</v>
      </c>
      <c r="DO35" s="169">
        <v>59816</v>
      </c>
      <c r="DP35" s="169">
        <v>63475</v>
      </c>
      <c r="DQ35" s="169">
        <v>53515</v>
      </c>
      <c r="DR35" s="169">
        <v>53116</v>
      </c>
      <c r="DS35" s="169"/>
      <c r="DT35" s="169"/>
      <c r="DU35" s="169"/>
      <c r="DV35" s="169">
        <v>87006</v>
      </c>
      <c r="DW35" s="169">
        <v>49021</v>
      </c>
      <c r="DX35" s="169">
        <v>44875</v>
      </c>
      <c r="DY35" s="169">
        <v>49405</v>
      </c>
      <c r="DZ35" s="169">
        <v>48878</v>
      </c>
      <c r="EA35" s="169"/>
      <c r="EB35" s="169"/>
      <c r="EC35" s="169">
        <v>102000</v>
      </c>
      <c r="ED35" s="169">
        <v>69207</v>
      </c>
      <c r="EE35" s="169">
        <v>30343</v>
      </c>
      <c r="EF35" s="169">
        <v>55115</v>
      </c>
      <c r="EG35" s="169">
        <v>72106</v>
      </c>
      <c r="EH35" s="169"/>
      <c r="EI35" s="169"/>
      <c r="EJ35" s="169"/>
      <c r="EK35" s="169">
        <v>104462</v>
      </c>
      <c r="EL35" s="169">
        <v>65699</v>
      </c>
      <c r="EM35" s="169">
        <v>64238</v>
      </c>
      <c r="EN35" s="169">
        <v>60188</v>
      </c>
      <c r="EO35" s="169">
        <v>63966</v>
      </c>
      <c r="EP35" s="169">
        <v>46229</v>
      </c>
      <c r="EQ35" s="169"/>
      <c r="ER35" s="169"/>
      <c r="ES35" s="366">
        <v>116192</v>
      </c>
      <c r="ET35" s="169">
        <v>66459</v>
      </c>
      <c r="EU35" s="169">
        <v>49313</v>
      </c>
      <c r="EV35" s="169">
        <v>43377</v>
      </c>
      <c r="EW35" s="169">
        <v>46556</v>
      </c>
      <c r="EX35" s="169">
        <v>77061</v>
      </c>
      <c r="EY35" s="169"/>
      <c r="EZ35" s="169"/>
      <c r="FA35" s="169">
        <v>102662</v>
      </c>
      <c r="FB35" s="169">
        <v>63737</v>
      </c>
      <c r="FC35" s="169">
        <v>45119</v>
      </c>
      <c r="FD35" s="169">
        <v>46023</v>
      </c>
      <c r="FE35" s="169">
        <v>48034</v>
      </c>
      <c r="FF35" s="169"/>
      <c r="FG35" s="169"/>
      <c r="FH35" s="169"/>
      <c r="FI35" s="169">
        <v>94552</v>
      </c>
      <c r="FJ35" s="169">
        <v>50036</v>
      </c>
      <c r="FK35" s="169">
        <v>49300</v>
      </c>
      <c r="FL35" s="169"/>
      <c r="FM35" s="169">
        <v>49522</v>
      </c>
      <c r="FN35" s="169"/>
      <c r="FO35" s="193"/>
      <c r="FP35" s="191"/>
      <c r="FQ35" s="169">
        <v>119781</v>
      </c>
      <c r="FR35" s="169">
        <v>61844</v>
      </c>
      <c r="FS35" s="169">
        <v>58887</v>
      </c>
      <c r="FT35" s="169">
        <v>51984</v>
      </c>
      <c r="FU35" s="169">
        <v>62209</v>
      </c>
      <c r="FV35" s="169">
        <v>68509</v>
      </c>
      <c r="FW35" s="193"/>
      <c r="FX35" s="191"/>
      <c r="FY35" s="169"/>
      <c r="FZ35" s="169">
        <v>106319</v>
      </c>
      <c r="GA35" s="169">
        <v>53805</v>
      </c>
      <c r="GB35" s="169">
        <v>58254</v>
      </c>
      <c r="GC35" s="169">
        <v>56166</v>
      </c>
      <c r="GD35" s="169">
        <v>61616</v>
      </c>
      <c r="GE35" s="193"/>
      <c r="GF35" s="191"/>
      <c r="GG35" s="169">
        <v>99560</v>
      </c>
      <c r="GH35" s="169">
        <v>67555</v>
      </c>
      <c r="GI35" s="169">
        <v>62152</v>
      </c>
      <c r="GJ35" s="169">
        <v>47822</v>
      </c>
      <c r="GK35" s="169">
        <v>63600</v>
      </c>
      <c r="GL35" s="169">
        <v>66165</v>
      </c>
      <c r="GM35" s="193"/>
      <c r="GN35" s="191">
        <f t="shared" ref="GN35:GN43" si="925">SUM(GO35:GT35)</f>
        <v>391933</v>
      </c>
      <c r="GO35" s="169">
        <v>100734</v>
      </c>
      <c r="GP35" s="169">
        <v>67123</v>
      </c>
      <c r="GQ35" s="169">
        <v>44627</v>
      </c>
      <c r="GR35" s="169">
        <v>64461</v>
      </c>
      <c r="GS35" s="169">
        <v>64756</v>
      </c>
      <c r="GT35" s="169">
        <v>50232</v>
      </c>
      <c r="GU35" s="193"/>
      <c r="GV35" s="191">
        <f t="shared" ref="GV35:GV43" si="926">SUM(GW35:HB35)</f>
        <v>383615</v>
      </c>
      <c r="GW35" s="169">
        <v>92649</v>
      </c>
      <c r="GX35" s="169">
        <v>78220</v>
      </c>
      <c r="GY35" s="169">
        <v>54586</v>
      </c>
      <c r="GZ35" s="169">
        <v>53490</v>
      </c>
      <c r="HA35" s="169">
        <v>48779</v>
      </c>
      <c r="HB35" s="169">
        <v>55891</v>
      </c>
      <c r="HC35" s="169"/>
      <c r="HD35" s="191">
        <f t="shared" ref="HD35:HD43" si="927">SUM(HE35:HJ35)</f>
        <v>323184</v>
      </c>
      <c r="HE35" s="169">
        <v>82020</v>
      </c>
      <c r="HF35" s="169">
        <v>68366</v>
      </c>
      <c r="HG35" s="169">
        <v>40040</v>
      </c>
      <c r="HH35" s="169">
        <v>41510</v>
      </c>
      <c r="HI35" s="169">
        <v>45230</v>
      </c>
      <c r="HJ35" s="169">
        <v>46018</v>
      </c>
      <c r="HK35" s="169"/>
      <c r="HL35" s="191">
        <f t="shared" ref="HL35:HL43" si="928">SUM(HM35:HR35)</f>
        <v>282908</v>
      </c>
      <c r="HM35" s="169">
        <v>72446</v>
      </c>
      <c r="HN35" s="169">
        <v>57417</v>
      </c>
      <c r="HO35" s="169">
        <v>46396</v>
      </c>
      <c r="HP35" s="169">
        <v>44223</v>
      </c>
      <c r="HQ35" s="169">
        <v>41982</v>
      </c>
      <c r="HR35" s="169">
        <v>20444</v>
      </c>
      <c r="HS35" s="193"/>
      <c r="HT35" s="191">
        <f t="shared" ref="HT35:HT43" si="929">SUM(HU35:HZ35)</f>
        <v>263741</v>
      </c>
      <c r="HU35" s="169">
        <v>67408</v>
      </c>
      <c r="HV35" s="169">
        <v>51655</v>
      </c>
      <c r="HW35" s="169">
        <v>53350</v>
      </c>
      <c r="HX35" s="169"/>
      <c r="HY35" s="169">
        <v>45843</v>
      </c>
      <c r="HZ35" s="169">
        <v>45485</v>
      </c>
      <c r="IA35" s="169"/>
      <c r="IB35" s="191">
        <f t="shared" ref="IB35" si="930">SUM(IC35:IH35)</f>
        <v>292829</v>
      </c>
      <c r="IC35" s="169">
        <v>78763</v>
      </c>
      <c r="ID35" s="169">
        <v>52702</v>
      </c>
      <c r="IE35" s="169">
        <v>42004</v>
      </c>
      <c r="IF35" s="169">
        <v>32949</v>
      </c>
      <c r="IG35" s="169">
        <v>45028</v>
      </c>
      <c r="IH35" s="169">
        <v>41383</v>
      </c>
      <c r="II35" s="169"/>
      <c r="IJ35" s="191">
        <f t="shared" ref="IJ35" si="931">SUM(IK35:IP35)</f>
        <v>316160</v>
      </c>
      <c r="IK35" s="169">
        <v>76669</v>
      </c>
      <c r="IL35" s="169">
        <v>55647</v>
      </c>
      <c r="IM35" s="169">
        <v>49693</v>
      </c>
      <c r="IN35" s="169">
        <v>36827</v>
      </c>
      <c r="IO35" s="169">
        <v>47440</v>
      </c>
      <c r="IP35" s="169">
        <v>49884</v>
      </c>
      <c r="IQ35" s="193"/>
      <c r="IR35" s="191"/>
      <c r="IS35" s="169">
        <v>70855</v>
      </c>
      <c r="IT35" s="169">
        <v>56805</v>
      </c>
      <c r="IU35" s="169">
        <v>47403</v>
      </c>
      <c r="IV35" s="169">
        <v>38883</v>
      </c>
      <c r="IW35" s="169">
        <v>39481</v>
      </c>
      <c r="IX35" s="169">
        <v>49016</v>
      </c>
      <c r="IY35" s="193"/>
      <c r="IZ35" s="191"/>
      <c r="JA35" s="169"/>
      <c r="JB35" s="169">
        <v>61049</v>
      </c>
      <c r="JC35" s="169">
        <v>59310</v>
      </c>
      <c r="JD35" s="169">
        <v>49368</v>
      </c>
      <c r="JE35" s="169">
        <v>61442</v>
      </c>
      <c r="JF35" s="169"/>
      <c r="JG35" s="193"/>
      <c r="JH35" s="191"/>
      <c r="JI35" s="169">
        <v>136882</v>
      </c>
      <c r="JJ35" s="169">
        <v>61580</v>
      </c>
      <c r="JK35" s="169">
        <v>50038</v>
      </c>
      <c r="JL35" s="169">
        <v>48455</v>
      </c>
      <c r="JM35" s="169">
        <v>49353</v>
      </c>
      <c r="JN35" s="169">
        <v>56956</v>
      </c>
      <c r="JO35" s="193"/>
      <c r="JP35" s="191"/>
      <c r="JQ35" s="169">
        <v>131672</v>
      </c>
      <c r="JR35" s="169">
        <v>76713</v>
      </c>
      <c r="JS35" s="756">
        <v>65449</v>
      </c>
      <c r="JT35" s="169">
        <v>49272</v>
      </c>
      <c r="JU35" s="169">
        <v>57084</v>
      </c>
      <c r="JV35" s="169">
        <v>59431</v>
      </c>
      <c r="JW35" s="193"/>
      <c r="JX35" s="778"/>
      <c r="JY35" s="169">
        <v>103097</v>
      </c>
      <c r="JZ35" s="169">
        <v>73147</v>
      </c>
      <c r="KA35" s="169">
        <v>67905</v>
      </c>
      <c r="KB35" s="169">
        <v>56859</v>
      </c>
      <c r="KC35" s="169">
        <v>57735</v>
      </c>
      <c r="KD35" s="169">
        <v>54993</v>
      </c>
      <c r="KE35" s="193"/>
      <c r="KF35" s="191"/>
      <c r="KG35" s="169">
        <v>164456</v>
      </c>
      <c r="KH35" s="169">
        <v>65782</v>
      </c>
      <c r="KI35" s="169">
        <v>59572</v>
      </c>
      <c r="KJ35" s="169">
        <v>41459</v>
      </c>
      <c r="KK35" s="169">
        <v>51658</v>
      </c>
      <c r="KL35" s="169">
        <v>61369</v>
      </c>
      <c r="KM35" s="193"/>
      <c r="KN35" s="191"/>
      <c r="KO35" s="169">
        <v>89514</v>
      </c>
      <c r="KP35" s="169">
        <v>70307</v>
      </c>
      <c r="KQ35" s="169">
        <v>61766</v>
      </c>
      <c r="KR35" s="169">
        <v>41772</v>
      </c>
      <c r="KS35" s="169">
        <v>49116</v>
      </c>
      <c r="KT35" s="169">
        <v>48730</v>
      </c>
      <c r="KU35" s="193"/>
      <c r="KV35" s="191"/>
      <c r="KW35" s="169">
        <v>94115</v>
      </c>
      <c r="KX35" s="169">
        <v>63565</v>
      </c>
      <c r="KY35" s="169">
        <v>71881</v>
      </c>
      <c r="KZ35" s="169">
        <v>50620</v>
      </c>
      <c r="LA35" s="169">
        <v>53125</v>
      </c>
      <c r="LB35" s="169">
        <v>66394</v>
      </c>
      <c r="LC35" s="193"/>
      <c r="LD35" s="191"/>
      <c r="LE35" s="169">
        <v>106538</v>
      </c>
      <c r="LF35" s="169">
        <v>72374</v>
      </c>
      <c r="LG35" s="169">
        <v>67128</v>
      </c>
      <c r="LH35" s="169">
        <v>59796</v>
      </c>
      <c r="LI35" s="169">
        <v>55493</v>
      </c>
      <c r="LJ35" s="169">
        <v>58173</v>
      </c>
      <c r="LK35" s="193"/>
      <c r="LL35" s="191"/>
      <c r="LM35" s="169">
        <v>103076</v>
      </c>
      <c r="LN35" s="169">
        <v>74521</v>
      </c>
      <c r="LO35" s="169">
        <v>60987</v>
      </c>
      <c r="LP35" s="169">
        <v>53184</v>
      </c>
      <c r="LQ35" s="169">
        <v>54679</v>
      </c>
      <c r="LR35" s="169">
        <v>63320</v>
      </c>
      <c r="LS35" s="193"/>
      <c r="LT35" s="191"/>
      <c r="LU35" s="169">
        <v>97073</v>
      </c>
      <c r="LV35" s="169">
        <v>70464</v>
      </c>
      <c r="LW35" s="169">
        <v>62003</v>
      </c>
      <c r="LX35" s="169">
        <v>50744</v>
      </c>
      <c r="LY35" s="169">
        <v>48111</v>
      </c>
      <c r="LZ35" s="169">
        <v>56447</v>
      </c>
      <c r="MA35" s="193"/>
      <c r="MB35" s="191"/>
      <c r="MC35" s="169">
        <v>89090</v>
      </c>
      <c r="MD35" s="169">
        <v>55399</v>
      </c>
      <c r="ME35" s="169">
        <v>61348</v>
      </c>
      <c r="MF35" s="169">
        <v>52311</v>
      </c>
      <c r="MG35" s="169">
        <v>49238</v>
      </c>
      <c r="MH35" s="169">
        <v>52733</v>
      </c>
      <c r="MI35" s="169"/>
      <c r="MJ35" s="191">
        <f t="shared" ref="MJ35:MJ43" si="932">SUM(MK35:MQ35)</f>
        <v>433077</v>
      </c>
      <c r="MK35" s="169">
        <v>86280</v>
      </c>
      <c r="ML35" s="169"/>
      <c r="MM35" s="169">
        <v>122036</v>
      </c>
      <c r="MN35" s="169">
        <v>60848</v>
      </c>
      <c r="MO35" s="169">
        <v>94252</v>
      </c>
      <c r="MP35" s="169">
        <v>69661</v>
      </c>
      <c r="MQ35" s="193"/>
      <c r="MR35" s="191">
        <f t="shared" si="919"/>
        <v>444636</v>
      </c>
      <c r="MS35" s="169">
        <v>97285</v>
      </c>
      <c r="MT35" s="169">
        <v>189772</v>
      </c>
      <c r="MU35" s="169">
        <v>21742</v>
      </c>
      <c r="MV35" s="169">
        <f>114385-20000</f>
        <v>94385</v>
      </c>
      <c r="MW35" s="169"/>
      <c r="MX35" s="169">
        <v>41452</v>
      </c>
      <c r="MY35" s="193"/>
      <c r="MZ35" s="191">
        <f t="shared" si="920"/>
        <v>461784</v>
      </c>
      <c r="NA35" s="169">
        <v>97817</v>
      </c>
      <c r="NB35" s="169">
        <v>69017</v>
      </c>
      <c r="NC35" s="169">
        <v>90926</v>
      </c>
      <c r="ND35" s="169">
        <v>84224</v>
      </c>
      <c r="NE35" s="169">
        <v>56027</v>
      </c>
      <c r="NF35" s="169">
        <v>63773</v>
      </c>
      <c r="NG35" s="169"/>
      <c r="NH35" s="191">
        <f t="shared" si="921"/>
        <v>415447</v>
      </c>
      <c r="NI35" s="169">
        <v>112319</v>
      </c>
      <c r="NJ35" s="169">
        <v>66169</v>
      </c>
      <c r="NK35" s="169">
        <v>68042</v>
      </c>
      <c r="NL35" s="169">
        <v>50627</v>
      </c>
      <c r="NM35" s="169">
        <v>49605</v>
      </c>
      <c r="NN35" s="169">
        <v>68685</v>
      </c>
      <c r="NO35" s="193">
        <f t="shared" ref="NO35" si="933">NO34</f>
        <v>0</v>
      </c>
      <c r="NP35" s="191">
        <f t="shared" si="922"/>
        <v>502624</v>
      </c>
      <c r="NQ35" s="169">
        <v>158821</v>
      </c>
      <c r="NR35" s="169">
        <v>70831</v>
      </c>
      <c r="NS35" s="169">
        <v>76542</v>
      </c>
      <c r="NT35" s="169">
        <v>67017</v>
      </c>
      <c r="NU35" s="169">
        <v>64654</v>
      </c>
      <c r="NV35" s="169">
        <v>64759</v>
      </c>
      <c r="NW35" s="193"/>
      <c r="NX35" s="191"/>
      <c r="NY35" s="169">
        <v>94568</v>
      </c>
      <c r="NZ35" s="169">
        <v>76287</v>
      </c>
      <c r="OA35" s="169">
        <v>63301</v>
      </c>
      <c r="OB35" s="169">
        <v>54256</v>
      </c>
      <c r="OC35" s="169">
        <v>52050</v>
      </c>
      <c r="OD35" s="169">
        <v>58807</v>
      </c>
      <c r="OE35" s="193"/>
      <c r="OF35" s="191"/>
      <c r="OG35" s="169">
        <v>123475</v>
      </c>
      <c r="OH35" s="169">
        <v>68514</v>
      </c>
      <c r="OI35" s="169">
        <v>65979</v>
      </c>
      <c r="OJ35" s="169">
        <v>56286</v>
      </c>
      <c r="OK35" s="169">
        <v>50336</v>
      </c>
      <c r="OL35" s="169">
        <v>39622</v>
      </c>
      <c r="OM35" s="193"/>
      <c r="ON35" s="191"/>
      <c r="OO35" s="169">
        <v>76525</v>
      </c>
      <c r="OP35" s="169">
        <v>75921</v>
      </c>
      <c r="OQ35" s="169">
        <v>58697</v>
      </c>
      <c r="OR35" s="169">
        <v>62334</v>
      </c>
      <c r="OS35" s="169">
        <v>55510</v>
      </c>
      <c r="OT35" s="169">
        <v>37575</v>
      </c>
      <c r="OU35" s="193"/>
      <c r="OV35" s="191"/>
      <c r="OW35" s="169">
        <v>90911</v>
      </c>
      <c r="OX35" s="169">
        <v>63764</v>
      </c>
      <c r="OY35" s="169">
        <v>47680</v>
      </c>
      <c r="OZ35" s="169">
        <v>39552</v>
      </c>
      <c r="PA35" s="169">
        <v>61119</v>
      </c>
      <c r="PB35" s="169">
        <v>46818</v>
      </c>
      <c r="PC35" s="193"/>
    </row>
    <row r="36" spans="1:419" outlineLevel="1" x14ac:dyDescent="0.3">
      <c r="B36" s="972"/>
      <c r="C36" s="681" t="s">
        <v>267</v>
      </c>
      <c r="D36" s="692">
        <f t="shared" si="914"/>
        <v>332313.28210852342</v>
      </c>
      <c r="E36" s="665">
        <f>INDEX(DB!$3:$367,MATCH(E$2,DB!$D$3:$D$367),45)</f>
        <v>60969.286306877912</v>
      </c>
      <c r="F36" s="665">
        <f>INDEX(DB!$3:$367,MATCH(F$2,DB!$D$3:$D$367),45)</f>
        <v>68517.000793053478</v>
      </c>
      <c r="G36" s="665">
        <f>INDEX(DB!$3:$367,MATCH(G$2,DB!$D$3:$D$367),45)</f>
        <v>59891.490568967864</v>
      </c>
      <c r="H36" s="665">
        <f>INDEX(DB!$3:$367,MATCH(H$2,DB!$D$3:$D$367),45)</f>
        <v>54044.997867303784</v>
      </c>
      <c r="I36" s="665">
        <f>INDEX(DB!$3:$367,MATCH(I$2,DB!$D$3:$D$367),45)</f>
        <v>48691.064871575494</v>
      </c>
      <c r="J36" s="665">
        <f>INDEX(DB!$3:$367,MATCH(J$2,DB!$D$3:$D$367),45)</f>
        <v>40199.441700744937</v>
      </c>
      <c r="K36" s="666">
        <f>INDEX(DB!$3:$367,MATCH(K$2,DB!$D$3:$D$367),45)</f>
        <v>0</v>
      </c>
      <c r="L36" s="692">
        <f t="shared" si="915"/>
        <v>338982.51636945747</v>
      </c>
      <c r="M36" s="665">
        <f>INDEX(DB!$3:$367,MATCH(M$2,DB!$D$3:$D$367),45)</f>
        <v>62238.662836870972</v>
      </c>
      <c r="N36" s="665">
        <f>INDEX(DB!$3:$367,MATCH(N$2,DB!$D$3:$D$367),45)</f>
        <v>69274.246065275729</v>
      </c>
      <c r="O36" s="665">
        <f>INDEX(DB!$3:$367,MATCH(O$2,DB!$D$3:$D$367),45)</f>
        <v>61138.463129043055</v>
      </c>
      <c r="P36" s="665">
        <f>INDEX(DB!$3:$367,MATCH(P$2,DB!$D$3:$D$367),45)</f>
        <v>54461.558612140798</v>
      </c>
      <c r="Q36" s="665">
        <f>INDEX(DB!$3:$367,MATCH(Q$2,DB!$D$3:$D$367),45)</f>
        <v>49704.594182227105</v>
      </c>
      <c r="R36" s="665">
        <f>INDEX(DB!$3:$367,MATCH(R$2,DB!$D$3:$D$367),45)</f>
        <v>42164.991543899829</v>
      </c>
      <c r="S36" s="666">
        <f>INDEX(DB!$3:$367,MATCH(S$2,DB!$D$3:$D$367),45)</f>
        <v>0</v>
      </c>
      <c r="T36" s="692">
        <f t="shared" si="916"/>
        <v>293051.83422478638</v>
      </c>
      <c r="U36" s="665">
        <f>INDEX(DB!$3:$367,MATCH(U$2,DB!$D$3:$D$367),45)</f>
        <v>63394.135324013827</v>
      </c>
      <c r="V36" s="665">
        <f>INDEX(DB!$3:$367,MATCH(V$2,DB!$D$3:$D$367),45)</f>
        <v>69873.170897382835</v>
      </c>
      <c r="W36" s="665">
        <f>INDEX(DB!$3:$367,MATCH(W$2,DB!$D$3:$D$367),45)</f>
        <v>65008.207708023707</v>
      </c>
      <c r="X36" s="665"/>
      <c r="Y36" s="665">
        <f>INDEX(DB!$3:$367,MATCH(Y$2,DB!$D$3:$D$367),45)</f>
        <v>52615.776535384284</v>
      </c>
      <c r="Z36" s="665">
        <f>INDEX(DB!$3:$367,MATCH(Z$2,DB!$D$3:$D$367),45)</f>
        <v>42160.543759981701</v>
      </c>
      <c r="AA36" s="666">
        <f>INDEX(DB!$3:$367,MATCH(AA$2,DB!$D$3:$D$367),45)</f>
        <v>0</v>
      </c>
      <c r="AB36" s="692">
        <f>SUM(AC36:AI36)</f>
        <v>356346.30496253079</v>
      </c>
      <c r="AC36" s="665">
        <f>INDEX(DB!$3:$367,MATCH(AC$2,DB!$D$3:$D$367),45)</f>
        <v>63755.267158230745</v>
      </c>
      <c r="AD36" s="665">
        <f>INDEX(DB!$3:$367,MATCH(AD$2,DB!$D$3:$D$367),45)</f>
        <v>70271.525553156389</v>
      </c>
      <c r="AE36" s="665">
        <f>INDEX(DB!$3:$367,MATCH(AE$2,DB!$D$3:$D$367),45)</f>
        <v>65378.52893266808</v>
      </c>
      <c r="AF36" s="665">
        <f>INDEX(DB!$3:$367,MATCH(AF$2,DB!$D$3:$D$367),45)</f>
        <v>61624.899913218018</v>
      </c>
      <c r="AG36" s="665">
        <f>INDEX(DB!$3:$367,MATCH(AG$2,DB!$D$3:$D$367),45)</f>
        <v>52915.359313696696</v>
      </c>
      <c r="AH36" s="665">
        <f>INDEX(DB!$3:$367,MATCH(AH$2,DB!$D$3:$D$367),45)</f>
        <v>42400.724091560871</v>
      </c>
      <c r="AI36" s="665">
        <f>INDEX(DB!$3:$367,MATCH(AI$2,DB!$D$3:$D$367),45)</f>
        <v>0</v>
      </c>
      <c r="AJ36" s="692">
        <f t="shared" si="917"/>
        <v>362565.61580275721</v>
      </c>
      <c r="AK36" s="665">
        <f>INDEX(DB!$3:$367,MATCH(AK$2,DB!$D$3:$D$367),45)</f>
        <v>64868.165675259086</v>
      </c>
      <c r="AL36" s="665">
        <f>INDEX(DB!$3:$367,MATCH(AL$2,DB!$D$3:$D$367),45)</f>
        <v>71497.696469121409</v>
      </c>
      <c r="AM36" s="665">
        <f>INDEX(DB!$3:$367,MATCH(AM$2,DB!$D$3:$D$367),45)</f>
        <v>66519.567178784389</v>
      </c>
      <c r="AN36" s="665">
        <f>INDEX(DB!$3:$367,MATCH(AN$2,DB!$D$3:$D$367),45)</f>
        <v>62700.351857425667</v>
      </c>
      <c r="AO36" s="665">
        <f>INDEX(DB!$3:$367,MATCH(AO$2,DB!$D$3:$D$367),45)</f>
        <v>53838.925156896512</v>
      </c>
      <c r="AP36" s="665">
        <f>INDEX(DB!$3:$367,MATCH(AP$2,DB!$D$3:$D$367),45)</f>
        <v>43140.909465270161</v>
      </c>
      <c r="AQ36" s="665">
        <f>INDEX(DB!$3:$367,MATCH(AQ$2,DB!$D$3:$D$367),45)</f>
        <v>0</v>
      </c>
      <c r="AR36" s="665"/>
      <c r="AS36" s="665">
        <f>INDEX(DB!$3:$367,MATCH(AS$2,DB!$D$3:$D$367),45)</f>
        <v>65243.488832847499</v>
      </c>
      <c r="AT36" s="665">
        <f>INDEX(DB!$3:$367,MATCH(AT$2,DB!$D$3:$D$367),45)</f>
        <v>71911.372457809353</v>
      </c>
      <c r="AU36" s="665">
        <f>INDEX(DB!$3:$367,MATCH(AU$2,DB!$D$3:$D$367),45)</f>
        <v>66904.701252414525</v>
      </c>
      <c r="AV36" s="665">
        <f>INDEX(DB!$3:$367,MATCH(AV$2,DB!$D$3:$D$367),45)</f>
        <v>63063.405330367481</v>
      </c>
      <c r="AW36" s="665">
        <f>INDEX(DB!$3:$367,MATCH(AW$2,DB!$D$3:$D$367),45)</f>
        <v>54150.473519549807</v>
      </c>
      <c r="AX36" s="665">
        <f>INDEX(DB!$3:$367,MATCH(AX$2,DB!$D$3:$D$367),45)</f>
        <v>43390.356013345445</v>
      </c>
      <c r="AY36" s="665">
        <f>INDEX(DB!$3:$367,MATCH(AY$2,DB!$D$3:$D$367),45)</f>
        <v>0</v>
      </c>
      <c r="AZ36" s="692"/>
      <c r="BA36" s="665">
        <f>INDEX(DB!$3:$367,MATCH(BA$2,DB!$D$3:$D$367),45)</f>
        <v>67739.7527781549</v>
      </c>
      <c r="BB36" s="665">
        <f>INDEX(DB!$3:$367,MATCH(BB$2,DB!$D$3:$D$367),45)</f>
        <v>68393.501564107355</v>
      </c>
      <c r="BC36" s="665">
        <f>INDEX(DB!$3:$367,MATCH(BC$2,DB!$D$3:$D$367),45)</f>
        <v>61388.037190742783</v>
      </c>
      <c r="BD36" s="665">
        <f>INDEX(DB!$3:$367,MATCH(BD$2,DB!$D$3:$D$367),45)</f>
        <v>57124.098150000296</v>
      </c>
      <c r="BE36" s="665">
        <f>INDEX(DB!$3:$367,MATCH(BE$2,DB!$D$3:$D$367),45)</f>
        <v>57354.147934372944</v>
      </c>
      <c r="BF36" s="665">
        <f>INDEX(DB!$3:$367,MATCH(BF$2,DB!$D$3:$D$367),45)</f>
        <v>43006.364001746639</v>
      </c>
      <c r="BG36" s="665">
        <f>INDEX(DB!$3:$367,MATCH(BG$2,DB!$D$3:$D$367),45)</f>
        <v>0</v>
      </c>
      <c r="BH36" s="692"/>
      <c r="BI36" s="665">
        <f>INDEX(DB!$3:$367,MATCH(BI$2,DB!$D$3:$D$367),45)</f>
        <v>65115</v>
      </c>
      <c r="BJ36" s="665">
        <f>INDEX(DB!$3:$367,MATCH(BJ$2,DB!$D$3:$D$367),45)</f>
        <v>68419</v>
      </c>
      <c r="BK36" s="665">
        <f>INDEX(DB!$3:$367,MATCH(BK$2,DB!$D$3:$D$367),45)</f>
        <v>59969</v>
      </c>
      <c r="BL36" s="665">
        <f>INDEX(DB!$3:$367,MATCH(BL$2,DB!$D$3:$D$367),45)</f>
        <v>56004</v>
      </c>
      <c r="BM36" s="665">
        <f>INDEX(DB!$3:$367,MATCH(BM$2,DB!$D$3:$D$367),45)</f>
        <v>52595</v>
      </c>
      <c r="BN36" s="665">
        <f>INDEX(DB!$3:$367,MATCH(BN$2,DB!$D$3:$D$367),45)</f>
        <v>43989</v>
      </c>
      <c r="BO36" s="665">
        <f>INDEX(DB!$3:$367,MATCH(BO$2,DB!$D$3:$D$367),45)</f>
        <v>0</v>
      </c>
      <c r="BP36" s="692" t="e">
        <f>INDEX(DB!$3:$367,MATCH(BP$2,DB!$D$3:$D$367),45)</f>
        <v>#N/A</v>
      </c>
      <c r="BQ36" s="665">
        <f>INDEX(DB!$3:$367,MATCH(BQ$2,DB!$D$3:$D$367),45)</f>
        <v>62034.009015618787</v>
      </c>
      <c r="BR36" s="665">
        <f>INDEX(DB!$3:$367,MATCH(BR$2,DB!$D$3:$D$367),45)</f>
        <v>68374.001685852709</v>
      </c>
      <c r="BS36" s="665">
        <f>INDEX(DB!$3:$367,MATCH(BS$2,DB!$D$3:$D$367),45)</f>
        <v>63613.555532302467</v>
      </c>
      <c r="BT36" s="665">
        <f>INDEX(DB!$3:$367,MATCH(BT$2,DB!$D$3:$D$367),45)</f>
        <v>59960.867978163158</v>
      </c>
      <c r="BU36" s="665">
        <f>INDEX(DB!$3:$367,MATCH(BU$2,DB!$D$3:$D$367),45)</f>
        <v>51486.579909437489</v>
      </c>
      <c r="BV36" s="665">
        <f>INDEX(DB!$3:$367,MATCH(BV$2,DB!$D$3:$D$367),45)</f>
        <v>41256.161029961346</v>
      </c>
      <c r="BW36" s="666">
        <f>INDEX(DB!$3:$367,MATCH(BW$2,DB!$D$3:$D$367),45)</f>
        <v>0</v>
      </c>
      <c r="BX36" s="848" t="e">
        <f>INDEX(DB!$3:$367,MATCH(BX$2,DB!$D$3:$D$367),45)</f>
        <v>#N/A</v>
      </c>
      <c r="BY36" s="665">
        <f>INDEX(DB!$3:$367,MATCH(BY$2,DB!$D$3:$D$367),45)</f>
        <v>65838.030590937808</v>
      </c>
      <c r="BZ36" s="665">
        <f>INDEX(DB!$3:$367,MATCH(BZ$2,DB!$D$3:$D$367),45)</f>
        <v>67544.328294398889</v>
      </c>
      <c r="CA36" s="665">
        <f>INDEX(DB!$3:$367,MATCH(CA$2,DB!$D$3:$D$367),45)</f>
        <v>56141.146530296792</v>
      </c>
      <c r="CB36" s="665">
        <f>INDEX(DB!$3:$367,MATCH(CB$2,DB!$D$3:$D$367),45)</f>
        <v>50590.904472482238</v>
      </c>
      <c r="CC36" s="665">
        <f>INDEX(DB!$3:$367,MATCH(CC$2,DB!$D$3:$D$367),45)</f>
        <v>50444.24456240968</v>
      </c>
      <c r="CD36" s="665">
        <f>INDEX(DB!$3:$367,MATCH(CD$2,DB!$D$3:$D$367),45)</f>
        <v>43654.257859154663</v>
      </c>
      <c r="CE36" s="665">
        <f>INDEX(DB!$3:$367,MATCH(CE$2,DB!$D$3:$D$367),45)</f>
        <v>0</v>
      </c>
      <c r="CF36" s="665" t="e">
        <f>INDEX(DB!$3:$367,MATCH(CF$2,DB!$D$3:$D$367),45)</f>
        <v>#N/A</v>
      </c>
      <c r="CG36" s="665">
        <f>INDEX(DB!$3:$367,MATCH(CG$2,DB!$D$3:$D$367),45)</f>
        <v>65965.752501281328</v>
      </c>
      <c r="CH36" s="665">
        <f>INDEX(DB!$3:$367,MATCH(CH$2,DB!$D$3:$D$367),45)</f>
        <v>67675.720331210003</v>
      </c>
      <c r="CI36" s="665">
        <f>INDEX(DB!$3:$367,MATCH(CI$2,DB!$D$3:$D$367),45)</f>
        <v>56250.222963737499</v>
      </c>
      <c r="CJ36" s="665">
        <f>INDEX(DB!$3:$367,MATCH(CJ$2,DB!$D$3:$D$367),45)</f>
        <v>50689.074839099878</v>
      </c>
      <c r="CK36" s="665">
        <f>INDEX(DB!$3:$367,MATCH(CK$2,DB!$D$3:$D$367),45)</f>
        <v>50542.185086088735</v>
      </c>
      <c r="CL36" s="665">
        <f>INDEX(DB!$3:$367,MATCH(CL$2,DB!$D$3:$D$367),45)</f>
        <v>43739.136402259035</v>
      </c>
      <c r="CM36" s="665">
        <f>INDEX(DB!$3:$367,MATCH(CM$2,DB!$D$3:$D$367),45)</f>
        <v>0</v>
      </c>
      <c r="CN36" s="665" t="e">
        <f>INDEX(DB!$3:$367,MATCH(CN$2,DB!$D$3:$D$367),45)</f>
        <v>#N/A</v>
      </c>
      <c r="CO36" s="665">
        <f>INDEX(DB!$3:$367,MATCH(CO$2,DB!$D$3:$D$367),45)</f>
        <v>65404.821772228795</v>
      </c>
      <c r="CP36" s="665">
        <f>INDEX(DB!$3:$367,MATCH(CP$2,DB!$D$3:$D$367),45)</f>
        <v>68645.607132971039</v>
      </c>
      <c r="CQ36" s="665">
        <f>INDEX(DB!$3:$367,MATCH(CQ$2,DB!$D$3:$D$367),45)</f>
        <v>60519.016716910672</v>
      </c>
      <c r="CR36" s="665">
        <f>INDEX(DB!$3:$367,MATCH(CR$2,DB!$D$3:$D$367),45)</f>
        <v>56517.829804807567</v>
      </c>
      <c r="CS36" s="665">
        <f>INDEX(DB!$3:$367,MATCH(CS$2,DB!$D$3:$D$367),45)</f>
        <v>51248.154562200689</v>
      </c>
      <c r="CT36" s="665">
        <f>INDEX(DB!$3:$367,MATCH(CT$2,DB!$D$3:$D$367),45)</f>
        <v>46535.309892125246</v>
      </c>
      <c r="CU36" s="665">
        <f>INDEX(DB!$3:$367,MATCH(CU$2,DB!$D$3:$D$367),45)</f>
        <v>0</v>
      </c>
      <c r="CV36" s="665" t="e">
        <f>INDEX(DB!$3:$367,MATCH(CV$2,DB!$D$3:$D$367),45)</f>
        <v>#N/A</v>
      </c>
      <c r="CW36" s="665">
        <f>INDEX(DB!$3:$367,MATCH(CW$2,DB!$D$3:$D$367),45)</f>
        <v>70328.09061450552</v>
      </c>
      <c r="CX36" s="665">
        <f>INDEX(DB!$3:$367,MATCH(CX$2,DB!$D$3:$D$367),45)</f>
        <v>62900.571572898647</v>
      </c>
      <c r="CY36" s="665">
        <f>INDEX(DB!$3:$367,MATCH(CY$2,DB!$D$3:$D$367),45)</f>
        <v>58284.520891117194</v>
      </c>
      <c r="CZ36" s="665">
        <f>INDEX(DB!$3:$367,MATCH(CZ$2,DB!$D$3:$D$367),45)</f>
        <v>52855.898246426164</v>
      </c>
      <c r="DA36" s="665">
        <f>INDEX(DB!$3:$367,MATCH(DA$2,DB!$D$3:$D$367),45)</f>
        <v>54166.870801794721</v>
      </c>
      <c r="DB36" s="665">
        <f>INDEX(DB!$3:$367,MATCH(DB$2,DB!$D$3:$D$367),45)</f>
        <v>48364.090379797555</v>
      </c>
      <c r="DC36" s="665">
        <f>INDEX(DB!$3:$367,MATCH(DC$2,DB!$D$3:$D$367),45)</f>
        <v>0</v>
      </c>
      <c r="DD36" s="665" t="e">
        <f>INDEX(DB!$3:$367,MATCH(DD$2,DB!$D$3:$D$367),45)</f>
        <v>#N/A</v>
      </c>
      <c r="DE36" s="665">
        <f>INDEX(DB!$3:$367,MATCH(DE$2,DB!$D$3:$D$367),45)</f>
        <v>63575</v>
      </c>
      <c r="DF36" s="665">
        <f>INDEX(DB!$3:$367,MATCH(DF$2,DB!$D$3:$D$367),45)</f>
        <v>60493</v>
      </c>
      <c r="DG36" s="665">
        <f>INDEX(DB!$3:$367,MATCH(DG$2,DB!$D$3:$D$367),45)</f>
        <v>56397</v>
      </c>
      <c r="DH36" s="665">
        <f>INDEX(DB!$3:$367,MATCH(DH$2,DB!$D$3:$D$367),45)</f>
        <v>55385</v>
      </c>
      <c r="DI36" s="665">
        <f>INDEX(DB!$3:$367,MATCH(DI$2,DB!$D$3:$D$367),45)</f>
        <v>52768</v>
      </c>
      <c r="DJ36" s="665">
        <f>INDEX(DB!$3:$367,MATCH(DJ$2,DB!$D$3:$D$367),45)</f>
        <v>47687</v>
      </c>
      <c r="DK36" s="665">
        <f>INDEX(DB!$3:$367,MATCH(DK$2,DB!$D$3:$D$367),45)</f>
        <v>0</v>
      </c>
      <c r="DL36" s="665" t="e">
        <f>INDEX(DB!$3:$367,MATCH(DL$2,DB!$D$3:$D$367),45)</f>
        <v>#N/A</v>
      </c>
      <c r="DM36" s="665">
        <f>INDEX(DB!$3:$367,MATCH(DM$2,DB!$D$3:$D$367),45)</f>
        <v>66528.87921783315</v>
      </c>
      <c r="DN36" s="665">
        <f>INDEX(DB!$3:$367,MATCH(DN$2,DB!$D$3:$D$367),45)</f>
        <v>59541.728925388677</v>
      </c>
      <c r="DO36" s="665">
        <f>INDEX(DB!$3:$367,MATCH(DO$2,DB!$D$3:$D$367),45)</f>
        <v>55696.002800928538</v>
      </c>
      <c r="DP36" s="665">
        <f>INDEX(DB!$3:$367,MATCH(DP$2,DB!$D$3:$D$367),45)</f>
        <v>52676.395177096048</v>
      </c>
      <c r="DQ36" s="665">
        <f>INDEX(DB!$3:$367,MATCH(DQ$2,DB!$D$3:$D$367),45)</f>
        <v>53458.701528273632</v>
      </c>
      <c r="DR36" s="665">
        <f>INDEX(DB!$3:$367,MATCH(DR$2,DB!$D$3:$D$367),45)</f>
        <v>51845.792158668257</v>
      </c>
      <c r="DS36" s="665">
        <f>INDEX(DB!$3:$367,MATCH(DS$2,DB!$D$3:$D$367),45)</f>
        <v>0</v>
      </c>
      <c r="DT36" s="665" t="e">
        <f>INDEX(DB!$3:$367,MATCH(DT$2,DB!$D$3:$D$367),45)</f>
        <v>#N/A</v>
      </c>
      <c r="DU36" s="665">
        <f>INDEX(DB!$3:$367,MATCH(DU$2,DB!$D$3:$D$367),45)</f>
        <v>0</v>
      </c>
      <c r="DV36" s="665">
        <f>INDEX(DB!$3:$367,MATCH(DV$2,DB!$D$3:$D$367),45)</f>
        <v>71240.90328238206</v>
      </c>
      <c r="DW36" s="665">
        <f>INDEX(DB!$3:$367,MATCH(DW$2,DB!$D$3:$D$367),45)</f>
        <v>47743.24876825064</v>
      </c>
      <c r="DX36" s="665">
        <f>INDEX(DB!$3:$367,MATCH(DX$2,DB!$D$3:$D$367),45)</f>
        <v>47695.734881251876</v>
      </c>
      <c r="DY36" s="665">
        <f>INDEX(DB!$3:$367,MATCH(DY$2,DB!$D$3:$D$367),45)</f>
        <v>48241.281270668653</v>
      </c>
      <c r="DZ36" s="665">
        <f>INDEX(DB!$3:$367,MATCH(DZ$2,DB!$D$3:$D$367),45)</f>
        <v>50360.484930864899</v>
      </c>
      <c r="EA36" s="665">
        <f>INDEX(DB!$3:$367,MATCH(EA$2,DB!$D$3:$D$367),45)</f>
        <v>0</v>
      </c>
      <c r="EB36" s="665" t="e">
        <f>INDEX(DB!$3:$367,MATCH(EB$2,DB!$D$3:$D$367),45)</f>
        <v>#N/A</v>
      </c>
      <c r="EC36" s="665">
        <f>INDEX(DB!$3:$367,MATCH(EC$2,DB!$D$3:$D$367),45)</f>
        <v>57073.43710357981</v>
      </c>
      <c r="ED36" s="665">
        <f>INDEX(DB!$3:$367,MATCH(ED$2,DB!$D$3:$D$367),45)</f>
        <v>50768.287636097586</v>
      </c>
      <c r="EE36" s="665">
        <f>INDEX(DB!$3:$367,MATCH(EE$2,DB!$D$3:$D$367),45)</f>
        <v>49850.90010282131</v>
      </c>
      <c r="EF36" s="665">
        <f>INDEX(DB!$3:$367,MATCH(EF$2,DB!$D$3:$D$367),45)</f>
        <v>44965.569016272646</v>
      </c>
      <c r="EG36" s="665">
        <f>INDEX(DB!$3:$367,MATCH(EG$2,DB!$D$3:$D$367),45)</f>
        <v>46304.856767363133</v>
      </c>
      <c r="EH36" s="665">
        <f>INDEX(DB!$3:$367,MATCH(EH$2,DB!$D$3:$D$367),45)</f>
        <v>52758.336668878554</v>
      </c>
      <c r="EI36" s="665">
        <f>INDEX(DB!$3:$367,MATCH(EI$2,DB!$D$3:$D$367),45)</f>
        <v>0</v>
      </c>
      <c r="EJ36" s="665" t="e">
        <f>INDEX(DB!$3:$367,MATCH(EJ$2,DB!$D$3:$D$367),45)</f>
        <v>#N/A</v>
      </c>
      <c r="EK36" s="665">
        <f>INDEX(DB!$3:$367,MATCH(EK$2,DB!$D$3:$D$367),45)</f>
        <v>63553.075701652539</v>
      </c>
      <c r="EL36" s="665">
        <f>INDEX(DB!$3:$367,MATCH(EL$2,DB!$D$3:$D$367),45)</f>
        <v>57589.868477551609</v>
      </c>
      <c r="EM36" s="665">
        <f>INDEX(DB!$3:$367,MATCH(EM$2,DB!$D$3:$D$367),45)</f>
        <v>52836.473577321965</v>
      </c>
      <c r="EN36" s="665">
        <f>INDEX(DB!$3:$367,MATCH(EN$2,DB!$D$3:$D$367),45)</f>
        <v>50805.951130251342</v>
      </c>
      <c r="EO36" s="665">
        <f>INDEX(DB!$3:$367,MATCH(EO$2,DB!$D$3:$D$367),45)</f>
        <v>48603.730912240935</v>
      </c>
      <c r="EP36" s="665">
        <f>INDEX(DB!$3:$367,MATCH(EP$2,DB!$D$3:$D$367),45)</f>
        <v>56242.714975679657</v>
      </c>
      <c r="EQ36" s="665">
        <f>INDEX(DB!$3:$367,MATCH(EQ$2,DB!$D$3:$D$367),45)</f>
        <v>0</v>
      </c>
      <c r="ER36" s="665" t="e">
        <f>INDEX(DB!$3:$367,MATCH(ER$2,DB!$D$3:$D$367),45)</f>
        <v>#N/A</v>
      </c>
      <c r="ES36" s="862">
        <f>INDEX(DB!$3:$367,MATCH(ES$2,DB!$D$3:$D$367),45)</f>
        <v>65332.864062471621</v>
      </c>
      <c r="ET36" s="665">
        <f>INDEX(DB!$3:$367,MATCH(ET$2,DB!$D$3:$D$367),45)</f>
        <v>62627.490552972362</v>
      </c>
      <c r="EU36" s="665">
        <f>INDEX(DB!$3:$367,MATCH(EU$2,DB!$D$3:$D$367),45)</f>
        <v>66120.839586393296</v>
      </c>
      <c r="EV36" s="665">
        <f>INDEX(DB!$3:$367,MATCH(EV$2,DB!$D$3:$D$367),45)</f>
        <v>56955.186764741855</v>
      </c>
      <c r="EW36" s="665">
        <f>INDEX(DB!$3:$367,MATCH(EW$2,DB!$D$3:$D$367),45)</f>
        <v>57733.058105167511</v>
      </c>
      <c r="EX36" s="665">
        <f>INDEX(DB!$3:$367,MATCH(EX$2,DB!$D$3:$D$367),45)</f>
        <v>57162.485486692851</v>
      </c>
      <c r="EY36" s="665">
        <f>INDEX(DB!$3:$367,MATCH(EY$2,DB!$D$3:$D$367),45)</f>
        <v>0</v>
      </c>
      <c r="EZ36" s="665" t="e">
        <f>INDEX(DB!$3:$367,MATCH(EZ$2,DB!$D$3:$D$367),45)</f>
        <v>#N/A</v>
      </c>
      <c r="FA36" s="665">
        <f>INDEX(DB!$3:$367,MATCH(FA$2,DB!$D$3:$D$367),45)</f>
        <v>64137.294150466361</v>
      </c>
      <c r="FB36" s="665">
        <f>INDEX(DB!$3:$367,MATCH(FB$2,DB!$D$3:$D$367),45)</f>
        <v>58560.866267816557</v>
      </c>
      <c r="FC36" s="665">
        <f>INDEX(DB!$3:$367,MATCH(FC$2,DB!$D$3:$D$367),45)</f>
        <v>59736.652417713362</v>
      </c>
      <c r="FD36" s="665">
        <f>INDEX(DB!$3:$367,MATCH(FD$2,DB!$D$3:$D$367),45)</f>
        <v>54186.456816306723</v>
      </c>
      <c r="FE36" s="665">
        <f>INDEX(DB!$3:$367,MATCH(FE$2,DB!$D$3:$D$367),45)</f>
        <v>55659.909825662362</v>
      </c>
      <c r="FF36" s="665">
        <f>INDEX(DB!$3:$367,MATCH(FF$2,DB!$D$3:$D$367),45)</f>
        <v>58884.586564455029</v>
      </c>
      <c r="FG36" s="665">
        <f>INDEX(DB!$3:$367,MATCH(FG$2,DB!$D$3:$D$367),45)</f>
        <v>0</v>
      </c>
      <c r="FH36" s="665" t="e">
        <f>INDEX(DB!$3:$367,MATCH(FH$2,DB!$D$3:$D$367),45)</f>
        <v>#N/A</v>
      </c>
      <c r="FI36" s="665">
        <f>INDEX(DB!$3:$367,MATCH(FI$2,DB!$D$3:$D$367),45)</f>
        <v>70562.666719783883</v>
      </c>
      <c r="FJ36" s="665">
        <f>INDEX(DB!$3:$367,MATCH(FJ$2,DB!$D$3:$D$367),45)</f>
        <v>50068.465809014575</v>
      </c>
      <c r="FK36" s="665">
        <f>INDEX(DB!$3:$367,MATCH(FK$2,DB!$D$3:$D$367),45)</f>
        <v>55220.681362752024</v>
      </c>
      <c r="FL36" s="665">
        <f>INDEX(DB!$3:$367,MATCH(FL$2,DB!$D$3:$D$367),45)</f>
        <v>0</v>
      </c>
      <c r="FM36" s="665">
        <f>INDEX(DB!$3:$367,MATCH(FM$2,DB!$D$3:$D$367),45)</f>
        <v>50477.925466480308</v>
      </c>
      <c r="FN36" s="665">
        <f>INDEX(DB!$3:$367,MATCH(FN$2,DB!$D$3:$D$367),45)</f>
        <v>53793.56890184553</v>
      </c>
      <c r="FO36" s="665">
        <f>INDEX(DB!$3:$367,MATCH(FO$2,DB!$D$3:$D$367),45)</f>
        <v>0</v>
      </c>
      <c r="FP36" s="692"/>
      <c r="FQ36" s="665">
        <f>INDEX(DB!$3:$367,MATCH(FQ$2,DB!$D$3:$D$367),45)</f>
        <v>61973.865573700758</v>
      </c>
      <c r="FR36" s="665">
        <f>INDEX(DB!$3:$367,MATCH(FR$2,DB!$D$3:$D$367),45)</f>
        <v>66156.472712431569</v>
      </c>
      <c r="FS36" s="665">
        <f>INDEX(DB!$3:$367,MATCH(FS$2,DB!$D$3:$D$367),45)</f>
        <v>61853.040745876577</v>
      </c>
      <c r="FT36" s="665">
        <f>INDEX(DB!$3:$367,MATCH(FT$2,DB!$D$3:$D$367),45)</f>
        <v>56914.126923171236</v>
      </c>
      <c r="FU36" s="665">
        <f>INDEX(DB!$3:$367,MATCH(FU$2,DB!$D$3:$D$367),45)</f>
        <v>53555.296491038607</v>
      </c>
      <c r="FV36" s="665">
        <f>INDEX(DB!$3:$367,MATCH(FV$2,DB!$D$3:$D$367),45)</f>
        <v>57548.38038788773</v>
      </c>
      <c r="FW36" s="666"/>
      <c r="FX36" s="692"/>
      <c r="FY36" s="665">
        <f>INDEX(DB!$3:$367,MATCH(FY$2,DB!$D$3:$D$367),45)</f>
        <v>0</v>
      </c>
      <c r="FZ36" s="665">
        <f>INDEX(DB!$3:$367,MATCH(FZ$2,DB!$D$3:$D$367),45)</f>
        <v>80922.088442386419</v>
      </c>
      <c r="GA36" s="665">
        <f>INDEX(DB!$3:$367,MATCH(GA$2,DB!$D$3:$D$367),45)</f>
        <v>56648.230485430598</v>
      </c>
      <c r="GB36" s="665">
        <f>INDEX(DB!$3:$367,MATCH(GB$2,DB!$D$3:$D$367),45)</f>
        <v>54974.805774462468</v>
      </c>
      <c r="GC36" s="665">
        <f>INDEX(DB!$3:$367,MATCH(GC$2,DB!$D$3:$D$367),45)</f>
        <v>55137.855812567643</v>
      </c>
      <c r="GD36" s="665">
        <f>INDEX(DB!$3:$367,MATCH(GD$2,DB!$D$3:$D$367),45)</f>
        <v>54712.46508004822</v>
      </c>
      <c r="GE36" s="666"/>
      <c r="GF36" s="692"/>
      <c r="GG36" s="665">
        <f>INDEX(DB!$3:$367,MATCH(GG$2,DB!$D$3:$D$367),45)</f>
        <v>60861.411984219274</v>
      </c>
      <c r="GH36" s="665">
        <f>INDEX(DB!$3:$367,MATCH(GH$2,DB!$D$3:$D$367),45)</f>
        <v>62790.780891633032</v>
      </c>
      <c r="GI36" s="665">
        <f>INDEX(DB!$3:$367,MATCH(GI$2,DB!$D$3:$D$367),45)</f>
        <v>60742.972136133067</v>
      </c>
      <c r="GJ36" s="665">
        <f>INDEX(DB!$3:$367,MATCH(GJ$2,DB!$D$3:$D$367),45)</f>
        <v>55169.731969708213</v>
      </c>
      <c r="GK36" s="665">
        <f>INDEX(DB!$3:$367,MATCH(GK$2,DB!$D$3:$D$367),45)</f>
        <v>55186.60448951197</v>
      </c>
      <c r="GL36" s="665">
        <f>INDEX(DB!$3:$367,MATCH(GL$2,DB!$D$3:$D$367),45)</f>
        <v>54885.400741230427</v>
      </c>
      <c r="GM36" s="666"/>
      <c r="GN36" s="692">
        <f t="shared" si="925"/>
        <v>350120.08463091752</v>
      </c>
      <c r="GO36" s="665">
        <f>INDEX(DB!$3:$367,MATCH(GO$2,DB!$D$3:$D$367),45)</f>
        <v>60945.558674377637</v>
      </c>
      <c r="GP36" s="665">
        <f>INDEX(DB!$3:$367,MATCH(GP$2,DB!$D$3:$D$367),45)</f>
        <v>62877.637454750409</v>
      </c>
      <c r="GQ36" s="665">
        <f>INDEX(DB!$3:$367,MATCH(GQ$2,DB!$D$3:$D$367),45)</f>
        <v>60826.68368793081</v>
      </c>
      <c r="GR36" s="665">
        <f>INDEX(DB!$3:$367,MATCH(GR$2,DB!$D$3:$D$367),45)</f>
        <v>55246.232937687142</v>
      </c>
      <c r="GS36" s="665">
        <f>INDEX(DB!$3:$367,MATCH(GS$2,DB!$D$3:$D$367),45)</f>
        <v>55262.829693461288</v>
      </c>
      <c r="GT36" s="665">
        <f>INDEX(DB!$3:$367,MATCH(GT$2,DB!$D$3:$D$367),45)</f>
        <v>54961.142182710231</v>
      </c>
      <c r="GU36" s="666"/>
      <c r="GV36" s="692">
        <f t="shared" si="926"/>
        <v>336134.5314889279</v>
      </c>
      <c r="GW36" s="665">
        <f>INDEX(DB!$3:$367,MATCH(GW$2,DB!$D$3:$D$367),45)</f>
        <v>58510.79995383606</v>
      </c>
      <c r="GX36" s="665">
        <f>INDEX(DB!$3:$367,MATCH(GX$2,DB!$D$3:$D$367),45)</f>
        <v>60366.179932211337</v>
      </c>
      <c r="GY36" s="665">
        <f>INDEX(DB!$3:$367,MATCH(GY$2,DB!$D$3:$D$367),45)</f>
        <v>58396.82231473775</v>
      </c>
      <c r="GZ36" s="665">
        <f>INDEX(DB!$3:$367,MATCH(GZ$2,DB!$D$3:$D$367),45)</f>
        <v>53039.374505481428</v>
      </c>
      <c r="HA36" s="665">
        <f>INDEX(DB!$3:$367,MATCH(HA$2,DB!$D$3:$D$367),45)</f>
        <v>53055.400967464047</v>
      </c>
      <c r="HB36" s="665">
        <f>INDEX(DB!$3:$367,MATCH(HB$2,DB!$D$3:$D$367),45)</f>
        <v>52765.953815197252</v>
      </c>
      <c r="HC36" s="666"/>
      <c r="HD36" s="692">
        <f t="shared" si="927"/>
        <v>292520.13460007193</v>
      </c>
      <c r="HE36" s="665">
        <f>INDEX(DB!$3:$367,MATCH(HE$2,DB!$D$3:$D$367),45)</f>
        <v>53530.002808216923</v>
      </c>
      <c r="HF36" s="665">
        <f>INDEX(DB!$3:$367,MATCH(HF$2,DB!$D$3:$D$367),45)</f>
        <v>55856.152892341292</v>
      </c>
      <c r="HG36" s="665">
        <f>INDEX(DB!$3:$367,MATCH(HG$2,DB!$D$3:$D$367),45)</f>
        <v>49235.305409213237</v>
      </c>
      <c r="HH36" s="665">
        <f>INDEX(DB!$3:$367,MATCH(HH$2,DB!$D$3:$D$367),45)</f>
        <v>43714.900589224868</v>
      </c>
      <c r="HI36" s="665">
        <f>INDEX(DB!$3:$367,MATCH(HI$2,DB!$D$3:$D$367),45)</f>
        <v>44596.619178042354</v>
      </c>
      <c r="HJ36" s="665">
        <f>INDEX(DB!$3:$367,MATCH(HJ$2,DB!$D$3:$D$367),45)</f>
        <v>45587.153723033254</v>
      </c>
      <c r="HK36" s="666"/>
      <c r="HL36" s="692">
        <f t="shared" si="928"/>
        <v>274235.00700038346</v>
      </c>
      <c r="HM36" s="665">
        <f>INDEX(DB!$3:$367,MATCH(HM$2,DB!$D$3:$D$367),45)</f>
        <v>49480.603577596703</v>
      </c>
      <c r="HN36" s="665">
        <f>INDEX(DB!$3:$367,MATCH(HN$2,DB!$D$3:$D$367),45)</f>
        <v>47684.523536222245</v>
      </c>
      <c r="HO36" s="665">
        <f>INDEX(DB!$3:$367,MATCH(HO$2,DB!$D$3:$D$367),45)</f>
        <v>42678.753245763583</v>
      </c>
      <c r="HP36" s="665">
        <f>INDEX(DB!$3:$367,MATCH(HP$2,DB!$D$3:$D$367),45)</f>
        <v>43673.840747654256</v>
      </c>
      <c r="HQ36" s="665">
        <f>INDEX(DB!$3:$367,MATCH(HQ$2,DB!$D$3:$D$367),45)</f>
        <v>47268.842815366836</v>
      </c>
      <c r="HR36" s="665">
        <f>INDEX(DB!$3:$367,MATCH(HR$2,DB!$D$3:$D$367),45)</f>
        <v>43448.44307777979</v>
      </c>
      <c r="HS36" s="666"/>
      <c r="HT36" s="692">
        <f t="shared" si="929"/>
        <v>228547.87781754104</v>
      </c>
      <c r="HU36" s="665">
        <f>INDEX(DB!$3:$367,MATCH(HU$2,DB!$D$3:$D$367),45)</f>
        <v>47529.962546705683</v>
      </c>
      <c r="HV36" s="665">
        <f>INDEX(DB!$3:$367,MATCH(HV$2,DB!$D$3:$D$367),45)</f>
        <v>47600.783885254801</v>
      </c>
      <c r="HW36" s="665">
        <f>INDEX(DB!$3:$367,MATCH(HW$2,DB!$D$3:$D$367),45)</f>
        <v>40735.522516263722</v>
      </c>
      <c r="HX36" s="665">
        <f>INDEX(DB!$3:$367,MATCH(HX$2,DB!$D$3:$D$367),45)</f>
        <v>0</v>
      </c>
      <c r="HY36" s="665">
        <f>INDEX(DB!$3:$367,MATCH(HY$2,DB!$D$3:$D$367),45)</f>
        <v>48344.845648401082</v>
      </c>
      <c r="HZ36" s="665">
        <f>INDEX(DB!$3:$367,MATCH(HZ$2,DB!$D$3:$D$367),45)</f>
        <v>44336.763220915775</v>
      </c>
      <c r="IA36" s="665">
        <f>INDEX(DB!$3:$367,MATCH(IA$2,DB!$D$3:$D$367),45)</f>
        <v>0</v>
      </c>
      <c r="IB36" s="692" t="e">
        <f>INDEX(DB!$3:$367,MATCH(IB$2,DB!$D$3:$D$367),45)</f>
        <v>#N/A</v>
      </c>
      <c r="IC36" s="665">
        <f>INDEX(DB!$3:$367,MATCH(IC$2,DB!$D$3:$D$367),45)</f>
        <v>49174.64733364377</v>
      </c>
      <c r="ID36" s="665">
        <f>INDEX(DB!$3:$367,MATCH(ID$2,DB!$D$3:$D$367),45)</f>
        <v>49731.353910366772</v>
      </c>
      <c r="IE36" s="665">
        <f>INDEX(DB!$3:$367,MATCH(IE$2,DB!$D$3:$D$367),45)</f>
        <v>40557.284350918097</v>
      </c>
      <c r="IF36" s="665">
        <f>INDEX(DB!$3:$367,MATCH(IF$2,DB!$D$3:$D$367),45)</f>
        <v>40571.877769209212</v>
      </c>
      <c r="IG36" s="665">
        <f>INDEX(DB!$3:$367,MATCH(IG$2,DB!$D$3:$D$367),45)</f>
        <v>44783.583152436127</v>
      </c>
      <c r="IH36" s="665">
        <f>INDEX(DB!$3:$367,MATCH(IH$2,DB!$D$3:$D$367),45)</f>
        <v>42309.694584779943</v>
      </c>
      <c r="II36" s="665">
        <f>INDEX(DB!$3:$367,MATCH(II$2,DB!$D$3:$D$367),45)</f>
        <v>0</v>
      </c>
      <c r="IJ36" s="692" t="e">
        <f>INDEX(DB!$3:$367,MATCH(IJ$2,DB!$D$3:$D$367),45)</f>
        <v>#N/A</v>
      </c>
      <c r="IK36" s="665">
        <f>INDEX(DB!$3:$367,MATCH(IK$2,DB!$D$3:$D$367),45)</f>
        <v>51237.15657638789</v>
      </c>
      <c r="IL36" s="665">
        <f>INDEX(DB!$3:$367,MATCH(IL$2,DB!$D$3:$D$367),45)</f>
        <v>50358.349416517791</v>
      </c>
      <c r="IM36" s="665">
        <f>INDEX(DB!$3:$367,MATCH(IM$2,DB!$D$3:$D$367),45)</f>
        <v>40796.537237693381</v>
      </c>
      <c r="IN36" s="665">
        <f>INDEX(DB!$3:$367,MATCH(IN$2,DB!$D$3:$D$367),45)</f>
        <v>40852.80140911998</v>
      </c>
      <c r="IO36" s="665">
        <f>INDEX(DB!$3:$367,MATCH(IO$2,DB!$D$3:$D$367),45)</f>
        <v>42878.041593399546</v>
      </c>
      <c r="IP36" s="665">
        <f>INDEX(DB!$3:$367,MATCH(IP$2,DB!$D$3:$D$367),45)</f>
        <v>40509.412461283056</v>
      </c>
      <c r="IQ36" s="665">
        <f>INDEX(DB!$3:$367,MATCH(IQ$2,DB!$D$3:$D$367),45)</f>
        <v>0</v>
      </c>
      <c r="IR36" s="665" t="e">
        <f>INDEX(DB!$3:$367,MATCH(IR$2,DB!$D$3:$D$367),45)</f>
        <v>#N/A</v>
      </c>
      <c r="IS36" s="665">
        <f>INDEX(DB!$3:$367,MATCH(IS$2,DB!$D$3:$D$367),45)</f>
        <v>50400.696501301696</v>
      </c>
      <c r="IT36" s="665">
        <f>INDEX(DB!$3:$367,MATCH(IT$2,DB!$D$3:$D$367),45)</f>
        <v>49536.161492611078</v>
      </c>
      <c r="IU36" s="665">
        <f>INDEX(DB!$3:$367,MATCH(IU$2,DB!$D$3:$D$367),45)</f>
        <v>40130.545891320027</v>
      </c>
      <c r="IV36" s="665">
        <f>INDEX(DB!$3:$367,MATCH(IV$2,DB!$D$3:$D$367),45)</f>
        <v>40185.989436455347</v>
      </c>
      <c r="IW36" s="665">
        <f>INDEX(DB!$3:$367,MATCH(IW$2,DB!$D$3:$D$367),45)</f>
        <v>42177.968448912019</v>
      </c>
      <c r="IX36" s="665">
        <f>INDEX(DB!$3:$367,MATCH(IX$2,DB!$D$3:$D$367),45)</f>
        <v>39848.316642586491</v>
      </c>
      <c r="IY36" s="665">
        <f>INDEX(DB!$3:$367,MATCH(IY$2,DB!$D$3:$D$367),45)</f>
        <v>0</v>
      </c>
      <c r="IZ36" s="665" t="e">
        <f>INDEX(DB!$3:$367,MATCH(IZ$2,DB!$D$3:$D$367),45)</f>
        <v>#N/A</v>
      </c>
      <c r="JA36" s="665">
        <f>INDEX(DB!$3:$367,MATCH(JA$2,DB!$D$3:$D$367),45)</f>
        <v>0</v>
      </c>
      <c r="JB36" s="665">
        <f>INDEX(DB!$3:$367,MATCH(JB$2,DB!$D$3:$D$367),45)</f>
        <v>60307.440157039549</v>
      </c>
      <c r="JC36" s="665">
        <f>INDEX(DB!$3:$367,MATCH(JC$2,DB!$D$3:$D$367),45)</f>
        <v>43190.618349407072</v>
      </c>
      <c r="JD36" s="665">
        <f>INDEX(DB!$3:$367,MATCH(JD$2,DB!$D$3:$D$367),45)</f>
        <v>47282.286994219634</v>
      </c>
      <c r="JE36" s="665">
        <f>INDEX(DB!$3:$367,MATCH(JE$2,DB!$D$3:$D$367),45)</f>
        <v>49878.773038274776</v>
      </c>
      <c r="JF36" s="665">
        <f>INDEX(DB!$3:$367,MATCH(JF$2,DB!$D$3:$D$367),45)</f>
        <v>43145.039500060098</v>
      </c>
      <c r="JG36" s="665">
        <f>INDEX(DB!$3:$367,MATCH(JG$2,DB!$D$3:$D$367),45)</f>
        <v>0</v>
      </c>
      <c r="JH36" s="665" t="e">
        <f>INDEX(DB!$3:$367,MATCH(JH$2,DB!$D$3:$D$367),45)</f>
        <v>#N/A</v>
      </c>
      <c r="JI36" s="665">
        <f>INDEX(DB!$3:$367,MATCH(JI$2,DB!$D$3:$D$367),45)</f>
        <v>56615.553625587207</v>
      </c>
      <c r="JJ36" s="665">
        <f>INDEX(DB!$3:$367,MATCH(JJ$2,DB!$D$3:$D$367),45)</f>
        <v>59686.613369909559</v>
      </c>
      <c r="JK36" s="665">
        <f>INDEX(DB!$3:$367,MATCH(JK$2,DB!$D$3:$D$367),45)</f>
        <v>46937.857689194796</v>
      </c>
      <c r="JL36" s="665">
        <f>INDEX(DB!$3:$367,MATCH(JL$2,DB!$D$3:$D$367),45)</f>
        <v>52300.87662625112</v>
      </c>
      <c r="JM36" s="665">
        <f>INDEX(DB!$3:$367,MATCH(JM$2,DB!$D$3:$D$367),45)</f>
        <v>55675.474575062224</v>
      </c>
      <c r="JN36" s="665">
        <f>INDEX(DB!$3:$367,MATCH(JN$2,DB!$D$3:$D$367),45)</f>
        <v>51187.642274534257</v>
      </c>
      <c r="JO36" s="665">
        <f>INDEX(DB!$3:$367,MATCH(JO$2,DB!$D$3:$D$367),45)</f>
        <v>0</v>
      </c>
      <c r="JP36" s="665" t="e">
        <f>INDEX(DB!$3:$367,MATCH(JP$2,DB!$D$3:$D$367),45)</f>
        <v>#N/A</v>
      </c>
      <c r="JQ36" s="665">
        <f>INDEX(DB!$3:$367,MATCH(JQ$2,DB!$D$3:$D$367),45)</f>
        <v>50759.298131289848</v>
      </c>
      <c r="JR36" s="665">
        <f>INDEX(DB!$3:$367,MATCH(JR$2,DB!$D$3:$D$367),45)</f>
        <v>58164.192521103265</v>
      </c>
      <c r="JS36" s="665">
        <f>INDEX(DB!$3:$367,MATCH(JS$2,DB!$D$3:$D$367),45)</f>
        <v>68837.828345991322</v>
      </c>
      <c r="JT36" s="665">
        <f>INDEX(DB!$3:$367,MATCH(JT$2,DB!$D$3:$D$367),45)</f>
        <v>57649.008644227972</v>
      </c>
      <c r="JU36" s="665">
        <f>INDEX(DB!$3:$367,MATCH(JU$2,DB!$D$3:$D$367),45)</f>
        <v>60507.417778487419</v>
      </c>
      <c r="JV36" s="665">
        <f>INDEX(DB!$3:$367,MATCH(JV$2,DB!$D$3:$D$367),45)</f>
        <v>57165.086786232438</v>
      </c>
      <c r="JW36" s="665">
        <f>INDEX(DB!$3:$367,MATCH(JW$2,DB!$D$3:$D$367),45)</f>
        <v>0</v>
      </c>
      <c r="JX36" s="665" t="e">
        <f>INDEX(DB!$3:$367,MATCH(JX$2,DB!$D$3:$D$367),45)</f>
        <v>#N/A</v>
      </c>
      <c r="JY36" s="665">
        <f>INDEX(DB!$3:$367,MATCH(JY$2,DB!$D$3:$D$367),45)</f>
        <v>57056.475102507611</v>
      </c>
      <c r="JZ36" s="665">
        <f>INDEX(DB!$3:$367,MATCH(JZ$2,DB!$D$3:$D$367),45)</f>
        <v>65541.41246213761</v>
      </c>
      <c r="KA36" s="665">
        <f>INDEX(DB!$3:$367,MATCH(KA$2,DB!$D$3:$D$367),45)</f>
        <v>63061.574617945676</v>
      </c>
      <c r="KB36" s="665">
        <f>INDEX(DB!$3:$367,MATCH(KB$2,DB!$D$3:$D$367),45)</f>
        <v>66053.021297667874</v>
      </c>
      <c r="KC36" s="665">
        <f>INDEX(DB!$3:$367,MATCH(KC$2,DB!$D$3:$D$367),45)</f>
        <v>59702.333662326768</v>
      </c>
      <c r="KD36" s="665">
        <f>INDEX(DB!$3:$367,MATCH(KD$2,DB!$D$3:$D$367),45)</f>
        <v>52226.131865228468</v>
      </c>
      <c r="KE36" s="665">
        <f>INDEX(DB!$3:$367,MATCH(KE$2,DB!$D$3:$D$367),45)</f>
        <v>0</v>
      </c>
      <c r="KF36" s="665" t="e">
        <f>INDEX(DB!$3:$367,MATCH(KF$2,DB!$D$3:$D$367),45)</f>
        <v>#N/A</v>
      </c>
      <c r="KG36" s="665">
        <f>INDEX(DB!$3:$367,MATCH(KG$2,DB!$D$3:$D$367),45)</f>
        <v>57669.013209862533</v>
      </c>
      <c r="KH36" s="665">
        <f>INDEX(DB!$3:$367,MATCH(KH$2,DB!$D$3:$D$367),45)</f>
        <v>62486.186811350286</v>
      </c>
      <c r="KI36" s="665">
        <f>INDEX(DB!$3:$367,MATCH(KI$2,DB!$D$3:$D$367),45)</f>
        <v>62165.043478431369</v>
      </c>
      <c r="KJ36" s="665">
        <f>INDEX(DB!$3:$367,MATCH(KJ$2,DB!$D$3:$D$367),45)</f>
        <v>60145.349035416897</v>
      </c>
      <c r="KK36" s="665">
        <f>INDEX(DB!$3:$367,MATCH(KK$2,DB!$D$3:$D$367),45)</f>
        <v>63565.68251515962</v>
      </c>
      <c r="KL36" s="665">
        <f>INDEX(DB!$3:$367,MATCH(KL$2,DB!$D$3:$D$367),45)</f>
        <v>52035.245920227339</v>
      </c>
      <c r="KM36" s="665">
        <f>INDEX(DB!$3:$367,MATCH(KM$2,DB!$D$3:$D$367),45)</f>
        <v>0</v>
      </c>
      <c r="KN36" s="665" t="e">
        <f>INDEX(DB!$3:$367,MATCH(KN$2,DB!$D$3:$D$367),45)</f>
        <v>#N/A</v>
      </c>
      <c r="KO36" s="665">
        <f>INDEX(DB!$3:$367,MATCH(KO$2,DB!$D$3:$D$367),45)</f>
        <v>58527</v>
      </c>
      <c r="KP36" s="665">
        <f>INDEX(DB!$3:$367,MATCH(KP$2,DB!$D$3:$D$367),45)</f>
        <v>58524</v>
      </c>
      <c r="KQ36" s="665">
        <f>INDEX(DB!$3:$367,MATCH(KQ$2,DB!$D$3:$D$367),45)</f>
        <v>52379</v>
      </c>
      <c r="KR36" s="665">
        <f>INDEX(DB!$3:$367,MATCH(KR$2,DB!$D$3:$D$367),45)</f>
        <v>53518</v>
      </c>
      <c r="KS36" s="665">
        <f>INDEX(DB!$3:$367,MATCH(KS$2,DB!$D$3:$D$367),45)</f>
        <v>58013</v>
      </c>
      <c r="KT36" s="665">
        <f>INDEX(DB!$3:$367,MATCH(KT$2,DB!$D$3:$D$367),45)</f>
        <v>53325</v>
      </c>
      <c r="KU36" s="665">
        <f>INDEX(DB!$3:$367,MATCH(KU$2,DB!$D$3:$D$367),45)</f>
        <v>0</v>
      </c>
      <c r="KV36" s="665" t="e">
        <f>INDEX(DB!$3:$367,MATCH(KV$2,DB!$D$3:$D$367),45)</f>
        <v>#N/A</v>
      </c>
      <c r="KW36" s="665">
        <f>INDEX(DB!$3:$367,MATCH(KW$2,DB!$D$3:$D$367),45)</f>
        <v>59557.442447877584</v>
      </c>
      <c r="KX36" s="665">
        <f>INDEX(DB!$3:$367,MATCH(KX$2,DB!$D$3:$D$367),45)</f>
        <v>59553.473369115265</v>
      </c>
      <c r="KY36" s="665">
        <f>INDEX(DB!$3:$367,MATCH(KY$2,DB!$D$3:$D$367),45)</f>
        <v>53301.510776417796</v>
      </c>
      <c r="KZ36" s="665">
        <f>INDEX(DB!$3:$367,MATCH(KZ$2,DB!$D$3:$D$367),45)</f>
        <v>54460.070674371993</v>
      </c>
      <c r="LA36" s="665">
        <f>INDEX(DB!$3:$367,MATCH(LA$2,DB!$D$3:$D$367),45)</f>
        <v>59033.907659987293</v>
      </c>
      <c r="LB36" s="665">
        <f>INDEX(DB!$3:$367,MATCH(LB$2,DB!$D$3:$D$367),45)</f>
        <v>54263.270172774915</v>
      </c>
      <c r="LC36" s="665">
        <f>INDEX(DB!$3:$367,MATCH(LC$2,DB!$D$3:$D$367),45)</f>
        <v>0</v>
      </c>
      <c r="LD36" s="665" t="e">
        <f>INDEX(DB!$3:$367,MATCH(LD$2,DB!$D$3:$D$367),45)</f>
        <v>#N/A</v>
      </c>
      <c r="LE36" s="665">
        <f>INDEX(DB!$3:$367,MATCH(LE$2,DB!$D$3:$D$367),45)</f>
        <v>58685.467152611724</v>
      </c>
      <c r="LF36" s="665">
        <f>INDEX(DB!$3:$367,MATCH(LF$2,DB!$D$3:$D$367),45)</f>
        <v>58681.91441476754</v>
      </c>
      <c r="LG36" s="665">
        <f>INDEX(DB!$3:$367,MATCH(LG$2,DB!$D$3:$D$367),45)</f>
        <v>52521.372997277525</v>
      </c>
      <c r="LH36" s="665">
        <f>INDEX(DB!$3:$367,MATCH(LH$2,DB!$D$3:$D$367),45)</f>
        <v>53663.014037349785</v>
      </c>
      <c r="LI36" s="665">
        <f>INDEX(DB!$3:$367,MATCH(LI$2,DB!$D$3:$D$367),45)</f>
        <v>58169.844778914347</v>
      </c>
      <c r="LJ36" s="665">
        <f>INDEX(DB!$3:$367,MATCH(LJ$2,DB!$D$3:$D$367),45)</f>
        <v>53469.079566738103</v>
      </c>
      <c r="LK36" s="665">
        <f>INDEX(DB!$3:$367,MATCH(LK$2,DB!$D$3:$D$367),45)</f>
        <v>0</v>
      </c>
      <c r="LL36" s="665" t="e">
        <f>INDEX(DB!$3:$367,MATCH(LL$2,DB!$D$3:$D$367),45)</f>
        <v>#N/A</v>
      </c>
      <c r="LM36" s="665">
        <f>INDEX(DB!$3:$367,MATCH(LM$2,DB!$D$3:$D$367),45)</f>
        <v>63743.943719300194</v>
      </c>
      <c r="LN36" s="665">
        <f>INDEX(DB!$3:$367,MATCH(LN$2,DB!$D$3:$D$367),45)</f>
        <v>63740.039302308491</v>
      </c>
      <c r="LO36" s="665">
        <f>INDEX(DB!$3:$367,MATCH(LO$2,DB!$D$3:$D$367),45)</f>
        <v>62048.464314426397</v>
      </c>
      <c r="LP36" s="665">
        <f>INDEX(DB!$3:$367,MATCH(LP$2,DB!$D$3:$D$367),45)</f>
        <v>63288.2728546773</v>
      </c>
      <c r="LQ36" s="665">
        <f>INDEX(DB!$3:$367,MATCH(LQ$2,DB!$D$3:$D$367),45)</f>
        <v>63183.998800767789</v>
      </c>
      <c r="LR36" s="665">
        <f>INDEX(DB!$3:$367,MATCH(LR$2,DB!$D$3:$D$367),45)</f>
        <v>58077.486578393793</v>
      </c>
      <c r="LS36" s="665">
        <f>INDEX(DB!$3:$367,MATCH(LS$2,DB!$D$3:$D$367),45)</f>
        <v>0</v>
      </c>
      <c r="LT36" s="665" t="e">
        <f>INDEX(DB!$3:$367,MATCH(LT$2,DB!$D$3:$D$367),45)</f>
        <v>#N/A</v>
      </c>
      <c r="LU36" s="665">
        <f>INDEX(DB!$3:$367,MATCH(LU$2,DB!$D$3:$D$367),45)</f>
        <v>63340.421428664486</v>
      </c>
      <c r="LV36" s="665">
        <f>INDEX(DB!$3:$367,MATCH(LV$2,DB!$D$3:$D$367),45)</f>
        <v>63336.339193913205</v>
      </c>
      <c r="LW36" s="665">
        <f>INDEX(DB!$3:$367,MATCH(LW$2,DB!$D$3:$D$367),45)</f>
        <v>61687.24550483458</v>
      </c>
      <c r="LX36" s="665">
        <f>INDEX(DB!$3:$367,MATCH(LX$2,DB!$D$3:$D$367),45)</f>
        <v>62919.305109872803</v>
      </c>
      <c r="LY36" s="665">
        <f>INDEX(DB!$3:$367,MATCH(LY$2,DB!$D$3:$D$367),45)</f>
        <v>62784.094004533137</v>
      </c>
      <c r="LZ36" s="665">
        <f>INDEX(DB!$3:$367,MATCH(LZ$2,DB!$D$3:$D$367),45)</f>
        <v>57709.724666006296</v>
      </c>
      <c r="MA36" s="665">
        <f>INDEX(DB!$3:$367,MATCH(MA$2,DB!$D$3:$D$367),45)</f>
        <v>0</v>
      </c>
      <c r="MB36" s="665" t="e">
        <f>INDEX(DB!$3:$367,MATCH(MB$2,DB!$D$3:$D$367),45)</f>
        <v>#N/A</v>
      </c>
      <c r="MC36" s="665">
        <f>INDEX(DB!$3:$367,MATCH(MC$2,DB!$D$3:$D$367),45)</f>
        <v>61711.03445392404</v>
      </c>
      <c r="MD36" s="665">
        <f>INDEX(DB!$3:$367,MATCH(MD$2,DB!$D$3:$D$367),45)</f>
        <v>61707.37384424801</v>
      </c>
      <c r="ME36" s="665">
        <f>INDEX(DB!$3:$367,MATCH(ME$2,DB!$D$3:$D$367),45)</f>
        <v>60229.328449490873</v>
      </c>
      <c r="MF36" s="665">
        <f>INDEX(DB!$3:$367,MATCH(MF$2,DB!$D$3:$D$367),45)</f>
        <v>59429.62481155085</v>
      </c>
      <c r="MG36" s="665">
        <f>INDEX(DB!$3:$367,MATCH(MG$2,DB!$D$3:$D$367),45)</f>
        <v>61169.130750674252</v>
      </c>
      <c r="MH36" s="665">
        <f>INDEX(DB!$3:$367,MATCH(MH$2,DB!$D$3:$D$367),45)</f>
        <v>56225.542662442473</v>
      </c>
      <c r="MI36" s="665">
        <f>INDEX(DB!$3:$367,MATCH(MI$2,DB!$D$3:$D$367),45)</f>
        <v>0</v>
      </c>
      <c r="MJ36" s="665">
        <f t="shared" si="932"/>
        <v>286270.03760593623</v>
      </c>
      <c r="MK36" s="665">
        <f>INDEX(DB!$3:$367,MATCH(MK$2,DB!$D$3:$D$367),45)</f>
        <v>51735.161144147642</v>
      </c>
      <c r="ML36" s="665">
        <f>INDEX(DB!$3:$367,MATCH(ML$2,DB!$D$3:$D$367),45)</f>
        <v>0</v>
      </c>
      <c r="MM36" s="665">
        <f>INDEX(DB!$3:$367,MATCH(MM$2,DB!$D$3:$D$367),45)</f>
        <v>62772.179466116009</v>
      </c>
      <c r="MN36" s="665">
        <f>INDEX(DB!$3:$367,MATCH(MN$2,DB!$D$3:$D$367),45)</f>
        <v>59418.910856300608</v>
      </c>
      <c r="MO36" s="665">
        <f>INDEX(DB!$3:$367,MATCH(MO$2,DB!$D$3:$D$367),45)</f>
        <v>61579.507875883806</v>
      </c>
      <c r="MP36" s="665">
        <f>INDEX(DB!$3:$367,MATCH(MP$2,DB!$D$3:$D$367),45)</f>
        <v>50764.278263488173</v>
      </c>
      <c r="MQ36" s="665">
        <f>INDEX(DB!$3:$367,MATCH(MQ$2,DB!$D$3:$D$367),45)</f>
        <v>0</v>
      </c>
      <c r="MR36" s="665">
        <f t="shared" si="919"/>
        <v>314326.18939766963</v>
      </c>
      <c r="MS36" s="665">
        <f>INDEX(DB!$3:$367,MATCH(MS$2,DB!$D$3:$D$367),45)</f>
        <v>53854.078109212773</v>
      </c>
      <c r="MT36" s="665">
        <f>INDEX(DB!$3:$367,MATCH(MT$2,DB!$D$3:$D$367),45)</f>
        <v>63083.297514148719</v>
      </c>
      <c r="MU36" s="665">
        <f>INDEX(DB!$3:$367,MATCH(MU$2,DB!$D$3:$D$367),45)</f>
        <v>69927.813781950681</v>
      </c>
      <c r="MV36" s="665">
        <f>INDEX(DB!$3:$367,MATCH(MV$2,DB!$D$3:$D$367),45)</f>
        <v>77019.389025809214</v>
      </c>
      <c r="MW36" s="665">
        <f>INDEX(DB!$3:$367,MATCH(MW$2,DB!$D$3:$D$367),45)</f>
        <v>0</v>
      </c>
      <c r="MX36" s="665">
        <f>INDEX(DB!$3:$367,MATCH(MX$2,DB!$D$3:$D$367),45)</f>
        <v>50441.610966548193</v>
      </c>
      <c r="MY36" s="665">
        <f>INDEX(DB!$3:$367,MATCH(MY$2,DB!$D$3:$D$367),45)</f>
        <v>0</v>
      </c>
      <c r="MZ36" s="665">
        <f t="shared" si="920"/>
        <v>385443.33074190968</v>
      </c>
      <c r="NA36" s="665">
        <f>INDEX(DB!$3:$367,MATCH(NA$2,DB!$D$3:$D$367),45)</f>
        <v>62149.877</v>
      </c>
      <c r="NB36" s="665">
        <f>INDEX(DB!$3:$367,MATCH(NB$2,DB!$D$3:$D$367),45)</f>
        <v>63295.51090637684</v>
      </c>
      <c r="NC36" s="665">
        <f>INDEX(DB!$3:$367,MATCH(NC$2,DB!$D$3:$D$367),45)</f>
        <v>64689.888320470462</v>
      </c>
      <c r="ND36" s="665">
        <f>INDEX(DB!$3:$367,MATCH(ND$2,DB!$D$3:$D$367),45)</f>
        <v>71487.923999999999</v>
      </c>
      <c r="NE36" s="665">
        <f>INDEX(DB!$3:$367,MATCH(NE$2,DB!$D$3:$D$367),45)</f>
        <v>64629.08400000001</v>
      </c>
      <c r="NF36" s="665">
        <f>INDEX(DB!$3:$367,MATCH(NF$2,DB!$D$3:$D$367),45)</f>
        <v>59191.046515062349</v>
      </c>
      <c r="NG36" s="665">
        <f>INDEX(DB!$3:$367,MATCH(NG$2,DB!$D$3:$D$367),45)</f>
        <v>0</v>
      </c>
      <c r="NH36" s="692">
        <f t="shared" si="921"/>
        <v>417185.8902542229</v>
      </c>
      <c r="NI36" s="665">
        <f>INDEX(DB!$3:$367,MATCH(NI$2,DB!$D$3:$D$367),45)</f>
        <v>70740.978000000003</v>
      </c>
      <c r="NJ36" s="665">
        <f>INDEX(DB!$3:$367,MATCH(NJ$2,DB!$D$3:$D$367),45)</f>
        <v>69705.613318170872</v>
      </c>
      <c r="NK36" s="665">
        <f>INDEX(DB!$3:$367,MATCH(NK$2,DB!$D$3:$D$367),45)</f>
        <v>68817.18547561008</v>
      </c>
      <c r="NL36" s="665">
        <f>INDEX(DB!$3:$367,MATCH(NL$2,DB!$D$3:$D$367),45)</f>
        <v>71406.581999999995</v>
      </c>
      <c r="NM36" s="665">
        <f>INDEX(DB!$3:$367,MATCH(NM$2,DB!$D$3:$D$367),45)</f>
        <v>71185.307000000001</v>
      </c>
      <c r="NN36" s="665">
        <f>INDEX(DB!$3:$367,MATCH(NN$2,DB!$D$3:$D$367),45)</f>
        <v>65330.224460441939</v>
      </c>
      <c r="NO36" s="665">
        <f>INDEX(DB!$3:$367,MATCH(NO$2,DB!$D$3:$D$367),45)</f>
        <v>0</v>
      </c>
      <c r="NP36" s="692">
        <f t="shared" si="922"/>
        <v>447214.04142731137</v>
      </c>
      <c r="NQ36" s="665">
        <f>INDEX(DB!$3:$367,MATCH(NQ$2,DB!$D$3:$D$367),45)</f>
        <v>75585.111000000004</v>
      </c>
      <c r="NR36" s="665">
        <f>INDEX(DB!$3:$367,MATCH(NR$2,DB!$D$3:$D$367),45)</f>
        <v>82253.145392675564</v>
      </c>
      <c r="NS36" s="665">
        <f>INDEX(DB!$3:$367,MATCH(NS$2,DB!$D$3:$D$367),45)</f>
        <v>70658.350079853859</v>
      </c>
      <c r="NT36" s="665">
        <f>INDEX(DB!$3:$367,MATCH(NT$2,DB!$D$3:$D$367),45)</f>
        <v>71378.902000000002</v>
      </c>
      <c r="NU36" s="665">
        <f>INDEX(DB!$3:$367,MATCH(NU$2,DB!$D$3:$D$367),45)</f>
        <v>78786.786000000007</v>
      </c>
      <c r="NV36" s="665">
        <f>INDEX(DB!$3:$367,MATCH(NV$2,DB!$D$3:$D$367),45)</f>
        <v>68551.746954781906</v>
      </c>
      <c r="NW36" s="665">
        <f>INDEX(DB!$3:$367,MATCH(NW$2,DB!$D$3:$D$367),45)</f>
        <v>0</v>
      </c>
      <c r="NX36" s="665" t="e">
        <f>INDEX(DB!$3:$367,MATCH(NX$2,DB!$D$3:$D$367),45)</f>
        <v>#N/A</v>
      </c>
      <c r="NY36" s="665">
        <f>INDEX(DB!$3:$367,MATCH(NY$2,DB!$D$3:$D$367),45)</f>
        <v>64830.843000000008</v>
      </c>
      <c r="NZ36" s="665">
        <f>INDEX(DB!$3:$367,MATCH(NZ$2,DB!$D$3:$D$367),45)</f>
        <v>65114.580909447737</v>
      </c>
      <c r="OA36" s="665">
        <f>INDEX(DB!$3:$367,MATCH(OA$2,DB!$D$3:$D$367),45)</f>
        <v>59472.294397968304</v>
      </c>
      <c r="OB36" s="665">
        <f>INDEX(DB!$3:$367,MATCH(OB$2,DB!$D$3:$D$367),45)</f>
        <v>69255.102000000014</v>
      </c>
      <c r="OC36" s="665">
        <f>INDEX(DB!$3:$367,MATCH(OC$2,DB!$D$3:$D$367),45)</f>
        <v>64056.116999999998</v>
      </c>
      <c r="OD36" s="665">
        <f>INDEX(DB!$3:$367,MATCH(OD$2,DB!$D$3:$D$367),45)</f>
        <v>58798.391950253019</v>
      </c>
      <c r="OE36" s="665">
        <f>INDEX(DB!$3:$367,MATCH(OE$2,DB!$D$3:$D$367),45)</f>
        <v>0</v>
      </c>
      <c r="OF36" s="665" t="e">
        <f>INDEX(DB!$3:$367,MATCH(OF$2,DB!$D$3:$D$367),45)</f>
        <v>#N/A</v>
      </c>
      <c r="OG36" s="665">
        <f>INDEX(DB!$3:$367,MATCH(OG$2,DB!$D$3:$D$367),45)</f>
        <v>61429.698000000004</v>
      </c>
      <c r="OH36" s="665">
        <f>INDEX(DB!$3:$367,MATCH(OH$2,DB!$D$3:$D$367),45)</f>
        <v>61790.655780276647</v>
      </c>
      <c r="OI36" s="665">
        <f>INDEX(DB!$3:$367,MATCH(OI$2,DB!$D$3:$D$367),45)</f>
        <v>75829.364577598608</v>
      </c>
      <c r="OJ36" s="665">
        <f>INDEX(DB!$3:$367,MATCH(OJ$2,DB!$D$3:$D$367),45)</f>
        <v>57834.893000000004</v>
      </c>
      <c r="OK36" s="665">
        <f>INDEX(DB!$3:$367,MATCH(OK$2,DB!$D$3:$D$367),45)</f>
        <v>64304.83600000001</v>
      </c>
      <c r="OL36" s="665">
        <f>INDEX(DB!$3:$367,MATCH(OL$2,DB!$D$3:$D$367),45)</f>
        <v>56251.104591314222</v>
      </c>
      <c r="OM36" s="665">
        <f>INDEX(DB!$3:$367,MATCH(OM$2,DB!$D$3:$D$367),45)</f>
        <v>0</v>
      </c>
      <c r="ON36" s="665" t="e">
        <f>INDEX(DB!$3:$367,MATCH(ON$2,DB!$D$3:$D$367),45)</f>
        <v>#N/A</v>
      </c>
      <c r="OO36" s="665">
        <f>INDEX(DB!$3:$367,MATCH(OO$2,DB!$D$3:$D$367),45)</f>
        <v>59329.817999999999</v>
      </c>
      <c r="OP36" s="665">
        <f>INDEX(DB!$3:$367,MATCH(OP$2,DB!$D$3:$D$367),45)</f>
        <v>75542.894094822899</v>
      </c>
      <c r="OQ36" s="665">
        <f>INDEX(DB!$3:$367,MATCH(OQ$2,DB!$D$3:$D$367),45)</f>
        <v>66936.562117375754</v>
      </c>
      <c r="OR36" s="665">
        <f>INDEX(DB!$3:$367,MATCH(OR$2,DB!$D$3:$D$367),45)</f>
        <v>75872.835999999996</v>
      </c>
      <c r="OS36" s="665">
        <f>INDEX(DB!$3:$367,MATCH(OS$2,DB!$D$3:$D$367),45)</f>
        <v>69512.274000000005</v>
      </c>
      <c r="OT36" s="665">
        <f>INDEX(DB!$3:$367,MATCH(OT$2,DB!$D$3:$D$367),45)</f>
        <v>66416.08153157965</v>
      </c>
      <c r="OU36" s="665">
        <f>INDEX(DB!$3:$367,MATCH(OU$2,DB!$D$3:$D$367),45)</f>
        <v>0</v>
      </c>
      <c r="OV36" s="665" t="e">
        <f>INDEX(DB!$3:$367,MATCH(OV$2,DB!$D$3:$D$367),45)</f>
        <v>#N/A</v>
      </c>
      <c r="OW36" s="665">
        <f>INDEX(DB!$3:$367,MATCH(OW$2,DB!$D$3:$D$367),45)</f>
        <v>59808</v>
      </c>
      <c r="OX36" s="665">
        <f>INDEX(DB!$3:$367,MATCH(OX$2,DB!$D$3:$D$367),45)</f>
        <v>67049.998421597353</v>
      </c>
      <c r="OY36" s="665">
        <f>INDEX(DB!$3:$367,MATCH(OY$2,DB!$D$3:$D$367),45)</f>
        <v>62406.358606311915</v>
      </c>
      <c r="OZ36" s="665">
        <f>INDEX(DB!$3:$367,MATCH(OZ$2,DB!$D$3:$D$367),45)</f>
        <v>76619.567999999999</v>
      </c>
      <c r="PA36" s="665">
        <f>INDEX(DB!$3:$367,MATCH(PA$2,DB!$D$3:$D$367),45)</f>
        <v>65006.54800000001</v>
      </c>
      <c r="PB36" s="665">
        <f>INDEX(DB!$3:$367,MATCH(PB$2,DB!$D$3:$D$367),45)</f>
        <v>60982.180798973859</v>
      </c>
      <c r="PC36" s="665">
        <f>INDEX(DB!$3:$367,MATCH(PC$2,DB!$D$3:$D$367),45)</f>
        <v>60982.180798973859</v>
      </c>
    </row>
    <row r="37" spans="1:419" outlineLevel="1" x14ac:dyDescent="0.3">
      <c r="B37" s="972"/>
      <c r="C37" s="768" t="s">
        <v>226</v>
      </c>
      <c r="D37" s="191">
        <f t="shared" si="914"/>
        <v>311828.44170074491</v>
      </c>
      <c r="E37" s="169">
        <v>41000</v>
      </c>
      <c r="F37" s="169">
        <v>64233</v>
      </c>
      <c r="G37" s="169">
        <v>61162</v>
      </c>
      <c r="H37" s="169">
        <v>55700</v>
      </c>
      <c r="I37" s="169">
        <v>49534</v>
      </c>
      <c r="J37" s="169">
        <f t="shared" ref="J37:K37" si="934">J36</f>
        <v>40199.441700744937</v>
      </c>
      <c r="K37" s="193">
        <f t="shared" si="934"/>
        <v>0</v>
      </c>
      <c r="L37" s="191">
        <f t="shared" si="915"/>
        <v>370396</v>
      </c>
      <c r="M37" s="169">
        <v>71260</v>
      </c>
      <c r="N37" s="169">
        <f>56531+806</f>
        <v>57337</v>
      </c>
      <c r="O37" s="773">
        <f>64077+886</f>
        <v>64963</v>
      </c>
      <c r="P37" s="773">
        <v>72252</v>
      </c>
      <c r="Q37" s="169">
        <v>49491</v>
      </c>
      <c r="R37" s="169">
        <v>55093</v>
      </c>
      <c r="S37" s="193">
        <f t="shared" ref="S37" si="935">S36</f>
        <v>0</v>
      </c>
      <c r="T37" s="191">
        <f t="shared" si="916"/>
        <v>370724</v>
      </c>
      <c r="U37" s="169">
        <v>74945</v>
      </c>
      <c r="V37" s="169">
        <v>53502</v>
      </c>
      <c r="W37" s="169">
        <v>75216</v>
      </c>
      <c r="X37" s="169">
        <v>62482</v>
      </c>
      <c r="Y37" s="169">
        <f>48579+4000</f>
        <v>52579</v>
      </c>
      <c r="Z37" s="169">
        <v>52000</v>
      </c>
      <c r="AA37" s="193">
        <f t="shared" ref="AA37" si="936">AA36</f>
        <v>0</v>
      </c>
      <c r="AB37" s="191"/>
      <c r="AC37" s="169">
        <f>66961+4344</f>
        <v>71305</v>
      </c>
      <c r="AD37" s="773">
        <f>69994+793</f>
        <v>70787</v>
      </c>
      <c r="AE37" s="773">
        <v>70003</v>
      </c>
      <c r="AF37" s="773">
        <f>71326+1051</f>
        <v>72377</v>
      </c>
      <c r="AG37" s="169">
        <v>52690</v>
      </c>
      <c r="AH37" s="169">
        <v>49000</v>
      </c>
      <c r="AI37" s="193"/>
      <c r="AJ37" s="191">
        <f t="shared" si="917"/>
        <v>320802</v>
      </c>
      <c r="AK37" s="169">
        <f>72377+509</f>
        <v>72886</v>
      </c>
      <c r="AL37" s="169">
        <v>54478</v>
      </c>
      <c r="AM37" s="169">
        <v>71784</v>
      </c>
      <c r="AN37" s="169">
        <v>65786</v>
      </c>
      <c r="AO37" s="169">
        <v>55868</v>
      </c>
      <c r="AP37" s="169"/>
      <c r="AQ37" s="193"/>
      <c r="AR37" s="191"/>
      <c r="AS37" s="169">
        <v>68543</v>
      </c>
      <c r="AT37" s="169">
        <v>56615</v>
      </c>
      <c r="AU37" s="169">
        <v>67879</v>
      </c>
      <c r="AV37" s="169">
        <v>63327</v>
      </c>
      <c r="AW37" s="169">
        <v>49319</v>
      </c>
      <c r="AX37" s="169"/>
      <c r="AY37" s="169"/>
      <c r="AZ37" s="191"/>
      <c r="BA37" s="169">
        <v>60714</v>
      </c>
      <c r="BB37" s="169">
        <v>53071</v>
      </c>
      <c r="BC37" s="169">
        <v>69451</v>
      </c>
      <c r="BD37" s="169">
        <v>58260</v>
      </c>
      <c r="BE37" s="169">
        <v>49016</v>
      </c>
      <c r="BF37" s="169">
        <v>46063</v>
      </c>
      <c r="BG37" s="169"/>
      <c r="BH37" s="191"/>
      <c r="BI37" s="169">
        <v>64484</v>
      </c>
      <c r="BJ37" s="169">
        <v>50379</v>
      </c>
      <c r="BK37" s="169">
        <v>59069</v>
      </c>
      <c r="BL37" s="169">
        <v>62740</v>
      </c>
      <c r="BM37" s="169">
        <v>46567</v>
      </c>
      <c r="BN37" s="169">
        <v>51915</v>
      </c>
      <c r="BO37" s="169"/>
      <c r="BP37" s="191"/>
      <c r="BQ37" s="169">
        <v>60200</v>
      </c>
      <c r="BR37" s="169">
        <v>53060</v>
      </c>
      <c r="BS37" s="169">
        <v>59292</v>
      </c>
      <c r="BT37" s="169">
        <v>62686</v>
      </c>
      <c r="BU37" s="169">
        <v>50386</v>
      </c>
      <c r="BV37" s="169">
        <v>48300</v>
      </c>
      <c r="BW37" s="193"/>
      <c r="BX37" s="845"/>
      <c r="BY37" s="169">
        <v>49664</v>
      </c>
      <c r="BZ37" s="169">
        <v>53538</v>
      </c>
      <c r="CA37" s="169">
        <v>61671</v>
      </c>
      <c r="CB37" s="169">
        <v>51842</v>
      </c>
      <c r="CC37" s="169">
        <v>45835</v>
      </c>
      <c r="CD37" s="169">
        <v>55581</v>
      </c>
      <c r="CE37" s="169"/>
      <c r="CF37" s="169"/>
      <c r="CG37" s="169">
        <v>51509</v>
      </c>
      <c r="CH37" s="169">
        <v>45714</v>
      </c>
      <c r="CI37" s="169">
        <v>67037</v>
      </c>
      <c r="CJ37" s="169">
        <v>61216</v>
      </c>
      <c r="CK37" s="169">
        <v>43428</v>
      </c>
      <c r="CL37" s="169">
        <v>56022</v>
      </c>
      <c r="CM37" s="169"/>
      <c r="CN37" s="169"/>
      <c r="CO37" s="169">
        <v>52705</v>
      </c>
      <c r="CP37" s="169">
        <v>43654</v>
      </c>
      <c r="CQ37" s="169">
        <v>72914</v>
      </c>
      <c r="CR37" s="169">
        <v>62312</v>
      </c>
      <c r="CS37" s="169">
        <v>49311</v>
      </c>
      <c r="CT37" s="169">
        <v>46111</v>
      </c>
      <c r="CU37" s="169"/>
      <c r="CV37" s="169"/>
      <c r="CW37" s="169">
        <v>49669</v>
      </c>
      <c r="CX37" s="169">
        <v>49798</v>
      </c>
      <c r="CY37" s="169">
        <v>68107</v>
      </c>
      <c r="CZ37" s="169">
        <v>66552</v>
      </c>
      <c r="DA37" s="169">
        <v>50002</v>
      </c>
      <c r="DB37" s="169">
        <v>49847</v>
      </c>
      <c r="DC37" s="169"/>
      <c r="DD37" s="169"/>
      <c r="DE37" s="169">
        <v>45306</v>
      </c>
      <c r="DF37" s="169">
        <v>38006</v>
      </c>
      <c r="DG37" s="169">
        <v>73971</v>
      </c>
      <c r="DH37" s="169">
        <v>50672</v>
      </c>
      <c r="DI37" s="169">
        <v>49002</v>
      </c>
      <c r="DJ37" s="169"/>
      <c r="DK37" s="169"/>
      <c r="DL37" s="169"/>
      <c r="DM37" s="169">
        <v>52069</v>
      </c>
      <c r="DN37" s="169">
        <v>60135</v>
      </c>
      <c r="DO37" s="169">
        <v>55191</v>
      </c>
      <c r="DP37" s="169">
        <v>63485</v>
      </c>
      <c r="DQ37" s="169">
        <v>47340</v>
      </c>
      <c r="DR37" s="169">
        <v>52238</v>
      </c>
      <c r="DS37" s="169"/>
      <c r="DT37" s="169"/>
      <c r="DU37" s="169"/>
      <c r="DV37" s="169">
        <v>61444</v>
      </c>
      <c r="DW37" s="169">
        <v>66610</v>
      </c>
      <c r="DX37" s="169">
        <v>70683</v>
      </c>
      <c r="DY37" s="169">
        <v>23535</v>
      </c>
      <c r="DZ37" s="169">
        <v>52313</v>
      </c>
      <c r="EA37" s="169"/>
      <c r="EB37" s="169"/>
      <c r="EC37" s="169">
        <v>42980</v>
      </c>
      <c r="ED37" s="169">
        <v>69347</v>
      </c>
      <c r="EE37" s="169">
        <v>69369</v>
      </c>
      <c r="EF37" s="169">
        <v>58432</v>
      </c>
      <c r="EG37" s="169">
        <v>44425</v>
      </c>
      <c r="EH37" s="169"/>
      <c r="EI37" s="169"/>
      <c r="EJ37" s="169"/>
      <c r="EK37" s="169">
        <v>49236</v>
      </c>
      <c r="EL37" s="169">
        <v>67257</v>
      </c>
      <c r="EM37" s="169">
        <v>75165</v>
      </c>
      <c r="EN37" s="169">
        <v>48074</v>
      </c>
      <c r="EO37">
        <v>35086</v>
      </c>
      <c r="EP37" s="169">
        <v>68780</v>
      </c>
      <c r="EQ37" s="169"/>
      <c r="ER37" s="169"/>
      <c r="ES37" s="366">
        <v>46324</v>
      </c>
      <c r="ET37" s="169">
        <v>70222</v>
      </c>
      <c r="EU37" s="169">
        <v>81105</v>
      </c>
      <c r="EV37" s="169">
        <v>60534</v>
      </c>
      <c r="EW37" s="169">
        <v>44903</v>
      </c>
      <c r="EX37" s="169">
        <v>41262</v>
      </c>
      <c r="EY37" s="169"/>
      <c r="EZ37" s="169"/>
      <c r="FA37" s="169">
        <v>50172</v>
      </c>
      <c r="FB37" s="169">
        <v>50404</v>
      </c>
      <c r="FC37" s="169">
        <v>68280</v>
      </c>
      <c r="FD37" s="169">
        <v>54030</v>
      </c>
      <c r="FE37" s="169">
        <v>40013</v>
      </c>
      <c r="FF37" s="169"/>
      <c r="FG37" s="169"/>
      <c r="FH37" s="169"/>
      <c r="FI37" s="169">
        <v>64632</v>
      </c>
      <c r="FJ37" s="169">
        <v>54553</v>
      </c>
      <c r="FK37" s="169">
        <v>67433</v>
      </c>
      <c r="FL37" s="169"/>
      <c r="FM37" s="169">
        <v>40810</v>
      </c>
      <c r="FN37" s="169"/>
      <c r="FO37" s="193"/>
      <c r="FP37" s="191"/>
      <c r="FQ37" s="169">
        <v>56439</v>
      </c>
      <c r="FR37" s="169">
        <v>54407</v>
      </c>
      <c r="FS37" s="169">
        <v>67431</v>
      </c>
      <c r="FT37" s="169">
        <v>68306</v>
      </c>
      <c r="FU37" s="169">
        <v>44128</v>
      </c>
      <c r="FV37" s="169">
        <v>46742</v>
      </c>
      <c r="FW37" s="193"/>
      <c r="FX37" s="191"/>
      <c r="FY37" s="169"/>
      <c r="FZ37" s="169">
        <v>56985</v>
      </c>
      <c r="GA37" s="169">
        <v>64876</v>
      </c>
      <c r="GB37" s="169">
        <v>70084</v>
      </c>
      <c r="GC37" s="169">
        <v>54061</v>
      </c>
      <c r="GD37" s="169">
        <v>49393</v>
      </c>
      <c r="GE37" s="193"/>
      <c r="GF37" s="191"/>
      <c r="GG37" s="169">
        <v>53988</v>
      </c>
      <c r="GH37" s="169">
        <v>58332</v>
      </c>
      <c r="GI37" s="169">
        <v>61662</v>
      </c>
      <c r="GJ37" s="169">
        <v>64000</v>
      </c>
      <c r="GK37" s="169">
        <v>42770</v>
      </c>
      <c r="GL37" s="169">
        <v>42734</v>
      </c>
      <c r="GM37" s="193"/>
      <c r="GN37" s="191">
        <f t="shared" si="925"/>
        <v>323595</v>
      </c>
      <c r="GO37" s="169">
        <v>50852</v>
      </c>
      <c r="GP37" s="169">
        <v>56589</v>
      </c>
      <c r="GQ37" s="169">
        <v>75259</v>
      </c>
      <c r="GR37" s="169">
        <v>44704</v>
      </c>
      <c r="GS37" s="169">
        <v>45114</v>
      </c>
      <c r="GT37" s="169">
        <v>51077</v>
      </c>
      <c r="GU37" s="193"/>
      <c r="GV37" s="191">
        <f t="shared" si="926"/>
        <v>325264</v>
      </c>
      <c r="GW37" s="169">
        <v>61007</v>
      </c>
      <c r="GX37" s="169">
        <v>52878</v>
      </c>
      <c r="GY37" s="169">
        <v>67760</v>
      </c>
      <c r="GZ37" s="169">
        <v>55932</v>
      </c>
      <c r="HA37" s="169">
        <v>42110</v>
      </c>
      <c r="HB37" s="169">
        <v>45577</v>
      </c>
      <c r="HC37" s="169"/>
      <c r="HD37" s="191">
        <f t="shared" si="927"/>
        <v>277336</v>
      </c>
      <c r="HE37" s="169">
        <v>49647</v>
      </c>
      <c r="HF37" s="169">
        <v>44506</v>
      </c>
      <c r="HG37" s="169">
        <v>56946</v>
      </c>
      <c r="HH37" s="169">
        <v>41661</v>
      </c>
      <c r="HI37" s="169">
        <v>39530</v>
      </c>
      <c r="HJ37" s="169">
        <v>45046</v>
      </c>
      <c r="HK37" s="169"/>
      <c r="HL37" s="191">
        <f t="shared" si="928"/>
        <v>270596</v>
      </c>
      <c r="HM37" s="169">
        <v>53063</v>
      </c>
      <c r="HN37" s="169">
        <v>38705</v>
      </c>
      <c r="HO37" s="169">
        <v>46695</v>
      </c>
      <c r="HP37" s="169">
        <v>56457</v>
      </c>
      <c r="HQ37" s="169">
        <v>43663</v>
      </c>
      <c r="HR37" s="169">
        <v>32013</v>
      </c>
      <c r="HS37" s="193"/>
      <c r="HT37" s="191">
        <f t="shared" si="929"/>
        <v>227519</v>
      </c>
      <c r="HU37" s="169">
        <v>43569</v>
      </c>
      <c r="HV37" s="169">
        <v>45921</v>
      </c>
      <c r="HW37" s="169">
        <v>53146</v>
      </c>
      <c r="HX37" s="169"/>
      <c r="HY37" s="169">
        <v>45390</v>
      </c>
      <c r="HZ37" s="169">
        <v>39493</v>
      </c>
      <c r="IA37" s="169"/>
      <c r="IB37" s="191"/>
      <c r="IC37" s="169">
        <v>46349</v>
      </c>
      <c r="ID37" s="169">
        <v>43691</v>
      </c>
      <c r="IE37" s="169">
        <v>49073</v>
      </c>
      <c r="IF37" s="169">
        <v>54498</v>
      </c>
      <c r="IG37" s="169">
        <v>39914</v>
      </c>
      <c r="IH37" s="169">
        <v>41192</v>
      </c>
      <c r="II37" s="169"/>
      <c r="IJ37" s="191"/>
      <c r="IK37" s="169">
        <v>46584</v>
      </c>
      <c r="IL37" s="169">
        <v>47222</v>
      </c>
      <c r="IM37" s="169">
        <v>42207</v>
      </c>
      <c r="IN37" s="169">
        <v>44111</v>
      </c>
      <c r="IO37" s="169">
        <v>44165</v>
      </c>
      <c r="IP37" s="169">
        <v>32068</v>
      </c>
      <c r="IQ37" s="169"/>
      <c r="IR37" s="169"/>
      <c r="IS37" s="169">
        <v>48495</v>
      </c>
      <c r="IT37" s="169">
        <v>45143</v>
      </c>
      <c r="IU37" s="169">
        <v>45569</v>
      </c>
      <c r="IV37" s="169">
        <v>49351</v>
      </c>
      <c r="IW37" s="169">
        <v>48305</v>
      </c>
      <c r="IX37" s="169">
        <v>36559</v>
      </c>
      <c r="IY37" s="169"/>
      <c r="IZ37" s="169"/>
      <c r="JA37" s="169"/>
      <c r="JB37" s="169">
        <v>56206</v>
      </c>
      <c r="JC37" s="169">
        <v>43835</v>
      </c>
      <c r="JD37" s="169">
        <v>55535</v>
      </c>
      <c r="JE37" s="169">
        <v>45960</v>
      </c>
      <c r="JF37" s="169"/>
      <c r="JG37" s="169"/>
      <c r="JH37" s="169"/>
      <c r="JI37" s="169">
        <v>44585</v>
      </c>
      <c r="JJ37" s="169">
        <v>44195</v>
      </c>
      <c r="JK37" s="169">
        <v>48429</v>
      </c>
      <c r="JL37" s="169">
        <v>60266</v>
      </c>
      <c r="JM37" s="169">
        <v>54994</v>
      </c>
      <c r="JN37" s="169">
        <v>47525</v>
      </c>
      <c r="JO37" s="169"/>
      <c r="JP37" s="169"/>
      <c r="JQ37" s="169">
        <v>50608</v>
      </c>
      <c r="JR37" s="169">
        <v>44956</v>
      </c>
      <c r="JS37" s="169">
        <v>71491</v>
      </c>
      <c r="JT37" s="169">
        <v>63884</v>
      </c>
      <c r="JU37" s="169">
        <v>59250</v>
      </c>
      <c r="JV37" s="169">
        <v>45295</v>
      </c>
      <c r="JW37" s="169"/>
      <c r="JX37" s="169"/>
      <c r="JY37" s="169">
        <v>47887</v>
      </c>
      <c r="JZ37" s="169">
        <v>57022</v>
      </c>
      <c r="KA37" s="169">
        <v>62388</v>
      </c>
      <c r="KB37" s="169">
        <v>73157</v>
      </c>
      <c r="KC37" s="169">
        <v>58875</v>
      </c>
      <c r="KD37" s="169">
        <v>38715</v>
      </c>
      <c r="KE37" s="169"/>
      <c r="KF37" s="169"/>
      <c r="KG37" s="169">
        <v>48305</v>
      </c>
      <c r="KH37" s="169">
        <v>56539</v>
      </c>
      <c r="KI37" s="169">
        <v>61806</v>
      </c>
      <c r="KJ37" s="169">
        <v>51977</v>
      </c>
      <c r="KK37" s="169">
        <v>56636</v>
      </c>
      <c r="KL37" s="169">
        <v>43711</v>
      </c>
      <c r="KM37" s="169"/>
      <c r="KN37" s="169"/>
      <c r="KO37" s="169">
        <v>55743</v>
      </c>
      <c r="KP37" s="169">
        <v>50599</v>
      </c>
      <c r="KQ37" s="169">
        <v>66360</v>
      </c>
      <c r="KR37" s="169">
        <v>64790</v>
      </c>
      <c r="KS37" s="169">
        <v>37924</v>
      </c>
      <c r="KT37" s="169">
        <v>27266</v>
      </c>
      <c r="KU37" s="169"/>
      <c r="KV37" s="169"/>
      <c r="KW37" s="169">
        <v>51144</v>
      </c>
      <c r="KX37" s="169">
        <v>47651</v>
      </c>
      <c r="KY37" s="169">
        <v>58643</v>
      </c>
      <c r="KZ37" s="169">
        <v>58106</v>
      </c>
      <c r="LA37" s="169">
        <v>59419</v>
      </c>
      <c r="LB37" s="169">
        <v>51316</v>
      </c>
      <c r="LC37" s="169"/>
      <c r="LD37" s="169"/>
      <c r="LE37" s="169">
        <v>58391</v>
      </c>
      <c r="LF37" s="169">
        <v>56367</v>
      </c>
      <c r="LG37" s="169">
        <v>65693</v>
      </c>
      <c r="LH37" s="169">
        <v>66182</v>
      </c>
      <c r="LI37" s="169">
        <v>65392</v>
      </c>
      <c r="LJ37" s="169">
        <v>49516</v>
      </c>
      <c r="LK37" s="169"/>
      <c r="LL37" s="169"/>
      <c r="LM37" s="169">
        <v>44904</v>
      </c>
      <c r="LN37" s="169">
        <v>69750</v>
      </c>
      <c r="LO37" s="169">
        <v>57833</v>
      </c>
      <c r="LP37" s="169">
        <v>71265</v>
      </c>
      <c r="LQ37" s="169">
        <v>50979</v>
      </c>
      <c r="LR37" s="169">
        <v>45397</v>
      </c>
      <c r="LS37" s="193"/>
      <c r="LT37" s="169"/>
      <c r="LU37" s="169">
        <v>41519</v>
      </c>
      <c r="LV37" s="169">
        <v>59873</v>
      </c>
      <c r="LW37" s="169">
        <v>69697</v>
      </c>
      <c r="LX37" s="169">
        <v>61561</v>
      </c>
      <c r="LY37" s="169">
        <v>46500</v>
      </c>
      <c r="LZ37" s="169">
        <v>48020</v>
      </c>
      <c r="MA37" s="193"/>
      <c r="MB37" s="169"/>
      <c r="MC37" s="169">
        <v>42716</v>
      </c>
      <c r="MD37" s="169">
        <v>58037</v>
      </c>
      <c r="ME37" s="169">
        <v>59090</v>
      </c>
      <c r="MF37" s="169">
        <v>56954</v>
      </c>
      <c r="MG37" s="169">
        <v>49516</v>
      </c>
      <c r="MH37" s="169">
        <v>45089</v>
      </c>
      <c r="MI37" s="169"/>
      <c r="MJ37" s="169">
        <f t="shared" si="932"/>
        <v>292708</v>
      </c>
      <c r="MK37" s="169">
        <v>46114</v>
      </c>
      <c r="ML37" s="169"/>
      <c r="MM37" s="169">
        <v>60798</v>
      </c>
      <c r="MN37" s="169">
        <v>67795</v>
      </c>
      <c r="MO37" s="169">
        <v>63558</v>
      </c>
      <c r="MP37" s="169">
        <v>54443</v>
      </c>
      <c r="MQ37" s="193"/>
      <c r="MR37" s="169">
        <f t="shared" si="919"/>
        <v>330225</v>
      </c>
      <c r="MS37" s="169">
        <v>58217</v>
      </c>
      <c r="MT37" s="169">
        <v>73615</v>
      </c>
      <c r="MU37" s="169">
        <v>77965</v>
      </c>
      <c r="MV37" s="169">
        <v>71909</v>
      </c>
      <c r="MW37" s="169"/>
      <c r="MX37" s="169">
        <v>48519</v>
      </c>
      <c r="MY37" s="193"/>
      <c r="MZ37" s="191">
        <f t="shared" si="920"/>
        <v>386306</v>
      </c>
      <c r="NA37" s="169">
        <v>56939</v>
      </c>
      <c r="NB37" s="169">
        <v>60554</v>
      </c>
      <c r="NC37" s="169">
        <v>76631</v>
      </c>
      <c r="ND37" s="169">
        <v>85912</v>
      </c>
      <c r="NE37" s="169">
        <v>58709</v>
      </c>
      <c r="NF37" s="169">
        <v>47561</v>
      </c>
      <c r="NG37" s="169"/>
      <c r="NH37" s="191">
        <f t="shared" si="921"/>
        <v>350179</v>
      </c>
      <c r="NI37" s="169">
        <v>62275</v>
      </c>
      <c r="NJ37" s="169">
        <v>49891</v>
      </c>
      <c r="NK37" s="169">
        <v>64235</v>
      </c>
      <c r="NL37" s="169">
        <v>58127</v>
      </c>
      <c r="NM37" s="169">
        <v>60429</v>
      </c>
      <c r="NN37" s="169">
        <v>55222</v>
      </c>
      <c r="NO37" s="193">
        <f t="shared" ref="NO37" si="937">NO36</f>
        <v>0</v>
      </c>
      <c r="NP37" s="191">
        <f t="shared" si="922"/>
        <v>391065</v>
      </c>
      <c r="NQ37" s="169">
        <v>51949</v>
      </c>
      <c r="NR37" s="169">
        <v>83676</v>
      </c>
      <c r="NS37" s="169">
        <v>72288</v>
      </c>
      <c r="NT37" s="169">
        <v>79141</v>
      </c>
      <c r="NU37" s="169">
        <v>54931</v>
      </c>
      <c r="NV37" s="169">
        <v>49080</v>
      </c>
      <c r="NW37" s="193"/>
      <c r="NX37" s="191"/>
      <c r="NY37" s="169">
        <v>49991</v>
      </c>
      <c r="NZ37" s="169">
        <v>66540</v>
      </c>
      <c r="OA37" s="169">
        <v>57797</v>
      </c>
      <c r="OB37" s="169">
        <v>64649</v>
      </c>
      <c r="OC37" s="169">
        <v>55907</v>
      </c>
      <c r="OD37" s="169">
        <v>53175</v>
      </c>
      <c r="OE37" s="193"/>
      <c r="OF37" s="191"/>
      <c r="OG37" s="169">
        <v>54353</v>
      </c>
      <c r="OH37" s="169">
        <v>54040</v>
      </c>
      <c r="OI37" s="169">
        <v>70153</v>
      </c>
      <c r="OJ37" s="169">
        <v>48375</v>
      </c>
      <c r="OK37" s="169">
        <v>56776</v>
      </c>
      <c r="OL37" s="169">
        <v>53829</v>
      </c>
      <c r="OM37" s="193"/>
      <c r="ON37" s="191"/>
      <c r="OO37" s="169">
        <v>64022</v>
      </c>
      <c r="OP37" s="169">
        <v>79284</v>
      </c>
      <c r="OQ37" s="169">
        <v>83049</v>
      </c>
      <c r="OR37" s="169">
        <v>80735</v>
      </c>
      <c r="OS37" s="169">
        <v>56619</v>
      </c>
      <c r="OT37" s="169">
        <v>45235</v>
      </c>
      <c r="OU37" s="193"/>
      <c r="OV37" s="191"/>
      <c r="OW37" s="169">
        <v>34710</v>
      </c>
      <c r="OX37" s="169">
        <v>68912</v>
      </c>
      <c r="OY37" s="169">
        <v>57239</v>
      </c>
      <c r="OZ37" s="169">
        <v>63748</v>
      </c>
      <c r="PA37" s="169">
        <v>42234</v>
      </c>
      <c r="PB37" s="169">
        <v>44876</v>
      </c>
      <c r="PC37" s="193"/>
    </row>
    <row r="38" spans="1:419" outlineLevel="1" x14ac:dyDescent="0.3">
      <c r="B38" s="972"/>
      <c r="C38" s="681" t="s">
        <v>268</v>
      </c>
      <c r="D38" s="692">
        <f t="shared" si="914"/>
        <v>95928.857235609292</v>
      </c>
      <c r="E38" s="665">
        <f>INDEX(DB!$3:$367,MATCH(E$2,DB!$D$3:$D$367),46)</f>
        <v>49273.053738034767</v>
      </c>
      <c r="F38" s="665">
        <f>INDEX(DB!$3:$367,MATCH(F$2,DB!$D$3:$D$367),46)</f>
        <v>6447.0457431537743</v>
      </c>
      <c r="G38" s="665">
        <f>INDEX(DB!$3:$367,MATCH(G$2,DB!$D$3:$D$367),46)</f>
        <v>14752.884949626197</v>
      </c>
      <c r="H38" s="665">
        <f>INDEX(DB!$3:$367,MATCH(H$2,DB!$D$3:$D$367),46)</f>
        <v>11884.161805071839</v>
      </c>
      <c r="I38" s="665">
        <f>INDEX(DB!$3:$367,MATCH(I$2,DB!$D$3:$D$367),46)</f>
        <v>7322.8110519346319</v>
      </c>
      <c r="J38" s="665">
        <f>INDEX(DB!$3:$367,MATCH(J$2,DB!$D$3:$D$367),46)</f>
        <v>6248.8999477880679</v>
      </c>
      <c r="K38" s="666">
        <f>INDEX(DB!$3:$367,MATCH(K$2,DB!$D$3:$D$367),46)</f>
        <v>0</v>
      </c>
      <c r="L38" s="692">
        <f t="shared" si="915"/>
        <v>84914.131876506333</v>
      </c>
      <c r="M38" s="665">
        <f>INDEX(DB!$3:$367,MATCH(M$2,DB!$D$3:$D$367),46)</f>
        <v>37550.31730195901</v>
      </c>
      <c r="N38" s="665">
        <f>INDEX(DB!$3:$367,MATCH(N$2,DB!$D$3:$D$367),46)</f>
        <v>6518.2980579412997</v>
      </c>
      <c r="O38" s="665">
        <f>INDEX(DB!$3:$367,MATCH(O$2,DB!$D$3:$D$367),46)</f>
        <v>11949.245422023341</v>
      </c>
      <c r="P38" s="665">
        <f>INDEX(DB!$3:$367,MATCH(P$2,DB!$D$3:$D$367),46)</f>
        <v>11598.314276273462</v>
      </c>
      <c r="Q38" s="665">
        <f>INDEX(DB!$3:$367,MATCH(Q$2,DB!$D$3:$D$367),46)</f>
        <v>10224.721563227748</v>
      </c>
      <c r="R38" s="665">
        <f>INDEX(DB!$3:$367,MATCH(R$2,DB!$D$3:$D$367),46)</f>
        <v>7073.2352550814667</v>
      </c>
      <c r="S38" s="666">
        <f>INDEX(DB!$3:$367,MATCH(S$2,DB!$D$3:$D$367),46)</f>
        <v>0</v>
      </c>
      <c r="T38" s="692">
        <f t="shared" si="916"/>
        <v>86103.340790687507</v>
      </c>
      <c r="U38" s="665">
        <f>INDEX(DB!$3:$367,MATCH(U$2,DB!$D$3:$D$367),46)</f>
        <v>41414.982634933884</v>
      </c>
      <c r="V38" s="665">
        <f>INDEX(DB!$3:$367,MATCH(V$2,DB!$D$3:$D$367),46)</f>
        <v>6574.6533528989376</v>
      </c>
      <c r="W38" s="665">
        <f>INDEX(DB!$3:$367,MATCH(W$2,DB!$D$3:$D$367),46)</f>
        <v>18013.864800185976</v>
      </c>
      <c r="X38" s="665">
        <f>INDEX(DB!$3:$367,MATCH(X$2,DB!$D$3:$D$367),46)</f>
        <v>9114.5197765038502</v>
      </c>
      <c r="Y38" s="665">
        <f>INDEX(DB!$3:$367,MATCH(Y$2,DB!$D$3:$D$367),46)</f>
        <v>5186.6967047600901</v>
      </c>
      <c r="Z38" s="665">
        <f>INDEX(DB!$3:$367,MATCH(Z$2,DB!$D$3:$D$367),46)</f>
        <v>5798.6235214047701</v>
      </c>
      <c r="AA38" s="666">
        <f>INDEX(DB!$3:$367,MATCH(AA$2,DB!$D$3:$D$367),46)</f>
        <v>0</v>
      </c>
      <c r="AB38" s="692">
        <f>SUM(AC38:AI38)</f>
        <v>110088.86434221626</v>
      </c>
      <c r="AC38" s="665">
        <f>INDEX(DB!$3:$367,MATCH(AC$2,DB!$D$3:$D$367),46)</f>
        <v>64017.948173714336</v>
      </c>
      <c r="AD38" s="665">
        <f>INDEX(DB!$3:$367,MATCH(AD$2,DB!$D$3:$D$367),46)</f>
        <v>6612.1361769870409</v>
      </c>
      <c r="AE38" s="665">
        <f>INDEX(DB!$3:$367,MATCH(AE$2,DB!$D$3:$D$367),46)</f>
        <v>15892.905977193766</v>
      </c>
      <c r="AF38" s="665">
        <f>INDEX(DB!$3:$367,MATCH(AF$2,DB!$D$3:$D$367),46)</f>
        <v>10477.988247605848</v>
      </c>
      <c r="AG38" s="665">
        <f>INDEX(DB!$3:$367,MATCH(AG$2,DB!$D$3:$D$367),46)</f>
        <v>7256.2286267688987</v>
      </c>
      <c r="AH38" s="665">
        <f>INDEX(DB!$3:$367,MATCH(AH$2,DB!$D$3:$D$367),46)</f>
        <v>5831.6571399463737</v>
      </c>
      <c r="AI38" s="665">
        <f>INDEX(DB!$3:$367,MATCH(AI$2,DB!$D$3:$D$367),46)</f>
        <v>0</v>
      </c>
      <c r="AJ38" s="692">
        <f t="shared" si="917"/>
        <v>104445.09406741221</v>
      </c>
      <c r="AK38" s="665">
        <f>INDEX(DB!$3:$367,MATCH(AK$2,DB!$D$3:$D$367),46)</f>
        <v>46759.662036760594</v>
      </c>
      <c r="AL38" s="665">
        <f>INDEX(DB!$3:$367,MATCH(AL$2,DB!$D$3:$D$367),46)</f>
        <v>6727.5116296871347</v>
      </c>
      <c r="AM38" s="665">
        <f>INDEX(DB!$3:$367,MATCH(AM$2,DB!$D$3:$D$367),46)</f>
        <v>20369.956488652926</v>
      </c>
      <c r="AN38" s="665">
        <f>INDEX(DB!$3:$367,MATCH(AN$2,DB!$D$3:$D$367),46)</f>
        <v>16186.233268797301</v>
      </c>
      <c r="AO38" s="665">
        <f>INDEX(DB!$3:$367,MATCH(AO$2,DB!$D$3:$D$367),46)</f>
        <v>8468.2708242043373</v>
      </c>
      <c r="AP38" s="665">
        <f>INDEX(DB!$3:$367,MATCH(AP$2,DB!$D$3:$D$367),46)</f>
        <v>5933.4598193099255</v>
      </c>
      <c r="AQ38" s="665">
        <f>INDEX(DB!$3:$367,MATCH(AQ$2,DB!$D$3:$D$367),46)</f>
        <v>0</v>
      </c>
      <c r="AR38" s="665"/>
      <c r="AS38" s="665">
        <f>INDEX(DB!$3:$367,MATCH(AS$2,DB!$D$3:$D$367),46)</f>
        <v>47452.944732183918</v>
      </c>
      <c r="AT38" s="665">
        <f>INDEX(DB!$3:$367,MATCH(AT$2,DB!$D$3:$D$367),46)</f>
        <v>6766.4361008555497</v>
      </c>
      <c r="AU38" s="665">
        <f>INDEX(DB!$3:$367,MATCH(AU$2,DB!$D$3:$D$367),46)</f>
        <v>13840.439312741029</v>
      </c>
      <c r="AV38" s="665">
        <f>INDEX(DB!$3:$367,MATCH(AV$2,DB!$D$3:$D$367),46)</f>
        <v>11075.09970070445</v>
      </c>
      <c r="AW38" s="665">
        <f>INDEX(DB!$3:$367,MATCH(AW$2,DB!$D$3:$D$367),46)</f>
        <v>6561.9822756424928</v>
      </c>
      <c r="AX38" s="665">
        <f>INDEX(DB!$3:$367,MATCH(AX$2,DB!$D$3:$D$367),46)</f>
        <v>5967.7678830113127</v>
      </c>
      <c r="AY38" s="665">
        <f>INDEX(DB!$3:$367,MATCH(AY$2,DB!$D$3:$D$367),46)</f>
        <v>0</v>
      </c>
      <c r="AZ38" s="692"/>
      <c r="BA38" s="665">
        <f>INDEX(DB!$3:$367,MATCH(BA$2,DB!$D$3:$D$367),46)</f>
        <v>120979.8186029417</v>
      </c>
      <c r="BB38" s="665">
        <f>INDEX(DB!$3:$367,MATCH(BB$2,DB!$D$3:$D$367),46)</f>
        <v>6435.4251939609594</v>
      </c>
      <c r="BC38" s="665">
        <f>INDEX(DB!$3:$367,MATCH(BC$2,DB!$D$3:$D$367),46)</f>
        <v>20518.534991012835</v>
      </c>
      <c r="BD38" s="665">
        <f>INDEX(DB!$3:$367,MATCH(BD$2,DB!$D$3:$D$367),46)</f>
        <v>10952.349339017601</v>
      </c>
      <c r="BE38" s="665">
        <f>INDEX(DB!$3:$367,MATCH(BE$2,DB!$D$3:$D$367),46)</f>
        <v>5653.7903587810697</v>
      </c>
      <c r="BF38" s="665">
        <f>INDEX(DB!$3:$367,MATCH(BF$2,DB!$D$3:$D$367),46)</f>
        <v>5914.9548755898604</v>
      </c>
      <c r="BG38" s="665">
        <f>INDEX(DB!$3:$367,MATCH(BG$2,DB!$D$3:$D$367),46)</f>
        <v>0</v>
      </c>
      <c r="BH38" s="692"/>
      <c r="BI38" s="665">
        <f>INDEX(DB!$3:$367,MATCH(BI$2,DB!$D$3:$D$367),46)</f>
        <v>56510</v>
      </c>
      <c r="BJ38" s="665">
        <f>INDEX(DB!$3:$367,MATCH(BJ$2,DB!$D$3:$D$367),46)</f>
        <v>6438</v>
      </c>
      <c r="BK38" s="665">
        <f>INDEX(DB!$3:$367,MATCH(BK$2,DB!$D$3:$D$367),46)</f>
        <v>22896</v>
      </c>
      <c r="BL38" s="665">
        <f>INDEX(DB!$3:$367,MATCH(BL$2,DB!$D$3:$D$367),46)</f>
        <v>10183</v>
      </c>
      <c r="BM38" s="665">
        <f>INDEX(DB!$3:$367,MATCH(BM$2,DB!$D$3:$D$367),46)</f>
        <v>7567</v>
      </c>
      <c r="BN38" s="665">
        <f>INDEX(DB!$3:$367,MATCH(BN$2,DB!$D$3:$D$367),46)</f>
        <v>6050</v>
      </c>
      <c r="BO38" s="665">
        <f>INDEX(DB!$3:$367,MATCH(BO$2,DB!$D$3:$D$367),46)</f>
        <v>0</v>
      </c>
      <c r="BP38" s="692" t="e">
        <f>INDEX(DB!$3:$367,MATCH(BP$2,DB!$D$3:$D$367),46)</f>
        <v>#N/A</v>
      </c>
      <c r="BQ38" s="665">
        <f>INDEX(DB!$3:$367,MATCH(BQ$2,DB!$D$3:$D$367),46)</f>
        <v>46144.901464056544</v>
      </c>
      <c r="BR38" s="665">
        <f>INDEX(DB!$3:$367,MATCH(BR$2,DB!$D$3:$D$367),46)</f>
        <v>6433.5903704041984</v>
      </c>
      <c r="BS38" s="665">
        <f>INDEX(DB!$3:$367,MATCH(BS$2,DB!$D$3:$D$367),46)</f>
        <v>14305.131543260874</v>
      </c>
      <c r="BT38" s="665">
        <f>INDEX(DB!$3:$367,MATCH(BT$2,DB!$D$3:$D$367),46)</f>
        <v>13500.596794175157</v>
      </c>
      <c r="BU38" s="665">
        <f>INDEX(DB!$3:$367,MATCH(BU$2,DB!$D$3:$D$367),46)</f>
        <v>5155.3840756499649</v>
      </c>
      <c r="BV38" s="665">
        <f>INDEX(DB!$3:$367,MATCH(BV$2,DB!$D$3:$D$367),46)</f>
        <v>5674.2376738098437</v>
      </c>
      <c r="BW38" s="666">
        <f>INDEX(DB!$3:$367,MATCH(BW$2,DB!$D$3:$D$367),46)</f>
        <v>0</v>
      </c>
      <c r="BX38" s="848" t="e">
        <f>INDEX(DB!$3:$367,MATCH(BX$2,DB!$D$3:$D$367),46)</f>
        <v>#N/A</v>
      </c>
      <c r="BY38" s="665">
        <f>INDEX(DB!$3:$367,MATCH(BY$2,DB!$D$3:$D$367),46)</f>
        <v>57104.021399958961</v>
      </c>
      <c r="BZ38" s="665">
        <f>INDEX(DB!$3:$367,MATCH(BZ$2,DB!$D$3:$D$367),46)</f>
        <v>8851.5229966915649</v>
      </c>
      <c r="CA38" s="665">
        <f>INDEX(DB!$3:$367,MATCH(CA$2,DB!$D$3:$D$367),46)</f>
        <v>15721.886120656378</v>
      </c>
      <c r="CB38" s="665">
        <f>INDEX(DB!$3:$367,MATCH(CB$2,DB!$D$3:$D$367),46)</f>
        <v>8845.9283097895823</v>
      </c>
      <c r="CC38" s="665">
        <f>INDEX(DB!$3:$367,MATCH(CC$2,DB!$D$3:$D$367),46)</f>
        <v>4972.633956471388</v>
      </c>
      <c r="CD38" s="665">
        <f>INDEX(DB!$3:$367,MATCH(CD$2,DB!$D$3:$D$367),46)</f>
        <v>6004.0640811619633</v>
      </c>
      <c r="CE38" s="665">
        <f>INDEX(DB!$3:$367,MATCH(CE$2,DB!$D$3:$D$367),46)</f>
        <v>0</v>
      </c>
      <c r="CF38" s="665" t="e">
        <f>INDEX(DB!$3:$367,MATCH(CF$2,DB!$D$3:$D$367),46)</f>
        <v>#N/A</v>
      </c>
      <c r="CG38" s="665">
        <f>INDEX(DB!$3:$367,MATCH(CG$2,DB!$D$3:$D$367),46)</f>
        <v>59727.875809744815</v>
      </c>
      <c r="CH38" s="665">
        <f>INDEX(DB!$3:$367,MATCH(CH$2,DB!$D$3:$D$367),46)</f>
        <v>6367.8862125621154</v>
      </c>
      <c r="CI38" s="665">
        <f>INDEX(DB!$3:$367,MATCH(CI$2,DB!$D$3:$D$367),46)</f>
        <v>22118.501885520491</v>
      </c>
      <c r="CJ38" s="665">
        <f>INDEX(DB!$3:$367,MATCH(CJ$2,DB!$D$3:$D$367),46)</f>
        <v>15733.626662875316</v>
      </c>
      <c r="CK38" s="665">
        <f>INDEX(DB!$3:$367,MATCH(CK$2,DB!$D$3:$D$367),46)</f>
        <v>4982.2886232819601</v>
      </c>
      <c r="CL38" s="665">
        <f>INDEX(DB!$3:$367,MATCH(CL$2,DB!$D$3:$D$367),46)</f>
        <v>6015.7379988255852</v>
      </c>
      <c r="CM38" s="665">
        <f>INDEX(DB!$3:$367,MATCH(CM$2,DB!$D$3:$D$367),46)</f>
        <v>0</v>
      </c>
      <c r="CN38" s="665" t="e">
        <f>INDEX(DB!$3:$367,MATCH(CN$2,DB!$D$3:$D$367),46)</f>
        <v>#N/A</v>
      </c>
      <c r="CO38" s="665">
        <f>INDEX(DB!$3:$367,MATCH(CO$2,DB!$D$3:$D$367),46)</f>
        <v>55666.287144544985</v>
      </c>
      <c r="CP38" s="665">
        <f>INDEX(DB!$3:$367,MATCH(CP$2,DB!$D$3:$D$367),46)</f>
        <v>6459.1468413733601</v>
      </c>
      <c r="CQ38" s="665">
        <f>INDEX(DB!$3:$367,MATCH(CQ$2,DB!$D$3:$D$367),46)</f>
        <v>25588.958362301219</v>
      </c>
      <c r="CR38" s="665">
        <f>INDEX(DB!$3:$367,MATCH(CR$2,DB!$D$3:$D$367),46)</f>
        <v>13625.455455771924</v>
      </c>
      <c r="CS38" s="665">
        <f>INDEX(DB!$3:$367,MATCH(CS$2,DB!$D$3:$D$367),46)</f>
        <v>5051.8808596133686</v>
      </c>
      <c r="CT38" s="665">
        <f>INDEX(DB!$3:$367,MATCH(CT$2,DB!$D$3:$D$367),46)</f>
        <v>6400.3145702420288</v>
      </c>
      <c r="CU38" s="665">
        <f>INDEX(DB!$3:$367,MATCH(CU$2,DB!$D$3:$D$367),46)</f>
        <v>0</v>
      </c>
      <c r="CV38" s="665" t="e">
        <f>INDEX(DB!$3:$367,MATCH(CV$2,DB!$D$3:$D$367),46)</f>
        <v>#N/A</v>
      </c>
      <c r="CW38" s="665">
        <f>INDEX(DB!$3:$367,MATCH(CW$2,DB!$D$3:$D$367),46)</f>
        <v>79354.157566202324</v>
      </c>
      <c r="CX38" s="665">
        <f>INDEX(DB!$3:$367,MATCH(CX$2,DB!$D$3:$D$367),46)</f>
        <v>5918.5728725316458</v>
      </c>
      <c r="CY38" s="665">
        <f>INDEX(DB!$3:$367,MATCH(CY$2,DB!$D$3:$D$367),46)</f>
        <v>13949.488084549961</v>
      </c>
      <c r="CZ38" s="665">
        <f>INDEX(DB!$3:$367,MATCH(CZ$2,DB!$D$3:$D$367),46)</f>
        <v>18696.689411164018</v>
      </c>
      <c r="DA38" s="665">
        <f>INDEX(DB!$3:$367,MATCH(DA$2,DB!$D$3:$D$367),46)</f>
        <v>5339.5986678234485</v>
      </c>
      <c r="DB38" s="665">
        <f>INDEX(DB!$3:$367,MATCH(DB$2,DB!$D$3:$D$367),46)</f>
        <v>6651.8390669770142</v>
      </c>
      <c r="DC38" s="665">
        <f>INDEX(DB!$3:$367,MATCH(DC$2,DB!$D$3:$D$367),46)</f>
        <v>0</v>
      </c>
      <c r="DD38" s="665" t="e">
        <f>INDEX(DB!$3:$367,MATCH(DD$2,DB!$D$3:$D$367),46)</f>
        <v>#N/A</v>
      </c>
      <c r="DE38" s="665">
        <f>INDEX(DB!$3:$367,MATCH(DE$2,DB!$D$3:$D$367),46)</f>
        <v>59219</v>
      </c>
      <c r="DF38" s="665">
        <f>INDEX(DB!$3:$367,MATCH(DF$2,DB!$D$3:$D$367),46)</f>
        <v>5692</v>
      </c>
      <c r="DG38" s="665">
        <f>INDEX(DB!$3:$367,MATCH(DG$2,DB!$D$3:$D$367),46)</f>
        <v>14602</v>
      </c>
      <c r="DH38" s="665">
        <f>INDEX(DB!$3:$367,MATCH(DH$2,DB!$D$3:$D$367),46)</f>
        <v>12490</v>
      </c>
      <c r="DI38" s="665">
        <f>INDEX(DB!$3:$367,MATCH(DI$2,DB!$D$3:$D$367),46)</f>
        <v>5202</v>
      </c>
      <c r="DJ38" s="665">
        <f>INDEX(DB!$3:$367,MATCH(DJ$2,DB!$D$3:$D$367),46)</f>
        <v>6559</v>
      </c>
      <c r="DK38" s="665">
        <f>INDEX(DB!$3:$367,MATCH(DK$2,DB!$D$3:$D$367),46)</f>
        <v>0</v>
      </c>
      <c r="DL38" s="665" t="e">
        <f>INDEX(DB!$3:$367,MATCH(DL$2,DB!$D$3:$D$367),46)</f>
        <v>#N/A</v>
      </c>
      <c r="DM38" s="665">
        <f>INDEX(DB!$3:$367,MATCH(DM$2,DB!$D$3:$D$367),46)</f>
        <v>64419.486630207932</v>
      </c>
      <c r="DN38" s="665">
        <f>INDEX(DB!$3:$367,MATCH(DN$2,DB!$D$3:$D$367),46)</f>
        <v>6130.7134247132662</v>
      </c>
      <c r="DO38" s="665">
        <f>INDEX(DB!$3:$367,MATCH(DO$2,DB!$D$3:$D$367),46)</f>
        <v>18609.045659550273</v>
      </c>
      <c r="DP38" s="665">
        <f>INDEX(DB!$3:$367,MATCH(DP$2,DB!$D$3:$D$367),46)</f>
        <v>14335.372558043002</v>
      </c>
      <c r="DQ38" s="665">
        <f>INDEX(DB!$3:$367,MATCH(DQ$2,DB!$D$3:$D$367),46)</f>
        <v>5792.6253412425995</v>
      </c>
      <c r="DR38" s="665">
        <f>INDEX(DB!$3:$367,MATCH(DR$2,DB!$D$3:$D$367),46)</f>
        <v>6137.2181114562036</v>
      </c>
      <c r="DS38" s="665">
        <f>INDEX(DB!$3:$367,MATCH(DS$2,DB!$D$3:$D$367),46)</f>
        <v>0</v>
      </c>
      <c r="DT38" s="665" t="e">
        <f>INDEX(DB!$3:$367,MATCH(DT$2,DB!$D$3:$D$367),46)</f>
        <v>#N/A</v>
      </c>
      <c r="DU38" s="665">
        <f>INDEX(DB!$3:$367,MATCH(DU$2,DB!$D$3:$D$367),46)</f>
        <v>0</v>
      </c>
      <c r="DV38" s="665">
        <f>INDEX(DB!$3:$367,MATCH(DV$2,DB!$D$3:$D$367),46)</f>
        <v>51627.318776001564</v>
      </c>
      <c r="DW38" s="665">
        <f>INDEX(DB!$3:$367,MATCH(DW$2,DB!$D$3:$D$367),46)</f>
        <v>12770.02870539106</v>
      </c>
      <c r="DX38" s="665">
        <f>INDEX(DB!$3:$367,MATCH(DX$2,DB!$D$3:$D$367),46)</f>
        <v>10995.600549773975</v>
      </c>
      <c r="DY38" s="665">
        <f>INDEX(DB!$3:$367,MATCH(DY$2,DB!$D$3:$D$367),46)</f>
        <v>5227.2812543846212</v>
      </c>
      <c r="DZ38" s="665">
        <f>INDEX(DB!$3:$367,MATCH(DZ$2,DB!$D$3:$D$367),46)</f>
        <v>5961.3956572123925</v>
      </c>
      <c r="EA38" s="665">
        <f>INDEX(DB!$3:$367,MATCH(EA$2,DB!$D$3:$D$367),46)</f>
        <v>0</v>
      </c>
      <c r="EB38" s="665" t="e">
        <f>INDEX(DB!$3:$367,MATCH(EB$2,DB!$D$3:$D$367),46)</f>
        <v>#N/A</v>
      </c>
      <c r="EC38" s="665">
        <f>INDEX(DB!$3:$367,MATCH(EC$2,DB!$D$3:$D$367),46)</f>
        <v>58420.92599927837</v>
      </c>
      <c r="ED38" s="665">
        <f>INDEX(DB!$3:$367,MATCH(ED$2,DB!$D$3:$D$367),46)</f>
        <v>5353.5345895997943</v>
      </c>
      <c r="EE38" s="665">
        <f>INDEX(DB!$3:$367,MATCH(EE$2,DB!$D$3:$D$367),46)</f>
        <v>20491.86698334157</v>
      </c>
      <c r="EF38" s="665">
        <f>INDEX(DB!$3:$367,MATCH(EF$2,DB!$D$3:$D$367),46)</f>
        <v>7400.5003883785357</v>
      </c>
      <c r="EG38" s="665">
        <f>INDEX(DB!$3:$367,MATCH(EG$2,DB!$D$3:$D$367),46)</f>
        <v>5017.4560747865326</v>
      </c>
      <c r="EH38" s="665">
        <f>INDEX(DB!$3:$367,MATCH(EH$2,DB!$D$3:$D$367),46)</f>
        <v>4245.2400831995001</v>
      </c>
      <c r="EI38" s="665">
        <f>INDEX(DB!$3:$367,MATCH(EI$2,DB!$D$3:$D$367),46)</f>
        <v>0</v>
      </c>
      <c r="EJ38" s="665" t="e">
        <f>INDEX(DB!$3:$367,MATCH(EJ$2,DB!$D$3:$D$367),46)</f>
        <v>#N/A</v>
      </c>
      <c r="EK38" s="665">
        <f>INDEX(DB!$3:$367,MATCH(EK$2,DB!$D$3:$D$367),46)</f>
        <v>62585.33329465783</v>
      </c>
      <c r="EL38" s="665">
        <f>INDEX(DB!$3:$367,MATCH(EL$2,DB!$D$3:$D$367),46)</f>
        <v>6072.8727964001555</v>
      </c>
      <c r="EM38" s="665">
        <f>INDEX(DB!$3:$367,MATCH(EM$2,DB!$D$3:$D$367),46)</f>
        <v>16233.858752921353</v>
      </c>
      <c r="EN38" s="665">
        <f>INDEX(DB!$3:$367,MATCH(EN$2,DB!$D$3:$D$367),46)</f>
        <v>8589.0327118003843</v>
      </c>
      <c r="EO38" s="665">
        <f>INDEX(DB!$3:$367,MATCH(EO$2,DB!$D$3:$D$367),46)</f>
        <v>5266.5552157543243</v>
      </c>
      <c r="EP38" s="665">
        <f>INDEX(DB!$3:$367,MATCH(EP$2,DB!$D$3:$D$367),46)</f>
        <v>6657.701514712021</v>
      </c>
      <c r="EQ38" s="665">
        <f>INDEX(DB!$3:$367,MATCH(EQ$2,DB!$D$3:$D$367),46)</f>
        <v>0</v>
      </c>
      <c r="ER38" s="665" t="e">
        <f>INDEX(DB!$3:$367,MATCH(ER$2,DB!$D$3:$D$367),46)</f>
        <v>#N/A</v>
      </c>
      <c r="ES38" s="862">
        <f>INDEX(DB!$3:$367,MATCH(ES$2,DB!$D$3:$D$367),46)</f>
        <v>64361.320287377872</v>
      </c>
      <c r="ET38" s="665">
        <f>INDEX(DB!$3:$367,MATCH(ET$2,DB!$D$3:$D$367),46)</f>
        <v>6299.9540546868238</v>
      </c>
      <c r="EU38" s="665">
        <f>INDEX(DB!$3:$367,MATCH(EU$2,DB!$D$3:$D$367),46)</f>
        <v>27728.850000451646</v>
      </c>
      <c r="EV38" s="665">
        <f>INDEX(DB!$3:$367,MATCH(EV$2,DB!$D$3:$D$367),46)</f>
        <v>16372.846281885773</v>
      </c>
      <c r="EW38" s="665">
        <f>INDEX(DB!$3:$367,MATCH(EW$2,DB!$D$3:$D$367),46)</f>
        <v>5691.1421240436903</v>
      </c>
      <c r="EX38" s="665">
        <f>INDEX(DB!$3:$367,MATCH(EX$2,DB!$D$3:$D$367),46)</f>
        <v>5539.3760041345167</v>
      </c>
      <c r="EY38" s="665">
        <f>INDEX(DB!$3:$367,MATCH(EY$2,DB!$D$3:$D$367),46)</f>
        <v>0</v>
      </c>
      <c r="EZ38" s="665" t="e">
        <f>INDEX(DB!$3:$367,MATCH(EZ$2,DB!$D$3:$D$367),46)</f>
        <v>#N/A</v>
      </c>
      <c r="FA38" s="665">
        <f>INDEX(DB!$3:$367,MATCH(FA$2,DB!$D$3:$D$367),46)</f>
        <v>61679.056543329534</v>
      </c>
      <c r="FB38" s="665">
        <f>INDEX(DB!$3:$367,MATCH(FB$2,DB!$D$3:$D$367),46)</f>
        <v>5890.8757740795982</v>
      </c>
      <c r="FC38" s="665">
        <f>INDEX(DB!$3:$367,MATCH(FC$2,DB!$D$3:$D$367),46)</f>
        <v>21239.854416768856</v>
      </c>
      <c r="FD38" s="665">
        <f>INDEX(DB!$3:$367,MATCH(FD$2,DB!$D$3:$D$367),46)</f>
        <v>10136.992003204667</v>
      </c>
      <c r="FE38" s="665">
        <f>INDEX(DB!$3:$367,MATCH(FE$2,DB!$D$3:$D$367),46)</f>
        <v>5486.7777288407215</v>
      </c>
      <c r="FF38" s="665">
        <f>INDEX(DB!$3:$367,MATCH(FF$2,DB!$D$3:$D$367),46)</f>
        <v>5706.2575752493822</v>
      </c>
      <c r="FG38" s="665">
        <f>INDEX(DB!$3:$367,MATCH(FG$2,DB!$D$3:$D$367),46)</f>
        <v>0</v>
      </c>
      <c r="FH38" s="665" t="e">
        <f>INDEX(DB!$3:$367,MATCH(FH$2,DB!$D$3:$D$367),46)</f>
        <v>#N/A</v>
      </c>
      <c r="FI38" s="665">
        <f>INDEX(DB!$3:$367,MATCH(FI$2,DB!$D$3:$D$367),46)</f>
        <v>97592.829345299164</v>
      </c>
      <c r="FJ38" s="665">
        <f>INDEX(DB!$3:$367,MATCH(FJ$2,DB!$D$3:$D$367),46)</f>
        <v>11539.590663307034</v>
      </c>
      <c r="FK38" s="665">
        <f>INDEX(DB!$3:$367,MATCH(FK$2,DB!$D$3:$D$367),46)</f>
        <v>23501.299414086403</v>
      </c>
      <c r="FL38" s="665">
        <f>INDEX(DB!$3:$367,MATCH(FL$2,DB!$D$3:$D$367),46)</f>
        <v>0</v>
      </c>
      <c r="FM38" s="665">
        <f>INDEX(DB!$3:$367,MATCH(FM$2,DB!$D$3:$D$367),46)</f>
        <v>4975.954113383621</v>
      </c>
      <c r="FN38" s="665">
        <f>INDEX(DB!$3:$367,MATCH(FN$2,DB!$D$3:$D$367),46)</f>
        <v>5212.9084698566658</v>
      </c>
      <c r="FO38" s="665">
        <f>INDEX(DB!$3:$367,MATCH(FO$2,DB!$D$3:$D$367),46)</f>
        <v>0</v>
      </c>
      <c r="FP38" s="692"/>
      <c r="FQ38" s="665">
        <f>INDEX(DB!$3:$367,MATCH(FQ$2,DB!$D$3:$D$367),46)</f>
        <v>59509.957340870344</v>
      </c>
      <c r="FR38" s="665">
        <f>INDEX(DB!$3:$367,MATCH(FR$2,DB!$D$3:$D$367),46)</f>
        <v>6654.9487266447813</v>
      </c>
      <c r="FS38" s="665">
        <f>INDEX(DB!$3:$367,MATCH(FS$2,DB!$D$3:$D$367),46)</f>
        <v>11451.384482608897</v>
      </c>
      <c r="FT38" s="665">
        <f>INDEX(DB!$3:$367,MATCH(FT$2,DB!$D$3:$D$367),46)</f>
        <v>16953.696085745483</v>
      </c>
      <c r="FU38" s="665">
        <f>INDEX(DB!$3:$367,MATCH(FU$2,DB!$D$3:$D$367),46)</f>
        <v>5279.3116081013241</v>
      </c>
      <c r="FV38" s="665">
        <f>INDEX(DB!$3:$367,MATCH(FV$2,DB!$D$3:$D$367),46)</f>
        <v>5576.7714556722985</v>
      </c>
      <c r="FW38" s="666"/>
      <c r="FX38" s="692"/>
      <c r="FY38" s="665">
        <f>INDEX(DB!$3:$367,MATCH(FY$2,DB!$D$3:$D$367),46)</f>
        <v>0</v>
      </c>
      <c r="FZ38" s="665">
        <f>INDEX(DB!$3:$367,MATCH(FZ$2,DB!$D$3:$D$367),46)</f>
        <v>70515.28208211741</v>
      </c>
      <c r="GA38" s="665">
        <f>INDEX(DB!$3:$367,MATCH(GA$2,DB!$D$3:$D$367),46)</f>
        <v>15365.816012252442</v>
      </c>
      <c r="GB38" s="665">
        <f>INDEX(DB!$3:$367,MATCH(GB$2,DB!$D$3:$D$367),46)</f>
        <v>12640.675769098256</v>
      </c>
      <c r="GC38" s="665">
        <f>INDEX(DB!$3:$367,MATCH(GC$2,DB!$D$3:$D$367),46)</f>
        <v>6995.315296701111</v>
      </c>
      <c r="GD38" s="665">
        <f>INDEX(DB!$3:$367,MATCH(GD$2,DB!$D$3:$D$367),46)</f>
        <v>4834.5464343147987</v>
      </c>
      <c r="GE38" s="666"/>
      <c r="GF38" s="692"/>
      <c r="GG38" s="665">
        <f>INDEX(DB!$3:$367,MATCH(GG$2,DB!$D$3:$D$367),46)</f>
        <v>66407.450225968714</v>
      </c>
      <c r="GH38" s="665">
        <f>INDEX(DB!$3:$367,MATCH(GH$2,DB!$D$3:$D$367),46)</f>
        <v>6316.3800941473446</v>
      </c>
      <c r="GI38" s="665">
        <f>INDEX(DB!$3:$367,MATCH(GI$2,DB!$D$3:$D$367),46)</f>
        <v>15330.449398632625</v>
      </c>
      <c r="GJ38" s="665">
        <f>INDEX(DB!$3:$367,MATCH(GJ$2,DB!$D$3:$D$367),46)</f>
        <v>18446.378279195851</v>
      </c>
      <c r="GK38" s="665">
        <f>INDEX(DB!$3:$367,MATCH(GK$2,DB!$D$3:$D$367),46)</f>
        <v>5440.1207869688169</v>
      </c>
      <c r="GL38" s="665">
        <f>INDEX(DB!$3:$367,MATCH(GL$2,DB!$D$3:$D$367),46)</f>
        <v>4849.827513003378</v>
      </c>
      <c r="GM38" s="666"/>
      <c r="GN38" s="692">
        <f t="shared" si="925"/>
        <v>107776.7585708791</v>
      </c>
      <c r="GO38" s="665">
        <f>INDEX(DB!$3:$367,MATCH(GO$2,DB!$D$3:$D$367),46)</f>
        <v>61837.389788534601</v>
      </c>
      <c r="GP38" s="665">
        <f>INDEX(DB!$3:$367,MATCH(GP$2,DB!$D$3:$D$367),46)</f>
        <v>6325.1173491795362</v>
      </c>
      <c r="GQ38" s="665">
        <f>INDEX(DB!$3:$367,MATCH(GQ$2,DB!$D$3:$D$367),46)</f>
        <v>20341.985618362887</v>
      </c>
      <c r="GR38" s="665">
        <f>INDEX(DB!$3:$367,MATCH(GR$2,DB!$D$3:$D$367),46)</f>
        <v>8968.1107498993406</v>
      </c>
      <c r="GS38" s="665">
        <f>INDEX(DB!$3:$367,MATCH(GS$2,DB!$D$3:$D$367),46)</f>
        <v>5447.6348262965012</v>
      </c>
      <c r="GT38" s="665">
        <f>INDEX(DB!$3:$367,MATCH(GT$2,DB!$D$3:$D$367),46)</f>
        <v>4856.5202386062247</v>
      </c>
      <c r="GU38" s="666"/>
      <c r="GV38" s="692">
        <f t="shared" si="926"/>
        <v>90311.461927355878</v>
      </c>
      <c r="GW38" s="665">
        <f>INDEX(DB!$3:$367,MATCH(GW$2,DB!$D$3:$D$367),46)</f>
        <v>52409.118119026229</v>
      </c>
      <c r="GX38" s="665">
        <f>INDEX(DB!$3:$367,MATCH(GX$2,DB!$D$3:$D$367),46)</f>
        <v>6072.4796199237071</v>
      </c>
      <c r="GY38" s="665">
        <f>INDEX(DB!$3:$367,MATCH(GY$2,DB!$D$3:$D$367),46)</f>
        <v>12722.23481480953</v>
      </c>
      <c r="GZ38" s="665">
        <f>INDEX(DB!$3:$367,MATCH(GZ$2,DB!$D$3:$D$367),46)</f>
        <v>9215.0486289274795</v>
      </c>
      <c r="HA38" s="665">
        <f>INDEX(DB!$3:$367,MATCH(HA$2,DB!$D$3:$D$367),46)</f>
        <v>5230.0334897197617</v>
      </c>
      <c r="HB38" s="665">
        <f>INDEX(DB!$3:$367,MATCH(HB$2,DB!$D$3:$D$367),46)</f>
        <v>4662.5472549491724</v>
      </c>
      <c r="HC38" s="666"/>
      <c r="HD38" s="692">
        <f t="shared" si="927"/>
        <v>89011.038211951003</v>
      </c>
      <c r="HE38" s="665">
        <f>INDEX(DB!$3:$367,MATCH(HE$2,DB!$D$3:$D$367),46)</f>
        <v>52530.817970738681</v>
      </c>
      <c r="HF38" s="665">
        <f>INDEX(DB!$3:$367,MATCH(HF$2,DB!$D$3:$D$367),46)</f>
        <v>5618.7976523771413</v>
      </c>
      <c r="HG38" s="665">
        <f>INDEX(DB!$3:$367,MATCH(HG$2,DB!$D$3:$D$367),46)</f>
        <v>14540.459703372786</v>
      </c>
      <c r="HH38" s="665">
        <f>INDEX(DB!$3:$367,MATCH(HH$2,DB!$D$3:$D$367),46)</f>
        <v>7896.5609286049375</v>
      </c>
      <c r="HI38" s="665">
        <f>INDEX(DB!$3:$367,MATCH(HI$2,DB!$D$3:$D$367),46)</f>
        <v>4396.1935557225261</v>
      </c>
      <c r="HJ38" s="665">
        <f>INDEX(DB!$3:$367,MATCH(HJ$2,DB!$D$3:$D$367),46)</f>
        <v>4028.2084011349184</v>
      </c>
      <c r="HK38" s="666"/>
      <c r="HL38" s="692">
        <f t="shared" si="928"/>
        <v>66416.462935535645</v>
      </c>
      <c r="HM38" s="665">
        <f>INDEX(DB!$3:$367,MATCH(HM$2,DB!$D$3:$D$367),46)</f>
        <v>34425.119999999995</v>
      </c>
      <c r="HN38" s="665">
        <f>INDEX(DB!$3:$367,MATCH(HN$2,DB!$D$3:$D$367),46)</f>
        <v>5000.1999960979538</v>
      </c>
      <c r="HO38" s="665">
        <f>INDEX(DB!$3:$367,MATCH(HO$2,DB!$D$3:$D$367),46)</f>
        <v>10818.956940907188</v>
      </c>
      <c r="HP38" s="665">
        <f>INDEX(DB!$3:$367,MATCH(HP$2,DB!$D$3:$D$367),46)</f>
        <v>8026.4107324646457</v>
      </c>
      <c r="HQ38" s="665">
        <f>INDEX(DB!$3:$367,MATCH(HQ$2,DB!$D$3:$D$367),46)</f>
        <v>4306.5493190922371</v>
      </c>
      <c r="HR38" s="665">
        <f>INDEX(DB!$3:$367,MATCH(HR$2,DB!$D$3:$D$367),46)</f>
        <v>3839.2259469736305</v>
      </c>
      <c r="HS38" s="666"/>
      <c r="HT38" s="692">
        <f t="shared" si="929"/>
        <v>58543.413500559996</v>
      </c>
      <c r="HU38" s="665">
        <f>INDEX(DB!$3:$367,MATCH(HU$2,DB!$D$3:$D$367),46)</f>
        <v>34268.839999999997</v>
      </c>
      <c r="HV38" s="665">
        <f>INDEX(DB!$3:$367,MATCH(HV$2,DB!$D$3:$D$367),46)</f>
        <v>10052.4190547906</v>
      </c>
      <c r="HW38" s="665">
        <f>INDEX(DB!$3:$367,MATCH(HW$2,DB!$D$3:$D$367),46)</f>
        <v>5899.8527259407492</v>
      </c>
      <c r="HX38" s="665">
        <f>INDEX(DB!$3:$367,MATCH(HX$2,DB!$D$3:$D$367),46)</f>
        <v>0</v>
      </c>
      <c r="HY38" s="665">
        <f>INDEX(DB!$3:$367,MATCH(HY$2,DB!$D$3:$D$367),46)</f>
        <v>4404.5813205534305</v>
      </c>
      <c r="HZ38" s="665">
        <f>INDEX(DB!$3:$367,MATCH(HZ$2,DB!$D$3:$D$367),46)</f>
        <v>3917.7203992752175</v>
      </c>
      <c r="IA38" s="665">
        <f>INDEX(DB!$3:$367,MATCH(IA$2,DB!$D$3:$D$367),46)</f>
        <v>0</v>
      </c>
      <c r="IB38" s="692" t="e">
        <f>INDEX(DB!$3:$367,MATCH(IB$2,DB!$D$3:$D$367),46)</f>
        <v>#N/A</v>
      </c>
      <c r="IC38" s="665">
        <f>INDEX(DB!$3:$367,MATCH(IC$2,DB!$D$3:$D$367),46)</f>
        <v>28890.12</v>
      </c>
      <c r="ID38" s="665">
        <f>INDEX(DB!$3:$367,MATCH(ID$2,DB!$D$3:$D$367),46)</f>
        <v>5214.8306659637483</v>
      </c>
      <c r="IE38" s="665">
        <f>INDEX(DB!$3:$367,MATCH(IE$2,DB!$D$3:$D$367),46)</f>
        <v>12640.773815843157</v>
      </c>
      <c r="IF38" s="665">
        <f>INDEX(DB!$3:$367,MATCH(IF$2,DB!$D$3:$D$367),46)</f>
        <v>5056.8743356344394</v>
      </c>
      <c r="IG38" s="665">
        <f>INDEX(DB!$3:$367,MATCH(IG$2,DB!$D$3:$D$367),46)</f>
        <v>4080.1233549329831</v>
      </c>
      <c r="IH38" s="665">
        <f>INDEX(DB!$3:$367,MATCH(IH$2,DB!$D$3:$D$367),46)</f>
        <v>3738.6029452799748</v>
      </c>
      <c r="II38" s="665">
        <f>INDEX(DB!$3:$367,MATCH(II$2,DB!$D$3:$D$367),46)</f>
        <v>0</v>
      </c>
      <c r="IJ38" s="692" t="e">
        <f>INDEX(DB!$3:$367,MATCH(IJ$2,DB!$D$3:$D$367),46)</f>
        <v>#N/A</v>
      </c>
      <c r="IK38" s="665">
        <f>INDEX(DB!$3:$367,MATCH(IK$2,DB!$D$3:$D$367),46)</f>
        <v>46835.82</v>
      </c>
      <c r="IL38" s="665">
        <f>INDEX(DB!$3:$367,MATCH(IL$2,DB!$D$3:$D$367),46)</f>
        <v>4992.9480744212342</v>
      </c>
      <c r="IM38" s="665">
        <f>INDEX(DB!$3:$367,MATCH(IM$2,DB!$D$3:$D$367),46)</f>
        <v>8728.7170522152464</v>
      </c>
      <c r="IN38" s="665">
        <f>INDEX(DB!$3:$367,MATCH(IN$2,DB!$D$3:$D$367),46)</f>
        <v>6226.3913526415699</v>
      </c>
      <c r="IO38" s="665">
        <f>INDEX(DB!$3:$367,MATCH(IO$2,DB!$D$3:$D$367),46)</f>
        <v>3948.5140974433298</v>
      </c>
      <c r="IP38" s="665">
        <f>INDEX(DB!$3:$367,MATCH(IP$2,DB!$D$3:$D$367),46)</f>
        <v>3579.5249818181087</v>
      </c>
      <c r="IQ38" s="665">
        <f>INDEX(DB!$3:$367,MATCH(IQ$2,DB!$D$3:$D$367),46)</f>
        <v>0</v>
      </c>
      <c r="IR38" s="665" t="e">
        <f>INDEX(DB!$3:$367,MATCH(IR$2,DB!$D$3:$D$367),46)</f>
        <v>#N/A</v>
      </c>
      <c r="IS38" s="665">
        <f>INDEX(DB!$3:$367,MATCH(IS$2,DB!$D$3:$D$367),46)</f>
        <v>50716.160000000003</v>
      </c>
      <c r="IT38" s="665">
        <f>INDEX(DB!$3:$367,MATCH(IT$2,DB!$D$3:$D$367),46)</f>
        <v>4911.4294849708831</v>
      </c>
      <c r="IU38" s="665">
        <f>INDEX(DB!$3:$367,MATCH(IU$2,DB!$D$3:$D$367),46)</f>
        <v>8643.4186668570674</v>
      </c>
      <c r="IV38" s="665">
        <f>INDEX(DB!$3:$367,MATCH(IV$2,DB!$D$3:$D$367),46)</f>
        <v>9344.3035869804389</v>
      </c>
      <c r="IW38" s="665">
        <f>INDEX(DB!$3:$367,MATCH(IW$2,DB!$D$3:$D$367),46)</f>
        <v>3842.7321357083288</v>
      </c>
      <c r="IX38" s="665">
        <f>INDEX(DB!$3:$367,MATCH(IX$2,DB!$D$3:$D$367),46)</f>
        <v>3521.1087063250598</v>
      </c>
      <c r="IY38" s="665">
        <f>INDEX(DB!$3:$367,MATCH(IY$2,DB!$D$3:$D$367),46)</f>
        <v>0</v>
      </c>
      <c r="IZ38" s="665" t="e">
        <f>INDEX(DB!$3:$367,MATCH(IZ$2,DB!$D$3:$D$367),46)</f>
        <v>#N/A</v>
      </c>
      <c r="JA38" s="665">
        <f>INDEX(DB!$3:$367,MATCH(JA$2,DB!$D$3:$D$367),46)</f>
        <v>0</v>
      </c>
      <c r="JB38" s="665">
        <f>INDEX(DB!$3:$367,MATCH(JB$2,DB!$D$3:$D$367),46)</f>
        <v>41005.384167555705</v>
      </c>
      <c r="JC38" s="665">
        <f>INDEX(DB!$3:$367,MATCH(JC$2,DB!$D$3:$D$367),46)</f>
        <v>8729.8545147933401</v>
      </c>
      <c r="JD38" s="665">
        <f>INDEX(DB!$3:$367,MATCH(JD$2,DB!$D$3:$D$367),46)</f>
        <v>7454.3337147933398</v>
      </c>
      <c r="JE38" s="665">
        <f>INDEX(DB!$3:$367,MATCH(JE$2,DB!$D$3:$D$367),46)</f>
        <v>4544.3337147933398</v>
      </c>
      <c r="JF38" s="665">
        <f>INDEX(DB!$3:$367,MATCH(JF$2,DB!$D$3:$D$367),46)</f>
        <v>3812.4163582870856</v>
      </c>
      <c r="JG38" s="665">
        <f>INDEX(DB!$3:$367,MATCH(JG$2,DB!$D$3:$D$367),46)</f>
        <v>0</v>
      </c>
      <c r="JH38" s="665" t="e">
        <f>INDEX(DB!$3:$367,MATCH(JH$2,DB!$D$3:$D$367),46)</f>
        <v>#N/A</v>
      </c>
      <c r="JI38" s="665">
        <f>INDEX(DB!$3:$367,MATCH(JI$2,DB!$D$3:$D$367),46)</f>
        <v>124290.5</v>
      </c>
      <c r="JJ38" s="665">
        <f>INDEX(DB!$3:$367,MATCH(JJ$2,DB!$D$3:$D$367),46)</f>
        <v>5917.8302058539102</v>
      </c>
      <c r="JK38" s="665">
        <f>INDEX(DB!$3:$367,MATCH(JK$2,DB!$D$3:$D$367),46)</f>
        <v>9074.633148121</v>
      </c>
      <c r="JL38" s="665">
        <f>INDEX(DB!$3:$367,MATCH(JL$2,DB!$D$3:$D$367),46)</f>
        <v>11717.673878845495</v>
      </c>
      <c r="JM38" s="665">
        <f>INDEX(DB!$3:$367,MATCH(JM$2,DB!$D$3:$D$367),46)</f>
        <v>5072.4570952141803</v>
      </c>
      <c r="JN38" s="665">
        <f>INDEX(DB!$3:$367,MATCH(JN$2,DB!$D$3:$D$367),46)</f>
        <v>4523.083232993913</v>
      </c>
      <c r="JO38" s="665">
        <f>INDEX(DB!$3:$367,MATCH(JO$2,DB!$D$3:$D$367),46)</f>
        <v>0</v>
      </c>
      <c r="JP38" s="665" t="e">
        <f>INDEX(DB!$3:$367,MATCH(JP$2,DB!$D$3:$D$367),46)</f>
        <v>#N/A</v>
      </c>
      <c r="JQ38" s="665">
        <f>INDEX(DB!$3:$367,MATCH(JQ$2,DB!$D$3:$D$367),46)</f>
        <v>108025.4</v>
      </c>
      <c r="JR38" s="665">
        <f>INDEX(DB!$3:$367,MATCH(JR$2,DB!$D$3:$D$367),46)</f>
        <v>6163.4781310839853</v>
      </c>
      <c r="JS38" s="665">
        <f>INDEX(DB!$3:$367,MATCH(JS$2,DB!$D$3:$D$367),46)</f>
        <v>25737.792556585129</v>
      </c>
      <c r="JT38" s="665">
        <f>INDEX(DB!$3:$367,MATCH(JT$2,DB!$D$3:$D$367),46)</f>
        <v>14226.686592389346</v>
      </c>
      <c r="JU38" s="665">
        <f>INDEX(DB!$3:$367,MATCH(JU$2,DB!$D$3:$D$367),46)</f>
        <v>5512.6836900111703</v>
      </c>
      <c r="JV38" s="665">
        <f>INDEX(DB!$3:$367,MATCH(JV$2,DB!$D$3:$D$367),46)</f>
        <v>5051.2669477664949</v>
      </c>
      <c r="JW38" s="665">
        <f>INDEX(DB!$3:$367,MATCH(JW$2,DB!$D$3:$D$367),46)</f>
        <v>0</v>
      </c>
      <c r="JX38" s="665" t="e">
        <f>INDEX(DB!$3:$367,MATCH(JX$2,DB!$D$3:$D$367),46)</f>
        <v>#N/A</v>
      </c>
      <c r="JY38" s="665">
        <f>INDEX(DB!$3:$367,MATCH(JY$2,DB!$D$3:$D$367),46)</f>
        <v>43172.14</v>
      </c>
      <c r="JZ38" s="665">
        <f>INDEX(DB!$3:$367,MATCH(JZ$2,DB!$D$3:$D$367),46)</f>
        <v>6894.9174361039322</v>
      </c>
      <c r="KA38" s="665">
        <f>INDEX(DB!$3:$367,MATCH(KA$2,DB!$D$3:$D$367),46)</f>
        <v>11105.303471446543</v>
      </c>
      <c r="KB38" s="665">
        <f>INDEX(DB!$3:$367,MATCH(KB$2,DB!$D$3:$D$367),46)</f>
        <v>8666.4021338403272</v>
      </c>
      <c r="KC38" s="665">
        <f>INDEX(DB!$3:$367,MATCH(KC$2,DB!$D$3:$D$367),46)</f>
        <v>5439.3344340159192</v>
      </c>
      <c r="KD38" s="665">
        <f>INDEX(DB!$3:$367,MATCH(KD$2,DB!$D$3:$D$367),46)</f>
        <v>4614.8470776757094</v>
      </c>
      <c r="KE38" s="665">
        <f>INDEX(DB!$3:$367,MATCH(KE$2,DB!$D$3:$D$367),46)</f>
        <v>0</v>
      </c>
      <c r="KF38" s="665" t="e">
        <f>INDEX(DB!$3:$367,MATCH(KF$2,DB!$D$3:$D$367),46)</f>
        <v>#N/A</v>
      </c>
      <c r="KG38" s="665">
        <f>INDEX(DB!$3:$367,MATCH(KG$2,DB!$D$3:$D$367),46)</f>
        <v>145638.48000000001</v>
      </c>
      <c r="KH38" s="665">
        <f>INDEX(DB!$3:$367,MATCH(KH$2,DB!$D$3:$D$367),46)</f>
        <v>6591.9968041378388</v>
      </c>
      <c r="KI38" s="665">
        <f>INDEX(DB!$3:$367,MATCH(KI$2,DB!$D$3:$D$367),46)</f>
        <v>15262.566028473346</v>
      </c>
      <c r="KJ38" s="665">
        <f>INDEX(DB!$3:$367,MATCH(KJ$2,DB!$D$3:$D$367),46)</f>
        <v>11055.611615573336</v>
      </c>
      <c r="KK38" s="665">
        <f>INDEX(DB!$3:$367,MATCH(KK$2,DB!$D$3:$D$367),46)</f>
        <v>5791.3147529877706</v>
      </c>
      <c r="KL38" s="665">
        <f>INDEX(DB!$3:$367,MATCH(KL$2,DB!$D$3:$D$367),46)</f>
        <v>4597.9798617055312</v>
      </c>
      <c r="KM38" s="665">
        <f>INDEX(DB!$3:$367,MATCH(KM$2,DB!$D$3:$D$367),46)</f>
        <v>0</v>
      </c>
      <c r="KN38" s="665" t="e">
        <f>INDEX(DB!$3:$367,MATCH(KN$2,DB!$D$3:$D$367),46)</f>
        <v>#N/A</v>
      </c>
      <c r="KO38" s="665">
        <f>INDEX(DB!$3:$367,MATCH(KO$2,DB!$D$3:$D$367),46)</f>
        <v>49776</v>
      </c>
      <c r="KP38" s="665">
        <f>INDEX(DB!$3:$367,MATCH(KP$2,DB!$D$3:$D$367),46)</f>
        <v>6137</v>
      </c>
      <c r="KQ38" s="665">
        <f>INDEX(DB!$3:$367,MATCH(KQ$2,DB!$D$3:$D$367),46)</f>
        <v>12448</v>
      </c>
      <c r="KR38" s="665">
        <f>INDEX(DB!$3:$367,MATCH(KR$2,DB!$D$3:$D$367),46)</f>
        <v>12350</v>
      </c>
      <c r="KS38" s="665">
        <f>INDEX(DB!$3:$367,MATCH(KS$2,DB!$D$3:$D$367),46)</f>
        <v>5285</v>
      </c>
      <c r="KT38" s="665">
        <f>INDEX(DB!$3:$367,MATCH(KT$2,DB!$D$3:$D$367),46)</f>
        <v>4712</v>
      </c>
      <c r="KU38" s="665">
        <f>INDEX(DB!$3:$367,MATCH(KU$2,DB!$D$3:$D$367),46)</f>
        <v>0</v>
      </c>
      <c r="KV38" s="665" t="e">
        <f>INDEX(DB!$3:$367,MATCH(KV$2,DB!$D$3:$D$367),46)</f>
        <v>#N/A</v>
      </c>
      <c r="KW38" s="665">
        <f>INDEX(DB!$3:$367,MATCH(KW$2,DB!$D$3:$D$367),46)</f>
        <v>50060.639999999999</v>
      </c>
      <c r="KX38" s="665">
        <f>INDEX(DB!$3:$367,MATCH(KX$2,DB!$D$3:$D$367),46)</f>
        <v>6244.7782891585312</v>
      </c>
      <c r="KY38" s="665">
        <f>INDEX(DB!$3:$367,MATCH(KY$2,DB!$D$3:$D$367),46)</f>
        <v>10809.435930958622</v>
      </c>
      <c r="KZ38" s="665">
        <f>INDEX(DB!$3:$367,MATCH(KZ$2,DB!$D$3:$D$367),46)</f>
        <v>9873.164239037942</v>
      </c>
      <c r="LA38" s="665">
        <f>INDEX(DB!$3:$367,MATCH(LA$2,DB!$D$3:$D$367),46)</f>
        <v>5378.435766441542</v>
      </c>
      <c r="LB38" s="665">
        <f>INDEX(DB!$3:$367,MATCH(LB$2,DB!$D$3:$D$367),46)</f>
        <v>4794.8543159996543</v>
      </c>
      <c r="LC38" s="665">
        <f>INDEX(DB!$3:$367,MATCH(LC$2,DB!$D$3:$D$367),46)</f>
        <v>0</v>
      </c>
      <c r="LD38" s="665" t="e">
        <f>INDEX(DB!$3:$367,MATCH(LD$2,DB!$D$3:$D$367),46)</f>
        <v>#N/A</v>
      </c>
      <c r="LE38" s="665">
        <f>INDEX(DB!$3:$367,MATCH(LE$2,DB!$D$3:$D$367),46)</f>
        <v>60365.74</v>
      </c>
      <c r="LF38" s="665">
        <f>INDEX(DB!$3:$367,MATCH(LF$2,DB!$D$3:$D$367),46)</f>
        <v>9317.3866015218046</v>
      </c>
      <c r="LG38" s="665">
        <f>INDEX(DB!$3:$367,MATCH(LG$2,DB!$D$3:$D$367),46)</f>
        <v>14222.305623790886</v>
      </c>
      <c r="LH38" s="665">
        <f>INDEX(DB!$3:$367,MATCH(LH$2,DB!$D$3:$D$367),46)</f>
        <v>8295.475688815648</v>
      </c>
      <c r="LI38" s="665">
        <f>INDEX(DB!$3:$367,MATCH(LI$2,DB!$D$3:$D$367),46)</f>
        <v>6317.7130986014927</v>
      </c>
      <c r="LJ38" s="665">
        <f>INDEX(DB!$3:$367,MATCH(LJ$2,DB!$D$3:$D$367),46)</f>
        <v>6974.6774128576735</v>
      </c>
      <c r="LK38" s="665">
        <f>INDEX(DB!$3:$367,MATCH(LK$2,DB!$D$3:$D$367),46)</f>
        <v>0</v>
      </c>
      <c r="LL38" s="665" t="e">
        <f>INDEX(DB!$3:$367,MATCH(LL$2,DB!$D$3:$D$367),46)</f>
        <v>#N/A</v>
      </c>
      <c r="LM38" s="665">
        <f>INDEX(DB!$3:$367,MATCH(LM$2,DB!$D$3:$D$367),46)</f>
        <v>64974.54</v>
      </c>
      <c r="LN38" s="665">
        <f>INDEX(DB!$3:$367,MATCH(LN$2,DB!$D$3:$D$367),46)</f>
        <v>6683.7816682510147</v>
      </c>
      <c r="LO38" s="665">
        <f>INDEX(DB!$3:$367,MATCH(LO$2,DB!$D$3:$D$367),46)</f>
        <v>7610.4939057596785</v>
      </c>
      <c r="LP38" s="665">
        <f>INDEX(DB!$3:$367,MATCH(LP$2,DB!$D$3:$D$367),46)</f>
        <v>18040.705185990813</v>
      </c>
      <c r="LQ38" s="665">
        <f>INDEX(DB!$3:$367,MATCH(LQ$2,DB!$D$3:$D$367),46)</f>
        <v>5756.5404779596465</v>
      </c>
      <c r="LR38" s="665">
        <f>INDEX(DB!$3:$367,MATCH(LR$2,DB!$D$3:$D$367),46)</f>
        <v>5131.8891452019343</v>
      </c>
      <c r="LS38" s="665">
        <f>INDEX(DB!$3:$367,MATCH(LS$2,DB!$D$3:$D$367),46)</f>
        <v>0</v>
      </c>
      <c r="LT38" s="665" t="e">
        <f>INDEX(DB!$3:$367,MATCH(LT$2,DB!$D$3:$D$367),46)</f>
        <v>#N/A</v>
      </c>
      <c r="LU38" s="665">
        <f>INDEX(DB!$3:$367,MATCH(LU$2,DB!$D$3:$D$367),46)</f>
        <v>70680.320000000007</v>
      </c>
      <c r="LV38" s="665">
        <f>INDEX(DB!$3:$367,MATCH(LV$2,DB!$D$3:$D$367),46)</f>
        <v>6641.4496676200442</v>
      </c>
      <c r="LW38" s="665">
        <f>INDEX(DB!$3:$367,MATCH(LW$2,DB!$D$3:$D$367),46)</f>
        <v>20259.855050262562</v>
      </c>
      <c r="LX38" s="665">
        <f>INDEX(DB!$3:$367,MATCH(LX$2,DB!$D$3:$D$367),46)</f>
        <v>11074.353420728192</v>
      </c>
      <c r="LY38" s="665">
        <f>INDEX(DB!$3:$367,MATCH(LY$2,DB!$D$3:$D$367),46)</f>
        <v>5720.1061244754064</v>
      </c>
      <c r="LZ38" s="665">
        <f>INDEX(DB!$3:$367,MATCH(LZ$2,DB!$D$3:$D$367),46)</f>
        <v>5099.3926740667284</v>
      </c>
      <c r="MA38" s="665">
        <f>INDEX(DB!$3:$367,MATCH(MA$2,DB!$D$3:$D$367),46)</f>
        <v>0</v>
      </c>
      <c r="MB38" s="665" t="e">
        <f>INDEX(DB!$3:$367,MATCH(MB$2,DB!$D$3:$D$367),46)</f>
        <v>#N/A</v>
      </c>
      <c r="MC38" s="665">
        <f>INDEX(DB!$3:$367,MATCH(MC$2,DB!$D$3:$D$367),46)</f>
        <v>41815.74</v>
      </c>
      <c r="MD38" s="665">
        <f>INDEX(DB!$3:$367,MATCH(MD$2,DB!$D$3:$D$367),46)</f>
        <v>6470.6363317406922</v>
      </c>
      <c r="ME38" s="665">
        <f>INDEX(DB!$3:$367,MATCH(ME$2,DB!$D$3:$D$367),46)</f>
        <v>12394.976781193782</v>
      </c>
      <c r="MF38" s="665">
        <f>INDEX(DB!$3:$367,MATCH(MF$2,DB!$D$3:$D$367),46)</f>
        <v>9161.5483988725609</v>
      </c>
      <c r="MG38" s="665">
        <f>INDEX(DB!$3:$367,MATCH(MG$2,DB!$D$3:$D$367),46)</f>
        <v>5636.9707497332947</v>
      </c>
      <c r="MH38" s="665">
        <f>INDEX(DB!$3:$367,MATCH(MH$2,DB!$D$3:$D$367),46)</f>
        <v>4968.2462012710757</v>
      </c>
      <c r="MI38" s="665">
        <f>INDEX(DB!$3:$367,MATCH(MI$2,DB!$D$3:$D$367),46)</f>
        <v>0</v>
      </c>
      <c r="MJ38" s="665">
        <f t="shared" si="932"/>
        <v>33005.818302199696</v>
      </c>
      <c r="MK38" s="665">
        <f>INDEX(DB!$3:$367,MATCH(MK$2,DB!$D$3:$D$367),46)</f>
        <v>9149.0399999999991</v>
      </c>
      <c r="ML38" s="665">
        <f>INDEX(DB!$3:$367,MATCH(ML$2,DB!$D$3:$D$367),46)</f>
        <v>0</v>
      </c>
      <c r="MM38" s="665">
        <f>INDEX(DB!$3:$367,MATCH(MM$2,DB!$D$3:$D$367),46)</f>
        <v>6390.99493518695</v>
      </c>
      <c r="MN38" s="665">
        <f>INDEX(DB!$3:$367,MATCH(MN$2,DB!$D$3:$D$367),46)</f>
        <v>6015.1632269125275</v>
      </c>
      <c r="MO38" s="665">
        <f>INDEX(DB!$3:$367,MATCH(MO$2,DB!$D$3:$D$367),46)</f>
        <v>6964.9465351869503</v>
      </c>
      <c r="MP38" s="665">
        <f>INDEX(DB!$3:$367,MATCH(MP$2,DB!$D$3:$D$367),46)</f>
        <v>4485.6736049132651</v>
      </c>
      <c r="MQ38" s="665">
        <f>INDEX(DB!$3:$367,MATCH(MQ$2,DB!$D$3:$D$367),46)</f>
        <v>0</v>
      </c>
      <c r="MR38" s="665">
        <f t="shared" si="919"/>
        <v>32934.458079454897</v>
      </c>
      <c r="MS38" s="665">
        <f>INDEX(DB!$3:$367,MATCH(MS$2,DB!$D$3:$D$367),46)</f>
        <v>9505.02</v>
      </c>
      <c r="MT38" s="665">
        <f>INDEX(DB!$3:$367,MATCH(MT$2,DB!$D$3:$D$367),46)</f>
        <v>6606.1074710148287</v>
      </c>
      <c r="MU38" s="665">
        <f>INDEX(DB!$3:$367,MATCH(MU$2,DB!$D$3:$D$367),46)</f>
        <v>5917.3755941602121</v>
      </c>
      <c r="MV38" s="665">
        <f>INDEX(DB!$3:$367,MATCH(MV$2,DB!$D$3:$D$367),46)</f>
        <v>6448.7931941602128</v>
      </c>
      <c r="MW38" s="665">
        <f>INDEX(DB!$3:$367,MATCH(MW$2,DB!$D$3:$D$367),46)</f>
        <v>0</v>
      </c>
      <c r="MX38" s="665">
        <f>INDEX(DB!$3:$367,MATCH(MX$2,DB!$D$3:$D$367),46)</f>
        <v>4457.1618201196379</v>
      </c>
      <c r="MY38" s="665">
        <f>INDEX(DB!$3:$367,MATCH(MY$2,DB!$D$3:$D$367),46)</f>
        <v>0</v>
      </c>
      <c r="MZ38" s="665">
        <f t="shared" si="920"/>
        <v>41197.977549794748</v>
      </c>
      <c r="NA38" s="665">
        <f>INDEX(DB!$3:$367,MATCH(NA$2,DB!$D$3:$D$367),46)</f>
        <v>12065.26</v>
      </c>
      <c r="NB38" s="665">
        <f>INDEX(DB!$3:$367,MATCH(NB$2,DB!$D$3:$D$367),46)</f>
        <v>6637.1684126542705</v>
      </c>
      <c r="NC38" s="665">
        <f>INDEX(DB!$3:$367,MATCH(NC$2,DB!$D$3:$D$367),46)</f>
        <v>5562.1711099589493</v>
      </c>
      <c r="ND38" s="665">
        <f>INDEX(DB!$3:$367,MATCH(ND$2,DB!$D$3:$D$367),46)</f>
        <v>5831.5061261358533</v>
      </c>
      <c r="NE38" s="665">
        <f>INDEX(DB!$3:$367,MATCH(NE$2,DB!$D$3:$D$367),46)</f>
        <v>5869.8626757271759</v>
      </c>
      <c r="NF38" s="665">
        <f>INDEX(DB!$3:$367,MATCH(NF$2,DB!$D$3:$D$367),46)</f>
        <v>5232.0092253184985</v>
      </c>
      <c r="NG38" s="665">
        <f>INDEX(DB!$3:$367,MATCH(NG$2,DB!$D$3:$D$367),46)</f>
        <v>0</v>
      </c>
      <c r="NH38" s="692">
        <f t="shared" si="921"/>
        <v>43991.882937358831</v>
      </c>
      <c r="NI38" s="665">
        <f>INDEX(DB!$3:$367,MATCH(NI$2,DB!$D$3:$D$367),46)</f>
        <v>12889.24</v>
      </c>
      <c r="NJ38" s="665">
        <f>INDEX(DB!$3:$367,MATCH(NJ$2,DB!$D$3:$D$367),46)</f>
        <v>6974.5138294472008</v>
      </c>
      <c r="NK38" s="665">
        <f>INDEX(DB!$3:$367,MATCH(NK$2,DB!$D$3:$D$367),46)</f>
        <v>6144.7449468731747</v>
      </c>
      <c r="NL38" s="665">
        <f>INDEX(DB!$3:$367,MATCH(NL$2,DB!$D$3:$D$367),46)</f>
        <v>6266.053505161919</v>
      </c>
      <c r="NM38" s="665">
        <f>INDEX(DB!$3:$367,MATCH(NM$2,DB!$D$3:$D$367),46)</f>
        <v>6195.0196217501989</v>
      </c>
      <c r="NN38" s="665">
        <f>INDEX(DB!$3:$367,MATCH(NN$2,DB!$D$3:$D$367),46)</f>
        <v>5522.3110341263391</v>
      </c>
      <c r="NO38" s="665">
        <f>INDEX(DB!$3:$367,MATCH(NO$2,DB!$D$3:$D$367),46)</f>
        <v>0</v>
      </c>
      <c r="NP38" s="692">
        <f t="shared" si="922"/>
        <v>47889.268312347522</v>
      </c>
      <c r="NQ38" s="665">
        <f>INDEX(DB!$3:$367,MATCH(NQ$2,DB!$D$3:$D$367),46)</f>
        <v>11203.38</v>
      </c>
      <c r="NR38" s="665">
        <f>INDEX(DB!$3:$367,MATCH(NR$2,DB!$D$3:$D$367),46)</f>
        <v>7546.8914066060934</v>
      </c>
      <c r="NS38" s="665">
        <f>INDEX(DB!$3:$367,MATCH(NS$2,DB!$D$3:$D$367),46)</f>
        <v>6533.7421610351266</v>
      </c>
      <c r="NT38" s="665">
        <f>INDEX(DB!$3:$367,MATCH(NT$2,DB!$D$3:$D$367),46)</f>
        <v>10310.724883623432</v>
      </c>
      <c r="NU38" s="665">
        <f>INDEX(DB!$3:$367,MATCH(NU$2,DB!$D$3:$D$367),46)</f>
        <v>6499.9061360985352</v>
      </c>
      <c r="NV38" s="665">
        <f>INDEX(DB!$3:$367,MATCH(NV$2,DB!$D$3:$D$367),46)</f>
        <v>5794.6237249843334</v>
      </c>
      <c r="NW38" s="665">
        <f>INDEX(DB!$3:$367,MATCH(NW$2,DB!$D$3:$D$367),46)</f>
        <v>0</v>
      </c>
      <c r="NX38" s="665" t="e">
        <f>INDEX(DB!$3:$367,MATCH(NX$2,DB!$D$3:$D$367),46)</f>
        <v>#N/A</v>
      </c>
      <c r="NY38" s="665">
        <f>INDEX(DB!$3:$367,MATCH(NY$2,DB!$D$3:$D$367),46)</f>
        <v>13895.939999999999</v>
      </c>
      <c r="NZ38" s="665">
        <f>INDEX(DB!$3:$367,MATCH(NZ$2,DB!$D$3:$D$367),46)</f>
        <v>6473.1264494248671</v>
      </c>
      <c r="OA38" s="665">
        <f>INDEX(DB!$3:$367,MATCH(OA$2,DB!$D$3:$D$367),46)</f>
        <v>5604.1013537773124</v>
      </c>
      <c r="OB38" s="665">
        <f>INDEX(DB!$3:$367,MATCH(OB$2,DB!$D$3:$D$367),46)</f>
        <v>5714.7327126306081</v>
      </c>
      <c r="OC38" s="665">
        <f>INDEX(DB!$3:$367,MATCH(OC$2,DB!$D$3:$D$367),46)</f>
        <v>5575.1113772161816</v>
      </c>
      <c r="OD38" s="665">
        <f>INDEX(DB!$3:$367,MATCH(OD$2,DB!$D$3:$D$367),46)</f>
        <v>4970.1805150291239</v>
      </c>
      <c r="OE38" s="665">
        <f>INDEX(DB!$3:$367,MATCH(OE$2,DB!$D$3:$D$367),46)</f>
        <v>0</v>
      </c>
      <c r="OF38" s="665" t="e">
        <f>INDEX(DB!$3:$367,MATCH(OF$2,DB!$D$3:$D$367),46)</f>
        <v>#N/A</v>
      </c>
      <c r="OG38" s="665">
        <f>INDEX(DB!$3:$367,MATCH(OG$2,DB!$D$3:$D$367),46)</f>
        <v>16953.14</v>
      </c>
      <c r="OH38" s="665">
        <f>INDEX(DB!$3:$367,MATCH(OH$2,DB!$D$3:$D$367),46)</f>
        <v>6402.5294287647566</v>
      </c>
      <c r="OI38" s="665">
        <f>INDEX(DB!$3:$367,MATCH(OI$2,DB!$D$3:$D$367),46)</f>
        <v>5543.0098704320098</v>
      </c>
      <c r="OJ38" s="665">
        <f>INDEX(DB!$3:$367,MATCH(OJ$2,DB!$D$3:$D$367),46)</f>
        <v>5652.4360842510805</v>
      </c>
      <c r="OK38" s="665">
        <f>INDEX(DB!$3:$367,MATCH(OK$2,DB!$D$3:$D$367),46)</f>
        <v>5514.3437684672872</v>
      </c>
      <c r="OL38" s="665">
        <f>INDEX(DB!$3:$367,MATCH(OL$2,DB!$D$3:$D$367),46)</f>
        <v>4915.981043528619</v>
      </c>
      <c r="OM38" s="665">
        <f>INDEX(DB!$3:$367,MATCH(OM$2,DB!$D$3:$D$367),46)</f>
        <v>0</v>
      </c>
      <c r="ON38" s="665" t="e">
        <f>INDEX(DB!$3:$367,MATCH(ON$2,DB!$D$3:$D$367),46)</f>
        <v>#N/A</v>
      </c>
      <c r="OO38" s="665">
        <f>INDEX(DB!$3:$367,MATCH(OO$2,DB!$D$3:$D$367),46)</f>
        <v>10408.74</v>
      </c>
      <c r="OP38" s="665">
        <f>INDEX(DB!$3:$367,MATCH(OP$2,DB!$D$3:$D$367),46)</f>
        <v>7169.0051264637932</v>
      </c>
      <c r="OQ38" s="665">
        <f>INDEX(DB!$3:$367,MATCH(OQ$2,DB!$D$3:$D$367),46)</f>
        <v>6202.3088380043127</v>
      </c>
      <c r="OR38" s="665">
        <f>INDEX(DB!$3:$367,MATCH(OR$2,DB!$D$3:$D$367),46)</f>
        <v>6759.3152380043139</v>
      </c>
      <c r="OS38" s="665">
        <f>INDEX(DB!$3:$367,MATCH(OS$2,DB!$D$3:$D$367),46)</f>
        <v>6144.8677778654164</v>
      </c>
      <c r="OT38" s="665">
        <f>INDEX(DB!$3:$367,MATCH(OT$2,DB!$D$3:$D$367),46)</f>
        <v>5804.3339800497342</v>
      </c>
      <c r="OU38" s="665">
        <f>INDEX(DB!$3:$367,MATCH(OU$2,DB!$D$3:$D$367),46)</f>
        <v>0</v>
      </c>
      <c r="OV38" s="665" t="e">
        <f>INDEX(DB!$3:$367,MATCH(OV$2,DB!$D$3:$D$367),46)</f>
        <v>#N/A</v>
      </c>
      <c r="OW38" s="665">
        <f>INDEX(DB!$3:$367,MATCH(OW$2,DB!$D$3:$D$367),46)</f>
        <v>11162</v>
      </c>
      <c r="OX38" s="665">
        <f>INDEX(DB!$3:$367,MATCH(OX$2,DB!$D$3:$D$367),46)</f>
        <v>6642.1049617474591</v>
      </c>
      <c r="OY38" s="665">
        <f>INDEX(DB!$3:$367,MATCH(OY$2,DB!$D$3:$D$367),46)</f>
        <v>5883.3824328237179</v>
      </c>
      <c r="OZ38" s="665">
        <f>INDEX(DB!$3:$367,MATCH(OZ$2,DB!$D$3:$D$367),46)</f>
        <v>5951.0317749762389</v>
      </c>
      <c r="PA38" s="665">
        <f>INDEX(DB!$3:$367,MATCH(PA$2,DB!$D$3:$D$367),46)</f>
        <v>5759.0742819189827</v>
      </c>
      <c r="PB38" s="665">
        <f>INDEX(DB!$3:$367,MATCH(PB$2,DB!$D$3:$D$367),46)</f>
        <v>5269.9217749762383</v>
      </c>
      <c r="PC38" s="665">
        <f>INDEX(DB!$3:$367,MATCH(PC$2,DB!$D$3:$D$367),46)</f>
        <v>5269.9217749762383</v>
      </c>
    </row>
    <row r="39" spans="1:419" outlineLevel="1" x14ac:dyDescent="0.3">
      <c r="B39" s="972"/>
      <c r="C39" s="768" t="s">
        <v>175</v>
      </c>
      <c r="D39" s="191">
        <f t="shared" si="914"/>
        <v>35021.899947788072</v>
      </c>
      <c r="E39" s="169">
        <v>5581</v>
      </c>
      <c r="F39" s="169">
        <v>6110</v>
      </c>
      <c r="G39" s="169">
        <v>6061</v>
      </c>
      <c r="H39" s="169">
        <v>5042</v>
      </c>
      <c r="I39" s="169">
        <v>5979</v>
      </c>
      <c r="J39" s="169">
        <f t="shared" ref="J39:K39" si="938">J38</f>
        <v>6248.8999477880679</v>
      </c>
      <c r="K39" s="193">
        <f t="shared" si="938"/>
        <v>0</v>
      </c>
      <c r="L39" s="191">
        <f t="shared" si="915"/>
        <v>41516</v>
      </c>
      <c r="M39" s="169">
        <v>11444</v>
      </c>
      <c r="N39" s="169">
        <v>7625</v>
      </c>
      <c r="O39" s="169">
        <v>8343</v>
      </c>
      <c r="P39" s="169">
        <v>6714</v>
      </c>
      <c r="Q39" s="169">
        <v>5302</v>
      </c>
      <c r="R39" s="169">
        <v>2088</v>
      </c>
      <c r="S39" s="193">
        <f t="shared" ref="S39" si="939">S38</f>
        <v>0</v>
      </c>
      <c r="T39" s="191">
        <f t="shared" si="916"/>
        <v>43154.62352140477</v>
      </c>
      <c r="U39" s="169">
        <v>9042</v>
      </c>
      <c r="V39" s="169">
        <v>10216</v>
      </c>
      <c r="W39" s="773">
        <v>2226</v>
      </c>
      <c r="X39" s="169">
        <v>10526</v>
      </c>
      <c r="Y39" s="169">
        <v>5346</v>
      </c>
      <c r="Z39" s="169">
        <f t="shared" ref="Z39:AA39" si="940">Z38</f>
        <v>5798.6235214047701</v>
      </c>
      <c r="AA39" s="193">
        <f t="shared" si="940"/>
        <v>0</v>
      </c>
      <c r="AB39" s="191"/>
      <c r="AC39" s="169">
        <v>15862</v>
      </c>
      <c r="AD39" s="169">
        <v>7942</v>
      </c>
      <c r="AE39" s="169">
        <v>6108</v>
      </c>
      <c r="AF39" s="169">
        <v>6322</v>
      </c>
      <c r="AG39" s="169">
        <v>7497</v>
      </c>
      <c r="AH39" s="169">
        <v>4500</v>
      </c>
      <c r="AI39" s="193"/>
      <c r="AJ39" s="191">
        <f t="shared" si="917"/>
        <v>36012</v>
      </c>
      <c r="AK39" s="169">
        <v>10574</v>
      </c>
      <c r="AL39" s="169">
        <v>6357</v>
      </c>
      <c r="AM39" s="169">
        <v>9048</v>
      </c>
      <c r="AN39" s="169">
        <v>5523</v>
      </c>
      <c r="AO39" s="169">
        <v>4510</v>
      </c>
      <c r="AP39" s="169"/>
      <c r="AQ39" s="193"/>
      <c r="AR39" s="191"/>
      <c r="AS39" s="169">
        <v>13070</v>
      </c>
      <c r="AT39" s="169">
        <v>8121</v>
      </c>
      <c r="AU39" s="169">
        <v>6202</v>
      </c>
      <c r="AV39" s="169">
        <v>8483</v>
      </c>
      <c r="AW39" s="169">
        <v>1879</v>
      </c>
      <c r="AX39" s="169"/>
      <c r="AY39" s="169"/>
      <c r="AZ39" s="191"/>
      <c r="BA39" s="169">
        <v>10518</v>
      </c>
      <c r="BB39" s="169">
        <v>7483</v>
      </c>
      <c r="BC39" s="169">
        <v>1972</v>
      </c>
      <c r="BD39" s="169">
        <v>6386</v>
      </c>
      <c r="BE39" s="169">
        <v>1515</v>
      </c>
      <c r="BF39" s="169">
        <v>4454</v>
      </c>
      <c r="BG39" s="169"/>
      <c r="BH39" s="191"/>
      <c r="BI39" s="169">
        <v>7549</v>
      </c>
      <c r="BJ39" s="169">
        <v>6066</v>
      </c>
      <c r="BK39" s="169">
        <v>7022</v>
      </c>
      <c r="BL39" s="169">
        <v>3171</v>
      </c>
      <c r="BM39" s="169">
        <v>3313</v>
      </c>
      <c r="BN39" s="169">
        <v>2781</v>
      </c>
      <c r="BO39" s="169"/>
      <c r="BP39" s="191"/>
      <c r="BQ39" s="169">
        <v>9609</v>
      </c>
      <c r="BR39" s="169">
        <v>7478</v>
      </c>
      <c r="BS39" s="169">
        <v>7715</v>
      </c>
      <c r="BT39" s="169">
        <v>2152</v>
      </c>
      <c r="BU39" s="169">
        <v>5632</v>
      </c>
      <c r="BV39" s="169">
        <v>2557</v>
      </c>
      <c r="BW39" s="193"/>
      <c r="BX39" s="845"/>
      <c r="BY39" s="169">
        <v>13706</v>
      </c>
      <c r="BZ39" s="169">
        <v>6008</v>
      </c>
      <c r="CA39" s="169">
        <v>2520</v>
      </c>
      <c r="CB39" s="169">
        <v>6508</v>
      </c>
      <c r="CC39" s="169">
        <v>5681</v>
      </c>
      <c r="CD39" s="169">
        <v>3533</v>
      </c>
      <c r="CE39" s="169"/>
      <c r="CF39" s="169"/>
      <c r="CG39" s="169">
        <v>13780</v>
      </c>
      <c r="CH39" s="169">
        <v>5670</v>
      </c>
      <c r="CI39" s="169">
        <v>4008</v>
      </c>
      <c r="CJ39" s="169">
        <v>2487</v>
      </c>
      <c r="CK39" s="169">
        <v>4547</v>
      </c>
      <c r="CL39" s="169">
        <v>2957</v>
      </c>
      <c r="CM39" s="169"/>
      <c r="CN39" s="169"/>
      <c r="CO39" s="169">
        <v>10548</v>
      </c>
      <c r="CP39" s="169">
        <v>5979</v>
      </c>
      <c r="CQ39" s="169">
        <v>3705</v>
      </c>
      <c r="CR39" s="169">
        <v>3727</v>
      </c>
      <c r="CS39" s="169">
        <v>5055</v>
      </c>
      <c r="CT39" s="169">
        <v>3827</v>
      </c>
      <c r="CU39" s="169"/>
      <c r="CV39" s="169"/>
      <c r="CW39" s="169">
        <v>13098</v>
      </c>
      <c r="CX39" s="169">
        <v>5545</v>
      </c>
      <c r="CY39" s="169">
        <v>4327</v>
      </c>
      <c r="CZ39" s="169">
        <v>4877</v>
      </c>
      <c r="DA39" s="169">
        <v>6601</v>
      </c>
      <c r="DB39" s="169">
        <v>2715</v>
      </c>
      <c r="DC39" s="169"/>
      <c r="DD39" s="169"/>
      <c r="DE39" s="169">
        <v>13879</v>
      </c>
      <c r="DF39" s="169">
        <v>7247</v>
      </c>
      <c r="DG39" s="169">
        <v>4603</v>
      </c>
      <c r="DH39" s="169">
        <v>2902</v>
      </c>
      <c r="DI39" s="169">
        <v>5420</v>
      </c>
      <c r="DJ39" s="169"/>
      <c r="DK39" s="169"/>
      <c r="DL39" s="169"/>
      <c r="DM39" s="169">
        <v>13506</v>
      </c>
      <c r="DN39" s="169">
        <v>7779</v>
      </c>
      <c r="DO39" s="169">
        <v>8847</v>
      </c>
      <c r="DP39" s="169">
        <v>851</v>
      </c>
      <c r="DQ39" s="169">
        <v>5106</v>
      </c>
      <c r="DR39" s="169">
        <v>4732</v>
      </c>
      <c r="DS39" s="169"/>
      <c r="DT39" s="169"/>
      <c r="DU39" s="169"/>
      <c r="DV39" s="169">
        <v>8385</v>
      </c>
      <c r="DW39" s="169">
        <v>5180</v>
      </c>
      <c r="DX39" s="169">
        <v>2532</v>
      </c>
      <c r="DY39" s="169">
        <v>3291</v>
      </c>
      <c r="DZ39" s="169">
        <v>3224</v>
      </c>
      <c r="EA39" s="169"/>
      <c r="EB39" s="169"/>
      <c r="EC39" s="169">
        <v>17000</v>
      </c>
      <c r="ED39" s="169">
        <v>6688</v>
      </c>
      <c r="EE39" s="169">
        <v>2257</v>
      </c>
      <c r="EF39" s="169">
        <v>6093</v>
      </c>
      <c r="EG39" s="169">
        <v>6112</v>
      </c>
      <c r="EH39" s="169"/>
      <c r="EI39" s="169"/>
      <c r="EJ39" s="169"/>
      <c r="EK39" s="169">
        <v>7644</v>
      </c>
      <c r="EL39" s="169">
        <v>7002</v>
      </c>
      <c r="EM39" s="169">
        <v>4036</v>
      </c>
      <c r="EN39" s="169">
        <v>5059</v>
      </c>
      <c r="EO39" s="169">
        <v>6458</v>
      </c>
      <c r="EP39" s="169">
        <v>4113</v>
      </c>
      <c r="EQ39" s="169"/>
      <c r="ER39" s="169"/>
      <c r="ES39" s="366">
        <v>15987</v>
      </c>
      <c r="ET39" s="169">
        <v>6573</v>
      </c>
      <c r="EU39" s="169">
        <v>4026</v>
      </c>
      <c r="EV39" s="169">
        <v>4860</v>
      </c>
      <c r="EW39" s="169">
        <v>3699</v>
      </c>
      <c r="EX39" s="169">
        <v>4563</v>
      </c>
      <c r="EY39" s="169"/>
      <c r="EZ39" s="169"/>
      <c r="FA39" s="169">
        <v>15225</v>
      </c>
      <c r="FB39" s="169">
        <v>5801</v>
      </c>
      <c r="FC39" s="169">
        <v>4726</v>
      </c>
      <c r="FD39" s="169">
        <v>3494</v>
      </c>
      <c r="FE39" s="169">
        <v>2365</v>
      </c>
      <c r="FF39" s="169"/>
      <c r="FG39" s="169"/>
      <c r="FH39" s="169"/>
      <c r="FI39" s="169">
        <v>15763</v>
      </c>
      <c r="FJ39" s="169">
        <v>5281</v>
      </c>
      <c r="FK39" s="169">
        <v>4053</v>
      </c>
      <c r="FL39" s="169"/>
      <c r="FM39" s="169">
        <v>3916</v>
      </c>
      <c r="FN39" s="169"/>
      <c r="FO39" s="193"/>
      <c r="FP39" s="191"/>
      <c r="FQ39" s="169">
        <v>11963</v>
      </c>
      <c r="FR39" s="169">
        <v>6690</v>
      </c>
      <c r="FS39" s="169">
        <v>5425</v>
      </c>
      <c r="FT39" s="169">
        <v>3301</v>
      </c>
      <c r="FU39" s="169">
        <v>5435</v>
      </c>
      <c r="FV39" s="169">
        <v>4351</v>
      </c>
      <c r="FW39" s="193"/>
      <c r="FX39" s="191"/>
      <c r="FY39" s="169"/>
      <c r="FZ39" s="169">
        <v>8573</v>
      </c>
      <c r="GA39" s="169">
        <v>6965</v>
      </c>
      <c r="GB39" s="169">
        <v>3623</v>
      </c>
      <c r="GC39" s="169">
        <v>4964</v>
      </c>
      <c r="GD39" s="169">
        <v>4333</v>
      </c>
      <c r="GE39" s="193"/>
      <c r="GF39" s="191"/>
      <c r="GG39" s="169">
        <v>8825</v>
      </c>
      <c r="GH39" s="169">
        <v>8210</v>
      </c>
      <c r="GI39" s="169">
        <v>5750</v>
      </c>
      <c r="GJ39" s="169">
        <v>5166</v>
      </c>
      <c r="GK39" s="169">
        <v>7665</v>
      </c>
      <c r="GL39" s="169">
        <v>4421</v>
      </c>
      <c r="GM39" s="193"/>
      <c r="GN39" s="191">
        <f t="shared" si="925"/>
        <v>36525</v>
      </c>
      <c r="GO39" s="169">
        <v>13824</v>
      </c>
      <c r="GP39" s="169">
        <v>6819</v>
      </c>
      <c r="GQ39" s="169">
        <v>4262</v>
      </c>
      <c r="GR39" s="169">
        <v>3361</v>
      </c>
      <c r="GS39" s="169">
        <v>4417</v>
      </c>
      <c r="GT39" s="169">
        <v>3842</v>
      </c>
      <c r="GU39" s="193"/>
      <c r="GV39" s="191">
        <f t="shared" si="926"/>
        <v>31105</v>
      </c>
      <c r="GW39" s="169">
        <v>12649</v>
      </c>
      <c r="GX39" s="169">
        <v>4473</v>
      </c>
      <c r="GY39" s="169">
        <v>3061</v>
      </c>
      <c r="GZ39" s="169">
        <v>4318</v>
      </c>
      <c r="HA39" s="169">
        <v>3246</v>
      </c>
      <c r="HB39" s="169">
        <v>3358</v>
      </c>
      <c r="HC39" s="169"/>
      <c r="HD39" s="191">
        <f t="shared" si="927"/>
        <v>33414</v>
      </c>
      <c r="HE39" s="169">
        <v>12296</v>
      </c>
      <c r="HF39" s="169">
        <v>6548</v>
      </c>
      <c r="HG39" s="169">
        <v>4800</v>
      </c>
      <c r="HH39" s="169">
        <v>4223</v>
      </c>
      <c r="HI39" s="169">
        <v>2125</v>
      </c>
      <c r="HJ39" s="169">
        <v>3422</v>
      </c>
      <c r="HK39" s="169"/>
      <c r="HL39" s="191">
        <f t="shared" si="928"/>
        <v>30135</v>
      </c>
      <c r="HM39" s="169">
        <v>10012</v>
      </c>
      <c r="HN39" s="169">
        <v>5202</v>
      </c>
      <c r="HO39" s="169">
        <v>4724</v>
      </c>
      <c r="HP39" s="169">
        <v>3037</v>
      </c>
      <c r="HQ39" s="169">
        <v>4349</v>
      </c>
      <c r="HR39" s="169">
        <v>2811</v>
      </c>
      <c r="HS39" s="193"/>
      <c r="HT39" s="191">
        <f t="shared" si="929"/>
        <v>34019</v>
      </c>
      <c r="HU39" s="169">
        <v>16151</v>
      </c>
      <c r="HV39" s="169">
        <v>5147</v>
      </c>
      <c r="HW39" s="169">
        <v>5013</v>
      </c>
      <c r="HX39" s="169"/>
      <c r="HY39" s="169">
        <v>3606</v>
      </c>
      <c r="HZ39" s="169">
        <v>4102</v>
      </c>
      <c r="IA39" s="169"/>
      <c r="IB39" s="191"/>
      <c r="IC39" s="169">
        <v>9494</v>
      </c>
      <c r="ID39" s="169">
        <v>7087</v>
      </c>
      <c r="IE39" s="169">
        <v>4622</v>
      </c>
      <c r="IF39" s="169">
        <v>4477</v>
      </c>
      <c r="IG39" s="169">
        <v>5230</v>
      </c>
      <c r="IH39" s="169">
        <v>4115</v>
      </c>
      <c r="II39" s="169"/>
      <c r="IJ39" s="191"/>
      <c r="IK39" s="169">
        <v>9020</v>
      </c>
      <c r="IL39" s="169">
        <v>6913</v>
      </c>
      <c r="IM39" s="169">
        <v>4526</v>
      </c>
      <c r="IN39" s="169">
        <v>4978</v>
      </c>
      <c r="IO39" s="169">
        <v>4022</v>
      </c>
      <c r="IP39" s="169">
        <v>2170</v>
      </c>
      <c r="IQ39" s="169"/>
      <c r="IR39" s="169"/>
      <c r="IS39" s="169">
        <v>8525</v>
      </c>
      <c r="IT39" s="169">
        <v>5670</v>
      </c>
      <c r="IU39" s="169">
        <v>3964</v>
      </c>
      <c r="IV39" s="169">
        <v>3893</v>
      </c>
      <c r="IW39" s="169">
        <v>3902</v>
      </c>
      <c r="IX39" s="169">
        <v>3767</v>
      </c>
      <c r="IY39" s="169"/>
      <c r="IZ39" s="169"/>
      <c r="JA39" s="169"/>
      <c r="JB39" s="169">
        <v>5779</v>
      </c>
      <c r="JC39" s="169">
        <v>4339</v>
      </c>
      <c r="JD39" s="169">
        <v>4543</v>
      </c>
      <c r="JE39" s="169">
        <v>8153</v>
      </c>
      <c r="JF39" s="169"/>
      <c r="JG39" s="169"/>
      <c r="JH39" s="169"/>
      <c r="JI39" s="169">
        <v>15167</v>
      </c>
      <c r="JJ39" s="169">
        <v>6718</v>
      </c>
      <c r="JK39" s="169">
        <v>4983</v>
      </c>
      <c r="JL39" s="169">
        <v>4826</v>
      </c>
      <c r="JM39" s="169">
        <v>5332</v>
      </c>
      <c r="JN39" s="169">
        <v>4441</v>
      </c>
      <c r="JO39" s="169"/>
      <c r="JP39" s="169"/>
      <c r="JQ39" s="169">
        <v>17555</v>
      </c>
      <c r="JR39" s="169">
        <v>5388</v>
      </c>
      <c r="JS39" s="169">
        <v>5742</v>
      </c>
      <c r="JT39" s="169">
        <v>5281</v>
      </c>
      <c r="JU39" s="169">
        <v>5627</v>
      </c>
      <c r="JV39" s="169">
        <v>4673</v>
      </c>
      <c r="JW39" s="169"/>
      <c r="JX39" s="169"/>
      <c r="JY39" s="169">
        <v>9999</v>
      </c>
      <c r="JZ39" s="169">
        <v>7004</v>
      </c>
      <c r="KA39" s="169">
        <v>7996</v>
      </c>
      <c r="KB39" s="169">
        <v>5007</v>
      </c>
      <c r="KC39" s="169">
        <v>5914</v>
      </c>
      <c r="KD39" s="169">
        <v>2283</v>
      </c>
      <c r="KE39" s="169"/>
      <c r="KF39" s="169"/>
      <c r="KG39" s="169">
        <v>13987</v>
      </c>
      <c r="KH39" s="169">
        <v>5864</v>
      </c>
      <c r="KI39" s="169">
        <v>5368</v>
      </c>
      <c r="KJ39" s="169">
        <v>2824</v>
      </c>
      <c r="KK39" s="169">
        <v>2957</v>
      </c>
      <c r="KL39" s="169">
        <v>3083</v>
      </c>
      <c r="KM39" s="169"/>
      <c r="KN39" s="169"/>
      <c r="KO39" s="169">
        <v>12715</v>
      </c>
      <c r="KP39" s="169">
        <v>7502</v>
      </c>
      <c r="KQ39" s="169">
        <v>7689</v>
      </c>
      <c r="KR39" s="169">
        <v>2451</v>
      </c>
      <c r="KS39" s="169">
        <v>4142</v>
      </c>
      <c r="KT39" s="169">
        <v>2758</v>
      </c>
      <c r="KU39" s="169"/>
      <c r="KV39" s="169"/>
      <c r="KW39" s="169">
        <v>9511</v>
      </c>
      <c r="KX39" s="169">
        <v>5577</v>
      </c>
      <c r="KY39" s="169">
        <v>4864</v>
      </c>
      <c r="KZ39" s="169">
        <v>5936</v>
      </c>
      <c r="LA39" s="169">
        <v>5268</v>
      </c>
      <c r="LB39" s="169">
        <v>5811</v>
      </c>
      <c r="LC39" s="169"/>
      <c r="LD39" s="169"/>
      <c r="LE39" s="169">
        <v>12320</v>
      </c>
      <c r="LF39" s="169">
        <v>6781</v>
      </c>
      <c r="LG39" s="169">
        <v>8991</v>
      </c>
      <c r="LH39" s="169">
        <v>7326</v>
      </c>
      <c r="LI39" s="169">
        <v>2501</v>
      </c>
      <c r="LJ39" s="169">
        <v>6214</v>
      </c>
      <c r="LK39" s="169"/>
      <c r="LL39" s="169"/>
      <c r="LM39" s="169">
        <v>6196</v>
      </c>
      <c r="LN39" s="169">
        <v>6140</v>
      </c>
      <c r="LO39" s="169">
        <v>8009</v>
      </c>
      <c r="LP39" s="169">
        <v>5168</v>
      </c>
      <c r="LQ39" s="169">
        <v>4193</v>
      </c>
      <c r="LR39" s="169">
        <v>4522</v>
      </c>
      <c r="LS39" s="193"/>
      <c r="LT39" s="169"/>
      <c r="LU39" s="169">
        <v>13671</v>
      </c>
      <c r="LV39" s="169">
        <v>6099</v>
      </c>
      <c r="LW39" s="169">
        <v>7814</v>
      </c>
      <c r="LX39" s="169">
        <v>3572</v>
      </c>
      <c r="LY39" s="169">
        <v>4006</v>
      </c>
      <c r="LZ39" s="169">
        <v>3503</v>
      </c>
      <c r="MA39" s="193"/>
      <c r="MB39" s="169"/>
      <c r="MC39" s="169">
        <v>18104</v>
      </c>
      <c r="MD39" s="169">
        <v>6179</v>
      </c>
      <c r="ME39" s="169">
        <v>5842</v>
      </c>
      <c r="MF39" s="169">
        <v>5199</v>
      </c>
      <c r="MG39" s="169">
        <v>2275</v>
      </c>
      <c r="MH39" s="169">
        <v>5409</v>
      </c>
      <c r="MI39" s="169"/>
      <c r="MJ39" s="169">
        <f t="shared" si="932"/>
        <v>26410</v>
      </c>
      <c r="MK39" s="169">
        <v>7035</v>
      </c>
      <c r="ML39" s="169"/>
      <c r="MM39" s="169">
        <v>6420</v>
      </c>
      <c r="MN39" s="169">
        <v>5594</v>
      </c>
      <c r="MO39" s="169">
        <v>5242</v>
      </c>
      <c r="MP39" s="169">
        <v>2119</v>
      </c>
      <c r="MQ39" s="193"/>
      <c r="MR39" s="169">
        <f t="shared" si="919"/>
        <v>32084</v>
      </c>
      <c r="MS39" s="169">
        <v>6242</v>
      </c>
      <c r="MT39" s="169">
        <v>7821</v>
      </c>
      <c r="MU39" s="169">
        <v>3795</v>
      </c>
      <c r="MV39" s="169">
        <v>6069</v>
      </c>
      <c r="MW39" s="169"/>
      <c r="MX39" s="169">
        <v>8157</v>
      </c>
      <c r="MY39" s="193"/>
      <c r="MZ39" s="191">
        <f t="shared" si="920"/>
        <v>36402</v>
      </c>
      <c r="NA39" s="169">
        <v>5240</v>
      </c>
      <c r="NB39" s="169">
        <v>13346</v>
      </c>
      <c r="NC39" s="169">
        <v>3259</v>
      </c>
      <c r="ND39" s="169">
        <v>0</v>
      </c>
      <c r="NE39" s="169">
        <v>6440</v>
      </c>
      <c r="NF39" s="169">
        <v>8117</v>
      </c>
      <c r="NG39" s="169"/>
      <c r="NH39" s="191">
        <f t="shared" si="921"/>
        <v>37098</v>
      </c>
      <c r="NI39" s="169">
        <v>13662</v>
      </c>
      <c r="NJ39" s="169">
        <v>3090</v>
      </c>
      <c r="NK39" s="169">
        <v>3287</v>
      </c>
      <c r="NL39" s="169">
        <v>3576</v>
      </c>
      <c r="NM39" s="169">
        <v>8217</v>
      </c>
      <c r="NN39" s="169">
        <v>5266</v>
      </c>
      <c r="NO39" s="193">
        <f t="shared" ref="NO39" si="941">NO38</f>
        <v>0</v>
      </c>
      <c r="NP39" s="191">
        <f t="shared" si="922"/>
        <v>44399</v>
      </c>
      <c r="NQ39" s="169">
        <v>10041</v>
      </c>
      <c r="NR39" s="169">
        <v>7030</v>
      </c>
      <c r="NS39" s="169">
        <v>6317</v>
      </c>
      <c r="NT39" s="169">
        <v>9961</v>
      </c>
      <c r="NU39" s="169">
        <v>5885</v>
      </c>
      <c r="NV39" s="169">
        <v>5165</v>
      </c>
      <c r="NW39" s="193"/>
      <c r="NX39" s="191"/>
      <c r="NY39" s="169">
        <v>10300</v>
      </c>
      <c r="NZ39" s="169">
        <v>7784</v>
      </c>
      <c r="OA39" s="169">
        <v>6037</v>
      </c>
      <c r="OB39" s="169">
        <v>3936</v>
      </c>
      <c r="OC39" s="169">
        <v>4822</v>
      </c>
      <c r="OD39" s="169">
        <v>9305</v>
      </c>
      <c r="OE39" s="193"/>
      <c r="OF39" s="191"/>
      <c r="OG39" s="169">
        <v>17313</v>
      </c>
      <c r="OH39" s="169">
        <v>6007</v>
      </c>
      <c r="OI39" s="169">
        <v>5385</v>
      </c>
      <c r="OJ39" s="169">
        <v>5435</v>
      </c>
      <c r="OK39" s="169">
        <v>5320</v>
      </c>
      <c r="OL39" s="169">
        <v>5400</v>
      </c>
      <c r="OM39" s="193"/>
      <c r="ON39" s="191"/>
      <c r="OO39" s="169">
        <v>9976</v>
      </c>
      <c r="OP39" s="169">
        <v>7090</v>
      </c>
      <c r="OQ39" s="169">
        <v>6584</v>
      </c>
      <c r="OR39" s="169">
        <v>7612</v>
      </c>
      <c r="OS39" s="169">
        <v>6924</v>
      </c>
      <c r="OT39" s="169">
        <v>5612</v>
      </c>
      <c r="OU39" s="193"/>
      <c r="OV39" s="191"/>
      <c r="OW39" s="169">
        <v>10191</v>
      </c>
      <c r="OX39" s="169">
        <v>5615</v>
      </c>
      <c r="OY39" s="169">
        <v>5253</v>
      </c>
      <c r="OZ39" s="169">
        <v>6037</v>
      </c>
      <c r="PA39" s="169">
        <v>6692</v>
      </c>
      <c r="PB39" s="169">
        <v>4932</v>
      </c>
      <c r="PC39" s="193"/>
    </row>
    <row r="40" spans="1:419" outlineLevel="1" x14ac:dyDescent="0.3">
      <c r="B40" s="972"/>
      <c r="C40" s="681" t="s">
        <v>269</v>
      </c>
      <c r="D40" s="692">
        <f t="shared" si="914"/>
        <v>44682.948875697999</v>
      </c>
      <c r="E40" s="665">
        <f>INDEX(DB!$3:$367,MATCH(E$2,DB!$D$3:$D$367),47)</f>
        <v>6538.2172010847999</v>
      </c>
      <c r="F40" s="665">
        <f>INDEX(DB!$3:$367,MATCH(F$2,DB!$D$3:$D$367),47)</f>
        <v>7288.0143523809411</v>
      </c>
      <c r="G40" s="665">
        <f>INDEX(DB!$3:$367,MATCH(G$2,DB!$D$3:$D$367),47)</f>
        <v>8645.1275179482418</v>
      </c>
      <c r="H40" s="665">
        <f>INDEX(DB!$3:$367,MATCH(H$2,DB!$D$3:$D$367),47)</f>
        <v>8733.4060128285691</v>
      </c>
      <c r="I40" s="665">
        <f>INDEX(DB!$3:$367,MATCH(I$2,DB!$D$3:$D$367),47)</f>
        <v>7745.5983665450649</v>
      </c>
      <c r="J40" s="665">
        <f>INDEX(DB!$3:$367,MATCH(J$2,DB!$D$3:$D$367),47)</f>
        <v>5732.5854249103895</v>
      </c>
      <c r="K40" s="666">
        <f>INDEX(DB!$3:$367,MATCH(K$2,DB!$D$3:$D$367),47)</f>
        <v>0</v>
      </c>
      <c r="L40" s="692">
        <f t="shared" si="915"/>
        <v>45588.454147885299</v>
      </c>
      <c r="M40" s="665">
        <f>INDEX(DB!$3:$367,MATCH(M$2,DB!$D$3:$D$367),47)</f>
        <v>6674.3424530892298</v>
      </c>
      <c r="N40" s="665">
        <f>INDEX(DB!$3:$367,MATCH(N$2,DB!$D$3:$D$367),47)</f>
        <v>7368.560995525716</v>
      </c>
      <c r="O40" s="665">
        <f>INDEX(DB!$3:$367,MATCH(O$2,DB!$D$3:$D$367),47)</f>
        <v>8825.1236524712003</v>
      </c>
      <c r="P40" s="665">
        <f>INDEX(DB!$3:$367,MATCH(P$2,DB!$D$3:$D$367),47)</f>
        <v>8800.7201817105852</v>
      </c>
      <c r="Q40" s="665">
        <f>INDEX(DB!$3:$367,MATCH(Q$2,DB!$D$3:$D$367),47)</f>
        <v>7906.8269408991982</v>
      </c>
      <c r="R40" s="665">
        <f>INDEX(DB!$3:$367,MATCH(R$2,DB!$D$3:$D$367),47)</f>
        <v>6012.8799241893648</v>
      </c>
      <c r="S40" s="666">
        <f>INDEX(DB!$3:$367,MATCH(S$2,DB!$D$3:$D$367),47)</f>
        <v>0</v>
      </c>
      <c r="T40" s="692">
        <f t="shared" si="916"/>
        <v>47898.30095815059</v>
      </c>
      <c r="U40" s="665">
        <f>INDEX(DB!$3:$367,MATCH(U$2,DB!$D$3:$D$367),47)</f>
        <v>6798.252876655486</v>
      </c>
      <c r="V40" s="665">
        <f>INDEX(DB!$3:$367,MATCH(V$2,DB!$D$3:$D$367),47)</f>
        <v>7432.2674146898853</v>
      </c>
      <c r="W40" s="665">
        <f>INDEX(DB!$3:$367,MATCH(W$2,DB!$D$3:$D$367),47)</f>
        <v>9383.7077690019487</v>
      </c>
      <c r="X40" s="665">
        <f>INDEX(DB!$3:$367,MATCH(X$2,DB!$D$3:$D$367),47)</f>
        <v>9901.8999507890057</v>
      </c>
      <c r="Y40" s="665">
        <f>INDEX(DB!$3:$367,MATCH(Y$2,DB!$D$3:$D$367),47)</f>
        <v>8369.9272928591017</v>
      </c>
      <c r="Z40" s="665">
        <f>INDEX(DB!$3:$367,MATCH(Z$2,DB!$D$3:$D$367),47)</f>
        <v>6012.2456541551674</v>
      </c>
      <c r="AA40" s="665">
        <f>INDEX(DB!$3:$367,MATCH(AA$2,DB!$D$3:$D$367),47)</f>
        <v>0</v>
      </c>
      <c r="AB40" s="692">
        <f>SUM(AC40:AI40)</f>
        <v>48171.142825399773</v>
      </c>
      <c r="AC40" s="665">
        <f>INDEX(DB!$3:$367,MATCH(AC$2,DB!$D$3:$D$367),47)</f>
        <v>6836.97989009717</v>
      </c>
      <c r="AD40" s="665">
        <f>INDEX(DB!$3:$367,MATCH(AD$2,DB!$D$3:$D$367),47)</f>
        <v>7474.6395911572163</v>
      </c>
      <c r="AE40" s="665">
        <f>INDEX(DB!$3:$367,MATCH(AE$2,DB!$D$3:$D$367),47)</f>
        <v>9437.1623445892219</v>
      </c>
      <c r="AF40" s="665">
        <f>INDEX(DB!$3:$367,MATCH(AF$2,DB!$D$3:$D$367),47)</f>
        <v>9958.2809266360437</v>
      </c>
      <c r="AG40" s="665">
        <f>INDEX(DB!$3:$367,MATCH(AG$2,DB!$D$3:$D$367),47)</f>
        <v>8417.583836918302</v>
      </c>
      <c r="AH40" s="665">
        <f>INDEX(DB!$3:$367,MATCH(AH$2,DB!$D$3:$D$367),47)</f>
        <v>6046.4962360018162</v>
      </c>
      <c r="AI40" s="665">
        <f>INDEX(DB!$3:$367,MATCH(AI$2,DB!$D$3:$D$367),47)</f>
        <v>0</v>
      </c>
      <c r="AJ40" s="692">
        <f t="shared" si="917"/>
        <v>49011.876269716304</v>
      </c>
      <c r="AK40" s="665">
        <f>INDEX(DB!$3:$367,MATCH(AK$2,DB!$D$3:$D$367),47)</f>
        <v>6956.3247712307984</v>
      </c>
      <c r="AL40" s="665">
        <f>INDEX(DB!$3:$367,MATCH(AL$2,DB!$D$3:$D$367),47)</f>
        <v>7605.0649035700617</v>
      </c>
      <c r="AM40" s="665">
        <f>INDEX(DB!$3:$367,MATCH(AM$2,DB!$D$3:$D$367),47)</f>
        <v>9601.8672308229725</v>
      </c>
      <c r="AN40" s="665">
        <f>INDEX(DB!$3:$367,MATCH(AN$2,DB!$D$3:$D$367),47)</f>
        <v>10132.068674747577</v>
      </c>
      <c r="AO40" s="665">
        <f>INDEX(DB!$3:$367,MATCH(AO$2,DB!$D$3:$D$367),47)</f>
        <v>8564.5013484854262</v>
      </c>
      <c r="AP40" s="665">
        <f>INDEX(DB!$3:$367,MATCH(AP$2,DB!$D$3:$D$367),47)</f>
        <v>6152.0493408594648</v>
      </c>
      <c r="AQ40" s="665">
        <f>INDEX(DB!$3:$367,MATCH(AQ$2,DB!$D$3:$D$367),47)</f>
        <v>0</v>
      </c>
      <c r="AR40" s="665"/>
      <c r="AS40" s="665">
        <f>INDEX(DB!$3:$367,MATCH(AS$2,DB!$D$3:$D$367),47)</f>
        <v>6996.5736321500253</v>
      </c>
      <c r="AT40" s="665">
        <f>INDEX(DB!$3:$367,MATCH(AT$2,DB!$D$3:$D$367),47)</f>
        <v>7649.0667791322903</v>
      </c>
      <c r="AU40" s="665">
        <f>INDEX(DB!$3:$367,MATCH(AU$2,DB!$D$3:$D$367),47)</f>
        <v>9657.4599894337352</v>
      </c>
      <c r="AV40" s="665">
        <f>INDEX(DB!$3:$367,MATCH(AV$2,DB!$D$3:$D$367),47)</f>
        <v>10190.736331490822</v>
      </c>
      <c r="AW40" s="665">
        <f>INDEX(DB!$3:$367,MATCH(AW$2,DB!$D$3:$D$367),47)</f>
        <v>8614.0613343931454</v>
      </c>
      <c r="AX40" s="665">
        <f>INDEX(DB!$3:$367,MATCH(AX$2,DB!$D$3:$D$367),47)</f>
        <v>6187.6213186106907</v>
      </c>
      <c r="AY40" s="665">
        <f>INDEX(DB!$3:$367,MATCH(AY$2,DB!$D$3:$D$367),47)</f>
        <v>0</v>
      </c>
      <c r="AZ40" s="692"/>
      <c r="BA40" s="665">
        <f>INDEX(DB!$3:$367,MATCH(BA$2,DB!$D$3:$D$367),47)</f>
        <v>6366.1302033021602</v>
      </c>
      <c r="BB40" s="665">
        <f>INDEX(DB!$3:$367,MATCH(BB$2,DB!$D$3:$D$367),47)</f>
        <v>7274.8779899796473</v>
      </c>
      <c r="BC40" s="665">
        <f>INDEX(DB!$3:$367,MATCH(BC$2,DB!$D$3:$D$367),47)</f>
        <v>8861.1487967457724</v>
      </c>
      <c r="BD40" s="665">
        <f>INDEX(DB!$3:$367,MATCH(BD$2,DB!$D$3:$D$367),47)</f>
        <v>9230.9734840870406</v>
      </c>
      <c r="BE40" s="665">
        <f>INDEX(DB!$3:$367,MATCH(BE$2,DB!$D$3:$D$367),47)</f>
        <v>9123.6902648723881</v>
      </c>
      <c r="BF40" s="665">
        <f>INDEX(DB!$3:$367,MATCH(BF$2,DB!$D$3:$D$367),47)</f>
        <v>6132.8626723249999</v>
      </c>
      <c r="BG40" s="665">
        <f>INDEX(DB!$3:$367,MATCH(BG$2,DB!$D$3:$D$367),47)</f>
        <v>0</v>
      </c>
      <c r="BH40" s="692"/>
      <c r="BI40" s="665">
        <f>INDEX(DB!$3:$367,MATCH(BI$2,DB!$D$3:$D$367),47)</f>
        <v>6983</v>
      </c>
      <c r="BJ40" s="665">
        <f>INDEX(DB!$3:$367,MATCH(BJ$2,DB!$D$3:$D$367),47)</f>
        <v>7278</v>
      </c>
      <c r="BK40" s="665">
        <f>INDEX(DB!$3:$367,MATCH(BK$2,DB!$D$3:$D$367),47)</f>
        <v>8656</v>
      </c>
      <c r="BL40" s="665">
        <f>INDEX(DB!$3:$367,MATCH(BL$2,DB!$D$3:$D$367),47)</f>
        <v>9050</v>
      </c>
      <c r="BM40" s="665">
        <f>INDEX(DB!$3:$367,MATCH(BM$2,DB!$D$3:$D$367),47)</f>
        <v>8367</v>
      </c>
      <c r="BN40" s="665">
        <f>INDEX(DB!$3:$367,MATCH(BN$2,DB!$D$3:$D$367),47)</f>
        <v>6273</v>
      </c>
      <c r="BO40" s="665">
        <f>INDEX(DB!$3:$367,MATCH(BO$2,DB!$D$3:$D$367),47)</f>
        <v>0</v>
      </c>
      <c r="BP40" s="692" t="e">
        <f>INDEX(DB!$3:$367,MATCH(BP$2,DB!$D$3:$D$367),47)</f>
        <v>#N/A</v>
      </c>
      <c r="BQ40" s="665">
        <f>INDEX(DB!$3:$367,MATCH(BQ$2,DB!$D$3:$D$367),47)</f>
        <v>6652.3958105183474</v>
      </c>
      <c r="BR40" s="665">
        <f>INDEX(DB!$3:$367,MATCH(BR$2,DB!$D$3:$D$367),47)</f>
        <v>7272.8038274952323</v>
      </c>
      <c r="BS40" s="665">
        <f>INDEX(DB!$3:$367,MATCH(BS$2,DB!$D$3:$D$367),47)</f>
        <v>9182.3945976690375</v>
      </c>
      <c r="BT40" s="665">
        <f>INDEX(DB!$3:$367,MATCH(BT$2,DB!$D$3:$D$367),47)</f>
        <v>9689.3815449980102</v>
      </c>
      <c r="BU40" s="665">
        <f>INDEX(DB!$3:$367,MATCH(BU$2,DB!$D$3:$D$367),47)</f>
        <v>8190.298780635957</v>
      </c>
      <c r="BV40" s="665">
        <f>INDEX(DB!$3:$367,MATCH(BV$2,DB!$D$3:$D$367),47)</f>
        <v>5883.2774138684053</v>
      </c>
      <c r="BW40" s="666">
        <f>INDEX(DB!$3:$367,MATCH(BW$2,DB!$D$3:$D$367),47)</f>
        <v>0</v>
      </c>
      <c r="BX40" s="848" t="e">
        <f>INDEX(DB!$3:$367,MATCH(BX$2,DB!$D$3:$D$367),47)</f>
        <v>#N/A</v>
      </c>
      <c r="BY40" s="665">
        <f>INDEX(DB!$3:$367,MATCH(BY$2,DB!$D$3:$D$367),47)</f>
        <v>7060.3310317355072</v>
      </c>
      <c r="BZ40" s="665">
        <f>INDEX(DB!$3:$367,MATCH(BZ$2,DB!$D$3:$D$367),47)</f>
        <v>7184.5531522654883</v>
      </c>
      <c r="CA40" s="665">
        <f>INDEX(DB!$3:$367,MATCH(CA$2,DB!$D$3:$D$367),47)</f>
        <v>8103.7784524553281</v>
      </c>
      <c r="CB40" s="665">
        <f>INDEX(DB!$3:$367,MATCH(CB$2,DB!$D$3:$D$367),47)</f>
        <v>8175.2414978206816</v>
      </c>
      <c r="CC40" s="665">
        <f>INDEX(DB!$3:$367,MATCH(CC$2,DB!$D$3:$D$367),47)</f>
        <v>8024.4878462761317</v>
      </c>
      <c r="CD40" s="665">
        <f>INDEX(DB!$3:$367,MATCH(CD$2,DB!$D$3:$D$367),47)</f>
        <v>6225.2546739730578</v>
      </c>
      <c r="CE40" s="665">
        <f>INDEX(DB!$3:$367,MATCH(CE$2,DB!$D$3:$D$367),47)</f>
        <v>0</v>
      </c>
      <c r="CF40" s="665" t="e">
        <f>INDEX(DB!$3:$367,MATCH(CF$2,DB!$D$3:$D$367),47)</f>
        <v>#N/A</v>
      </c>
      <c r="CG40" s="665">
        <f>INDEX(DB!$3:$367,MATCH(CG$2,DB!$D$3:$D$367),47)</f>
        <v>7074.0276590333933</v>
      </c>
      <c r="CH40" s="665">
        <f>INDEX(DB!$3:$367,MATCH(CH$2,DB!$D$3:$D$367),47)</f>
        <v>7198.5290566247595</v>
      </c>
      <c r="CI40" s="665">
        <f>INDEX(DB!$3:$367,MATCH(CI$2,DB!$D$3:$D$367),47)</f>
        <v>8119.5232547192154</v>
      </c>
      <c r="CJ40" s="665">
        <f>INDEX(DB!$3:$367,MATCH(CJ$2,DB!$D$3:$D$367),47)</f>
        <v>8191.1053465380992</v>
      </c>
      <c r="CK40" s="665">
        <f>INDEX(DB!$3:$367,MATCH(CK$2,DB!$D$3:$D$367),47)</f>
        <v>8040.0678702954865</v>
      </c>
      <c r="CL40" s="665">
        <f>INDEX(DB!$3:$367,MATCH(CL$2,DB!$D$3:$D$367),47)</f>
        <v>6237.3586604589873</v>
      </c>
      <c r="CM40" s="665">
        <f>INDEX(DB!$3:$367,MATCH(CM$2,DB!$D$3:$D$367),47)</f>
        <v>0</v>
      </c>
      <c r="CN40" s="665" t="e">
        <f>INDEX(DB!$3:$367,MATCH(CN$2,DB!$D$3:$D$367),47)</f>
        <v>#N/A</v>
      </c>
      <c r="CO40" s="665">
        <f>INDEX(DB!$3:$367,MATCH(CO$2,DB!$D$3:$D$367),47)</f>
        <v>7013.874635052618</v>
      </c>
      <c r="CP40" s="665">
        <f>INDEX(DB!$3:$367,MATCH(CP$2,DB!$D$3:$D$367),47)</f>
        <v>7301.6939478138675</v>
      </c>
      <c r="CQ40" s="665">
        <f>INDEX(DB!$3:$367,MATCH(CQ$2,DB!$D$3:$D$367),47)</f>
        <v>8735.7087260343087</v>
      </c>
      <c r="CR40" s="665">
        <f>INDEX(DB!$3:$367,MATCH(CR$2,DB!$D$3:$D$367),47)</f>
        <v>9133.0034994402831</v>
      </c>
      <c r="CS40" s="665">
        <f>INDEX(DB!$3:$367,MATCH(CS$2,DB!$D$3:$D$367),47)</f>
        <v>8152.3709393580721</v>
      </c>
      <c r="CT40" s="665">
        <f>INDEX(DB!$3:$367,MATCH(CT$2,DB!$D$3:$D$367),47)</f>
        <v>6636.1030886242879</v>
      </c>
      <c r="CU40" s="665">
        <f>INDEX(DB!$3:$367,MATCH(CU$2,DB!$D$3:$D$367),47)</f>
        <v>0</v>
      </c>
      <c r="CV40" s="665" t="e">
        <f>INDEX(DB!$3:$367,MATCH(CV$2,DB!$D$3:$D$367),47)</f>
        <v>#N/A</v>
      </c>
      <c r="CW40" s="665">
        <f>INDEX(DB!$3:$367,MATCH(CW$2,DB!$D$3:$D$367),47)</f>
        <v>7541.8355639065167</v>
      </c>
      <c r="CX40" s="665">
        <f>INDEX(DB!$3:$367,MATCH(CX$2,DB!$D$3:$D$367),47)</f>
        <v>6690.6061720484195</v>
      </c>
      <c r="CY40" s="665">
        <f>INDEX(DB!$3:$367,MATCH(CY$2,DB!$D$3:$D$367),47)</f>
        <v>8413.167056611961</v>
      </c>
      <c r="CZ40" s="665">
        <f>INDEX(DB!$3:$367,MATCH(CZ$2,DB!$D$3:$D$367),47)</f>
        <v>8541.2533587693943</v>
      </c>
      <c r="DA40" s="665">
        <f>INDEX(DB!$3:$367,MATCH(DA$2,DB!$D$3:$D$367),47)</f>
        <v>8616.6697547040785</v>
      </c>
      <c r="DB40" s="665">
        <f>INDEX(DB!$3:$367,MATCH(DB$2,DB!$D$3:$D$367),47)</f>
        <v>6896.8937843516987</v>
      </c>
      <c r="DC40" s="665">
        <f>INDEX(DB!$3:$367,MATCH(DC$2,DB!$D$3:$D$367),47)</f>
        <v>0</v>
      </c>
      <c r="DD40" s="665" t="e">
        <f>INDEX(DB!$3:$367,MATCH(DD$2,DB!$D$3:$D$367),47)</f>
        <v>#N/A</v>
      </c>
      <c r="DE40" s="665">
        <f>INDEX(DB!$3:$367,MATCH(DE$2,DB!$D$3:$D$367),47)</f>
        <v>6818</v>
      </c>
      <c r="DF40" s="665">
        <f>INDEX(DB!$3:$367,MATCH(DF$2,DB!$D$3:$D$367),47)</f>
        <v>6435</v>
      </c>
      <c r="DG40" s="665">
        <f>INDEX(DB!$3:$367,MATCH(DG$2,DB!$D$3:$D$367),47)</f>
        <v>8141</v>
      </c>
      <c r="DH40" s="665">
        <f>INDEX(DB!$3:$367,MATCH(DH$2,DB!$D$3:$D$367),47)</f>
        <v>8950</v>
      </c>
      <c r="DI40" s="665">
        <f>INDEX(DB!$3:$367,MATCH(DI$2,DB!$D$3:$D$367),47)</f>
        <v>8394</v>
      </c>
      <c r="DJ40" s="665">
        <f>INDEX(DB!$3:$367,MATCH(DJ$2,DB!$D$3:$D$367),47)</f>
        <v>6800</v>
      </c>
      <c r="DK40" s="665">
        <f>INDEX(DB!$3:$367,MATCH(DK$2,DB!$D$3:$D$367),47)</f>
        <v>0</v>
      </c>
      <c r="DL40" s="665" t="e">
        <f>INDEX(DB!$3:$367,MATCH(DL$2,DB!$D$3:$D$367),47)</f>
        <v>#N/A</v>
      </c>
      <c r="DM40" s="665">
        <f>INDEX(DB!$3:$367,MATCH(DM$2,DB!$D$3:$D$367),47)</f>
        <v>7538.1110424483195</v>
      </c>
      <c r="DN40" s="665">
        <f>INDEX(DB!$3:$367,MATCH(DN$2,DB!$D$3:$D$367),47)</f>
        <v>6930.4188631036168</v>
      </c>
      <c r="DO40" s="665">
        <f>INDEX(DB!$3:$367,MATCH(DO$2,DB!$D$3:$D$367),47)</f>
        <v>9047.3003066393867</v>
      </c>
      <c r="DP40" s="665">
        <f>INDEX(DB!$3:$367,MATCH(DP$2,DB!$D$3:$D$367),47)</f>
        <v>9597.4140977037914</v>
      </c>
      <c r="DQ40" s="665">
        <f>INDEX(DB!$3:$367,MATCH(DQ$2,DB!$D$3:$D$367),47)</f>
        <v>9347.7324202276286</v>
      </c>
      <c r="DR40" s="665">
        <f>INDEX(DB!$3:$367,MATCH(DR$2,DB!$D$3:$D$367),47)</f>
        <v>6363.3141180833127</v>
      </c>
      <c r="DS40" s="665">
        <f>INDEX(DB!$3:$367,MATCH(DS$2,DB!$D$3:$D$367),47)</f>
        <v>0</v>
      </c>
      <c r="DT40" s="665" t="e">
        <f>INDEX(DB!$3:$367,MATCH(DT$2,DB!$D$3:$D$367),47)</f>
        <v>#N/A</v>
      </c>
      <c r="DU40" s="665">
        <f>INDEX(DB!$3:$367,MATCH(DU$2,DB!$D$3:$D$367),47)</f>
        <v>0</v>
      </c>
      <c r="DV40" s="665">
        <f>INDEX(DB!$3:$367,MATCH(DV$2,DB!$D$3:$D$367),47)</f>
        <v>8292.1559189429954</v>
      </c>
      <c r="DW40" s="665">
        <f>INDEX(DB!$3:$367,MATCH(DW$2,DB!$D$3:$D$367),47)</f>
        <v>7755.4489999011794</v>
      </c>
      <c r="DX40" s="665">
        <f>INDEX(DB!$3:$367,MATCH(DX$2,DB!$D$3:$D$367),47)</f>
        <v>8689.9590758006852</v>
      </c>
      <c r="DY40" s="665">
        <f>INDEX(DB!$3:$367,MATCH(DY$2,DB!$D$3:$D$367),47)</f>
        <v>8435.4197920173829</v>
      </c>
      <c r="DZ40" s="665">
        <f>INDEX(DB!$3:$367,MATCH(DZ$2,DB!$D$3:$D$367),47)</f>
        <v>6181.0143390878038</v>
      </c>
      <c r="EA40" s="665">
        <f>INDEX(DB!$3:$367,MATCH(EA$2,DB!$D$3:$D$367),47)</f>
        <v>0</v>
      </c>
      <c r="EB40" s="665" t="e">
        <f>INDEX(DB!$3:$367,MATCH(EB$2,DB!$D$3:$D$367),47)</f>
        <v>#N/A</v>
      </c>
      <c r="EC40" s="665">
        <f>INDEX(DB!$3:$367,MATCH(EC$2,DB!$D$3:$D$367),47)</f>
        <v>8316.7790192951325</v>
      </c>
      <c r="ED40" s="665">
        <f>INDEX(DB!$3:$367,MATCH(ED$2,DB!$D$3:$D$367),47)</f>
        <v>7277.3128964907737</v>
      </c>
      <c r="EE40" s="665">
        <f>INDEX(DB!$3:$367,MATCH(EE$2,DB!$D$3:$D$367),47)</f>
        <v>8097.8174573595352</v>
      </c>
      <c r="EF40" s="665">
        <f>INDEX(DB!$3:$367,MATCH(EF$2,DB!$D$3:$D$367),47)</f>
        <v>8192.5345220982272</v>
      </c>
      <c r="EG40" s="665">
        <f>INDEX(DB!$3:$367,MATCH(EG$2,DB!$D$3:$D$367),47)</f>
        <v>8096.8186365198308</v>
      </c>
      <c r="EH40" s="665">
        <f>INDEX(DB!$3:$367,MATCH(EH$2,DB!$D$3:$D$367),47)</f>
        <v>6475.3156349553001</v>
      </c>
      <c r="EI40" s="665">
        <f>INDEX(DB!$3:$367,MATCH(EI$2,DB!$D$3:$D$367),47)</f>
        <v>0</v>
      </c>
      <c r="EJ40" s="665" t="e">
        <f>INDEX(DB!$3:$367,MATCH(EJ$2,DB!$D$3:$D$367),47)</f>
        <v>#N/A</v>
      </c>
      <c r="EK40" s="665">
        <f>INDEX(DB!$3:$367,MATCH(EK$2,DB!$D$3:$D$367),47)</f>
        <v>9260.9962432773555</v>
      </c>
      <c r="EL40" s="665">
        <f>INDEX(DB!$3:$367,MATCH(EL$2,DB!$D$3:$D$367),47)</f>
        <v>8255.1433600234941</v>
      </c>
      <c r="EM40" s="665">
        <f>INDEX(DB!$3:$367,MATCH(EM$2,DB!$D$3:$D$367),47)</f>
        <v>8582.7962431422347</v>
      </c>
      <c r="EN40" s="665">
        <f>INDEX(DB!$3:$367,MATCH(EN$2,DB!$D$3:$D$367),47)</f>
        <v>9256.6271853913331</v>
      </c>
      <c r="EO40" s="665">
        <f>INDEX(DB!$3:$367,MATCH(EO$2,DB!$D$3:$D$367),47)</f>
        <v>8498.7973557884216</v>
      </c>
      <c r="EP40" s="665">
        <f>INDEX(DB!$3:$367,MATCH(EP$2,DB!$D$3:$D$367),47)</f>
        <v>6902.972205512755</v>
      </c>
      <c r="EQ40" s="665">
        <f>INDEX(DB!$3:$367,MATCH(EQ$2,DB!$D$3:$D$367),47)</f>
        <v>0</v>
      </c>
      <c r="ER40" s="665" t="e">
        <f>INDEX(DB!$3:$367,MATCH(ER$2,DB!$D$3:$D$367),47)</f>
        <v>#N/A</v>
      </c>
      <c r="ES40" s="862">
        <f>INDEX(DB!$3:$367,MATCH(ES$2,DB!$D$3:$D$367),47)</f>
        <v>9520.348180872812</v>
      </c>
      <c r="ET40" s="665">
        <f>INDEX(DB!$3:$367,MATCH(ET$2,DB!$D$3:$D$367),47)</f>
        <v>8563.8256598803546</v>
      </c>
      <c r="EU40" s="665">
        <f>INDEX(DB!$3:$367,MATCH(EU$2,DB!$D$3:$D$367),47)</f>
        <v>9410.143486383291</v>
      </c>
      <c r="EV40" s="665">
        <f>INDEX(DB!$3:$367,MATCH(EV$2,DB!$D$3:$D$367),47)</f>
        <v>9416.6233893476328</v>
      </c>
      <c r="EW40" s="665">
        <f>INDEX(DB!$3:$367,MATCH(EW$2,DB!$D$3:$D$367),47)</f>
        <v>9183.9659234088031</v>
      </c>
      <c r="EX40" s="665">
        <f>INDEX(DB!$3:$367,MATCH(EX$2,DB!$D$3:$D$367),47)</f>
        <v>6702.0671721807958</v>
      </c>
      <c r="EY40" s="665">
        <f>INDEX(DB!$3:$367,MATCH(EY$2,DB!$D$3:$D$367),47)</f>
        <v>0</v>
      </c>
      <c r="EZ40" s="665" t="e">
        <f>INDEX(DB!$3:$367,MATCH(EZ$2,DB!$D$3:$D$367),47)</f>
        <v>#N/A</v>
      </c>
      <c r="FA40" s="665">
        <f>INDEX(DB!$3:$367,MATCH(FA$2,DB!$D$3:$D$367),47)</f>
        <v>9346.1289422063146</v>
      </c>
      <c r="FB40" s="665">
        <f>INDEX(DB!$3:$367,MATCH(FB$2,DB!$D$3:$D$367),47)</f>
        <v>8007.7461954979672</v>
      </c>
      <c r="FC40" s="665">
        <f>INDEX(DB!$3:$367,MATCH(FC$2,DB!$D$3:$D$367),47)</f>
        <v>8692.4915115898129</v>
      </c>
      <c r="FD40" s="665">
        <f>INDEX(DB!$3:$367,MATCH(FD$2,DB!$D$3:$D$367),47)</f>
        <v>8958.8584574387187</v>
      </c>
      <c r="FE40" s="665">
        <f>INDEX(DB!$3:$367,MATCH(FE$2,DB!$D$3:$D$367),47)</f>
        <v>8854.1769986914296</v>
      </c>
      <c r="FF40" s="665">
        <f>INDEX(DB!$3:$367,MATCH(FF$2,DB!$D$3:$D$367),47)</f>
        <v>6903.9764664002341</v>
      </c>
      <c r="FG40" s="665">
        <f>INDEX(DB!$3:$367,MATCH(FG$2,DB!$D$3:$D$367),47)</f>
        <v>0</v>
      </c>
      <c r="FH40" s="665" t="e">
        <f>INDEX(DB!$3:$367,MATCH(FH$2,DB!$D$3:$D$367),47)</f>
        <v>#N/A</v>
      </c>
      <c r="FI40" s="665">
        <f>INDEX(DB!$3:$367,MATCH(FI$2,DB!$D$3:$D$367),47)</f>
        <v>10282.438484571387</v>
      </c>
      <c r="FJ40" s="665">
        <f>INDEX(DB!$3:$367,MATCH(FJ$2,DB!$D$3:$D$367),47)</f>
        <v>6846.4760197186451</v>
      </c>
      <c r="FK40" s="665">
        <f>INDEX(DB!$3:$367,MATCH(FK$2,DB!$D$3:$D$367),47)</f>
        <v>8035.3565957036199</v>
      </c>
      <c r="FL40" s="665">
        <f>INDEX(DB!$3:$367,MATCH(FL$2,DB!$D$3:$D$367),47)</f>
        <v>0</v>
      </c>
      <c r="FM40" s="665">
        <f>INDEX(DB!$3:$367,MATCH(FM$2,DB!$D$3:$D$367),47)</f>
        <v>8029.8456825904796</v>
      </c>
      <c r="FN40" s="665">
        <f>INDEX(DB!$3:$367,MATCH(FN$2,DB!$D$3:$D$367),47)</f>
        <v>6307.0755083844952</v>
      </c>
      <c r="FO40" s="665">
        <f>INDEX(DB!$3:$367,MATCH(FO$2,DB!$D$3:$D$367),47)</f>
        <v>0</v>
      </c>
      <c r="FP40" s="692"/>
      <c r="FQ40" s="665">
        <f>INDEX(DB!$3:$367,MATCH(FQ$2,DB!$D$3:$D$367),47)</f>
        <v>9030.8726984946625</v>
      </c>
      <c r="FR40" s="665">
        <f>INDEX(DB!$3:$367,MATCH(FR$2,DB!$D$3:$D$367),47)</f>
        <v>9046.386715793562</v>
      </c>
      <c r="FS40" s="665">
        <f>INDEX(DB!$3:$367,MATCH(FS$2,DB!$D$3:$D$367),47)</f>
        <v>9000.4546603974504</v>
      </c>
      <c r="FT40" s="665">
        <f>INDEX(DB!$3:$367,MATCH(FT$2,DB!$D$3:$D$367),47)</f>
        <v>9409.8348054370254</v>
      </c>
      <c r="FU40" s="665">
        <f>INDEX(DB!$3:$367,MATCH(FU$2,DB!$D$3:$D$367),47)</f>
        <v>8519.3827268909154</v>
      </c>
      <c r="FV40" s="665">
        <f>INDEX(DB!$3:$367,MATCH(FV$2,DB!$D$3:$D$367),47)</f>
        <v>6747.311767953528</v>
      </c>
      <c r="FW40" s="666"/>
      <c r="FX40" s="692"/>
      <c r="FY40" s="665">
        <f>INDEX(DB!$3:$367,MATCH(FY$2,DB!$D$3:$D$367),47)</f>
        <v>0</v>
      </c>
      <c r="FZ40" s="665">
        <f>INDEX(DB!$3:$367,MATCH(FZ$2,DB!$D$3:$D$367),47)</f>
        <v>11065.470631748405</v>
      </c>
      <c r="GA40" s="665">
        <f>INDEX(DB!$3:$367,MATCH(GA$2,DB!$D$3:$D$367),47)</f>
        <v>8243.0843161070043</v>
      </c>
      <c r="GB40" s="665">
        <f>INDEX(DB!$3:$367,MATCH(GB$2,DB!$D$3:$D$367),47)</f>
        <v>9089.1992685223686</v>
      </c>
      <c r="GC40" s="665">
        <f>INDEX(DB!$3:$367,MATCH(GC$2,DB!$D$3:$D$367),47)</f>
        <v>8771.1305358190348</v>
      </c>
      <c r="GD40" s="665">
        <f>INDEX(DB!$3:$367,MATCH(GD$2,DB!$D$3:$D$367),47)</f>
        <v>6605.2881361295404</v>
      </c>
      <c r="GE40" s="666"/>
      <c r="GF40" s="692"/>
      <c r="GG40" s="665">
        <f>INDEX(DB!$3:$367,MATCH(GG$2,DB!$D$3:$D$367),47)</f>
        <v>8868.765225343046</v>
      </c>
      <c r="GH40" s="665">
        <f>INDEX(DB!$3:$367,MATCH(GH$2,DB!$D$3:$D$367),47)</f>
        <v>8586.1543525979723</v>
      </c>
      <c r="GI40" s="665">
        <f>INDEX(DB!$3:$367,MATCH(GI$2,DB!$D$3:$D$367),47)</f>
        <v>8838.9246519864591</v>
      </c>
      <c r="GJ40" s="665">
        <f>INDEX(DB!$3:$367,MATCH(GJ$2,DB!$D$3:$D$367),47)</f>
        <v>9121.4271774032495</v>
      </c>
      <c r="GK40" s="665">
        <f>INDEX(DB!$3:$367,MATCH(GK$2,DB!$D$3:$D$367),47)</f>
        <v>8778.8852989055922</v>
      </c>
      <c r="GL40" s="665">
        <f>INDEX(DB!$3:$367,MATCH(GL$2,DB!$D$3:$D$367),47)</f>
        <v>6626.1661914218648</v>
      </c>
      <c r="GM40" s="666"/>
      <c r="GN40" s="692">
        <f t="shared" si="925"/>
        <v>50890.560830049784</v>
      </c>
      <c r="GO40" s="665">
        <f>INDEX(DB!$3:$367,MATCH(GO$2,DB!$D$3:$D$367),47)</f>
        <v>8881.0271367114146</v>
      </c>
      <c r="GP40" s="665">
        <f>INDEX(DB!$3:$367,MATCH(GP$2,DB!$D$3:$D$367),47)</f>
        <v>8598.0313168094726</v>
      </c>
      <c r="GQ40" s="665">
        <f>INDEX(DB!$3:$367,MATCH(GQ$2,DB!$D$3:$D$367),47)</f>
        <v>8851.1058158778615</v>
      </c>
      <c r="GR40" s="665">
        <f>INDEX(DB!$3:$367,MATCH(GR$2,DB!$D$3:$D$367),47)</f>
        <v>9134.0753811103787</v>
      </c>
      <c r="GS40" s="665">
        <f>INDEX(DB!$3:$367,MATCH(GS$2,DB!$D$3:$D$367),47)</f>
        <v>8791.0109284591163</v>
      </c>
      <c r="GT40" s="665">
        <f>INDEX(DB!$3:$367,MATCH(GT$2,DB!$D$3:$D$367),47)</f>
        <v>6635.3102510815406</v>
      </c>
      <c r="GU40" s="666"/>
      <c r="GV40" s="692">
        <f t="shared" si="926"/>
        <v>48857.728582850235</v>
      </c>
      <c r="GW40" s="665">
        <f>INDEX(DB!$3:$367,MATCH(GW$2,DB!$D$3:$D$367),47)</f>
        <v>8526.2324849140023</v>
      </c>
      <c r="GX40" s="665">
        <f>INDEX(DB!$3:$367,MATCH(GX$2,DB!$D$3:$D$367),47)</f>
        <v>8254.6088966339757</v>
      </c>
      <c r="GY40" s="665">
        <f>INDEX(DB!$3:$367,MATCH(GY$2,DB!$D$3:$D$367),47)</f>
        <v>8497.5280959024185</v>
      </c>
      <c r="GZ40" s="665">
        <f>INDEX(DB!$3:$367,MATCH(GZ$2,DB!$D$3:$D$367),47)</f>
        <v>8769.2068606097691</v>
      </c>
      <c r="HA40" s="665">
        <f>INDEX(DB!$3:$367,MATCH(HA$2,DB!$D$3:$D$367),47)</f>
        <v>8439.8611563305913</v>
      </c>
      <c r="HB40" s="665">
        <f>INDEX(DB!$3:$367,MATCH(HB$2,DB!$D$3:$D$367),47)</f>
        <v>6370.2910884594812</v>
      </c>
      <c r="HC40" s="666"/>
      <c r="HD40" s="692">
        <f t="shared" si="927"/>
        <v>42428.166228148213</v>
      </c>
      <c r="HE40" s="665">
        <f>INDEX(DB!$3:$367,MATCH(HE$2,DB!$D$3:$D$367),47)</f>
        <v>7800.4274291422325</v>
      </c>
      <c r="HF40" s="665">
        <f>INDEX(DB!$3:$367,MATCH(HF$2,DB!$D$3:$D$367),47)</f>
        <v>7637.8975299518861</v>
      </c>
      <c r="HG40" s="665">
        <f>INDEX(DB!$3:$367,MATCH(HG$2,DB!$D$3:$D$367),47)</f>
        <v>7164.4033774683412</v>
      </c>
      <c r="HH40" s="665">
        <f>INDEX(DB!$3:$367,MATCH(HH$2,DB!$D$3:$D$367),47)</f>
        <v>7227.55518389998</v>
      </c>
      <c r="HI40" s="665">
        <f>INDEX(DB!$3:$367,MATCH(HI$2,DB!$D$3:$D$367),47)</f>
        <v>7094.2687651205651</v>
      </c>
      <c r="HJ40" s="665">
        <f>INDEX(DB!$3:$367,MATCH(HJ$2,DB!$D$3:$D$367),47)</f>
        <v>5503.6139425652045</v>
      </c>
      <c r="HK40" s="666"/>
      <c r="HL40" s="692">
        <f t="shared" si="928"/>
        <v>40494.578607850766</v>
      </c>
      <c r="HM40" s="665">
        <f>INDEX(DB!$3:$367,MATCH(HM$2,DB!$D$3:$D$367),47)</f>
        <v>7284.6764224032941</v>
      </c>
      <c r="HN40" s="665">
        <f>INDEX(DB!$3:$367,MATCH(HN$2,DB!$D$3:$D$367),47)</f>
        <v>6797.0084637777509</v>
      </c>
      <c r="HO40" s="665">
        <f>INDEX(DB!$3:$367,MATCH(HO$2,DB!$D$3:$D$367),47)</f>
        <v>6997.1067542364199</v>
      </c>
      <c r="HP40" s="665">
        <f>INDEX(DB!$3:$367,MATCH(HP$2,DB!$D$3:$D$367),47)</f>
        <v>7220.7665999893725</v>
      </c>
      <c r="HQ40" s="665">
        <f>INDEX(DB!$3:$367,MATCH(HQ$2,DB!$D$3:$D$367),47)</f>
        <v>6949.6071846331661</v>
      </c>
      <c r="HR40" s="665">
        <f>INDEX(DB!$3:$367,MATCH(HR$2,DB!$D$3:$D$367),47)</f>
        <v>5245.4131828107647</v>
      </c>
      <c r="HS40" s="666"/>
      <c r="HT40" s="692">
        <f t="shared" si="929"/>
        <v>32921.549077800984</v>
      </c>
      <c r="HU40" s="665">
        <f>INDEX(DB!$3:$367,MATCH(HU$2,DB!$D$3:$D$367),47)</f>
        <v>6997.4974532943152</v>
      </c>
      <c r="HV40" s="665">
        <f>INDEX(DB!$3:$367,MATCH(HV$2,DB!$D$3:$D$367),47)</f>
        <v>6785.072114745195</v>
      </c>
      <c r="HW40" s="665">
        <f>INDEX(DB!$3:$367,MATCH(HW$2,DB!$D$3:$D$367),47)</f>
        <v>6678.5174837362811</v>
      </c>
      <c r="HX40" s="665">
        <f>INDEX(DB!$3:$367,MATCH(HX$2,DB!$D$3:$D$367),47)</f>
        <v>0</v>
      </c>
      <c r="HY40" s="665">
        <f>INDEX(DB!$3:$367,MATCH(HY$2,DB!$D$3:$D$367),47)</f>
        <v>7107.8043515989175</v>
      </c>
      <c r="HZ40" s="665">
        <f>INDEX(DB!$3:$367,MATCH(HZ$2,DB!$D$3:$D$367),47)</f>
        <v>5352.6576744262729</v>
      </c>
      <c r="IA40" s="665">
        <f>INDEX(DB!$3:$367,MATCH(IA$2,DB!$D$3:$D$367),47)</f>
        <v>0</v>
      </c>
      <c r="IB40" s="692" t="e">
        <f>INDEX(DB!$3:$367,MATCH(IB$2,DB!$D$3:$D$367),47)</f>
        <v>#N/A</v>
      </c>
      <c r="IC40" s="665">
        <f>INDEX(DB!$3:$367,MATCH(IC$2,DB!$D$3:$D$367),47)</f>
        <v>7239.6326663562259</v>
      </c>
      <c r="ID40" s="665">
        <f>INDEX(DB!$3:$367,MATCH(ID$2,DB!$D$3:$D$367),47)</f>
        <v>7088.7660896332263</v>
      </c>
      <c r="IE40" s="665">
        <f>INDEX(DB!$3:$367,MATCH(IE$2,DB!$D$3:$D$367),47)</f>
        <v>6649.295649081906</v>
      </c>
      <c r="IF40" s="665">
        <f>INDEX(DB!$3:$367,MATCH(IF$2,DB!$D$3:$D$367),47)</f>
        <v>6707.9069502375351</v>
      </c>
      <c r="IG40" s="665">
        <f>INDEX(DB!$3:$367,MATCH(IG$2,DB!$D$3:$D$367),47)</f>
        <v>6584.2168475638746</v>
      </c>
      <c r="IH40" s="665">
        <f>INDEX(DB!$3:$367,MATCH(IH$2,DB!$D$3:$D$367),47)</f>
        <v>5107.9351528985235</v>
      </c>
      <c r="II40" s="665">
        <f>INDEX(DB!$3:$367,MATCH(II$2,DB!$D$3:$D$367),47)</f>
        <v>0</v>
      </c>
      <c r="IJ40" s="692" t="e">
        <f>INDEX(DB!$3:$367,MATCH(IJ$2,DB!$D$3:$D$367),47)</f>
        <v>#N/A</v>
      </c>
      <c r="IK40" s="665">
        <f>INDEX(DB!$3:$367,MATCH(IK$2,DB!$D$3:$D$367),47)</f>
        <v>6931.5834236121045</v>
      </c>
      <c r="IL40" s="665">
        <f>INDEX(DB!$3:$367,MATCH(IL$2,DB!$D$3:$D$367),47)</f>
        <v>6787.1505834822074</v>
      </c>
      <c r="IM40" s="665">
        <f>INDEX(DB!$3:$367,MATCH(IM$2,DB!$D$3:$D$367),47)</f>
        <v>6366.3427623066154</v>
      </c>
      <c r="IN40" s="665">
        <f>INDEX(DB!$3:$367,MATCH(IN$2,DB!$D$3:$D$367),47)</f>
        <v>6422.5005908800258</v>
      </c>
      <c r="IO40" s="665">
        <f>INDEX(DB!$3:$367,MATCH(IO$2,DB!$D$3:$D$367),47)</f>
        <v>6304.0584066004621</v>
      </c>
      <c r="IP40" s="665">
        <f>INDEX(DB!$3:$367,MATCH(IP$2,DB!$D$3:$D$367),47)</f>
        <v>4890.5919545136194</v>
      </c>
      <c r="IQ40" s="665">
        <f>INDEX(DB!$3:$367,MATCH(IQ$2,DB!$D$3:$D$367),47)</f>
        <v>0</v>
      </c>
      <c r="IR40" s="665" t="e">
        <f>INDEX(DB!$3:$367,MATCH(IR$2,DB!$D$3:$D$367),47)</f>
        <v>#N/A</v>
      </c>
      <c r="IS40" s="665">
        <f>INDEX(DB!$3:$367,MATCH(IS$2,DB!$D$3:$D$367),47)</f>
        <v>6818.423498698302</v>
      </c>
      <c r="IT40" s="665">
        <f>INDEX(DB!$3:$367,MATCH(IT$2,DB!$D$3:$D$367),47)</f>
        <v>6676.3385073889203</v>
      </c>
      <c r="IU40" s="665">
        <f>INDEX(DB!$3:$367,MATCH(IU$2,DB!$D$3:$D$367),47)</f>
        <v>6262.4141086799682</v>
      </c>
      <c r="IV40" s="665">
        <f>INDEX(DB!$3:$367,MATCH(IV$2,DB!$D$3:$D$367),47)</f>
        <v>6317.6705635446569</v>
      </c>
      <c r="IW40" s="665">
        <f>INDEX(DB!$3:$367,MATCH(IW$2,DB!$D$3:$D$367),47)</f>
        <v>6201.1315510879858</v>
      </c>
      <c r="IX40" s="665">
        <f>INDEX(DB!$3:$367,MATCH(IX$2,DB!$D$3:$D$367),47)</f>
        <v>4810.7796418771395</v>
      </c>
      <c r="IY40" s="665">
        <f>INDEX(DB!$3:$367,MATCH(IY$2,DB!$D$3:$D$367),47)</f>
        <v>0</v>
      </c>
      <c r="IZ40" s="665" t="e">
        <f>INDEX(DB!$3:$367,MATCH(IZ$2,DB!$D$3:$D$367),47)</f>
        <v>#N/A</v>
      </c>
      <c r="JA40" s="665">
        <f>INDEX(DB!$3:$367,MATCH(JA$2,DB!$D$3:$D$367),47)</f>
        <v>0</v>
      </c>
      <c r="JB40" s="665">
        <f>INDEX(DB!$3:$367,MATCH(JB$2,DB!$D$3:$D$367),47)</f>
        <v>8128.0598429604534</v>
      </c>
      <c r="JC40" s="665">
        <f>INDEX(DB!$3:$367,MATCH(JC$2,DB!$D$3:$D$367),47)</f>
        <v>6739.9416505929275</v>
      </c>
      <c r="JD40" s="665">
        <f>INDEX(DB!$3:$367,MATCH(JD$2,DB!$D$3:$D$367),47)</f>
        <v>7433.2850057803671</v>
      </c>
      <c r="JE40" s="665">
        <f>INDEX(DB!$3:$367,MATCH(JE$2,DB!$D$3:$D$367),47)</f>
        <v>7333.3269617252281</v>
      </c>
      <c r="JF40" s="665">
        <f>INDEX(DB!$3:$367,MATCH(JF$2,DB!$D$3:$D$367),47)</f>
        <v>5208.7840883358767</v>
      </c>
      <c r="JG40" s="665">
        <f>INDEX(DB!$3:$367,MATCH(JG$2,DB!$D$3:$D$367),47)</f>
        <v>0</v>
      </c>
      <c r="JH40" s="665" t="e">
        <f>INDEX(DB!$3:$367,MATCH(JH$2,DB!$D$3:$D$367),47)</f>
        <v>#N/A</v>
      </c>
      <c r="JI40" s="665">
        <f>INDEX(DB!$3:$367,MATCH(JI$2,DB!$D$3:$D$367),47)</f>
        <v>7496.4463744127997</v>
      </c>
      <c r="JJ40" s="665">
        <f>INDEX(DB!$3:$367,MATCH(JJ$2,DB!$D$3:$D$367),47)</f>
        <v>8044.3866300904419</v>
      </c>
      <c r="JK40" s="665">
        <f>INDEX(DB!$3:$367,MATCH(JK$2,DB!$D$3:$D$367),47)</f>
        <v>7324.7023108052017</v>
      </c>
      <c r="JL40" s="665">
        <f>INDEX(DB!$3:$367,MATCH(JL$2,DB!$D$3:$D$367),47)</f>
        <v>8222.2613737488846</v>
      </c>
      <c r="JM40" s="665">
        <f>INDEX(DB!$3:$367,MATCH(JM$2,DB!$D$3:$D$367),47)</f>
        <v>8185.5754249377815</v>
      </c>
      <c r="JN40" s="665">
        <f>INDEX(DB!$3:$367,MATCH(JN$2,DB!$D$3:$D$367),47)</f>
        <v>6179.7457990194089</v>
      </c>
      <c r="JO40" s="665">
        <f>INDEX(DB!$3:$367,MATCH(JO$2,DB!$D$3:$D$367),47)</f>
        <v>0</v>
      </c>
      <c r="JP40" s="665" t="e">
        <f>INDEX(DB!$3:$367,MATCH(JP$2,DB!$D$3:$D$367),47)</f>
        <v>#N/A</v>
      </c>
      <c r="JQ40" s="665">
        <f>INDEX(DB!$3:$367,MATCH(JQ$2,DB!$D$3:$D$367),47)</f>
        <v>7781.501868710151</v>
      </c>
      <c r="JR40" s="665">
        <f>INDEX(DB!$3:$367,MATCH(JR$2,DB!$D$3:$D$367),47)</f>
        <v>8378.3074788967388</v>
      </c>
      <c r="JS40" s="665">
        <f>INDEX(DB!$3:$367,MATCH(JS$2,DB!$D$3:$D$367),47)</f>
        <v>10118.011654008675</v>
      </c>
      <c r="JT40" s="665">
        <f>INDEX(DB!$3:$367,MATCH(JT$2,DB!$D$3:$D$367),47)</f>
        <v>9063.0453557720302</v>
      </c>
      <c r="JU40" s="665">
        <f>INDEX(DB!$3:$367,MATCH(JU$2,DB!$D$3:$D$367),47)</f>
        <v>8895.9822215125932</v>
      </c>
      <c r="JV40" s="665">
        <f>INDEX(DB!$3:$367,MATCH(JV$2,DB!$D$3:$D$367),47)</f>
        <v>6901.3865304272622</v>
      </c>
      <c r="JW40" s="665">
        <f>INDEX(DB!$3:$367,MATCH(JW$2,DB!$D$3:$D$367),47)</f>
        <v>0</v>
      </c>
      <c r="JX40" s="665" t="e">
        <f>INDEX(DB!$3:$367,MATCH(JX$2,DB!$D$3:$D$367),47)</f>
        <v>#N/A</v>
      </c>
      <c r="JY40" s="665">
        <f>INDEX(DB!$3:$367,MATCH(JY$2,DB!$D$3:$D$367),47)</f>
        <v>8909.6048974923888</v>
      </c>
      <c r="JZ40" s="665">
        <f>INDEX(DB!$3:$367,MATCH(JZ$2,DB!$D$3:$D$367),47)</f>
        <v>9372.5875378623841</v>
      </c>
      <c r="KA40" s="665">
        <f>INDEX(DB!$3:$367,MATCH(KA$2,DB!$D$3:$D$367),47)</f>
        <v>9840.8253820543141</v>
      </c>
      <c r="KB40" s="665">
        <f>INDEX(DB!$3:$367,MATCH(KB$2,DB!$D$3:$D$367),47)</f>
        <v>10384.246702332117</v>
      </c>
      <c r="KC40" s="665">
        <f>INDEX(DB!$3:$367,MATCH(KC$2,DB!$D$3:$D$367),47)</f>
        <v>8777.6163376732457</v>
      </c>
      <c r="KD40" s="665">
        <f>INDEX(DB!$3:$367,MATCH(KD$2,DB!$D$3:$D$367),47)</f>
        <v>6305.1198424457207</v>
      </c>
      <c r="KE40" s="665">
        <f>INDEX(DB!$3:$367,MATCH(KE$2,DB!$D$3:$D$367),47)</f>
        <v>0</v>
      </c>
      <c r="KF40" s="665" t="e">
        <f>INDEX(DB!$3:$367,MATCH(KF$2,DB!$D$3:$D$367),47)</f>
        <v>#N/A</v>
      </c>
      <c r="KG40" s="665">
        <f>INDEX(DB!$3:$367,MATCH(KG$2,DB!$D$3:$D$367),47)</f>
        <v>8989.546790137465</v>
      </c>
      <c r="KH40" s="665">
        <f>INDEX(DB!$3:$367,MATCH(KH$2,DB!$D$3:$D$367),47)</f>
        <v>8960.8131886497104</v>
      </c>
      <c r="KI40" s="665">
        <f>INDEX(DB!$3:$367,MATCH(KI$2,DB!$D$3:$D$367),47)</f>
        <v>9076.7165215686255</v>
      </c>
      <c r="KJ40" s="665">
        <f>INDEX(DB!$3:$367,MATCH(KJ$2,DB!$D$3:$D$367),47)</f>
        <v>9455.4969645831079</v>
      </c>
      <c r="KK40" s="665">
        <f>INDEX(DB!$3:$367,MATCH(KK$2,DB!$D$3:$D$367),47)</f>
        <v>9345.6174848403843</v>
      </c>
      <c r="KL40" s="665">
        <f>INDEX(DB!$3:$367,MATCH(KL$2,DB!$D$3:$D$367),47)</f>
        <v>6282.074697869889</v>
      </c>
      <c r="KM40" s="665">
        <f>INDEX(DB!$3:$367,MATCH(KM$2,DB!$D$3:$D$367),47)</f>
        <v>0</v>
      </c>
      <c r="KN40" s="665" t="e">
        <f>INDEX(DB!$3:$367,MATCH(KN$2,DB!$D$3:$D$367),47)</f>
        <v>#N/A</v>
      </c>
      <c r="KO40" s="665">
        <f>INDEX(DB!$3:$367,MATCH(KO$2,DB!$D$3:$D$367),47)</f>
        <v>8617</v>
      </c>
      <c r="KP40" s="665">
        <f>INDEX(DB!$3:$367,MATCH(KP$2,DB!$D$3:$D$367),47)</f>
        <v>8342</v>
      </c>
      <c r="KQ40" s="665">
        <f>INDEX(DB!$3:$367,MATCH(KQ$2,DB!$D$3:$D$367),47)</f>
        <v>8588</v>
      </c>
      <c r="KR40" s="665">
        <f>INDEX(DB!$3:$367,MATCH(KR$2,DB!$D$3:$D$367),47)</f>
        <v>8862</v>
      </c>
      <c r="KS40" s="665">
        <f>INDEX(DB!$3:$367,MATCH(KS$2,DB!$D$3:$D$367),47)</f>
        <v>8529</v>
      </c>
      <c r="KT40" s="665">
        <f>INDEX(DB!$3:$367,MATCH(KT$2,DB!$D$3:$D$367),47)</f>
        <v>6438</v>
      </c>
      <c r="KU40" s="665">
        <f>INDEX(DB!$3:$367,MATCH(KU$2,DB!$D$3:$D$367),47)</f>
        <v>0</v>
      </c>
      <c r="KV40" s="665" t="e">
        <f>INDEX(DB!$3:$367,MATCH(KV$2,DB!$D$3:$D$367),47)</f>
        <v>#N/A</v>
      </c>
      <c r="KW40" s="665">
        <f>INDEX(DB!$3:$367,MATCH(KW$2,DB!$D$3:$D$367),47)</f>
        <v>8768.2175521224217</v>
      </c>
      <c r="KX40" s="665">
        <f>INDEX(DB!$3:$367,MATCH(KX$2,DB!$D$3:$D$367),47)</f>
        <v>8488.822630884737</v>
      </c>
      <c r="KY40" s="665">
        <f>INDEX(DB!$3:$367,MATCH(KY$2,DB!$D$3:$D$367),47)</f>
        <v>8738.6892235822052</v>
      </c>
      <c r="KZ40" s="665">
        <f>INDEX(DB!$3:$367,MATCH(KZ$2,DB!$D$3:$D$367),47)</f>
        <v>9018.0263256280068</v>
      </c>
      <c r="LA40" s="665">
        <f>INDEX(DB!$3:$367,MATCH(LA$2,DB!$D$3:$D$367),47)</f>
        <v>8679.3423400127031</v>
      </c>
      <c r="LB40" s="665">
        <f>INDEX(DB!$3:$367,MATCH(LB$2,DB!$D$3:$D$367),47)</f>
        <v>6551.0580482056812</v>
      </c>
      <c r="LC40" s="665">
        <f>INDEX(DB!$3:$367,MATCH(LC$2,DB!$D$3:$D$367),47)</f>
        <v>0</v>
      </c>
      <c r="LD40" s="665" t="e">
        <f>INDEX(DB!$3:$367,MATCH(LD$2,DB!$D$3:$D$367),47)</f>
        <v>#N/A</v>
      </c>
      <c r="LE40" s="665">
        <f>INDEX(DB!$3:$367,MATCH(LE$2,DB!$D$3:$D$367),47)</f>
        <v>8639.8428473882759</v>
      </c>
      <c r="LF40" s="665">
        <f>INDEX(DB!$3:$367,MATCH(LF$2,DB!$D$3:$D$367),47)</f>
        <v>8364.5895852324575</v>
      </c>
      <c r="LG40" s="665">
        <f>INDEX(DB!$3:$367,MATCH(LG$2,DB!$D$3:$D$367),47)</f>
        <v>8610.7870027224799</v>
      </c>
      <c r="LH40" s="665">
        <f>INDEX(DB!$3:$367,MATCH(LH$2,DB!$D$3:$D$367),47)</f>
        <v>8886.0419626502098</v>
      </c>
      <c r="LI40" s="665">
        <f>INDEX(DB!$3:$367,MATCH(LI$2,DB!$D$3:$D$367),47)</f>
        <v>8552.3052210856604</v>
      </c>
      <c r="LJ40" s="665">
        <f>INDEX(DB!$3:$367,MATCH(LJ$2,DB!$D$3:$D$367),47)</f>
        <v>6455.177561369539</v>
      </c>
      <c r="LK40" s="665">
        <f>INDEX(DB!$3:$367,MATCH(LK$2,DB!$D$3:$D$367),47)</f>
        <v>0</v>
      </c>
      <c r="LL40" s="665" t="e">
        <f>INDEX(DB!$3:$367,MATCH(LL$2,DB!$D$3:$D$367),47)</f>
        <v>#N/A</v>
      </c>
      <c r="LM40" s="665">
        <f>INDEX(DB!$3:$367,MATCH(LM$2,DB!$D$3:$D$367),47)</f>
        <v>9384.5662806998134</v>
      </c>
      <c r="LN40" s="665">
        <f>INDEX(DB!$3:$367,MATCH(LN$2,DB!$D$3:$D$367),47)</f>
        <v>9085.5806976915082</v>
      </c>
      <c r="LO40" s="665">
        <f>INDEX(DB!$3:$367,MATCH(LO$2,DB!$D$3:$D$367),47)</f>
        <v>9352.9956855736255</v>
      </c>
      <c r="LP40" s="665">
        <f>INDEX(DB!$3:$367,MATCH(LP$2,DB!$D$3:$D$367),47)</f>
        <v>9651.9371453226649</v>
      </c>
      <c r="LQ40" s="665">
        <f>INDEX(DB!$3:$367,MATCH(LQ$2,DB!$D$3:$D$367),47)</f>
        <v>9289.5011992322125</v>
      </c>
      <c r="LR40" s="665">
        <f>INDEX(DB!$3:$367,MATCH(LR$2,DB!$D$3:$D$367),47)</f>
        <v>7011.5380930328411</v>
      </c>
      <c r="LS40" s="665">
        <f>INDEX(DB!$3:$367,MATCH(LS$2,DB!$D$3:$D$367),47)</f>
        <v>0</v>
      </c>
      <c r="LT40" s="665" t="e">
        <f>INDEX(DB!$3:$367,MATCH(LT$2,DB!$D$3:$D$367),47)</f>
        <v>#N/A</v>
      </c>
      <c r="LU40" s="665">
        <f>INDEX(DB!$3:$367,MATCH(LU$2,DB!$D$3:$D$367),47)</f>
        <v>9325.1585713355125</v>
      </c>
      <c r="LV40" s="665">
        <f>INDEX(DB!$3:$367,MATCH(LV$2,DB!$D$3:$D$367),47)</f>
        <v>9028.0368060867968</v>
      </c>
      <c r="LW40" s="665">
        <f>INDEX(DB!$3:$367,MATCH(LW$2,DB!$D$3:$D$367),47)</f>
        <v>9293.774495165424</v>
      </c>
      <c r="LX40" s="665">
        <f>INDEX(DB!$3:$367,MATCH(LX$2,DB!$D$3:$D$367),47)</f>
        <v>9590.839890127203</v>
      </c>
      <c r="LY40" s="665">
        <f>INDEX(DB!$3:$367,MATCH(LY$2,DB!$D$3:$D$367),47)</f>
        <v>9230.7059954668675</v>
      </c>
      <c r="LZ40" s="665">
        <f>INDEX(DB!$3:$367,MATCH(LZ$2,DB!$D$3:$D$367),47)</f>
        <v>6967.1391906390381</v>
      </c>
      <c r="MA40" s="665">
        <f>INDEX(DB!$3:$367,MATCH(MA$2,DB!$D$3:$D$367),47)</f>
        <v>0</v>
      </c>
      <c r="MB40" s="665" t="e">
        <f>INDEX(DB!$3:$367,MATCH(MB$2,DB!$D$3:$D$367),47)</f>
        <v>#N/A</v>
      </c>
      <c r="MC40" s="665">
        <f>INDEX(DB!$3:$367,MATCH(MC$2,DB!$D$3:$D$367),47)</f>
        <v>9085.2755460759563</v>
      </c>
      <c r="MD40" s="665">
        <f>INDEX(DB!$3:$367,MATCH(MD$2,DB!$D$3:$D$367),47)</f>
        <v>8795.8421557519887</v>
      </c>
      <c r="ME40" s="665">
        <f>INDEX(DB!$3:$367,MATCH(ME$2,DB!$D$3:$D$367),47)</f>
        <v>9054.7515505091287</v>
      </c>
      <c r="MF40" s="665">
        <f>INDEX(DB!$3:$367,MATCH(MF$2,DB!$D$3:$D$367),47)</f>
        <v>9344.1641884491564</v>
      </c>
      <c r="MG40" s="665">
        <f>INDEX(DB!$3:$367,MATCH(MG$2,DB!$D$3:$D$367),47)</f>
        <v>8993.2692493257564</v>
      </c>
      <c r="MH40" s="665">
        <f>INDEX(DB!$3:$367,MATCH(MH$2,DB!$D$3:$D$367),47)</f>
        <v>6787.9579059783318</v>
      </c>
      <c r="MI40" s="665">
        <f>INDEX(DB!$3:$367,MATCH(MI$2,DB!$D$3:$D$367),47)</f>
        <v>0</v>
      </c>
      <c r="MJ40" s="665">
        <f t="shared" si="932"/>
        <v>45154.014862982302</v>
      </c>
      <c r="MK40" s="665">
        <f>INDEX(DB!$3:$367,MATCH(MK$2,DB!$D$3:$D$367),47)</f>
        <v>7616.5988558523613</v>
      </c>
      <c r="ML40" s="665">
        <f>INDEX(DB!$3:$367,MATCH(ML$2,DB!$D$3:$D$367),47)</f>
        <v>0</v>
      </c>
      <c r="MM40" s="665">
        <f>INDEX(DB!$3:$367,MATCH(MM$2,DB!$D$3:$D$367),47)</f>
        <v>10330.080533883996</v>
      </c>
      <c r="MN40" s="665">
        <f>INDEX(DB!$3:$367,MATCH(MN$2,DB!$D$3:$D$367),47)</f>
        <v>9839.1591436993986</v>
      </c>
      <c r="MO40" s="665">
        <f>INDEX(DB!$3:$367,MATCH(MO$2,DB!$D$3:$D$367),47)</f>
        <v>11239.542124116195</v>
      </c>
      <c r="MP40" s="665">
        <f>INDEX(DB!$3:$367,MATCH(MP$2,DB!$D$3:$D$367),47)</f>
        <v>6128.6342054303523</v>
      </c>
      <c r="MQ40" s="665">
        <f>INDEX(DB!$3:$367,MATCH(MQ$2,DB!$D$3:$D$367),47)</f>
        <v>0</v>
      </c>
      <c r="MR40" s="665">
        <f t="shared" si="919"/>
        <v>43111.231023042026</v>
      </c>
      <c r="MS40" s="665">
        <f>INDEX(DB!$3:$367,MATCH(MS$2,DB!$D$3:$D$367),47)</f>
        <v>7928.5518907872283</v>
      </c>
      <c r="MT40" s="665">
        <f>INDEX(DB!$3:$367,MATCH(MT$2,DB!$D$3:$D$367),47)</f>
        <v>8979.9944858512827</v>
      </c>
      <c r="MU40" s="665">
        <f>INDEX(DB!$3:$367,MATCH(MU$2,DB!$D$3:$D$367),47)</f>
        <v>9564.5462180493123</v>
      </c>
      <c r="MV40" s="665">
        <f>INDEX(DB!$3:$367,MATCH(MV$2,DB!$D$3:$D$367),47)</f>
        <v>10548.458974190793</v>
      </c>
      <c r="MW40" s="665">
        <f>INDEX(DB!$3:$367,MATCH(MW$2,DB!$D$3:$D$367),47)</f>
        <v>0</v>
      </c>
      <c r="MX40" s="665">
        <f>INDEX(DB!$3:$367,MATCH(MX$2,DB!$D$3:$D$367),47)</f>
        <v>6089.6794541634081</v>
      </c>
      <c r="MY40" s="665">
        <f>INDEX(DB!$3:$367,MATCH(MY$2,DB!$D$3:$D$367),47)</f>
        <v>0</v>
      </c>
      <c r="MZ40" s="665">
        <f t="shared" si="920"/>
        <v>53436.417773152702</v>
      </c>
      <c r="NA40" s="665">
        <f>INDEX(DB!$3:$367,MATCH(NA$2,DB!$D$3:$D$367),47)</f>
        <v>9774.3130000000001</v>
      </c>
      <c r="NB40" s="665">
        <f>INDEX(DB!$3:$367,MATCH(NB$2,DB!$D$3:$D$367),47)</f>
        <v>9022.2170936231614</v>
      </c>
      <c r="NC40" s="665">
        <f>INDEX(DB!$3:$367,MATCH(NC$2,DB!$D$3:$D$367),47)</f>
        <v>8990.4116795295395</v>
      </c>
      <c r="ND40" s="665">
        <f>INDEX(DB!$3:$367,MATCH(ND$2,DB!$D$3:$D$367),47)</f>
        <v>9210.5340000000015</v>
      </c>
      <c r="NE40" s="665">
        <f>INDEX(DB!$3:$367,MATCH(NE$2,DB!$D$3:$D$367),47)</f>
        <v>9271.116</v>
      </c>
      <c r="NF40" s="665">
        <f>INDEX(DB!$3:$367,MATCH(NF$2,DB!$D$3:$D$367),47)</f>
        <v>7167.826</v>
      </c>
      <c r="NG40" s="665">
        <f>INDEX(DB!$3:$367,MATCH(NG$2,DB!$D$3:$D$367),47)</f>
        <v>0</v>
      </c>
      <c r="NH40" s="692">
        <f t="shared" si="921"/>
        <v>57162.101206219071</v>
      </c>
      <c r="NI40" s="665">
        <f>INDEX(DB!$3:$367,MATCH(NI$2,DB!$D$3:$D$367),47)</f>
        <v>10502.162</v>
      </c>
      <c r="NJ40" s="665">
        <f>INDEX(DB!$3:$367,MATCH(NJ$2,DB!$D$3:$D$367),47)</f>
        <v>9480.7866818291404</v>
      </c>
      <c r="NK40" s="665">
        <f>INDEX(DB!$3:$367,MATCH(NK$2,DB!$D$3:$D$367),47)</f>
        <v>9932.0545243899251</v>
      </c>
      <c r="NL40" s="665">
        <f>INDEX(DB!$3:$367,MATCH(NL$2,DB!$D$3:$D$367),47)</f>
        <v>9896.8770000000004</v>
      </c>
      <c r="NM40" s="665">
        <f>INDEX(DB!$3:$367,MATCH(NM$2,DB!$D$3:$D$367),47)</f>
        <v>9784.6830000000009</v>
      </c>
      <c r="NN40" s="665">
        <f>INDEX(DB!$3:$367,MATCH(NN$2,DB!$D$3:$D$367),47)</f>
        <v>7565.5379999999996</v>
      </c>
      <c r="NO40" s="665">
        <f>INDEX(DB!$3:$367,MATCH(NO$2,DB!$D$3:$D$367),47)</f>
        <v>0</v>
      </c>
      <c r="NP40" s="692">
        <f t="shared" si="922"/>
        <v>60769.211527470587</v>
      </c>
      <c r="NQ40" s="665">
        <f>INDEX(DB!$3:$367,MATCH(NQ$2,DB!$D$3:$D$367),47)</f>
        <v>11221.319</v>
      </c>
      <c r="NR40" s="665">
        <f>INDEX(DB!$3:$367,MATCH(NR$2,DB!$D$3:$D$367),47)</f>
        <v>10258.846607324445</v>
      </c>
      <c r="NS40" s="665">
        <f>INDEX(DB!$3:$367,MATCH(NS$2,DB!$D$3:$D$367),47)</f>
        <v>10560.809920146146</v>
      </c>
      <c r="NT40" s="665">
        <f>INDEX(DB!$3:$367,MATCH(NT$2,DB!$D$3:$D$367),47)</f>
        <v>10523.397000000001</v>
      </c>
      <c r="NU40" s="665">
        <f>INDEX(DB!$3:$367,MATCH(NU$2,DB!$D$3:$D$367),47)</f>
        <v>10266.234</v>
      </c>
      <c r="NV40" s="665">
        <f>INDEX(DB!$3:$367,MATCH(NV$2,DB!$D$3:$D$367),47)</f>
        <v>7938.6049999999996</v>
      </c>
      <c r="NW40" s="665">
        <f>INDEX(DB!$3:$367,MATCH(NW$2,DB!$D$3:$D$367),47)</f>
        <v>0</v>
      </c>
      <c r="NX40" s="665" t="e">
        <f>INDEX(DB!$3:$367,MATCH(NX$2,DB!$D$3:$D$367),47)</f>
        <v>#N/A</v>
      </c>
      <c r="NY40" s="665">
        <f>INDEX(DB!$3:$367,MATCH(NY$2,DB!$D$3:$D$367),47)</f>
        <v>9624.7469999999994</v>
      </c>
      <c r="NZ40" s="665">
        <f>INDEX(DB!$3:$367,MATCH(NZ$2,DB!$D$3:$D$367),47)</f>
        <v>8799.2270905522655</v>
      </c>
      <c r="OA40" s="665">
        <f>INDEX(DB!$3:$367,MATCH(OA$2,DB!$D$3:$D$367),47)</f>
        <v>9058.1856020317045</v>
      </c>
      <c r="OB40" s="665">
        <f>INDEX(DB!$3:$367,MATCH(OB$2,DB!$D$3:$D$367),47)</f>
        <v>9026.0970000000016</v>
      </c>
      <c r="OC40" s="665">
        <f>INDEX(DB!$3:$367,MATCH(OC$2,DB!$D$3:$D$367),47)</f>
        <v>8805.5730000000003</v>
      </c>
      <c r="OD40" s="665">
        <f>INDEX(DB!$3:$367,MATCH(OD$2,DB!$D$3:$D$367),47)</f>
        <v>6809.1219999999994</v>
      </c>
      <c r="OE40" s="665">
        <f>INDEX(DB!$3:$367,MATCH(OE$2,DB!$D$3:$D$367),47)</f>
        <v>0</v>
      </c>
      <c r="OF40" s="665" t="e">
        <f>INDEX(DB!$3:$367,MATCH(OF$2,DB!$D$3:$D$367),47)</f>
        <v>#N/A</v>
      </c>
      <c r="OG40" s="665">
        <f>INDEX(DB!$3:$367,MATCH(OG$2,DB!$D$3:$D$367),47)</f>
        <v>9519.8069999999989</v>
      </c>
      <c r="OH40" s="665">
        <f>INDEX(DB!$3:$367,MATCH(OH$2,DB!$D$3:$D$367),47)</f>
        <v>8703.2612197233539</v>
      </c>
      <c r="OI40" s="665">
        <f>INDEX(DB!$3:$367,MATCH(OI$2,DB!$D$3:$D$367),47)</f>
        <v>8959.4404224013979</v>
      </c>
      <c r="OJ40" s="665">
        <f>INDEX(DB!$3:$367,MATCH(OJ$2,DB!$D$3:$D$367),47)</f>
        <v>8927.7030000000013</v>
      </c>
      <c r="OK40" s="665">
        <f>INDEX(DB!$3:$367,MATCH(OK$2,DB!$D$3:$D$367),47)</f>
        <v>8709.594000000001</v>
      </c>
      <c r="OL40" s="665">
        <f>INDEX(DB!$3:$367,MATCH(OL$2,DB!$D$3:$D$367),47)</f>
        <v>6734.8689999999997</v>
      </c>
      <c r="OM40" s="665">
        <f>INDEX(DB!$3:$367,MATCH(OM$2,DB!$D$3:$D$367),47)</f>
        <v>0</v>
      </c>
      <c r="ON40" s="665" t="e">
        <f>INDEX(DB!$3:$367,MATCH(ON$2,DB!$D$3:$D$367),47)</f>
        <v>#N/A</v>
      </c>
      <c r="OO40" s="665">
        <f>INDEX(DB!$3:$367,MATCH(OO$2,DB!$D$3:$D$367),47)</f>
        <v>9194.3870000000006</v>
      </c>
      <c r="OP40" s="665">
        <f>INDEX(DB!$3:$367,MATCH(OP$2,DB!$D$3:$D$367),47)</f>
        <v>9745.1679051771098</v>
      </c>
      <c r="OQ40" s="665">
        <f>INDEX(DB!$3:$367,MATCH(OQ$2,DB!$D$3:$D$367),47)</f>
        <v>10025.097882624254</v>
      </c>
      <c r="OR40" s="665">
        <f>INDEX(DB!$3:$367,MATCH(OR$2,DB!$D$3:$D$367),47)</f>
        <v>10675.956</v>
      </c>
      <c r="OS40" s="665">
        <f>INDEX(DB!$3:$367,MATCH(OS$2,DB!$D$3:$D$367),47)</f>
        <v>9705.4710000000014</v>
      </c>
      <c r="OT40" s="665">
        <f>INDEX(DB!$3:$367,MATCH(OT$2,DB!$D$3:$D$367),47)</f>
        <v>7951.9079999999994</v>
      </c>
      <c r="OU40" s="665">
        <f>INDEX(DB!$3:$367,MATCH(OU$2,DB!$D$3:$D$367),47)</f>
        <v>0</v>
      </c>
      <c r="OV40" s="665" t="e">
        <f>INDEX(DB!$3:$367,MATCH(OV$2,DB!$D$3:$D$367),47)</f>
        <v>#N/A</v>
      </c>
      <c r="OW40" s="665">
        <f>INDEX(DB!$3:$367,MATCH(OW$2,DB!$D$3:$D$367),47)</f>
        <v>10500</v>
      </c>
      <c r="OX40" s="665">
        <f>INDEX(DB!$3:$367,MATCH(OX$2,DB!$D$3:$D$367),47)</f>
        <v>9028.9275784026577</v>
      </c>
      <c r="OY40" s="665">
        <f>INDEX(DB!$3:$367,MATCH(OY$2,DB!$D$3:$D$367),47)</f>
        <v>9509.6013936880936</v>
      </c>
      <c r="OZ40" s="665">
        <f>INDEX(DB!$3:$367,MATCH(OZ$2,DB!$D$3:$D$367),47)</f>
        <v>9399.3180000000011</v>
      </c>
      <c r="PA40" s="665">
        <f>INDEX(DB!$3:$367,MATCH(PA$2,DB!$D$3:$D$367),47)</f>
        <v>9096.1320000000014</v>
      </c>
      <c r="PB40" s="665">
        <f>INDEX(DB!$3:$367,MATCH(PB$2,DB!$D$3:$D$367),47)</f>
        <v>7219.7659999999996</v>
      </c>
      <c r="PC40" s="665">
        <f>INDEX(DB!$3:$367,MATCH(PC$2,DB!$D$3:$D$367),47)</f>
        <v>7219.7659999999996</v>
      </c>
    </row>
    <row r="41" spans="1:419" outlineLevel="1" x14ac:dyDescent="0.3">
      <c r="B41" s="972"/>
      <c r="C41" s="768" t="s">
        <v>270</v>
      </c>
      <c r="D41" s="191">
        <f t="shared" si="914"/>
        <v>46876.802625995188</v>
      </c>
      <c r="E41" s="169">
        <f t="shared" ref="E41:J41" si="942">E40</f>
        <v>6538.2172010847999</v>
      </c>
      <c r="F41" s="169">
        <v>9673</v>
      </c>
      <c r="G41" s="169">
        <v>9394</v>
      </c>
      <c r="H41" s="169">
        <v>7299</v>
      </c>
      <c r="I41" s="169">
        <v>8240</v>
      </c>
      <c r="J41" s="169">
        <f t="shared" si="942"/>
        <v>5732.5854249103895</v>
      </c>
      <c r="K41" s="193">
        <f>K34</f>
        <v>0</v>
      </c>
      <c r="L41" s="191">
        <f t="shared" si="915"/>
        <v>53031</v>
      </c>
      <c r="M41" s="169">
        <v>7975</v>
      </c>
      <c r="N41" s="169">
        <v>11580</v>
      </c>
      <c r="O41" s="169">
        <v>9372</v>
      </c>
      <c r="P41" s="169">
        <v>6957</v>
      </c>
      <c r="Q41" s="169">
        <v>8191</v>
      </c>
      <c r="R41" s="169">
        <v>8956</v>
      </c>
      <c r="S41" s="193">
        <f>S34</f>
        <v>0</v>
      </c>
      <c r="T41" s="191">
        <f t="shared" si="916"/>
        <v>52136.245654155166</v>
      </c>
      <c r="U41" s="169">
        <v>8393</v>
      </c>
      <c r="V41" s="169">
        <v>11081</v>
      </c>
      <c r="W41" s="169">
        <v>9881</v>
      </c>
      <c r="X41" s="169">
        <v>7401</v>
      </c>
      <c r="Y41" s="169">
        <v>9368</v>
      </c>
      <c r="Z41" s="169">
        <f t="shared" ref="Z41" si="943">Z40</f>
        <v>6012.2456541551674</v>
      </c>
      <c r="AA41" s="193">
        <f>AA34</f>
        <v>0</v>
      </c>
      <c r="AB41" s="191"/>
      <c r="AC41" s="169">
        <v>7699</v>
      </c>
      <c r="AD41" s="169">
        <v>10092</v>
      </c>
      <c r="AE41" s="169">
        <v>9331</v>
      </c>
      <c r="AF41" s="169">
        <v>7263</v>
      </c>
      <c r="AG41" s="169">
        <v>8345</v>
      </c>
      <c r="AH41" s="169">
        <f t="shared" ref="AH41" si="944">AH40</f>
        <v>6046.4962360018162</v>
      </c>
      <c r="AI41" s="193"/>
      <c r="AJ41" s="191">
        <f t="shared" si="917"/>
        <v>38189</v>
      </c>
      <c r="AK41" s="169">
        <v>7835</v>
      </c>
      <c r="AL41" s="169">
        <v>8696</v>
      </c>
      <c r="AM41" s="169">
        <v>8696</v>
      </c>
      <c r="AN41" s="169">
        <v>6011</v>
      </c>
      <c r="AO41" s="169">
        <v>6951</v>
      </c>
      <c r="AP41" s="169"/>
      <c r="AQ41" s="193"/>
      <c r="AR41" s="191"/>
      <c r="AS41" s="169">
        <v>6235</v>
      </c>
      <c r="AT41" s="169">
        <v>8504</v>
      </c>
      <c r="AU41" s="169">
        <v>8044</v>
      </c>
      <c r="AV41" s="169">
        <v>7409</v>
      </c>
      <c r="AW41" s="169">
        <v>6791</v>
      </c>
      <c r="AX41" s="169"/>
      <c r="AY41" s="169"/>
      <c r="AZ41" s="191"/>
      <c r="BA41" s="169">
        <v>7786</v>
      </c>
      <c r="BB41" s="169">
        <v>8429</v>
      </c>
      <c r="BC41" s="169">
        <v>7648</v>
      </c>
      <c r="BD41" s="169">
        <v>7510</v>
      </c>
      <c r="BE41" s="169">
        <v>8825</v>
      </c>
      <c r="BF41" s="169">
        <v>9067</v>
      </c>
      <c r="BG41" s="169"/>
      <c r="BH41" s="191"/>
      <c r="BI41" s="169">
        <v>5908</v>
      </c>
      <c r="BJ41" s="169">
        <v>8097</v>
      </c>
      <c r="BK41" s="169">
        <v>7995</v>
      </c>
      <c r="BL41" s="169">
        <v>6702</v>
      </c>
      <c r="BM41" s="169">
        <v>7819</v>
      </c>
      <c r="BN41" s="169">
        <v>8933</v>
      </c>
      <c r="BO41" s="169"/>
      <c r="BP41" s="191"/>
      <c r="BQ41" s="169">
        <v>8010</v>
      </c>
      <c r="BR41" s="169">
        <v>7797</v>
      </c>
      <c r="BS41" s="169">
        <v>8222</v>
      </c>
      <c r="BT41" s="169">
        <v>6471</v>
      </c>
      <c r="BU41" s="169">
        <v>7985</v>
      </c>
      <c r="BV41" s="169">
        <v>8421</v>
      </c>
      <c r="BW41" s="193"/>
      <c r="BX41" s="845"/>
      <c r="BY41" s="169">
        <v>6698</v>
      </c>
      <c r="BZ41" s="169">
        <v>8859</v>
      </c>
      <c r="CA41" s="169">
        <v>8919</v>
      </c>
      <c r="CB41" s="169">
        <v>7065</v>
      </c>
      <c r="CC41" s="169">
        <v>7663</v>
      </c>
      <c r="CD41" s="169">
        <v>7845</v>
      </c>
      <c r="CE41" s="169"/>
      <c r="CF41" s="169"/>
      <c r="CG41" s="169">
        <v>7050</v>
      </c>
      <c r="CH41" s="169">
        <v>10077</v>
      </c>
      <c r="CI41" s="169">
        <v>8279</v>
      </c>
      <c r="CJ41" s="169">
        <v>6527</v>
      </c>
      <c r="CK41" s="169">
        <v>7529</v>
      </c>
      <c r="CL41" s="169">
        <v>10049</v>
      </c>
      <c r="CM41" s="169"/>
      <c r="CN41" s="169"/>
      <c r="CO41" s="169">
        <v>5929</v>
      </c>
      <c r="CP41" s="169">
        <v>8628</v>
      </c>
      <c r="CQ41" s="169">
        <v>9045</v>
      </c>
      <c r="CR41" s="169">
        <v>6514</v>
      </c>
      <c r="CS41" s="169">
        <v>6792</v>
      </c>
      <c r="CT41" s="169">
        <v>9101</v>
      </c>
      <c r="CU41" s="169"/>
      <c r="CV41" s="169"/>
      <c r="CW41" s="169">
        <v>5649</v>
      </c>
      <c r="CX41" s="169">
        <v>8562</v>
      </c>
      <c r="CY41" s="169">
        <v>7933</v>
      </c>
      <c r="CZ41" s="169">
        <v>7733</v>
      </c>
      <c r="DA41" s="169">
        <v>7921</v>
      </c>
      <c r="DB41" s="169">
        <v>7101</v>
      </c>
      <c r="DC41" s="169"/>
      <c r="DD41" s="169"/>
      <c r="DE41" s="169">
        <v>4433</v>
      </c>
      <c r="DF41" s="169">
        <v>8934</v>
      </c>
      <c r="DG41" s="169">
        <v>7211</v>
      </c>
      <c r="DH41" s="169">
        <v>7167</v>
      </c>
      <c r="DI41" s="169">
        <v>6193</v>
      </c>
      <c r="DJ41" s="169"/>
      <c r="DK41" s="169"/>
      <c r="DL41" s="169"/>
      <c r="DM41" s="169">
        <v>8841</v>
      </c>
      <c r="DN41" s="169">
        <v>10652</v>
      </c>
      <c r="DO41" s="169">
        <f>11140*0.8</f>
        <v>8912</v>
      </c>
      <c r="DP41" s="169">
        <v>6800</v>
      </c>
      <c r="DQ41" s="169">
        <v>9666</v>
      </c>
      <c r="DR41" s="169">
        <v>4916</v>
      </c>
      <c r="DS41" s="169"/>
      <c r="DT41" s="169"/>
      <c r="DU41" s="169"/>
      <c r="DV41" s="169">
        <v>11533</v>
      </c>
      <c r="DW41" s="169">
        <v>13025</v>
      </c>
      <c r="DX41" s="169">
        <v>8307</v>
      </c>
      <c r="DY41" s="169">
        <v>8051</v>
      </c>
      <c r="DZ41" s="169">
        <v>8723</v>
      </c>
      <c r="EA41" s="169"/>
      <c r="EB41" s="169"/>
      <c r="EC41" s="169">
        <v>7456</v>
      </c>
      <c r="ED41" s="169">
        <v>9442</v>
      </c>
      <c r="EE41" s="169">
        <v>8759</v>
      </c>
      <c r="EF41" s="169">
        <v>9342</v>
      </c>
      <c r="EG41" s="169">
        <v>9762</v>
      </c>
      <c r="EH41" s="169"/>
      <c r="EI41" s="169"/>
      <c r="EJ41" s="169"/>
      <c r="EK41" s="169">
        <v>9140</v>
      </c>
      <c r="EL41" s="169">
        <v>9512</v>
      </c>
      <c r="EM41" s="169">
        <v>11677</v>
      </c>
      <c r="EN41" s="169">
        <v>11378</v>
      </c>
      <c r="EO41" s="169">
        <v>5651</v>
      </c>
      <c r="EP41" s="169">
        <v>10057</v>
      </c>
      <c r="EQ41" s="169"/>
      <c r="ER41" s="169"/>
      <c r="ES41" s="366">
        <v>7984</v>
      </c>
      <c r="ET41" s="169">
        <v>10616</v>
      </c>
      <c r="EU41" s="169">
        <v>12983</v>
      </c>
      <c r="EV41" s="169">
        <v>9162</v>
      </c>
      <c r="EW41" s="169">
        <v>5165</v>
      </c>
      <c r="EX41" s="169">
        <v>7194</v>
      </c>
      <c r="EY41" s="169"/>
      <c r="EZ41" s="169"/>
      <c r="FA41" s="169">
        <v>5668</v>
      </c>
      <c r="FB41" s="169">
        <v>9016</v>
      </c>
      <c r="FC41" s="169">
        <v>9635</v>
      </c>
      <c r="FD41" s="169">
        <v>7980</v>
      </c>
      <c r="FE41" s="169">
        <v>6614</v>
      </c>
      <c r="FF41" s="169"/>
      <c r="FG41" s="169"/>
      <c r="FH41" s="169"/>
      <c r="FI41" s="169">
        <v>6311</v>
      </c>
      <c r="FJ41" s="169">
        <v>9111</v>
      </c>
      <c r="FK41" s="169">
        <v>7825</v>
      </c>
      <c r="FL41" s="169"/>
      <c r="FM41" s="169">
        <v>9656</v>
      </c>
      <c r="FN41" s="169"/>
      <c r="FO41" s="193"/>
      <c r="FP41" s="191"/>
      <c r="FQ41" s="169">
        <v>8730</v>
      </c>
      <c r="FR41" s="169">
        <v>10305</v>
      </c>
      <c r="FS41" s="169">
        <v>7837</v>
      </c>
      <c r="FT41" s="169">
        <v>6618</v>
      </c>
      <c r="FU41" s="169">
        <v>7454</v>
      </c>
      <c r="FV41" s="169">
        <v>6035</v>
      </c>
      <c r="FW41" s="193"/>
      <c r="FX41" s="191"/>
      <c r="FY41" s="169"/>
      <c r="FZ41" s="169">
        <v>7401</v>
      </c>
      <c r="GA41" s="169">
        <v>10759</v>
      </c>
      <c r="GB41" s="169">
        <v>8522</v>
      </c>
      <c r="GC41" s="169">
        <v>7341</v>
      </c>
      <c r="GD41" s="169">
        <v>8025</v>
      </c>
      <c r="GE41" s="193"/>
      <c r="GF41" s="191"/>
      <c r="GG41" s="864">
        <v>6753</v>
      </c>
      <c r="GH41" s="169">
        <v>10765</v>
      </c>
      <c r="GI41" s="169">
        <v>9546</v>
      </c>
      <c r="GJ41" s="169">
        <v>3500</v>
      </c>
      <c r="GK41" s="169">
        <v>9872</v>
      </c>
      <c r="GL41" s="169">
        <v>10326</v>
      </c>
      <c r="GM41" s="193"/>
      <c r="GN41" s="191">
        <f t="shared" si="925"/>
        <v>46885</v>
      </c>
      <c r="GO41" s="169">
        <v>5085</v>
      </c>
      <c r="GP41" s="169">
        <v>10469</v>
      </c>
      <c r="GQ41" s="169">
        <v>8385</v>
      </c>
      <c r="GR41" s="169">
        <v>7445</v>
      </c>
      <c r="GS41" s="169">
        <v>6876</v>
      </c>
      <c r="GT41" s="169">
        <v>8625</v>
      </c>
      <c r="GU41" s="193"/>
      <c r="GV41" s="191">
        <f t="shared" si="926"/>
        <v>47457</v>
      </c>
      <c r="GW41" s="864">
        <v>6231</v>
      </c>
      <c r="GX41" s="169">
        <v>10420</v>
      </c>
      <c r="GY41" s="169">
        <v>8764</v>
      </c>
      <c r="GZ41" s="169">
        <v>6721</v>
      </c>
      <c r="HA41" s="169">
        <v>6828</v>
      </c>
      <c r="HB41" s="169">
        <v>8493</v>
      </c>
      <c r="HC41" s="169"/>
      <c r="HD41" s="191">
        <f t="shared" si="927"/>
        <v>45164</v>
      </c>
      <c r="HE41" s="864">
        <v>7092</v>
      </c>
      <c r="HF41" s="169">
        <v>7662</v>
      </c>
      <c r="HG41" s="169">
        <v>8892</v>
      </c>
      <c r="HH41" s="169">
        <v>6071</v>
      </c>
      <c r="HI41" s="169">
        <v>6563</v>
      </c>
      <c r="HJ41" s="169">
        <v>8884</v>
      </c>
      <c r="HK41" s="169"/>
      <c r="HL41" s="191">
        <f t="shared" si="928"/>
        <v>42190</v>
      </c>
      <c r="HM41" s="169">
        <v>6672</v>
      </c>
      <c r="HN41" s="169">
        <v>8738</v>
      </c>
      <c r="HO41" s="169">
        <v>7336</v>
      </c>
      <c r="HP41" s="169">
        <v>7141</v>
      </c>
      <c r="HQ41" s="169">
        <v>7698</v>
      </c>
      <c r="HR41" s="169">
        <v>4605</v>
      </c>
      <c r="HS41" s="193"/>
      <c r="HT41" s="191">
        <f t="shared" si="929"/>
        <v>37053</v>
      </c>
      <c r="HU41" s="169">
        <v>6096</v>
      </c>
      <c r="HV41" s="169">
        <v>7346</v>
      </c>
      <c r="HW41" s="169">
        <v>13045</v>
      </c>
      <c r="HX41" s="169"/>
      <c r="HY41" s="169">
        <v>3950</v>
      </c>
      <c r="HZ41" s="169">
        <v>6616</v>
      </c>
      <c r="IA41" s="169"/>
      <c r="IB41" s="191"/>
      <c r="IC41" s="169">
        <v>6729</v>
      </c>
      <c r="ID41" s="169">
        <v>7901</v>
      </c>
      <c r="IE41" s="169">
        <v>6777</v>
      </c>
      <c r="IF41" s="169">
        <v>6464</v>
      </c>
      <c r="IG41" s="169">
        <v>6561</v>
      </c>
      <c r="IH41" s="169">
        <v>6060</v>
      </c>
      <c r="II41" s="169"/>
      <c r="IJ41" s="191"/>
      <c r="IK41" s="169">
        <v>6424</v>
      </c>
      <c r="IL41" s="169">
        <v>7128</v>
      </c>
      <c r="IM41" s="169">
        <v>7089</v>
      </c>
      <c r="IN41" s="169">
        <v>5646</v>
      </c>
      <c r="IO41" s="169">
        <v>5423</v>
      </c>
      <c r="IP41" s="169">
        <v>5867</v>
      </c>
      <c r="IQ41" s="169"/>
      <c r="IR41" s="169"/>
      <c r="IS41" s="169">
        <v>5597</v>
      </c>
      <c r="IT41" s="169">
        <v>6561</v>
      </c>
      <c r="IU41" s="169">
        <v>6383</v>
      </c>
      <c r="IV41" s="169">
        <v>6290</v>
      </c>
      <c r="IW41" s="169">
        <v>5523</v>
      </c>
      <c r="IX41" s="169">
        <v>2773</v>
      </c>
      <c r="IY41" s="169"/>
      <c r="IZ41" s="169"/>
      <c r="JA41" s="169"/>
      <c r="JB41" s="169">
        <v>7636</v>
      </c>
      <c r="JC41" s="169">
        <v>8207</v>
      </c>
      <c r="JD41" s="169">
        <v>6848</v>
      </c>
      <c r="JE41" s="169">
        <v>6826</v>
      </c>
      <c r="JF41" s="169"/>
      <c r="JG41" s="169"/>
      <c r="JH41" s="169"/>
      <c r="JI41" s="169">
        <v>6204</v>
      </c>
      <c r="JJ41" s="169">
        <v>6741</v>
      </c>
      <c r="JK41" s="169">
        <v>7335</v>
      </c>
      <c r="JL41" s="169">
        <v>7062</v>
      </c>
      <c r="JM41" s="169">
        <v>7167</v>
      </c>
      <c r="JN41" s="169">
        <v>7011</v>
      </c>
      <c r="JO41" s="169"/>
      <c r="JP41" s="169"/>
      <c r="JQ41" s="169">
        <v>6621</v>
      </c>
      <c r="JR41" s="169">
        <v>8858</v>
      </c>
      <c r="JS41" s="169">
        <v>8322</v>
      </c>
      <c r="JT41" s="169">
        <v>8148</v>
      </c>
      <c r="JU41" s="169">
        <v>7787</v>
      </c>
      <c r="JV41" s="169">
        <v>7581</v>
      </c>
      <c r="JW41" s="169"/>
      <c r="JX41" s="169"/>
      <c r="JY41" s="169">
        <v>6966</v>
      </c>
      <c r="JZ41" s="169">
        <v>8510</v>
      </c>
      <c r="KA41" s="169">
        <v>7038</v>
      </c>
      <c r="KB41" s="169">
        <v>8112</v>
      </c>
      <c r="KC41" s="169">
        <v>7689</v>
      </c>
      <c r="KD41" s="169">
        <v>6631</v>
      </c>
      <c r="KE41" s="169"/>
      <c r="KF41" s="169"/>
      <c r="KG41" s="169">
        <v>5611</v>
      </c>
      <c r="KH41" s="169">
        <v>9135</v>
      </c>
      <c r="KI41" s="169">
        <v>6777</v>
      </c>
      <c r="KJ41" s="169">
        <v>5054</v>
      </c>
      <c r="KK41" s="169">
        <v>5962</v>
      </c>
      <c r="KL41" s="169">
        <v>6906</v>
      </c>
      <c r="KM41" s="169"/>
      <c r="KN41" s="169"/>
      <c r="KO41" s="169">
        <v>6368</v>
      </c>
      <c r="KP41" s="169">
        <v>7573</v>
      </c>
      <c r="KQ41" s="169">
        <v>6774</v>
      </c>
      <c r="KR41" s="169">
        <v>6553</v>
      </c>
      <c r="KS41" s="169">
        <v>6664</v>
      </c>
      <c r="KT41" s="169">
        <v>6267</v>
      </c>
      <c r="KU41" s="169"/>
      <c r="KV41" s="169"/>
      <c r="KW41" s="169">
        <v>5442</v>
      </c>
      <c r="KX41" s="169">
        <v>8236</v>
      </c>
      <c r="KY41" s="169">
        <v>7414</v>
      </c>
      <c r="KZ41" s="169">
        <v>6655</v>
      </c>
      <c r="LA41" s="169">
        <v>6896</v>
      </c>
      <c r="LB41" s="169">
        <v>7016</v>
      </c>
      <c r="LC41" s="169"/>
      <c r="LD41" s="169"/>
      <c r="LE41" s="169">
        <v>6198</v>
      </c>
      <c r="LF41" s="169">
        <v>8413</v>
      </c>
      <c r="LG41" s="169">
        <v>8471</v>
      </c>
      <c r="LH41" s="169">
        <v>7947</v>
      </c>
      <c r="LI41" s="169">
        <v>6419</v>
      </c>
      <c r="LJ41" s="169">
        <v>6030</v>
      </c>
      <c r="LK41" s="169"/>
      <c r="LL41" s="169"/>
      <c r="LM41" s="169">
        <v>5099</v>
      </c>
      <c r="LN41" s="169">
        <v>7340</v>
      </c>
      <c r="LO41" s="169">
        <v>7658</v>
      </c>
      <c r="LP41" s="169">
        <v>7013</v>
      </c>
      <c r="LQ41" s="169">
        <v>6012</v>
      </c>
      <c r="LR41" s="169">
        <v>6778</v>
      </c>
      <c r="LS41" s="193"/>
      <c r="LT41" s="169"/>
      <c r="LU41" s="169">
        <v>5581</v>
      </c>
      <c r="LV41" s="169">
        <v>7076</v>
      </c>
      <c r="LW41" s="169">
        <v>7194</v>
      </c>
      <c r="LX41" s="169">
        <v>6242</v>
      </c>
      <c r="LY41" s="169">
        <v>6115</v>
      </c>
      <c r="LZ41" s="169">
        <v>5840</v>
      </c>
      <c r="MA41" s="193"/>
      <c r="MB41" s="169"/>
      <c r="MC41" s="169">
        <v>7094</v>
      </c>
      <c r="MD41" s="169">
        <v>5583</v>
      </c>
      <c r="ME41" s="169">
        <v>6239</v>
      </c>
      <c r="MF41" s="169">
        <v>7023</v>
      </c>
      <c r="MG41" s="169">
        <v>6182</v>
      </c>
      <c r="MH41" s="169">
        <v>62741</v>
      </c>
      <c r="MI41" s="169"/>
      <c r="MJ41" s="169">
        <f t="shared" si="932"/>
        <v>40541</v>
      </c>
      <c r="MK41" s="169">
        <v>6259</v>
      </c>
      <c r="ML41" s="169"/>
      <c r="MM41" s="169">
        <v>7455</v>
      </c>
      <c r="MN41" s="169">
        <v>8359</v>
      </c>
      <c r="MO41" s="169">
        <v>9042</v>
      </c>
      <c r="MP41" s="169">
        <v>9426</v>
      </c>
      <c r="MQ41" s="193"/>
      <c r="MR41" s="169">
        <f t="shared" si="919"/>
        <v>30875</v>
      </c>
      <c r="MS41" s="169">
        <v>7861</v>
      </c>
      <c r="MT41" s="169">
        <v>10230</v>
      </c>
      <c r="MU41" s="169">
        <v>6800</v>
      </c>
      <c r="MV41" s="169">
        <v>366</v>
      </c>
      <c r="MW41" s="169"/>
      <c r="MX41" s="169">
        <v>5618</v>
      </c>
      <c r="MY41" s="193"/>
      <c r="MZ41" s="191">
        <f t="shared" si="920"/>
        <v>44380</v>
      </c>
      <c r="NA41" s="169">
        <v>7446</v>
      </c>
      <c r="NB41" s="169">
        <v>6910</v>
      </c>
      <c r="NC41" s="169">
        <v>8473</v>
      </c>
      <c r="ND41" s="169">
        <v>8652</v>
      </c>
      <c r="NE41" s="169">
        <v>7285</v>
      </c>
      <c r="NF41" s="169">
        <v>5614</v>
      </c>
      <c r="NG41" s="169">
        <f t="shared" ref="NG41" si="945">SUM(NG50:NG51)</f>
        <v>0</v>
      </c>
      <c r="NH41" s="191">
        <f t="shared" si="921"/>
        <v>44316</v>
      </c>
      <c r="NI41" s="169">
        <v>6671</v>
      </c>
      <c r="NJ41" s="169">
        <v>7307</v>
      </c>
      <c r="NK41" s="169">
        <v>7115</v>
      </c>
      <c r="NL41" s="169">
        <v>8046</v>
      </c>
      <c r="NM41" s="169">
        <v>7341</v>
      </c>
      <c r="NN41" s="169">
        <v>7836</v>
      </c>
      <c r="NO41" s="193">
        <f t="shared" ref="NO41" si="946">NO40</f>
        <v>0</v>
      </c>
      <c r="NP41" s="191">
        <f t="shared" si="922"/>
        <v>50242</v>
      </c>
      <c r="NQ41" s="169">
        <v>8495</v>
      </c>
      <c r="NR41" s="169">
        <v>9525</v>
      </c>
      <c r="NS41" s="169">
        <v>9792</v>
      </c>
      <c r="NT41" s="169">
        <v>7832</v>
      </c>
      <c r="NU41" s="169">
        <v>7983</v>
      </c>
      <c r="NV41" s="169">
        <v>6615</v>
      </c>
      <c r="NW41" s="193"/>
      <c r="NX41" s="191"/>
      <c r="NY41" s="169">
        <v>5538</v>
      </c>
      <c r="NZ41" s="169">
        <v>7995</v>
      </c>
      <c r="OA41" s="169">
        <v>9315</v>
      </c>
      <c r="OB41" s="169">
        <v>7552</v>
      </c>
      <c r="OC41" s="169">
        <v>6406</v>
      </c>
      <c r="OD41" s="169">
        <v>8100</v>
      </c>
      <c r="OE41" s="193"/>
      <c r="OF41" s="191"/>
      <c r="OG41" s="169">
        <v>7788</v>
      </c>
      <c r="OH41" s="169">
        <v>7600</v>
      </c>
      <c r="OI41" s="773">
        <v>8655</v>
      </c>
      <c r="OJ41" s="169">
        <v>6974</v>
      </c>
      <c r="OK41" s="169">
        <v>6660</v>
      </c>
      <c r="OL41" s="169">
        <v>6441</v>
      </c>
      <c r="OM41" s="193"/>
      <c r="ON41" s="191"/>
      <c r="OO41" s="169">
        <v>9017</v>
      </c>
      <c r="OP41" s="169">
        <v>11339</v>
      </c>
      <c r="OQ41" s="169">
        <v>15132</v>
      </c>
      <c r="OR41" s="169">
        <v>14000</v>
      </c>
      <c r="OS41" s="169">
        <v>9572</v>
      </c>
      <c r="OT41" s="169">
        <v>6169</v>
      </c>
      <c r="OU41" s="193"/>
      <c r="OV41" s="191"/>
      <c r="OW41" s="169">
        <v>5660</v>
      </c>
      <c r="OX41" s="169">
        <v>11033</v>
      </c>
      <c r="OY41" s="169">
        <v>10525</v>
      </c>
      <c r="OZ41" s="169">
        <v>10458</v>
      </c>
      <c r="PA41" s="169">
        <v>7824</v>
      </c>
      <c r="PB41" s="169">
        <v>5975</v>
      </c>
      <c r="PC41" s="193"/>
    </row>
    <row r="42" spans="1:419" x14ac:dyDescent="0.3">
      <c r="B42" s="972"/>
      <c r="C42" s="681" t="s">
        <v>271</v>
      </c>
      <c r="D42" s="692">
        <f t="shared" si="914"/>
        <v>842832.00000000047</v>
      </c>
      <c r="E42" s="665">
        <f>INDEX(DB!$3:$367,MATCH(E$2,DB!$D$3:$D$367),43)</f>
        <v>202575</v>
      </c>
      <c r="F42" s="665">
        <f>INDEX(DB!$3:$367,MATCH(F$2,DB!$D$3:$D$367),43)</f>
        <v>147576.00000000009</v>
      </c>
      <c r="G42" s="665">
        <f>INDEX(DB!$3:$367,MATCH(G$2,DB!$D$3:$D$367),43)</f>
        <v>142350.00000000009</v>
      </c>
      <c r="H42" s="665">
        <f>INDEX(DB!$3:$367,MATCH(H$2,DB!$D$3:$D$367),43)</f>
        <v>128761.00000000007</v>
      </c>
      <c r="I42" s="665">
        <f>INDEX(DB!$3:$367,MATCH(I$2,DB!$D$3:$D$367),43)</f>
        <v>112393.00000000007</v>
      </c>
      <c r="J42" s="665">
        <f>INDEX(DB!$3:$367,MATCH(J$2,DB!$D$3:$D$367),43)</f>
        <v>109177</v>
      </c>
      <c r="K42" s="666">
        <f>INDEX(DB!$3:$367,MATCH(K$2,DB!$D$3:$D$367),43)</f>
        <v>0</v>
      </c>
      <c r="L42" s="692">
        <f t="shared" si="915"/>
        <v>847346.00000000047</v>
      </c>
      <c r="M42" s="665">
        <f>INDEX(DB!$3:$367,MATCH(M$2,DB!$D$3:$D$367),43)</f>
        <v>194044</v>
      </c>
      <c r="N42" s="665">
        <f>INDEX(DB!$3:$367,MATCH(N$2,DB!$D$3:$D$367),43)</f>
        <v>149207.00000000009</v>
      </c>
      <c r="O42" s="665">
        <f>INDEX(DB!$3:$367,MATCH(O$2,DB!$D$3:$D$367),43)</f>
        <v>142203.00000000009</v>
      </c>
      <c r="P42" s="665">
        <f>INDEX(DB!$3:$367,MATCH(P$2,DB!$D$3:$D$367),43)</f>
        <v>129376.00000000007</v>
      </c>
      <c r="Q42" s="665">
        <f>INDEX(DB!$3:$367,MATCH(Q$2,DB!$D$3:$D$367),43)</f>
        <v>117482.00000000009</v>
      </c>
      <c r="R42" s="665">
        <f>INDEX(DB!$3:$367,MATCH(R$2,DB!$D$3:$D$367),43)</f>
        <v>115034</v>
      </c>
      <c r="S42" s="666">
        <f>INDEX(DB!$3:$367,MATCH(S$2,DB!$D$3:$D$367),43)</f>
        <v>0</v>
      </c>
      <c r="T42" s="692">
        <f>SUM(U42:AA42)</f>
        <v>881926.00000000047</v>
      </c>
      <c r="U42" s="665">
        <f>INDEX(DB!$3:$367,MATCH(U$2,DB!$D$3:$D$367),43)</f>
        <v>200814</v>
      </c>
      <c r="V42" s="665">
        <f>INDEX(DB!$3:$367,MATCH(V$2,DB!$D$3:$D$367),43)</f>
        <v>150497.00000000009</v>
      </c>
      <c r="W42" s="665">
        <f>INDEX(DB!$3:$367,MATCH(W$2,DB!$D$3:$D$367),43)</f>
        <v>156512.00000000009</v>
      </c>
      <c r="X42" s="665">
        <f>INDEX(DB!$3:$367,MATCH(X$2,DB!$D$3:$D$367),43)</f>
        <v>141629.00000000009</v>
      </c>
      <c r="Y42" s="665">
        <f>INDEX(DB!$3:$367,MATCH(Y$2,DB!$D$3:$D$367),43)</f>
        <v>118726.00000000009</v>
      </c>
      <c r="Z42" s="665">
        <f>INDEX(DB!$3:$367,MATCH(Z$2,DB!$D$3:$D$367),43)</f>
        <v>113748.00000000001</v>
      </c>
      <c r="AA42" s="665">
        <f>INDEX(DB!$3:$367,MATCH(AA$2,DB!$D$3:$D$367),43)</f>
        <v>0</v>
      </c>
      <c r="AB42" s="692">
        <f>SUM(AC42:AI42)</f>
        <v>910445.00000000035</v>
      </c>
      <c r="AC42" s="665">
        <f>INDEX(DB!$3:$367,MATCH(AC$2,DB!$D$3:$D$367),43)</f>
        <v>224325</v>
      </c>
      <c r="AD42" s="665">
        <f>INDEX(DB!$3:$367,MATCH(AD$2,DB!$D$3:$D$367),43)</f>
        <v>151355.00000000006</v>
      </c>
      <c r="AE42" s="665">
        <f>INDEX(DB!$3:$367,MATCH(AE$2,DB!$D$3:$D$367),43)</f>
        <v>155180.00000000009</v>
      </c>
      <c r="AF42" s="665">
        <f>INDEX(DB!$3:$367,MATCH(AF$2,DB!$D$3:$D$367),43)</f>
        <v>143747.00000000009</v>
      </c>
      <c r="AG42" s="665">
        <f>INDEX(DB!$3:$367,MATCH(AG$2,DB!$D$3:$D$367),43)</f>
        <v>121442.00000000007</v>
      </c>
      <c r="AH42" s="665">
        <f>INDEX(DB!$3:$367,MATCH(AH$2,DB!$D$3:$D$367),43)</f>
        <v>114396</v>
      </c>
      <c r="AI42" s="665">
        <f>INDEX(DB!$3:$367,MATCH(AI$2,DB!$D$3:$D$367),43)</f>
        <v>0</v>
      </c>
      <c r="AJ42" s="692">
        <f t="shared" si="917"/>
        <v>918770.00000000047</v>
      </c>
      <c r="AK42" s="665">
        <f>INDEX(DB!$3:$367,MATCH(AK$2,DB!$D$3:$D$367),43)</f>
        <v>209865.00000000003</v>
      </c>
      <c r="AL42" s="665">
        <f>INDEX(DB!$3:$367,MATCH(AL$2,DB!$D$3:$D$367),43)</f>
        <v>153996.00000000006</v>
      </c>
      <c r="AM42" s="665">
        <f>INDEX(DB!$3:$367,MATCH(AM$2,DB!$D$3:$D$367),43)</f>
        <v>162088.00000000006</v>
      </c>
      <c r="AN42" s="665">
        <f>INDEX(DB!$3:$367,MATCH(AN$2,DB!$D$3:$D$367),43)</f>
        <v>151781.00000000009</v>
      </c>
      <c r="AO42" s="665">
        <f>INDEX(DB!$3:$367,MATCH(AO$2,DB!$D$3:$D$367),43)</f>
        <v>124647.00000000007</v>
      </c>
      <c r="AP42" s="665">
        <f>INDEX(DB!$3:$367,MATCH(AP$2,DB!$D$3:$D$367),43)</f>
        <v>116393.00000000001</v>
      </c>
      <c r="AQ42" s="665">
        <f>INDEX(DB!$3:$367,MATCH(AQ$2,DB!$D$3:$D$367),43)</f>
        <v>0</v>
      </c>
      <c r="AR42" s="665"/>
      <c r="AS42" s="665">
        <f>INDEX(DB!$3:$367,MATCH(AS$2,DB!$D$3:$D$367),43)</f>
        <v>211502</v>
      </c>
      <c r="AT42" s="665">
        <f>INDEX(DB!$3:$367,MATCH(AT$2,DB!$D$3:$D$367),43)</f>
        <v>154887.00000000009</v>
      </c>
      <c r="AU42" s="665">
        <f>INDEX(DB!$3:$367,MATCH(AU$2,DB!$D$3:$D$367),43)</f>
        <v>156379.00000000009</v>
      </c>
      <c r="AV42" s="665">
        <f>INDEX(DB!$3:$367,MATCH(AV$2,DB!$D$3:$D$367),43)</f>
        <v>147455.00000000009</v>
      </c>
      <c r="AW42" s="665">
        <f>INDEX(DB!$3:$367,MATCH(AW$2,DB!$D$3:$D$367),43)</f>
        <v>123413.00000000009</v>
      </c>
      <c r="AX42" s="665">
        <f>INDEX(DB!$3:$367,MATCH(AX$2,DB!$D$3:$D$367),43)</f>
        <v>117066.00000000001</v>
      </c>
      <c r="AY42" s="665">
        <f>INDEX(DB!$3:$367,MATCH(AY$2,DB!$D$3:$D$367),43)</f>
        <v>0</v>
      </c>
      <c r="AZ42" s="692"/>
      <c r="BA42" s="665">
        <f>INDEX(DB!$3:$367,MATCH(BA$2,DB!$D$3:$D$367),43)</f>
        <v>342987.99999999971</v>
      </c>
      <c r="BB42" s="665">
        <f>INDEX(DB!$3:$367,MATCH(BB$2,DB!$D$3:$D$367),43)</f>
        <v>147310.00000000006</v>
      </c>
      <c r="BC42" s="665">
        <f>INDEX(DB!$3:$367,MATCH(BC$2,DB!$D$3:$D$367),43)</f>
        <v>151304.00000000009</v>
      </c>
      <c r="BD42" s="665">
        <v>115000</v>
      </c>
      <c r="BE42" s="665">
        <v>115000</v>
      </c>
      <c r="BF42" s="665">
        <f>INDEX(DB!$3:$367,MATCH(BF$2,DB!$D$3:$D$367),43)</f>
        <v>116030.00000000001</v>
      </c>
      <c r="BG42" s="665">
        <f>INDEX(DB!$3:$367,MATCH(BG$2,DB!$D$3:$D$367),43)</f>
        <v>0</v>
      </c>
      <c r="BH42" s="692"/>
      <c r="BI42" s="665">
        <f>INDEX(DB!$3:$367,MATCH(BI$2,DB!$D$3:$D$367),43)</f>
        <v>220237</v>
      </c>
      <c r="BJ42" s="665">
        <f>INDEX(DB!$3:$367,MATCH(BJ$2,DB!$D$3:$D$367),43)</f>
        <v>147366</v>
      </c>
      <c r="BK42" s="665">
        <f>INDEX(DB!$3:$367,MATCH(BK$2,DB!$D$3:$D$367),43)</f>
        <v>150658</v>
      </c>
      <c r="BL42" s="665">
        <f>INDEX(DB!$3:$367,MATCH(BL$2,DB!$D$3:$D$367),43)</f>
        <v>131296</v>
      </c>
      <c r="BM42" s="665">
        <f>INDEX(DB!$3:$367,MATCH(BM$2,DB!$D$3:$D$367),43)</f>
        <v>121062</v>
      </c>
      <c r="BN42" s="665">
        <f>INDEX(DB!$3:$367,MATCH(BN$2,DB!$D$3:$D$367),43)</f>
        <v>118680</v>
      </c>
      <c r="BO42" s="665">
        <f>INDEX(DB!$3:$367,MATCH(BO$2,DB!$D$3:$D$367),43)</f>
        <v>0</v>
      </c>
      <c r="BP42" s="692" t="e">
        <f>INDEX(DB!$3:$367,MATCH(BP$2,DB!$D$3:$D$367),43)</f>
        <v>#N/A</v>
      </c>
      <c r="BQ42" s="665">
        <f>INDEX(DB!$3:$367,MATCH(BQ$2,DB!$D$3:$D$367),43)</f>
        <v>202124.00000000003</v>
      </c>
      <c r="BR42" s="665">
        <f>INDEX(DB!$3:$367,MATCH(BR$2,DB!$D$3:$D$367),43)</f>
        <v>147268.00000000009</v>
      </c>
      <c r="BS42" s="665">
        <f>INDEX(DB!$3:$367,MATCH(BS$2,DB!$D$3:$D$367),43)</f>
        <v>149832.00000000012</v>
      </c>
      <c r="BT42" s="665">
        <f>INDEX(DB!$3:$367,MATCH(BT$2,DB!$D$3:$D$367),43)</f>
        <v>143171.00000000006</v>
      </c>
      <c r="BU42" s="665">
        <f>INDEX(DB!$3:$367,MATCH(BU$2,DB!$D$3:$D$367),43)</f>
        <v>116258.00000000007</v>
      </c>
      <c r="BV42" s="665">
        <f>INDEX(DB!$3:$367,MATCH(BV$2,DB!$D$3:$D$367),43)</f>
        <v>111308</v>
      </c>
      <c r="BW42" s="666">
        <f>INDEX(DB!$3:$367,MATCH(BW$2,DB!$D$3:$D$367),43)</f>
        <v>0</v>
      </c>
      <c r="BX42" s="848" t="e">
        <f>INDEX(DB!$3:$367,MATCH(BX$2,DB!$D$3:$D$367),43)</f>
        <v>#N/A</v>
      </c>
      <c r="BY42" s="665">
        <f>INDEX(DB!$3:$367,MATCH(BY$2,DB!$D$3:$D$367),43)</f>
        <v>222648.00000000003</v>
      </c>
      <c r="BZ42" s="665">
        <f>INDEX(DB!$3:$367,MATCH(BZ$2,DB!$D$3:$D$367),43)</f>
        <v>147977.00000000006</v>
      </c>
      <c r="CA42" s="665">
        <f>INDEX(DB!$3:$367,MATCH(CA$2,DB!$D$3:$D$367),43)</f>
        <v>135329.00000000006</v>
      </c>
      <c r="CB42" s="665">
        <f>INDEX(DB!$3:$367,MATCH(CB$2,DB!$D$3:$D$367),43)</f>
        <v>118253.00000000007</v>
      </c>
      <c r="CC42" s="665">
        <f>INDEX(DB!$3:$367,MATCH(CC$2,DB!$D$3:$D$367),43)</f>
        <v>113826.00000000006</v>
      </c>
      <c r="CD42" s="665">
        <f>INDEX(DB!$3:$367,MATCH(CD$2,DB!$D$3:$D$367),43)</f>
        <v>117778.00000000001</v>
      </c>
      <c r="CE42" s="665">
        <f>INDEX(DB!$3:$367,MATCH(CE$2,DB!$D$3:$D$367),43)</f>
        <v>0</v>
      </c>
      <c r="CF42" s="665" t="e">
        <f>INDEX(DB!$3:$367,MATCH(CF$2,DB!$D$3:$D$367),43)</f>
        <v>#N/A</v>
      </c>
      <c r="CG42" s="665">
        <f>INDEX(DB!$3:$367,MATCH(CG$2,DB!$D$3:$D$367),43)</f>
        <v>225593.00000000003</v>
      </c>
      <c r="CH42" s="665">
        <f>INDEX(DB!$3:$367,MATCH(CH$2,DB!$D$3:$D$367),43)</f>
        <v>145764.00000000012</v>
      </c>
      <c r="CI42" s="665">
        <f>INDEX(DB!$3:$367,MATCH(CI$2,DB!$D$3:$D$367),43)</f>
        <v>141958.00000000009</v>
      </c>
      <c r="CJ42" s="665">
        <f>INDEX(DB!$3:$367,MATCH(CJ$2,DB!$D$3:$D$367),43)</f>
        <v>125353.00000000007</v>
      </c>
      <c r="CK42" s="665">
        <f>INDEX(DB!$3:$367,MATCH(CK$2,DB!$D$3:$D$367),43)</f>
        <v>114047.00000000006</v>
      </c>
      <c r="CL42" s="665">
        <f>INDEX(DB!$3:$367,MATCH(CL$2,DB!$D$3:$D$367),43)</f>
        <v>118007.00000000003</v>
      </c>
      <c r="CM42" s="665">
        <f>INDEX(DB!$3:$367,MATCH(CM$2,DB!$D$3:$D$367),43)</f>
        <v>0</v>
      </c>
      <c r="CN42" s="665" t="e">
        <f>INDEX(DB!$3:$367,MATCH(CN$2,DB!$D$3:$D$367),43)</f>
        <v>#N/A</v>
      </c>
      <c r="CO42" s="665">
        <f>INDEX(DB!$3:$367,MATCH(CO$2,DB!$D$3:$D$367),43)</f>
        <v>220121.00000000003</v>
      </c>
      <c r="CP42" s="665">
        <f>INDEX(DB!$3:$367,MATCH(CP$2,DB!$D$3:$D$367),43)</f>
        <v>147853.00000000009</v>
      </c>
      <c r="CQ42" s="665">
        <f>INDEX(DB!$3:$367,MATCH(CQ$2,DB!$D$3:$D$367),43)</f>
        <v>154523.00000000006</v>
      </c>
      <c r="CR42" s="665">
        <f>INDEX(DB!$3:$367,MATCH(CR$2,DB!$D$3:$D$367),43)</f>
        <v>135850.00000000006</v>
      </c>
      <c r="CS42" s="665">
        <f>INDEX(DB!$3:$367,MATCH(CS$2,DB!$D$3:$D$367),43)</f>
        <v>115640.00000000009</v>
      </c>
      <c r="CT42" s="665">
        <f>INDEX(DB!$3:$367,MATCH(CT$2,DB!$D$3:$D$367),43)</f>
        <v>125551.00000000003</v>
      </c>
      <c r="CU42" s="665">
        <f>INDEX(DB!$3:$367,MATCH(CU$2,DB!$D$3:$D$367),43)</f>
        <v>0</v>
      </c>
      <c r="CV42" s="665" t="e">
        <f>INDEX(DB!$3:$367,MATCH(CV$2,DB!$D$3:$D$367),43)</f>
        <v>#N/A</v>
      </c>
      <c r="CW42" s="665">
        <f>INDEX(DB!$3:$367,MATCH(CW$2,DB!$D$3:$D$367),43)</f>
        <v>256188.00000000006</v>
      </c>
      <c r="CX42" s="665">
        <f>INDEX(DB!$3:$367,MATCH(CX$2,DB!$D$3:$D$367),43)</f>
        <v>135479.00000000009</v>
      </c>
      <c r="CY42" s="665">
        <f>INDEX(DB!$3:$367,MATCH(CY$2,DB!$D$3:$D$367),43)</f>
        <v>138123.00000000009</v>
      </c>
      <c r="CZ42" s="665">
        <f>INDEX(DB!$3:$367,MATCH(CZ$2,DB!$D$3:$D$367),43)</f>
        <v>133002.00000000006</v>
      </c>
      <c r="DA42" s="665">
        <f>INDEX(DB!$3:$367,MATCH(DA$2,DB!$D$3:$D$367),43)</f>
        <v>122226.00000000009</v>
      </c>
      <c r="DB42" s="665">
        <f>INDEX(DB!$3:$367,MATCH(DB$2,DB!$D$3:$D$367),43)</f>
        <v>130485.00000000001</v>
      </c>
      <c r="DC42" s="665">
        <f>INDEX(DB!$3:$367,MATCH(DC$2,DB!$D$3:$D$367),43)</f>
        <v>0</v>
      </c>
      <c r="DD42" s="665" t="e">
        <f>INDEX(DB!$3:$367,MATCH(DD$2,DB!$D$3:$D$367),43)</f>
        <v>#N/A</v>
      </c>
      <c r="DE42" s="665">
        <f>INDEX(DB!$3:$367,MATCH(DE$2,DB!$D$3:$D$367),43)</f>
        <v>219073</v>
      </c>
      <c r="DF42" s="665">
        <f>INDEX(DB!$3:$367,MATCH(DF$2,DB!$D$3:$D$367),43)</f>
        <v>130294</v>
      </c>
      <c r="DG42" s="665">
        <f>INDEX(DB!$3:$367,MATCH(DG$2,DB!$D$3:$D$367),43)</f>
        <v>134755</v>
      </c>
      <c r="DH42" s="665">
        <f>INDEX(DB!$3:$367,MATCH(DH$2,DB!$D$3:$D$367),43)</f>
        <v>132265</v>
      </c>
      <c r="DI42" s="665">
        <f>INDEX(DB!$3:$367,MATCH(DI$2,DB!$D$3:$D$367),43)</f>
        <v>119069</v>
      </c>
      <c r="DJ42" s="665">
        <f>INDEX(DB!$3:$367,MATCH(DJ$2,DB!$D$3:$D$367),43)</f>
        <v>128658</v>
      </c>
      <c r="DK42" s="665">
        <f>INDEX(DB!$3:$367,MATCH(DK$2,DB!$D$3:$D$367),43)</f>
        <v>0</v>
      </c>
      <c r="DL42" s="665" t="e">
        <f>INDEX(DB!$3:$367,MATCH(DL$2,DB!$D$3:$D$367),43)</f>
        <v>#N/A</v>
      </c>
      <c r="DM42" s="665">
        <f>INDEX(DB!$3:$367,MATCH(DM$2,DB!$D$3:$D$367),43)</f>
        <v>241166</v>
      </c>
      <c r="DN42" s="665">
        <f>INDEX(DB!$3:$367,MATCH(DN$2,DB!$D$3:$D$367),43)</f>
        <v>140335.00000000009</v>
      </c>
      <c r="DO42" s="665">
        <f>INDEX(DB!$3:$367,MATCH(DO$2,DB!$D$3:$D$367),43)</f>
        <v>152142.00000000006</v>
      </c>
      <c r="DP42" s="665">
        <f>INDEX(DB!$3:$367,MATCH(DP$2,DB!$D$3:$D$367),43)</f>
        <v>142775.00000000009</v>
      </c>
      <c r="DQ42" s="665">
        <f>INDEX(DB!$3:$367,MATCH(DQ$2,DB!$D$3:$D$367),43)</f>
        <v>132596.00000000009</v>
      </c>
      <c r="DR42" s="665">
        <f>INDEX(DB!$3:$367,MATCH(DR$2,DB!$D$3:$D$367),43)</f>
        <v>120390.00000000001</v>
      </c>
      <c r="DS42" s="665">
        <f>INDEX(DB!$3:$367,MATCH(DS$2,DB!$D$3:$D$367),43)</f>
        <v>0</v>
      </c>
      <c r="DT42" s="665" t="e">
        <f>INDEX(DB!$3:$367,MATCH(DT$2,DB!$D$3:$D$367),43)</f>
        <v>#N/A</v>
      </c>
      <c r="DU42" s="665">
        <f>INDEX(DB!$3:$367,MATCH(DU$2,DB!$D$3:$D$367),43)</f>
        <v>0</v>
      </c>
      <c r="DV42" s="665">
        <f>INDEX(DB!$3:$367,MATCH(DV$2,DB!$D$3:$D$367),43)</f>
        <v>212201.00000000012</v>
      </c>
      <c r="DW42" s="665">
        <f>INDEX(DB!$3:$367,MATCH(DW$2,DB!$D$3:$D$367),43)</f>
        <v>127236.00000000007</v>
      </c>
      <c r="DX42" s="665">
        <f>INDEX(DB!$3:$367,MATCH(DX$2,DB!$D$3:$D$367),43)</f>
        <v>127291.00000000007</v>
      </c>
      <c r="DY42" s="665">
        <f>INDEX(DB!$3:$367,MATCH(DY$2,DB!$D$3:$D$367),43)</f>
        <v>119655.00000000006</v>
      </c>
      <c r="DZ42" s="665">
        <f>INDEX(DB!$3:$367,MATCH(DZ$2,DB!$D$3:$D$367),43)</f>
        <v>116941.00000000001</v>
      </c>
      <c r="EA42" s="665">
        <f>INDEX(DB!$3:$367,MATCH(EA$2,DB!$D$3:$D$367),43)</f>
        <v>0</v>
      </c>
      <c r="EB42" s="665" t="e">
        <f>INDEX(DB!$3:$367,MATCH(EB$2,DB!$D$3:$D$367),43)</f>
        <v>#N/A</v>
      </c>
      <c r="EC42" s="665">
        <f>INDEX(DB!$3:$367,MATCH(EC$2,DB!$D$3:$D$367),43)</f>
        <v>214462</v>
      </c>
      <c r="ED42" s="665">
        <f>INDEX(DB!$3:$367,MATCH(ED$2,DB!$D$3:$D$367),43)</f>
        <v>122545.00000000006</v>
      </c>
      <c r="EE42" s="665">
        <f>INDEX(DB!$3:$367,MATCH(EE$2,DB!$D$3:$D$367),43)</f>
        <v>140011.00000000009</v>
      </c>
      <c r="EF42" s="665">
        <f>INDEX(DB!$3:$367,MATCH(EF$2,DB!$D$3:$D$367),43)</f>
        <v>117039.00000000009</v>
      </c>
      <c r="EG42" s="665">
        <f>INDEX(DB!$3:$367,MATCH(EG$2,DB!$D$3:$D$367),43)</f>
        <v>114852.00000000007</v>
      </c>
      <c r="EH42" s="665">
        <f>INDEX(DB!$3:$367,MATCH(EH$2,DB!$D$3:$D$367),43)</f>
        <v>112509.00000000006</v>
      </c>
      <c r="EI42" s="665">
        <f>INDEX(DB!$3:$367,MATCH(EI$2,DB!$D$3:$D$367),43)</f>
        <v>0</v>
      </c>
      <c r="EJ42" s="665" t="e">
        <f>INDEX(DB!$3:$367,MATCH(EJ$2,DB!$D$3:$D$367),43)</f>
        <v>#N/A</v>
      </c>
      <c r="EK42" s="665">
        <f>INDEX(DB!$3:$367,MATCH(EK$2,DB!$D$3:$D$367),43)</f>
        <v>236342.00000000003</v>
      </c>
      <c r="EL42" s="665">
        <f>INDEX(DB!$3:$367,MATCH(EL$2,DB!$D$3:$D$367),43)</f>
        <v>139011.00000000009</v>
      </c>
      <c r="EM42" s="665">
        <f>INDEX(DB!$3:$367,MATCH(EM$2,DB!$D$3:$D$367),43)</f>
        <v>142911.00000000006</v>
      </c>
      <c r="EN42" s="665">
        <f>INDEX(DB!$3:$367,MATCH(EN$2,DB!$D$3:$D$367),43)</f>
        <v>132468.00000000006</v>
      </c>
      <c r="EO42" s="665">
        <f>INDEX(DB!$3:$367,MATCH(EO$2,DB!$D$3:$D$367),43)</f>
        <v>120554.00000000009</v>
      </c>
      <c r="EP42" s="665">
        <f>INDEX(DB!$3:$367,MATCH(EP$2,DB!$D$3:$D$367),43)</f>
        <v>130600.00000000001</v>
      </c>
      <c r="EQ42" s="665">
        <f>INDEX(DB!$3:$367,MATCH(EQ$2,DB!$D$3:$D$367),43)</f>
        <v>0</v>
      </c>
      <c r="ER42" s="665" t="e">
        <f>INDEX(DB!$3:$367,MATCH(ER$2,DB!$D$3:$D$367),43)</f>
        <v>#N/A</v>
      </c>
      <c r="ES42" s="862">
        <f>INDEX(DB!$3:$367,MATCH(ES$2,DB!$D$3:$D$367),43)</f>
        <v>242984.00000000003</v>
      </c>
      <c r="ET42" s="665">
        <f>INDEX(DB!$3:$367,MATCH(ET$2,DB!$D$3:$D$367),43)</f>
        <v>144209.00000000009</v>
      </c>
      <c r="EU42" s="665">
        <f>INDEX(DB!$3:$367,MATCH(EU$2,DB!$D$3:$D$367),43)</f>
        <v>167169.04660000009</v>
      </c>
      <c r="EV42" s="665">
        <f>INDEX(DB!$3:$367,MATCH(EV$2,DB!$D$3:$D$367),43)</f>
        <v>142393.00000000006</v>
      </c>
      <c r="EW42" s="665">
        <f>INDEX(DB!$3:$367,MATCH(EW$2,DB!$D$3:$D$367),43)</f>
        <v>130273.00000000009</v>
      </c>
      <c r="EX42" s="665">
        <f>INDEX(DB!$3:$367,MATCH(EX$2,DB!$D$3:$D$367),43)</f>
        <v>129334.98000000007</v>
      </c>
      <c r="EY42" s="665">
        <f>INDEX(DB!$3:$367,MATCH(EY$2,DB!$D$3:$D$367),43)</f>
        <v>0</v>
      </c>
      <c r="EZ42" s="665" t="e">
        <f>INDEX(DB!$3:$367,MATCH(EZ$2,DB!$D$3:$D$367),43)</f>
        <v>#N/A</v>
      </c>
      <c r="FA42" s="665">
        <f>INDEX(DB!$3:$367,MATCH(FA$2,DB!$D$3:$D$367),43)</f>
        <v>237033.00000000003</v>
      </c>
      <c r="FB42" s="665">
        <f>INDEX(DB!$3:$367,MATCH(FB$2,DB!$D$3:$D$367),43)</f>
        <v>134845.00000000009</v>
      </c>
      <c r="FC42" s="665">
        <f>INDEX(DB!$3:$367,MATCH(FC$2,DB!$D$3:$D$367),43)</f>
        <v>150045.83140000008</v>
      </c>
      <c r="FD42" s="665">
        <f>INDEX(DB!$3:$367,MATCH(FD$2,DB!$D$3:$D$367),43)</f>
        <v>130031.00000000006</v>
      </c>
      <c r="FE42" s="665">
        <f>INDEX(DB!$3:$367,MATCH(FE$2,DB!$D$3:$D$367),43)</f>
        <v>125595.00000000007</v>
      </c>
      <c r="FF42" s="665">
        <f>INDEX(DB!$3:$367,MATCH(FF$2,DB!$D$3:$D$367),43)</f>
        <v>133231.38000000006</v>
      </c>
      <c r="FG42" s="665">
        <f>INDEX(DB!$3:$367,MATCH(FG$2,DB!$D$3:$D$367),43)</f>
        <v>0</v>
      </c>
      <c r="FH42" s="665" t="e">
        <f>INDEX(DB!$3:$367,MATCH(FH$2,DB!$D$3:$D$367),43)</f>
        <v>#N/A</v>
      </c>
      <c r="FI42" s="665">
        <f>INDEX(DB!$3:$367,MATCH(FI$2,DB!$D$3:$D$367),43)</f>
        <v>290514</v>
      </c>
      <c r="FJ42" s="665">
        <f>INDEX(DB!$3:$367,MATCH(FJ$2,DB!$D$3:$D$367),43)</f>
        <v>121793.00000000007</v>
      </c>
      <c r="FK42" s="665">
        <f>INDEX(DB!$3:$367,MATCH(FK$2,DB!$D$3:$D$367),43)</f>
        <v>142569.80300000007</v>
      </c>
      <c r="FL42" s="665">
        <f>INDEX(DB!$3:$367,MATCH(FL$2,DB!$D$3:$D$367),43)</f>
        <v>0</v>
      </c>
      <c r="FM42" s="665">
        <f>INDEX(DB!$3:$367,MATCH(FM$2,DB!$D$3:$D$367),43)</f>
        <v>113902.00000000006</v>
      </c>
      <c r="FN42" s="665">
        <f>INDEX(DB!$3:$367,MATCH(FN$2,DB!$D$3:$D$367),43)</f>
        <v>121712.52000000008</v>
      </c>
      <c r="FO42" s="665">
        <f>INDEX(DB!$3:$367,MATCH(FO$2,DB!$D$3:$D$367),43)</f>
        <v>0</v>
      </c>
      <c r="FP42" s="692"/>
      <c r="FQ42" s="665">
        <f>INDEX(DB!$3:$367,MATCH(FQ$2,DB!$D$3:$D$367),43)</f>
        <v>228949.00000000003</v>
      </c>
      <c r="FR42" s="665">
        <f>INDEX(DB!$3:$367,MATCH(FR$2,DB!$D$3:$D$367),43)</f>
        <v>152335.00000000009</v>
      </c>
      <c r="FS42" s="665">
        <f>INDEX(DB!$3:$367,MATCH(FS$2,DB!$D$3:$D$367),43)</f>
        <v>144820.78200000009</v>
      </c>
      <c r="FT42" s="665">
        <f>INDEX(DB!$3:$367,MATCH(FT$2,DB!$D$3:$D$367),43)</f>
        <v>142883.00000000006</v>
      </c>
      <c r="FU42" s="665">
        <f>INDEX(DB!$3:$367,MATCH(FU$2,DB!$D$3:$D$367),43)</f>
        <v>120846.00000000009</v>
      </c>
      <c r="FV42" s="665">
        <f>INDEX(DB!$3:$367,MATCH(FV$2,DB!$D$3:$D$367),43)</f>
        <v>130208.10000000006</v>
      </c>
      <c r="FW42" s="666"/>
      <c r="FX42" s="692"/>
      <c r="FY42" s="665">
        <f>INDEX(DB!$3:$367,MATCH(FY$2,DB!$D$3:$D$367),43)</f>
        <v>0</v>
      </c>
      <c r="FZ42" s="665">
        <f>INDEX(DB!$3:$367,MATCH(FZ$2,DB!$D$3:$D$367),43)</f>
        <v>248710.00000000009</v>
      </c>
      <c r="GA42" s="665">
        <f>INDEX(DB!$3:$367,MATCH(GA$2,DB!$D$3:$D$367),43)</f>
        <v>137512.44420000006</v>
      </c>
      <c r="GB42" s="665">
        <f>INDEX(DB!$3:$367,MATCH(GB$2,DB!$D$3:$D$367),43)</f>
        <v>134279.00000000009</v>
      </c>
      <c r="GC42" s="665">
        <f>INDEX(DB!$3:$367,MATCH(GC$2,DB!$D$3:$D$367),43)</f>
        <v>125977.00000000006</v>
      </c>
      <c r="GD42" s="665">
        <f>INDEX(DB!$3:$367,MATCH(GD$2,DB!$D$3:$D$367),43)</f>
        <v>124968.00000000009</v>
      </c>
      <c r="GE42" s="666"/>
      <c r="GF42" s="692"/>
      <c r="GG42" s="665">
        <f>INDEX(DB!$3:$367,MATCH(GG$2,DB!$D$3:$D$367),43)</f>
        <v>232805.00000000006</v>
      </c>
      <c r="GH42" s="665">
        <f>INDEX(DB!$3:$367,MATCH(GH$2,DB!$D$3:$D$367),43)</f>
        <v>144585.00000000009</v>
      </c>
      <c r="GI42" s="665">
        <f>INDEX(DB!$3:$367,MATCH(GI$2,DB!$D$3:$D$367),43)</f>
        <v>146306.28340000007</v>
      </c>
      <c r="GJ42" s="665">
        <f>INDEX(DB!$3:$367,MATCH(GJ$2,DB!$D$3:$D$367),43)</f>
        <v>140516.00000000006</v>
      </c>
      <c r="GK42" s="665">
        <f>INDEX(DB!$3:$367,MATCH(GK$2,DB!$D$3:$D$367),43)</f>
        <v>124527.00000000007</v>
      </c>
      <c r="GL42" s="665">
        <f>INDEX(DB!$3:$367,MATCH(GL$2,DB!$D$3:$D$367),43)</f>
        <v>125363.00000000007</v>
      </c>
      <c r="GM42" s="666"/>
      <c r="GN42" s="692">
        <f t="shared" si="925"/>
        <v>906190.32100000046</v>
      </c>
      <c r="GO42" s="665">
        <f>INDEX(DB!$3:$367,MATCH(GO$2,DB!$D$3:$D$367),43)</f>
        <v>228465</v>
      </c>
      <c r="GP42" s="665">
        <f>INDEX(DB!$3:$367,MATCH(GP$2,DB!$D$3:$D$367),43)</f>
        <v>144785.00000000009</v>
      </c>
      <c r="GQ42" s="665">
        <f>INDEX(DB!$3:$367,MATCH(GQ$2,DB!$D$3:$D$367),43)</f>
        <v>151498.32100000005</v>
      </c>
      <c r="GR42" s="665">
        <f>INDEX(DB!$3:$367,MATCH(GR$2,DB!$D$3:$D$367),43)</f>
        <v>131207.00000000006</v>
      </c>
      <c r="GS42" s="665">
        <f>INDEX(DB!$3:$367,MATCH(GS$2,DB!$D$3:$D$367),43)</f>
        <v>124699.00000000007</v>
      </c>
      <c r="GT42" s="665">
        <f>INDEX(DB!$3:$367,MATCH(GT$2,DB!$D$3:$D$367),43)</f>
        <v>125536.00000000007</v>
      </c>
      <c r="GU42" s="666"/>
      <c r="GV42" s="692">
        <f t="shared" si="926"/>
        <v>856832.22960000043</v>
      </c>
      <c r="GW42" s="665">
        <f>INDEX(DB!$3:$367,MATCH(GW$2,DB!$D$3:$D$367),43)</f>
        <v>212380.00000000006</v>
      </c>
      <c r="GX42" s="665">
        <f>INDEX(DB!$3:$367,MATCH(GX$2,DB!$D$3:$D$367),43)</f>
        <v>139002.00000000009</v>
      </c>
      <c r="GY42" s="665">
        <f>INDEX(DB!$3:$367,MATCH(GY$2,DB!$D$3:$D$367),43)</f>
        <v>138639.22960000008</v>
      </c>
      <c r="GZ42" s="665">
        <f>INDEX(DB!$3:$367,MATCH(GZ$2,DB!$D$3:$D$367),43)</f>
        <v>126571.00000000007</v>
      </c>
      <c r="HA42" s="665">
        <f>INDEX(DB!$3:$367,MATCH(HA$2,DB!$D$3:$D$367),43)</f>
        <v>119718.00000000007</v>
      </c>
      <c r="HB42" s="665">
        <f>INDEX(DB!$3:$367,MATCH(HB$2,DB!$D$3:$D$367),43)</f>
        <v>120522.00000000004</v>
      </c>
      <c r="HC42" s="666"/>
      <c r="HD42" s="692">
        <f t="shared" si="927"/>
        <v>757581.11460000044</v>
      </c>
      <c r="HE42" s="665">
        <f>INDEX(DB!$3:$367,MATCH(HE$2,DB!$D$3:$D$367),43)</f>
        <v>198884.00000000006</v>
      </c>
      <c r="HF42" s="665">
        <f>INDEX(DB!$3:$367,MATCH(HF$2,DB!$D$3:$D$367),43)</f>
        <v>128617.00000000006</v>
      </c>
      <c r="HG42" s="665">
        <f>INDEX(DB!$3:$367,MATCH(HG$2,DB!$D$3:$D$367),43)</f>
        <v>120703.11460000009</v>
      </c>
      <c r="HH42" s="665">
        <f>INDEX(DB!$3:$367,MATCH(HH$2,DB!$D$3:$D$367),43)</f>
        <v>104621.00000000007</v>
      </c>
      <c r="HI42" s="665">
        <f>INDEX(DB!$3:$367,MATCH(HI$2,DB!$D$3:$D$367),43)</f>
        <v>100631.00000000006</v>
      </c>
      <c r="HJ42" s="665">
        <f>INDEX(DB!$3:$367,MATCH(HJ$2,DB!$D$3:$D$367),43)</f>
        <v>104125.00000000006</v>
      </c>
      <c r="HK42" s="666"/>
      <c r="HL42" s="692">
        <f t="shared" si="928"/>
        <v>702603.48225609749</v>
      </c>
      <c r="HM42" s="665">
        <f>INDEX(DB!$3:$367,MATCH(HM$2,DB!$D$3:$D$367),43)</f>
        <v>171243.99999999997</v>
      </c>
      <c r="HN42" s="665">
        <f>INDEX(DB!$3:$367,MATCH(HN$2,DB!$D$3:$D$367),43)</f>
        <v>114421.09199609795</v>
      </c>
      <c r="HO42" s="665">
        <f>INDEX(DB!$3:$367,MATCH(HO$2,DB!$D$3:$D$367),43)</f>
        <v>114490.31694090719</v>
      </c>
      <c r="HP42" s="665">
        <f>INDEX(DB!$3:$367,MATCH(HP$2,DB!$D$3:$D$367),43)</f>
        <v>104660.00000000006</v>
      </c>
      <c r="HQ42" s="665">
        <f>INDEX(DB!$3:$367,MATCH(HQ$2,DB!$D$3:$D$367),43)</f>
        <v>98548.073319092233</v>
      </c>
      <c r="HR42" s="665">
        <f>INDEX(DB!$3:$367,MATCH(HR$2,DB!$D$3:$D$367),43)</f>
        <v>99240.000000000058</v>
      </c>
      <c r="HS42" s="666"/>
      <c r="HT42" s="692">
        <f t="shared" si="929"/>
        <v>602035.52437534416</v>
      </c>
      <c r="HU42" s="665">
        <f>INDEX(DB!$3:$367,MATCH(HU$2,DB!$D$3:$D$367),43)</f>
        <v>165694</v>
      </c>
      <c r="HV42" s="665">
        <f>INDEX(DB!$3:$367,MATCH(HV$2,DB!$D$3:$D$367),43)</f>
        <v>119281.15505479059</v>
      </c>
      <c r="HW42" s="665">
        <v>115000</v>
      </c>
      <c r="HX42" s="665">
        <f>INDEX(DB!$3:$367,MATCH(HX$2,DB!$D$3:$D$367),43)</f>
        <v>0</v>
      </c>
      <c r="HY42" s="665">
        <f>INDEX(DB!$3:$367,MATCH(HY$2,DB!$D$3:$D$367),43)</f>
        <v>100791.36932055344</v>
      </c>
      <c r="HZ42" s="665">
        <f>INDEX(DB!$3:$367,MATCH(HZ$2,DB!$D$3:$D$367),43)</f>
        <v>101269.00000000006</v>
      </c>
      <c r="IA42" s="665">
        <f>INDEX(DB!$3:$367,MATCH(IA$2,DB!$D$3:$D$367),43)</f>
        <v>0</v>
      </c>
      <c r="IB42" s="692" t="e">
        <f>INDEX(DB!$3:$367,MATCH(IB$2,DB!$D$3:$D$367),43)</f>
        <v>#N/A</v>
      </c>
      <c r="IC42" s="665">
        <f>INDEX(DB!$3:$367,MATCH(IC$2,DB!$D$3:$D$367),43)</f>
        <v>164863</v>
      </c>
      <c r="ID42" s="665">
        <f>INDEX(DB!$3:$367,MATCH(ID$2,DB!$D$3:$D$367),43)</f>
        <v>119332.55066596375</v>
      </c>
      <c r="IE42" s="665">
        <f>INDEX(DB!$3:$367,MATCH(IE$2,DB!$D$3:$D$367),43)</f>
        <v>111158.85381584316</v>
      </c>
      <c r="IF42" s="665">
        <f>INDEX(DB!$3:$367,MATCH(IF$2,DB!$D$3:$D$367),43)</f>
        <v>94827.000000000044</v>
      </c>
      <c r="IG42" s="665">
        <f>INDEX(DB!$3:$367,MATCH(IG$2,DB!$D$3:$D$367),43)</f>
        <v>93366.699354932993</v>
      </c>
      <c r="IH42" s="665">
        <f>INDEX(DB!$3:$367,MATCH(IH$2,DB!$D$3:$D$367),43)</f>
        <v>96639.000000000073</v>
      </c>
      <c r="II42" s="665">
        <f>INDEX(DB!$3:$367,MATCH(II$2,DB!$D$3:$D$367),43)</f>
        <v>0</v>
      </c>
      <c r="IJ42" s="692" t="e">
        <f>INDEX(DB!$3:$367,MATCH(IJ$2,DB!$D$3:$D$367),43)</f>
        <v>#N/A</v>
      </c>
      <c r="IK42" s="665">
        <f>INDEX(DB!$3:$367,MATCH(IK$2,DB!$D$3:$D$367),43)</f>
        <v>177023</v>
      </c>
      <c r="IL42" s="665">
        <f>INDEX(DB!$3:$367,MATCH(IL$2,DB!$D$3:$D$367),43)</f>
        <v>114255.14407442123</v>
      </c>
      <c r="IM42" s="665">
        <f>INDEX(DB!$3:$367,MATCH(IM$2,DB!$D$3:$D$367),43)</f>
        <v>103054.47705221524</v>
      </c>
      <c r="IN42" s="665">
        <f>INDEX(DB!$3:$367,MATCH(IN$2,DB!$D$3:$D$367),43)</f>
        <v>92148.803352641582</v>
      </c>
      <c r="IO42" s="665">
        <f>INDEX(DB!$3:$367,MATCH(IO$2,DB!$D$3:$D$367),43)</f>
        <v>89435.946097443346</v>
      </c>
      <c r="IP42" s="665">
        <f>INDEX(DB!$3:$367,MATCH(IP$2,DB!$D$3:$D$367),43)</f>
        <v>92527.000000000044</v>
      </c>
      <c r="IQ42" s="665">
        <f>INDEX(DB!$3:$367,MATCH(IQ$2,DB!$D$3:$D$367),43)</f>
        <v>0</v>
      </c>
      <c r="IR42" s="665" t="e">
        <f>INDEX(DB!$3:$367,MATCH(IR$2,DB!$D$3:$D$367),43)</f>
        <v>#N/A</v>
      </c>
      <c r="IS42" s="665">
        <f>INDEX(DB!$3:$367,MATCH(IS$2,DB!$D$3:$D$367),43)</f>
        <v>178778</v>
      </c>
      <c r="IT42" s="665">
        <f>INDEX(DB!$3:$367,MATCH(IT$2,DB!$D$3:$D$367),43)</f>
        <v>112389.72948497089</v>
      </c>
      <c r="IU42" s="665">
        <f>INDEX(DB!$3:$367,MATCH(IU$2,DB!$D$3:$D$367),43)</f>
        <v>101429.33866685706</v>
      </c>
      <c r="IV42" s="665">
        <f>INDEX(DB!$3:$367,MATCH(IV$2,DB!$D$3:$D$367),43)</f>
        <v>93864.263586980451</v>
      </c>
      <c r="IW42" s="665">
        <f>INDEX(DB!$3:$367,MATCH(IW$2,DB!$D$3:$D$367),43)</f>
        <v>87934.404135708319</v>
      </c>
      <c r="IX42" s="665">
        <f>INDEX(DB!$3:$367,MATCH(IX$2,DB!$D$3:$D$367),43)</f>
        <v>91017.000000000058</v>
      </c>
      <c r="IY42" s="665">
        <f>INDEX(DB!$3:$367,MATCH(IY$2,DB!$D$3:$D$367),43)</f>
        <v>0</v>
      </c>
      <c r="IZ42" s="665" t="e">
        <f>INDEX(DB!$3:$367,MATCH(IZ$2,DB!$D$3:$D$367),43)</f>
        <v>#N/A</v>
      </c>
      <c r="JA42" s="665">
        <f>INDEX(DB!$3:$367,MATCH(JA$2,DB!$D$3:$D$367),43)</f>
        <v>0</v>
      </c>
      <c r="JB42" s="665">
        <f>INDEX(DB!$3:$367,MATCH(JB$2,DB!$D$3:$D$367),43)</f>
        <v>171854.0601675557</v>
      </c>
      <c r="JC42" s="665">
        <f>INDEX(DB!$3:$367,MATCH(JC$2,DB!$D$3:$D$367),43)</f>
        <v>108590.97451479334</v>
      </c>
      <c r="JD42" s="665">
        <f>INDEX(DB!$3:$367,MATCH(JD$2,DB!$D$3:$D$367),43)</f>
        <v>106899.36571479334</v>
      </c>
      <c r="JE42" s="665">
        <f>INDEX(DB!$3:$367,MATCH(JE$2,DB!$D$3:$D$367),43)</f>
        <v>103989.36571479334</v>
      </c>
      <c r="JF42" s="665">
        <f>INDEX(DB!$3:$367,MATCH(JF$2,DB!$D$3:$D$367),43)</f>
        <v>98547.000000000044</v>
      </c>
      <c r="JG42" s="665">
        <f>INDEX(DB!$3:$367,MATCH(JG$2,DB!$D$3:$D$367),43)</f>
        <v>0</v>
      </c>
      <c r="JH42" s="665" t="e">
        <f>INDEX(DB!$3:$367,MATCH(JH$2,DB!$D$3:$D$367),43)</f>
        <v>#N/A</v>
      </c>
      <c r="JI42" s="665">
        <f>INDEX(DB!$3:$367,MATCH(JI$2,DB!$D$3:$D$367),43)</f>
        <v>318432</v>
      </c>
      <c r="JJ42" s="665">
        <f>INDEX(DB!$3:$367,MATCH(JJ$2,DB!$D$3:$D$367),43)</f>
        <v>135419.5022058539</v>
      </c>
      <c r="JK42" s="665">
        <f>INDEX(DB!$3:$367,MATCH(JK$2,DB!$D$3:$D$367),43)</f>
        <v>117599.753148121</v>
      </c>
      <c r="JL42" s="665">
        <f>INDEX(DB!$3:$367,MATCH(JL$2,DB!$D$3:$D$367),43)</f>
        <v>121717.9018788455</v>
      </c>
      <c r="JM42" s="665">
        <f>INDEX(DB!$3:$367,MATCH(JM$2,DB!$D$3:$D$367),43)</f>
        <v>116074.57309521419</v>
      </c>
      <c r="JN42" s="665">
        <f>INDEX(DB!$3:$367,MATCH(JN$2,DB!$D$3:$D$367),43)</f>
        <v>116917.00000000007</v>
      </c>
      <c r="JO42" s="665">
        <f>INDEX(DB!$3:$367,MATCH(JO$2,DB!$D$3:$D$367),43)</f>
        <v>0</v>
      </c>
      <c r="JP42" s="665" t="e">
        <f>INDEX(DB!$3:$367,MATCH(JP$2,DB!$D$3:$D$367),43)</f>
        <v>#N/A</v>
      </c>
      <c r="JQ42" s="665">
        <f>INDEX(DB!$3:$367,MATCH(JQ$2,DB!$D$3:$D$367),43)</f>
        <v>295739</v>
      </c>
      <c r="JR42" s="665">
        <f>INDEX(DB!$3:$367,MATCH(JR$2,DB!$D$3:$D$367),43)</f>
        <v>137040.73813108398</v>
      </c>
      <c r="JS42" s="665">
        <f>INDEX(DB!$3:$367,MATCH(JS$2,DB!$D$3:$D$367),43)</f>
        <v>169649.47255658513</v>
      </c>
      <c r="JT42" s="665">
        <f>INDEX(DB!$3:$367,MATCH(JT$2,DB!$D$3:$D$367),43)</f>
        <v>135475.21059238934</v>
      </c>
      <c r="JU42" s="665">
        <f>INDEX(DB!$3:$367,MATCH(JU$2,DB!$D$3:$D$367),43)</f>
        <v>126148.41169001117</v>
      </c>
      <c r="JV42" s="665">
        <f>INDEX(DB!$3:$367,MATCH(JV$2,DB!$D$3:$D$367),43)</f>
        <v>130570.00000000007</v>
      </c>
      <c r="JW42" s="665">
        <f>INDEX(DB!$3:$367,MATCH(JW$2,DB!$D$3:$D$367),43)</f>
        <v>0</v>
      </c>
      <c r="JX42" s="665" t="e">
        <f>INDEX(DB!$3:$367,MATCH(JX$2,DB!$D$3:$D$367),43)</f>
        <v>#N/A</v>
      </c>
      <c r="JY42" s="665">
        <f>INDEX(DB!$3:$367,MATCH(JY$2,DB!$D$3:$D$367),43)</f>
        <v>217510</v>
      </c>
      <c r="JZ42" s="665">
        <f>INDEX(DB!$3:$367,MATCH(JZ$2,DB!$D$3:$D$367),43)</f>
        <v>153778.48543610392</v>
      </c>
      <c r="KA42" s="665">
        <f>INDEX(DB!$3:$367,MATCH(KA$2,DB!$D$3:$D$367),43)</f>
        <v>156910.10347144652</v>
      </c>
      <c r="KB42" s="665">
        <f>INDEX(DB!$3:$367,MATCH(KB$2,DB!$D$3:$D$367),43)</f>
        <v>147590.41013384031</v>
      </c>
      <c r="KC42" s="665">
        <f>INDEX(DB!$3:$367,MATCH(KC$2,DB!$D$3:$D$367),43)</f>
        <v>124469.93843401594</v>
      </c>
      <c r="KD42" s="665">
        <f>INDEX(DB!$3:$367,MATCH(KD$2,DB!$D$3:$D$367),43)</f>
        <v>119289.00000000007</v>
      </c>
      <c r="KE42" s="665">
        <f>INDEX(DB!$3:$367,MATCH(KE$2,DB!$D$3:$D$367),43)</f>
        <v>0</v>
      </c>
      <c r="KF42" s="665" t="e">
        <f>INDEX(DB!$3:$367,MATCH(KF$2,DB!$D$3:$D$367),43)</f>
        <v>#N/A</v>
      </c>
      <c r="KG42" s="665">
        <f>INDEX(DB!$3:$367,MATCH(KG$2,DB!$D$3:$D$367),43)</f>
        <v>370823.04</v>
      </c>
      <c r="KH42" s="665">
        <f>INDEX(DB!$3:$367,MATCH(KH$2,DB!$D$3:$D$367),43)</f>
        <v>146846.66080413782</v>
      </c>
      <c r="KI42" s="665">
        <f>INDEX(DB!$3:$367,MATCH(KI$2,DB!$D$3:$D$367),43)</f>
        <v>153746.08602847334</v>
      </c>
      <c r="KJ42" s="665">
        <f>INDEX(DB!$3:$367,MATCH(KJ$2,DB!$D$3:$D$367),43)</f>
        <v>137554.48761557334</v>
      </c>
      <c r="KK42" s="665">
        <f>INDEX(DB!$3:$367,MATCH(KK$2,DB!$D$3:$D$367),43)</f>
        <v>132524.41075298778</v>
      </c>
      <c r="KL42" s="665">
        <f>INDEX(DB!$3:$367,MATCH(KL$2,DB!$D$3:$D$367),43)</f>
        <v>118853.00000000007</v>
      </c>
      <c r="KM42" s="665">
        <f>INDEX(DB!$3:$367,MATCH(KM$2,DB!$D$3:$D$367),43)</f>
        <v>0</v>
      </c>
      <c r="KN42" s="665" t="e">
        <f>INDEX(DB!$3:$367,MATCH(KN$2,DB!$D$3:$D$367),43)</f>
        <v>#N/A</v>
      </c>
      <c r="KO42" s="665">
        <f>INDEX(DB!$3:$367,MATCH(KO$2,DB!$D$3:$D$367),43)</f>
        <v>211610</v>
      </c>
      <c r="KP42" s="665">
        <f>INDEX(DB!$3:$367,MATCH(KP$2,DB!$D$3:$D$367),43)</f>
        <v>140431</v>
      </c>
      <c r="KQ42" s="665">
        <f>INDEX(DB!$3:$367,MATCH(KQ$2,DB!$D$3:$D$367),43)</f>
        <v>139684</v>
      </c>
      <c r="KR42" s="665">
        <f>INDEX(DB!$3:$367,MATCH(KR$2,DB!$D$3:$D$367),43)</f>
        <v>130909</v>
      </c>
      <c r="KS42" s="665">
        <f>INDEX(DB!$3:$367,MATCH(KS$2,DB!$D$3:$D$367),43)</f>
        <v>120947</v>
      </c>
      <c r="KT42" s="665">
        <f>INDEX(DB!$3:$367,MATCH(KT$2,DB!$D$3:$D$367),43)</f>
        <v>121799</v>
      </c>
      <c r="KU42" s="665">
        <f>INDEX(DB!$3:$367,MATCH(KU$2,DB!$D$3:$D$367),43)</f>
        <v>0</v>
      </c>
      <c r="KV42" s="665" t="e">
        <f>INDEX(DB!$3:$367,MATCH(KV$2,DB!$D$3:$D$367),43)</f>
        <v>#N/A</v>
      </c>
      <c r="KW42" s="665">
        <f>INDEX(DB!$3:$367,MATCH(KW$2,DB!$D$3:$D$367),43)</f>
        <v>214743</v>
      </c>
      <c r="KX42" s="665">
        <f>INDEX(DB!$3:$367,MATCH(KX$2,DB!$D$3:$D$367),43)</f>
        <v>142901.15428915853</v>
      </c>
      <c r="KY42" s="665">
        <f>INDEX(DB!$3:$367,MATCH(KY$2,DB!$D$3:$D$367),43)</f>
        <v>140284.63593095864</v>
      </c>
      <c r="KZ42" s="665">
        <f>INDEX(DB!$3:$367,MATCH(KZ$2,DB!$D$3:$D$367),43)</f>
        <v>130519.40823903793</v>
      </c>
      <c r="LA42" s="665">
        <f>INDEX(DB!$3:$367,MATCH(LA$2,DB!$D$3:$D$367),43)</f>
        <v>123076.37576644155</v>
      </c>
      <c r="LB42" s="665">
        <f>INDEX(DB!$3:$367,MATCH(LB$2,DB!$D$3:$D$367),43)</f>
        <v>123942.00000000007</v>
      </c>
      <c r="LC42" s="665">
        <f>INDEX(DB!$3:$367,MATCH(LC$2,DB!$D$3:$D$367),43)</f>
        <v>0</v>
      </c>
      <c r="LD42" s="665" t="e">
        <f>INDEX(DB!$3:$367,MATCH(LD$2,DB!$D$3:$D$367),43)</f>
        <v>#N/A</v>
      </c>
      <c r="LE42" s="665">
        <f>INDEX(DB!$3:$367,MATCH(LE$2,DB!$D$3:$D$367),43)</f>
        <v>230637</v>
      </c>
      <c r="LF42" s="665">
        <f>INDEX(DB!$3:$367,MATCH(LF$2,DB!$D$3:$D$367),43)</f>
        <v>143973.81060152181</v>
      </c>
      <c r="LG42" s="665">
        <f>INDEX(DB!$3:$367,MATCH(LG$2,DB!$D$3:$D$367),43)</f>
        <v>141802.46562379089</v>
      </c>
      <c r="LH42" s="665">
        <f>INDEX(DB!$3:$367,MATCH(LH$2,DB!$D$3:$D$367),43)</f>
        <v>127175.98768881564</v>
      </c>
      <c r="LI42" s="665">
        <f>INDEX(DB!$3:$367,MATCH(LI$2,DB!$D$3:$D$367),43)</f>
        <v>122292.9410986015</v>
      </c>
      <c r="LJ42" s="665">
        <f>INDEX(DB!$3:$367,MATCH(LJ$2,DB!$D$3:$D$367),43)</f>
        <v>124378.00000000007</v>
      </c>
      <c r="LK42" s="665">
        <f>INDEX(DB!$3:$367,MATCH(LK$2,DB!$D$3:$D$367),43)</f>
        <v>0</v>
      </c>
      <c r="LL42" s="665" t="e">
        <f>INDEX(DB!$3:$367,MATCH(LL$2,DB!$D$3:$D$367),43)</f>
        <v>#N/A</v>
      </c>
      <c r="LM42" s="665">
        <f>INDEX(DB!$3:$367,MATCH(LM$2,DB!$D$3:$D$367),43)</f>
        <v>241233.00000000003</v>
      </c>
      <c r="LN42" s="665">
        <f>INDEX(DB!$3:$367,MATCH(LN$2,DB!$D$3:$D$367),43)</f>
        <v>152947.001668251</v>
      </c>
      <c r="LO42" s="665">
        <f>INDEX(DB!$3:$367,MATCH(LO$2,DB!$D$3:$D$367),43)</f>
        <v>146187.4539057597</v>
      </c>
      <c r="LP42" s="665">
        <f>INDEX(DB!$3:$367,MATCH(LP$2,DB!$D$3:$D$367),43)</f>
        <v>147167.62518599079</v>
      </c>
      <c r="LQ42" s="665">
        <f>INDEX(DB!$3:$367,MATCH(LQ$2,DB!$D$3:$D$367),43)</f>
        <v>131728.66047795964</v>
      </c>
      <c r="LR42" s="665">
        <f>INDEX(DB!$3:$367,MATCH(LR$2,DB!$D$3:$D$367),43)</f>
        <v>132654.00000000009</v>
      </c>
      <c r="LS42" s="665">
        <f>INDEX(DB!$3:$367,MATCH(LS$2,DB!$D$3:$D$367),43)</f>
        <v>0</v>
      </c>
      <c r="LT42" s="665" t="e">
        <f>INDEX(DB!$3:$367,MATCH(LT$2,DB!$D$3:$D$367),43)</f>
        <v>#N/A</v>
      </c>
      <c r="LU42" s="665">
        <f>INDEX(DB!$3:$367,MATCH(LU$2,DB!$D$3:$D$367),43)</f>
        <v>245823.00000000003</v>
      </c>
      <c r="LV42" s="665">
        <f>INDEX(DB!$3:$367,MATCH(LV$2,DB!$D$3:$D$367),43)</f>
        <v>151978.30566762004</v>
      </c>
      <c r="LW42" s="665">
        <f>INDEX(DB!$3:$367,MATCH(LW$2,DB!$D$3:$D$367),43)</f>
        <v>157959.37505026255</v>
      </c>
      <c r="LX42" s="665">
        <f>INDEX(DB!$3:$367,MATCH(LX$2,DB!$D$3:$D$367),43)</f>
        <v>139383.89342072821</v>
      </c>
      <c r="LY42" s="665">
        <f>INDEX(DB!$3:$367,MATCH(LY$2,DB!$D$3:$D$367),43)</f>
        <v>130894.92212447542</v>
      </c>
      <c r="LZ42" s="665">
        <f>INDEX(DB!$3:$367,MATCH(LZ$2,DB!$D$3:$D$367),43)</f>
        <v>131814.00000000006</v>
      </c>
      <c r="MA42" s="665">
        <f>INDEX(DB!$3:$367,MATCH(MA$2,DB!$D$3:$D$367),43)</f>
        <v>0</v>
      </c>
      <c r="MB42" s="665" t="e">
        <f>INDEX(DB!$3:$367,MATCH(MB$2,DB!$D$3:$D$367),43)</f>
        <v>#N/A</v>
      </c>
      <c r="MC42" s="665">
        <f>INDEX(DB!$3:$367,MATCH(MC$2,DB!$D$3:$D$367),43)</f>
        <v>212453</v>
      </c>
      <c r="MD42" s="665">
        <f>INDEX(DB!$3:$367,MATCH(MD$2,DB!$D$3:$D$367),43)</f>
        <v>148069.53233174066</v>
      </c>
      <c r="ME42" s="665">
        <f>INDEX(DB!$3:$367,MATCH(ME$2,DB!$D$3:$D$367),43)</f>
        <v>146553.05678119379</v>
      </c>
      <c r="MF42" s="665">
        <f>INDEX(DB!$3:$367,MATCH(MF$2,DB!$D$3:$D$367),43)</f>
        <v>134170.97639887259</v>
      </c>
      <c r="MG42" s="665">
        <f>INDEX(DB!$3:$367,MATCH(MG$2,DB!$D$3:$D$367),43)</f>
        <v>127591.9787497333</v>
      </c>
      <c r="MH42" s="665">
        <f>INDEX(DB!$3:$367,MATCH(MH$2,DB!$D$3:$D$367),43)</f>
        <v>128424.00000000007</v>
      </c>
      <c r="MI42" s="665">
        <f>INDEX(DB!$3:$367,MATCH(MI$2,DB!$D$3:$D$367),43)</f>
        <v>0</v>
      </c>
      <c r="MJ42" s="665">
        <f t="shared" si="932"/>
        <v>780841.54069728637</v>
      </c>
      <c r="MK42" s="665">
        <f>INDEX(DB!$3:$367,MATCH(MK$2,DB!$D$3:$D$367),43)</f>
        <v>152201</v>
      </c>
      <c r="ML42" s="665">
        <f>INDEX(DB!$3:$367,MATCH(ML$2,DB!$D$3:$D$367),43)</f>
        <v>0</v>
      </c>
      <c r="MM42" s="665">
        <f>INDEX(DB!$3:$367,MATCH(MM$2,DB!$D$3:$D$367),43)</f>
        <v>201862.75493518697</v>
      </c>
      <c r="MN42" s="665">
        <f>INDEX(DB!$3:$367,MATCH(MN$2,DB!$D$3:$D$367),43)</f>
        <v>137646.80322691254</v>
      </c>
      <c r="MO42" s="665">
        <f>INDEX(DB!$3:$367,MATCH(MO$2,DB!$D$3:$D$367),43)</f>
        <v>173180.98253518695</v>
      </c>
      <c r="MP42" s="665">
        <f>INDEX(DB!$3:$367,MATCH(MP$2,DB!$D$3:$D$367),43)</f>
        <v>115950.00000000006</v>
      </c>
      <c r="MQ42" s="665">
        <f>INDEX(DB!$3:$367,MATCH(MQ$2,DB!$D$3:$D$367),43)</f>
        <v>0</v>
      </c>
      <c r="MR42" s="665">
        <f t="shared" si="919"/>
        <v>843111.98425933532</v>
      </c>
      <c r="MS42" s="665">
        <f>INDEX(DB!$3:$367,MATCH(MS$2,DB!$D$3:$D$367),43)</f>
        <v>158417</v>
      </c>
      <c r="MT42" s="665">
        <f>INDEX(DB!$3:$367,MATCH(MT$2,DB!$D$3:$D$367),43)</f>
        <v>209236.55947101486</v>
      </c>
      <c r="MU42" s="665">
        <f>INDEX(DB!$3:$367,MATCH(MU$2,DB!$D$3:$D$367),43)</f>
        <v>159217.73559416019</v>
      </c>
      <c r="MV42" s="665">
        <f>INDEX(DB!$3:$367,MATCH(MV$2,DB!$D$3:$D$367),43)</f>
        <v>201027.68919416019</v>
      </c>
      <c r="MW42" s="665">
        <f>INDEX(DB!$3:$367,MATCH(MW$2,DB!$D$3:$D$367),43)</f>
        <v>0</v>
      </c>
      <c r="MX42" s="665">
        <f>INDEX(DB!$3:$367,MATCH(MX$2,DB!$D$3:$D$367),43)</f>
        <v>115213.00000000006</v>
      </c>
      <c r="MY42" s="665">
        <f>INDEX(DB!$3:$367,MATCH(MY$2,DB!$D$3:$D$367),43)</f>
        <v>0</v>
      </c>
      <c r="MZ42" s="665">
        <f t="shared" si="920"/>
        <v>976168.27632447635</v>
      </c>
      <c r="NA42" s="665">
        <f>INDEX(DB!$3:$367,MATCH(NA$2,DB!$D$3:$D$367),43)</f>
        <v>185421</v>
      </c>
      <c r="NB42" s="665">
        <f>INDEX(DB!$3:$367,MATCH(NB$2,DB!$D$3:$D$367),43)</f>
        <v>151880.33641265429</v>
      </c>
      <c r="NC42" s="665">
        <f>INDEX(DB!$3:$367,MATCH(NC$2,DB!$D$3:$D$367),43)</f>
        <v>168619.97110995895</v>
      </c>
      <c r="ND42" s="665">
        <f>INDEX(DB!$3:$367,MATCH(ND$2,DB!$D$3:$D$367),43)</f>
        <v>180683.12212613586</v>
      </c>
      <c r="NE42" s="665">
        <f>INDEX(DB!$3:$367,MATCH(NE$2,DB!$D$3:$D$367),43)</f>
        <v>144321.8466757272</v>
      </c>
      <c r="NF42" s="665">
        <f>INDEX(DB!$3:$367,MATCH(NF$2,DB!$D$3:$D$367),43)</f>
        <v>145242.00000000006</v>
      </c>
      <c r="NG42" s="665">
        <f>INDEX(DB!$3:$367,MATCH(NG$2,DB!$D$3:$D$367),43)</f>
        <v>0</v>
      </c>
      <c r="NH42" s="692">
        <f t="shared" si="921"/>
        <v>969550.65190323268</v>
      </c>
      <c r="NI42" s="665">
        <f>INDEX(DB!$3:$367,MATCH(NI$2,DB!$D$3:$D$367),43)</f>
        <v>217154</v>
      </c>
      <c r="NJ42" s="665">
        <f>INDEX(DB!$3:$367,MATCH(NJ$2,DB!$D$3:$D$367),43)</f>
        <v>159599.91382944724</v>
      </c>
      <c r="NK42" s="665">
        <f>INDEX(DB!$3:$367,MATCH(NK$2,DB!$D$3:$D$367),43)</f>
        <v>158472.22494687315</v>
      </c>
      <c r="NL42" s="665">
        <f>INDEX(DB!$3:$367,MATCH(NL$2,DB!$D$3:$D$367),43)</f>
        <v>149676.00150516193</v>
      </c>
      <c r="NM42" s="665">
        <f>SUM(NM34,NM36,NM38,NM40)</f>
        <v>141902.51162175019</v>
      </c>
      <c r="NN42" s="665">
        <f>INDEX(DB!$3:$367,MATCH(NN$2,DB!$D$3:$D$367),43)</f>
        <v>142746.00000000009</v>
      </c>
      <c r="NO42" s="665">
        <f>INDEX(DB!$3:$367,MATCH(NO$2,DB!$D$3:$D$367),43)</f>
        <v>0</v>
      </c>
      <c r="NP42" s="692">
        <f t="shared" si="922"/>
        <v>1066231.1505873632</v>
      </c>
      <c r="NQ42" s="665">
        <f>INDEX(DB!$3:$367,MATCH(NQ$2,DB!$D$3:$D$367),43)</f>
        <v>259696.81</v>
      </c>
      <c r="NR42" s="665">
        <f>INDEX(DB!$3:$367,MATCH(NR$2,DB!$D$3:$D$367),43)</f>
        <v>179524.80340660611</v>
      </c>
      <c r="NS42" s="665">
        <f>INDEX(DB!$3:$367,MATCH(NS$2,DB!$D$3:$D$367),43)</f>
        <v>165989.06216103517</v>
      </c>
      <c r="NT42" s="665">
        <f>INDEX(DB!$3:$367,MATCH(NT$2,DB!$D$3:$D$367),43)</f>
        <v>158251.15288362341</v>
      </c>
      <c r="NU42" s="665">
        <f>INDEX(DB!$3:$367,MATCH(NU$2,DB!$D$3:$D$367),43)</f>
        <v>152984.32213609852</v>
      </c>
      <c r="NV42" s="665">
        <f>INDEX(DB!$3:$367,MATCH(NV$2,DB!$D$3:$D$367),43)</f>
        <v>149785.00000000009</v>
      </c>
      <c r="NW42" s="665">
        <f>INDEX(DB!$3:$367,MATCH(NW$2,DB!$D$3:$D$367),43)</f>
        <v>0</v>
      </c>
      <c r="NX42" s="665" t="e">
        <f>INDEX(DB!$3:$367,MATCH(NX$2,DB!$D$3:$D$367),43)</f>
        <v>#N/A</v>
      </c>
      <c r="NY42" s="665">
        <f>INDEX(DB!$3:$367,MATCH(NY$2,DB!$D$3:$D$367),43)</f>
        <v>190953.53</v>
      </c>
      <c r="NZ42" s="665">
        <f>INDEX(DB!$3:$367,MATCH(NZ$2,DB!$D$3:$D$367),43)</f>
        <v>148546.51444942487</v>
      </c>
      <c r="OA42" s="665">
        <f>INDEX(DB!$3:$367,MATCH(OA$2,DB!$D$3:$D$367),43)</f>
        <v>141239.06135377733</v>
      </c>
      <c r="OB42" s="665">
        <f>INDEX(DB!$3:$367,MATCH(OB$2,DB!$D$3:$D$367),43)</f>
        <v>140637.96071263062</v>
      </c>
      <c r="OC42" s="665">
        <f>INDEX(DB!$3:$367,MATCH(OC$2,DB!$D$3:$D$367),43)</f>
        <v>127696.96337721619</v>
      </c>
      <c r="OD42" s="665">
        <f>INDEX(DB!$3:$367,MATCH(OD$2,DB!$D$3:$D$367),43)</f>
        <v>128474.00000000006</v>
      </c>
      <c r="OE42" s="665">
        <f>INDEX(DB!$3:$367,MATCH(OE$2,DB!$D$3:$D$367),43)</f>
        <v>0</v>
      </c>
      <c r="OF42" s="665">
        <f>SUM(OG42:OL42)</f>
        <v>907029.40415191522</v>
      </c>
      <c r="OG42" s="665">
        <f>INDEX(DB!$3:$367,MATCH(OG$2,DB!$D$3:$D$367),43)</f>
        <v>215140.64499999999</v>
      </c>
      <c r="OH42" s="665">
        <f>INDEX(DB!$3:$367,MATCH(OH$2,DB!$D$3:$D$367),43)</f>
        <v>146511.02142876477</v>
      </c>
      <c r="OI42" s="665">
        <f>INDEX(DB!$3:$367,MATCH(OI$2,DB!$D$3:$D$367),43)</f>
        <v>158778.92987043201</v>
      </c>
      <c r="OJ42" s="665">
        <f>INDEX(DB!$3:$367,MATCH(OJ$2,DB!$D$3:$D$367),43)</f>
        <v>130380.40808425107</v>
      </c>
      <c r="OK42" s="665">
        <f>INDEX(DB!$3:$367,MATCH(OK$2,DB!$D$3:$D$367),43)</f>
        <v>129145.39976846729</v>
      </c>
      <c r="OL42" s="665">
        <f>INDEX(DB!$3:$367,MATCH(OL$2,DB!$D$3:$D$367),43)</f>
        <v>127073.00000000009</v>
      </c>
      <c r="OM42" s="665">
        <f>INDEX(DB!$3:$367,MATCH(OM$2,DB!$D$3:$D$367),43)</f>
        <v>0</v>
      </c>
      <c r="ON42" s="665">
        <f>SUM(OO42:OT42)</f>
        <v>943518.14198033791</v>
      </c>
      <c r="OO42" s="665">
        <f>INDEX(DB!$3:$367,MATCH(OO$2,DB!$D$3:$D$367),43)</f>
        <v>158932.94499999998</v>
      </c>
      <c r="OP42" s="665">
        <f>INDEX(DB!$3:$367,MATCH(OP$2,DB!$D$3:$D$367),43)</f>
        <v>170405.51712646379</v>
      </c>
      <c r="OQ42" s="665">
        <f>INDEX(DB!$3:$367,MATCH(OQ$2,DB!$D$3:$D$367),43)</f>
        <v>159752.34883800431</v>
      </c>
      <c r="OR42" s="665">
        <f>INDEX(DB!$3:$367,MATCH(OR$2,DB!$D$3:$D$367),43)</f>
        <v>162624.45923800432</v>
      </c>
      <c r="OS42" s="665">
        <f>INDEX(DB!$3:$367,MATCH(OS$2,DB!$D$3:$D$367),43)</f>
        <v>141766.87177786542</v>
      </c>
      <c r="OT42" s="665">
        <f>INDEX(DB!$3:$367,MATCH(OT$2,DB!$D$3:$D$367),43)</f>
        <v>150036.00000000009</v>
      </c>
      <c r="OU42" s="665">
        <f>INDEX(DB!$3:$367,MATCH(OU$2,DB!$D$3:$D$367),43)</f>
        <v>0</v>
      </c>
      <c r="OV42" s="665">
        <f>SUM(OW42:PB42)</f>
        <v>901457.86945146648</v>
      </c>
      <c r="OW42" s="665">
        <f>INDEX(DB!$3:$367,MATCH(OW$2,DB!$D$3:$D$367),43)</f>
        <v>176958</v>
      </c>
      <c r="OX42" s="665">
        <f>INDEX(DB!$3:$367,MATCH(OX$2,DB!$D$3:$D$367),43)</f>
        <v>154180.30096174745</v>
      </c>
      <c r="OY42" s="665">
        <f>INDEX(DB!$3:$367,MATCH(OY$2,DB!$D$3:$D$367),43)</f>
        <v>149715.66243282371</v>
      </c>
      <c r="OZ42" s="665">
        <f>INDEX(DB!$3:$367,MATCH(OZ$2,DB!$D$3:$D$367),43)</f>
        <v>152316.26377497622</v>
      </c>
      <c r="PA42" s="665">
        <f>INDEX(DB!$3:$367,MATCH(PA$2,DB!$D$3:$D$367),43)</f>
        <v>132065.64228191899</v>
      </c>
      <c r="PB42" s="665">
        <f>INDEX(DB!$3:$367,MATCH(PB$2,DB!$D$3:$D$367),43)</f>
        <v>136222.00000000006</v>
      </c>
      <c r="PC42" s="665">
        <f>INDEX(DB!$3:$367,MATCH(PC$2,DB!$D$3:$D$367),43)</f>
        <v>136222.00000000006</v>
      </c>
    </row>
    <row r="43" spans="1:419" ht="15" thickBot="1" x14ac:dyDescent="0.35">
      <c r="B43" s="972"/>
      <c r="C43" s="768" t="s">
        <v>272</v>
      </c>
      <c r="D43" s="191">
        <f t="shared" si="914"/>
        <v>694421.21720108483</v>
      </c>
      <c r="E43" s="169">
        <f t="shared" ref="E43:J43" si="947">E35+E37+E39+E41</f>
        <v>137343.2172010848</v>
      </c>
      <c r="F43" s="169">
        <f t="shared" si="947"/>
        <v>129580</v>
      </c>
      <c r="G43" s="169">
        <f t="shared" si="947"/>
        <v>122507</v>
      </c>
      <c r="H43" s="169">
        <f t="shared" si="947"/>
        <v>95017</v>
      </c>
      <c r="I43" s="773">
        <f t="shared" si="947"/>
        <v>100797</v>
      </c>
      <c r="J43" s="169">
        <f t="shared" si="947"/>
        <v>109177</v>
      </c>
      <c r="K43" s="193">
        <f t="shared" ref="K43" si="948">K42</f>
        <v>0</v>
      </c>
      <c r="L43" s="191">
        <f t="shared" si="915"/>
        <v>811372</v>
      </c>
      <c r="M43" s="169">
        <f>SUM(M35,M37,M39,M41)</f>
        <v>162219</v>
      </c>
      <c r="N43" s="756">
        <f>SUM(N41,N39,N37,N35)</f>
        <v>140186</v>
      </c>
      <c r="O43" s="169">
        <f>O35+O37+O39+O41</f>
        <v>149111</v>
      </c>
      <c r="P43" s="169">
        <f>P35+P37+P39+P41</f>
        <v>138725</v>
      </c>
      <c r="Q43" s="169">
        <f>Q35+Q37+Q39+Q41</f>
        <v>106538</v>
      </c>
      <c r="R43" s="169">
        <f>R35+R37+R39+R41</f>
        <v>114593</v>
      </c>
      <c r="S43" s="193">
        <f t="shared" ref="S43" si="949">S42</f>
        <v>0</v>
      </c>
      <c r="T43" s="191">
        <f t="shared" si="916"/>
        <v>841587.45624001836</v>
      </c>
      <c r="U43" s="169">
        <f>SUM(U35,U37,U39,U41)</f>
        <v>173914</v>
      </c>
      <c r="V43" s="169">
        <f>SUM(V41,V39,V37,V35)</f>
        <v>147685</v>
      </c>
      <c r="W43" s="169">
        <f>SUM(W41,W39,W37,W35)</f>
        <v>141106</v>
      </c>
      <c r="X43" s="169">
        <f>SUM(X41,X39,X37,X35)</f>
        <v>135977</v>
      </c>
      <c r="Y43" s="169">
        <f>SUM(Y41,Y39,Y37,Y35)</f>
        <v>119318</v>
      </c>
      <c r="Z43" s="169">
        <f>SUM(Z41,Z39,Z37,Z35)</f>
        <v>123587.45624001831</v>
      </c>
      <c r="AA43" s="193">
        <f t="shared" ref="AA43" si="950">AA42</f>
        <v>0</v>
      </c>
      <c r="AB43" s="191">
        <f>SUM(AC43:AI43)</f>
        <v>923129.49623600184</v>
      </c>
      <c r="AC43" s="169">
        <f>SUM(AC35,AC37,AC39,AC41)</f>
        <v>197132</v>
      </c>
      <c r="AD43" s="169">
        <f>SUM(AD35,AD37,AD39,AD41)</f>
        <v>169405</v>
      </c>
      <c r="AE43" s="169">
        <f>SUM(AE35,AE37,AE39,AE41)</f>
        <v>156416</v>
      </c>
      <c r="AF43" s="169">
        <f>SUM(AF41,AF39,AF37,AF35)</f>
        <v>153527</v>
      </c>
      <c r="AG43" s="169">
        <f>SUM(AG41,AG39,AG37,AG35)</f>
        <v>126103</v>
      </c>
      <c r="AH43" s="773">
        <f>SUM(AH41,AH39,AH37,AH35)</f>
        <v>120546.49623600181</v>
      </c>
      <c r="AI43" s="193">
        <f>AI42</f>
        <v>0</v>
      </c>
      <c r="AJ43" s="191">
        <f t="shared" si="917"/>
        <v>730494</v>
      </c>
      <c r="AK43" s="169">
        <f t="shared" ref="AK43:AQ43" si="951">SUM(AK41,AK39,AK37,AK35)</f>
        <v>174527</v>
      </c>
      <c r="AL43" s="169">
        <f t="shared" si="951"/>
        <v>149659</v>
      </c>
      <c r="AM43" s="169">
        <f t="shared" si="951"/>
        <v>151288</v>
      </c>
      <c r="AN43" s="169">
        <f>SUM(AN41,AN39,AN37,AN35)</f>
        <v>140263</v>
      </c>
      <c r="AO43" s="169">
        <f t="shared" si="951"/>
        <v>114757</v>
      </c>
      <c r="AP43" s="169">
        <f t="shared" si="951"/>
        <v>0</v>
      </c>
      <c r="AQ43" s="169">
        <f t="shared" si="951"/>
        <v>0</v>
      </c>
      <c r="AR43" s="191"/>
      <c r="AS43" s="844">
        <f t="shared" ref="AS43:AX43" si="952">SUM(AS41,AS39,AS37,AS35)</f>
        <v>180481</v>
      </c>
      <c r="AT43" s="844">
        <f t="shared" si="952"/>
        <v>152374</v>
      </c>
      <c r="AU43" s="844">
        <f t="shared" si="952"/>
        <v>149835</v>
      </c>
      <c r="AV43" s="844">
        <f t="shared" si="952"/>
        <v>135725</v>
      </c>
      <c r="AW43" s="844">
        <f t="shared" si="952"/>
        <v>117575</v>
      </c>
      <c r="AX43" s="844">
        <f t="shared" si="952"/>
        <v>0</v>
      </c>
      <c r="AY43" s="169"/>
      <c r="AZ43" s="696"/>
      <c r="BA43" s="846">
        <f t="shared" ref="BA43:BF43" si="953">SUM(BA41,BA39,BA37,BA35)</f>
        <v>226909</v>
      </c>
      <c r="BB43" s="846">
        <f t="shared" si="953"/>
        <v>131149</v>
      </c>
      <c r="BC43" s="846">
        <f t="shared" si="953"/>
        <v>136999</v>
      </c>
      <c r="BD43" s="846">
        <f t="shared" si="953"/>
        <v>101434</v>
      </c>
      <c r="BE43" s="846">
        <f t="shared" si="953"/>
        <v>97331</v>
      </c>
      <c r="BF43" s="846">
        <f t="shared" si="953"/>
        <v>112261</v>
      </c>
      <c r="BG43" s="697"/>
      <c r="BH43" s="696"/>
      <c r="BI43" s="697">
        <f t="shared" ref="BI43:BN43" si="954">SUM(BI41,BI39,BI37,BI35)</f>
        <v>174493</v>
      </c>
      <c r="BJ43" s="697">
        <f t="shared" si="954"/>
        <v>134615</v>
      </c>
      <c r="BK43" s="697">
        <f t="shared" si="954"/>
        <v>132667</v>
      </c>
      <c r="BL43" s="697">
        <f t="shared" si="954"/>
        <v>116016</v>
      </c>
      <c r="BM43" s="697">
        <f t="shared" si="954"/>
        <v>101640</v>
      </c>
      <c r="BN43" s="697">
        <f t="shared" si="954"/>
        <v>122281</v>
      </c>
      <c r="BO43" s="697"/>
      <c r="BP43" s="696"/>
      <c r="BQ43" s="697">
        <f t="shared" ref="BQ43:BU43" si="955">SUM(BQ41,BQ39,BQ37,BQ35)</f>
        <v>167298</v>
      </c>
      <c r="BR43" s="697">
        <f>SUM(BR41,BR39,BR37,BR35)</f>
        <v>138388</v>
      </c>
      <c r="BS43" s="697">
        <f t="shared" si="955"/>
        <v>146817</v>
      </c>
      <c r="BT43" s="697">
        <f t="shared" si="955"/>
        <v>115253</v>
      </c>
      <c r="BU43" s="697">
        <f t="shared" si="955"/>
        <v>113968</v>
      </c>
      <c r="BV43" s="697">
        <f>SUM(BV41,BV39,BV37,BV35)</f>
        <v>118555</v>
      </c>
      <c r="BW43" s="701"/>
      <c r="BX43" s="849"/>
      <c r="BY43" s="697">
        <f t="shared" ref="BY43:CC43" si="956">SUM(BY41,BY39,BY37,BY35)</f>
        <v>172380</v>
      </c>
      <c r="BZ43" s="697">
        <f t="shared" si="956"/>
        <v>146810</v>
      </c>
      <c r="CA43" s="697">
        <f t="shared" si="956"/>
        <v>132172</v>
      </c>
      <c r="CB43" s="697">
        <f t="shared" si="956"/>
        <v>112068</v>
      </c>
      <c r="CC43" s="697">
        <f t="shared" si="956"/>
        <v>114902</v>
      </c>
      <c r="CD43" s="697">
        <f>SUM(CD41,CD39,CD37,CD35)</f>
        <v>118349</v>
      </c>
      <c r="CE43" s="193"/>
      <c r="CF43" s="191"/>
      <c r="CG43" s="697">
        <f t="shared" ref="CG43:CK43" si="957">SUM(CG41,CG39,CG37,CG35)</f>
        <v>178385</v>
      </c>
      <c r="CH43" s="697">
        <f t="shared" si="957"/>
        <v>140386</v>
      </c>
      <c r="CI43" s="697">
        <f t="shared" si="957"/>
        <v>130018</v>
      </c>
      <c r="CJ43" s="697">
        <f t="shared" si="957"/>
        <v>117094</v>
      </c>
      <c r="CK43" s="697">
        <f t="shared" si="957"/>
        <v>108287</v>
      </c>
      <c r="CL43" s="697">
        <f>SUM(CL41,CL39,CL37,CL35)</f>
        <v>117681</v>
      </c>
      <c r="CM43" s="193"/>
      <c r="CN43" s="191"/>
      <c r="CO43" s="697">
        <f t="shared" ref="CO43:CS43" si="958">SUM(CO41,CO39,CO37,CO35)</f>
        <v>168248</v>
      </c>
      <c r="CP43" s="697">
        <f t="shared" si="958"/>
        <v>131451</v>
      </c>
      <c r="CQ43" s="697">
        <f t="shared" si="958"/>
        <v>141354</v>
      </c>
      <c r="CR43" s="697">
        <f t="shared" si="958"/>
        <v>126356</v>
      </c>
      <c r="CS43" s="697">
        <f t="shared" si="958"/>
        <v>115432</v>
      </c>
      <c r="CT43" s="697">
        <f>SUM(CT41,CT39,CT37,CT35)</f>
        <v>120296</v>
      </c>
      <c r="CU43" s="193"/>
      <c r="CV43" s="191"/>
      <c r="CW43" s="697">
        <f t="shared" ref="CW43:DA43" si="959">SUM(CW41,CW39,CW37,CW35)</f>
        <v>179740</v>
      </c>
      <c r="CX43" s="697">
        <f t="shared" si="959"/>
        <v>125716</v>
      </c>
      <c r="CY43" s="697">
        <f t="shared" si="959"/>
        <v>137609</v>
      </c>
      <c r="CZ43" s="697">
        <f t="shared" si="959"/>
        <v>118887</v>
      </c>
      <c r="DA43" s="697">
        <f t="shared" si="959"/>
        <v>115355</v>
      </c>
      <c r="DB43" s="697">
        <f>SUM(DB41,DB39,DB37,DB35)</f>
        <v>126578</v>
      </c>
      <c r="DC43" s="193"/>
      <c r="DD43" s="191"/>
      <c r="DE43" s="697">
        <f t="shared" ref="DE43:DJ43" si="960">SUM(DE41,DE39,DE37,DE35)</f>
        <v>168162</v>
      </c>
      <c r="DF43" s="697">
        <f t="shared" si="960"/>
        <v>133681</v>
      </c>
      <c r="DG43" s="697">
        <f t="shared" si="960"/>
        <v>130361</v>
      </c>
      <c r="DH43" s="697">
        <f t="shared" si="960"/>
        <v>93843</v>
      </c>
      <c r="DI43" s="697">
        <f t="shared" si="960"/>
        <v>127302</v>
      </c>
      <c r="DJ43" s="697">
        <f t="shared" si="960"/>
        <v>0</v>
      </c>
      <c r="DK43" s="193"/>
      <c r="DL43" s="191"/>
      <c r="DM43" s="697">
        <f t="shared" ref="DM43:DR43" si="961">SUM(DM41,DM39,DM37,DM35)</f>
        <v>182487</v>
      </c>
      <c r="DN43" s="697">
        <f t="shared" si="961"/>
        <v>142229</v>
      </c>
      <c r="DO43" s="697">
        <f t="shared" si="961"/>
        <v>132766</v>
      </c>
      <c r="DP43" s="697">
        <f t="shared" si="961"/>
        <v>134611</v>
      </c>
      <c r="DQ43" s="697">
        <f t="shared" si="961"/>
        <v>115627</v>
      </c>
      <c r="DR43" s="697">
        <f t="shared" si="961"/>
        <v>115002</v>
      </c>
      <c r="DS43" s="193"/>
      <c r="DT43" s="191"/>
      <c r="DU43" s="697">
        <f t="shared" ref="DU43:DZ43" si="962">SUM(DU41,DU39,DU37,DU35)</f>
        <v>0</v>
      </c>
      <c r="DV43" s="697">
        <f t="shared" si="962"/>
        <v>168368</v>
      </c>
      <c r="DW43" s="697">
        <f t="shared" si="962"/>
        <v>133836</v>
      </c>
      <c r="DX43" s="697">
        <f t="shared" si="962"/>
        <v>126397</v>
      </c>
      <c r="DY43" s="697">
        <f t="shared" si="962"/>
        <v>84282</v>
      </c>
      <c r="DZ43" s="697">
        <f t="shared" si="962"/>
        <v>113138</v>
      </c>
      <c r="EA43" s="193"/>
      <c r="EB43" s="191"/>
      <c r="EC43" s="697">
        <f t="shared" ref="EC43:EH43" si="963">SUM(EC41,EC39,EC37,EC35)</f>
        <v>169436</v>
      </c>
      <c r="ED43" s="697">
        <f t="shared" si="963"/>
        <v>154684</v>
      </c>
      <c r="EE43" s="697">
        <f t="shared" si="963"/>
        <v>110728</v>
      </c>
      <c r="EF43" s="697">
        <f t="shared" si="963"/>
        <v>128982</v>
      </c>
      <c r="EG43" s="697">
        <f t="shared" si="963"/>
        <v>132405</v>
      </c>
      <c r="EH43" s="697">
        <f t="shared" si="963"/>
        <v>0</v>
      </c>
      <c r="EI43" s="193"/>
      <c r="EJ43" s="191"/>
      <c r="EK43" s="697">
        <f t="shared" ref="EK43:EP43" si="964">SUM(EK41,EK39,EK37,EK35)</f>
        <v>170482</v>
      </c>
      <c r="EL43" s="697">
        <f t="shared" si="964"/>
        <v>149470</v>
      </c>
      <c r="EM43" s="697">
        <f t="shared" si="964"/>
        <v>155116</v>
      </c>
      <c r="EN43" s="697">
        <f t="shared" si="964"/>
        <v>124699</v>
      </c>
      <c r="EO43" s="697">
        <f t="shared" si="964"/>
        <v>111161</v>
      </c>
      <c r="EP43" s="697">
        <f t="shared" si="964"/>
        <v>129179</v>
      </c>
      <c r="EQ43" s="193"/>
      <c r="ER43" s="191"/>
      <c r="ES43" s="697">
        <f t="shared" ref="ES43:EX43" si="965">SUM(ES41,ES39,ES37,ES35)</f>
        <v>186487</v>
      </c>
      <c r="ET43" s="697">
        <f t="shared" si="965"/>
        <v>153870</v>
      </c>
      <c r="EU43" s="697">
        <f t="shared" si="965"/>
        <v>147427</v>
      </c>
      <c r="EV43" s="697">
        <f t="shared" si="965"/>
        <v>117933</v>
      </c>
      <c r="EW43" s="697">
        <f t="shared" si="965"/>
        <v>100323</v>
      </c>
      <c r="EX43" s="697">
        <f t="shared" si="965"/>
        <v>130080</v>
      </c>
      <c r="EY43" s="193"/>
      <c r="EZ43" s="191"/>
      <c r="FA43" s="697">
        <f t="shared" ref="FA43:FF43" si="966">SUM(FA41,FA39,FA37,FA35)</f>
        <v>173727</v>
      </c>
      <c r="FB43" s="697">
        <f t="shared" si="966"/>
        <v>128958</v>
      </c>
      <c r="FC43" s="697">
        <f t="shared" si="966"/>
        <v>127760</v>
      </c>
      <c r="FD43" s="697">
        <f t="shared" si="966"/>
        <v>111527</v>
      </c>
      <c r="FE43" s="697">
        <f t="shared" si="966"/>
        <v>97026</v>
      </c>
      <c r="FF43" s="697">
        <f t="shared" si="966"/>
        <v>0</v>
      </c>
      <c r="FG43" s="193"/>
      <c r="FH43" s="191"/>
      <c r="FI43" s="697">
        <f t="shared" ref="FI43:FN43" si="967">SUM(FI41,FI39,FI37,FI35)</f>
        <v>181258</v>
      </c>
      <c r="FJ43" s="697">
        <f t="shared" si="967"/>
        <v>118981</v>
      </c>
      <c r="FK43" s="697">
        <f t="shared" si="967"/>
        <v>128611</v>
      </c>
      <c r="FL43" s="697">
        <f t="shared" si="967"/>
        <v>0</v>
      </c>
      <c r="FM43" s="697">
        <f t="shared" si="967"/>
        <v>103904</v>
      </c>
      <c r="FN43" s="697">
        <f t="shared" si="967"/>
        <v>0</v>
      </c>
      <c r="FO43" s="193"/>
      <c r="FP43" s="191"/>
      <c r="FQ43" s="697">
        <f t="shared" ref="FQ43:FV43" si="968">SUM(FQ41,FQ39,FQ37,FQ35)</f>
        <v>196913</v>
      </c>
      <c r="FR43" s="697">
        <f t="shared" si="968"/>
        <v>133246</v>
      </c>
      <c r="FS43" s="697">
        <f t="shared" si="968"/>
        <v>139580</v>
      </c>
      <c r="FT43" s="697">
        <f t="shared" si="968"/>
        <v>130209</v>
      </c>
      <c r="FU43" s="697">
        <f t="shared" si="968"/>
        <v>119226</v>
      </c>
      <c r="FV43" s="697">
        <f t="shared" si="968"/>
        <v>125637</v>
      </c>
      <c r="FW43" s="697"/>
      <c r="FX43" s="191"/>
      <c r="FY43" s="697"/>
      <c r="FZ43" s="697">
        <f>SUM(FZ41,FZ39,FZ37,FZ35)</f>
        <v>179278</v>
      </c>
      <c r="GA43" s="697">
        <f>SUM(GA41,GA39,GA37,GA35)</f>
        <v>136405</v>
      </c>
      <c r="GB43" s="697">
        <f>SUM(GB41,GB39,GB37,GB35)</f>
        <v>140483</v>
      </c>
      <c r="GC43" s="697">
        <f>SUM(GC41,GC39,GC37,GC35)</f>
        <v>122532</v>
      </c>
      <c r="GD43" s="697">
        <f>SUM(GD41,GD39,GD37,GD35)</f>
        <v>123367</v>
      </c>
      <c r="GE43" s="193"/>
      <c r="GF43" s="191"/>
      <c r="GG43" s="697">
        <f t="shared" ref="GG43:GL43" si="969">SUM(GG41,GG39,GG37,GG35)</f>
        <v>169126</v>
      </c>
      <c r="GH43" s="697">
        <f t="shared" si="969"/>
        <v>144862</v>
      </c>
      <c r="GI43" s="697">
        <f t="shared" si="969"/>
        <v>139110</v>
      </c>
      <c r="GJ43" s="697">
        <f t="shared" si="969"/>
        <v>120488</v>
      </c>
      <c r="GK43" s="697">
        <f t="shared" si="969"/>
        <v>123907</v>
      </c>
      <c r="GL43" s="697">
        <f t="shared" si="969"/>
        <v>123646</v>
      </c>
      <c r="GM43" s="193"/>
      <c r="GN43" s="191">
        <f t="shared" si="925"/>
        <v>798938</v>
      </c>
      <c r="GO43" s="697">
        <f t="shared" ref="GO43:GT43" si="970">SUM(GO41,GO39,GO37,GO35)</f>
        <v>170495</v>
      </c>
      <c r="GP43" s="697">
        <f t="shared" si="970"/>
        <v>141000</v>
      </c>
      <c r="GQ43" s="697">
        <f t="shared" si="970"/>
        <v>132533</v>
      </c>
      <c r="GR43" s="697">
        <f t="shared" si="970"/>
        <v>119971</v>
      </c>
      <c r="GS43" s="697">
        <f t="shared" si="970"/>
        <v>121163</v>
      </c>
      <c r="GT43" s="697">
        <f t="shared" si="970"/>
        <v>113776</v>
      </c>
      <c r="GU43" s="193"/>
      <c r="GV43" s="191">
        <f t="shared" si="926"/>
        <v>787441</v>
      </c>
      <c r="GW43" s="697">
        <f t="shared" ref="GW43:HB43" si="971">SUM(GW41,GW39,GW37,GW35)</f>
        <v>172536</v>
      </c>
      <c r="GX43" s="697">
        <f t="shared" si="971"/>
        <v>145991</v>
      </c>
      <c r="GY43" s="697">
        <f t="shared" si="971"/>
        <v>134171</v>
      </c>
      <c r="GZ43" s="697">
        <f t="shared" si="971"/>
        <v>120461</v>
      </c>
      <c r="HA43" s="697">
        <f t="shared" si="971"/>
        <v>100963</v>
      </c>
      <c r="HB43" s="697">
        <f t="shared" si="971"/>
        <v>113319</v>
      </c>
      <c r="HC43" s="169"/>
      <c r="HD43" s="191">
        <f t="shared" si="927"/>
        <v>679098</v>
      </c>
      <c r="HE43" s="697">
        <f t="shared" ref="HE43:HJ43" si="972">SUM(HE41,HE39,HE37,HE35)</f>
        <v>151055</v>
      </c>
      <c r="HF43" s="697">
        <f t="shared" si="972"/>
        <v>127082</v>
      </c>
      <c r="HG43" s="697">
        <f t="shared" si="972"/>
        <v>110678</v>
      </c>
      <c r="HH43" s="697">
        <f t="shared" si="972"/>
        <v>93465</v>
      </c>
      <c r="HI43" s="697">
        <f t="shared" si="972"/>
        <v>93448</v>
      </c>
      <c r="HJ43" s="697">
        <f t="shared" si="972"/>
        <v>103370</v>
      </c>
      <c r="HK43" s="169"/>
      <c r="HL43" s="191">
        <f t="shared" si="928"/>
        <v>625829</v>
      </c>
      <c r="HM43" s="697">
        <f t="shared" ref="HM43:HR43" si="973">SUM(HM41,HM39,HM37,HM35)</f>
        <v>142193</v>
      </c>
      <c r="HN43" s="697">
        <f t="shared" si="973"/>
        <v>110062</v>
      </c>
      <c r="HO43" s="697">
        <f t="shared" si="973"/>
        <v>105151</v>
      </c>
      <c r="HP43" s="697">
        <f t="shared" si="973"/>
        <v>110858</v>
      </c>
      <c r="HQ43" s="697">
        <f t="shared" si="973"/>
        <v>97692</v>
      </c>
      <c r="HR43" s="697">
        <f t="shared" si="973"/>
        <v>59873</v>
      </c>
      <c r="HS43" s="193"/>
      <c r="HT43" s="191">
        <f t="shared" si="929"/>
        <v>562332</v>
      </c>
      <c r="HU43" s="697">
        <f t="shared" ref="HU43:HZ43" si="974">SUM(HU41,HU39,HU37,HU35)</f>
        <v>133224</v>
      </c>
      <c r="HV43" s="697">
        <f t="shared" si="974"/>
        <v>110069</v>
      </c>
      <c r="HW43" s="697">
        <f t="shared" si="974"/>
        <v>124554</v>
      </c>
      <c r="HX43" s="697">
        <f t="shared" si="974"/>
        <v>0</v>
      </c>
      <c r="HY43" s="697">
        <f t="shared" si="974"/>
        <v>98789</v>
      </c>
      <c r="HZ43" s="697">
        <f t="shared" si="974"/>
        <v>95696</v>
      </c>
      <c r="IA43" s="697">
        <f t="shared" ref="IA43:JF43" si="975">SUM(IA41,IA39,IA37,IA35)</f>
        <v>0</v>
      </c>
      <c r="IB43" s="696">
        <f t="shared" si="975"/>
        <v>292829</v>
      </c>
      <c r="IC43" s="697">
        <f t="shared" si="975"/>
        <v>141335</v>
      </c>
      <c r="ID43" s="697">
        <f t="shared" si="975"/>
        <v>111381</v>
      </c>
      <c r="IE43" s="697">
        <f t="shared" si="975"/>
        <v>102476</v>
      </c>
      <c r="IF43" s="697">
        <f t="shared" si="975"/>
        <v>98388</v>
      </c>
      <c r="IG43" s="697">
        <f t="shared" si="975"/>
        <v>96733</v>
      </c>
      <c r="IH43" s="697">
        <f t="shared" si="975"/>
        <v>92750</v>
      </c>
      <c r="II43" s="697">
        <f t="shared" si="975"/>
        <v>0</v>
      </c>
      <c r="IJ43" s="696">
        <f t="shared" si="975"/>
        <v>316160</v>
      </c>
      <c r="IK43" s="697">
        <f t="shared" si="975"/>
        <v>138697</v>
      </c>
      <c r="IL43" s="697">
        <f t="shared" si="975"/>
        <v>116910</v>
      </c>
      <c r="IM43" s="697">
        <f t="shared" si="975"/>
        <v>103515</v>
      </c>
      <c r="IN43" s="697">
        <f t="shared" si="975"/>
        <v>91562</v>
      </c>
      <c r="IO43" s="697">
        <f t="shared" si="975"/>
        <v>101050</v>
      </c>
      <c r="IP43" s="697">
        <f t="shared" si="975"/>
        <v>89989</v>
      </c>
      <c r="IQ43" s="697">
        <f t="shared" si="975"/>
        <v>0</v>
      </c>
      <c r="IR43" s="697">
        <f t="shared" si="975"/>
        <v>0</v>
      </c>
      <c r="IS43" s="697">
        <f t="shared" si="975"/>
        <v>133472</v>
      </c>
      <c r="IT43" s="697">
        <f t="shared" si="975"/>
        <v>114179</v>
      </c>
      <c r="IU43" s="697">
        <f t="shared" si="975"/>
        <v>103319</v>
      </c>
      <c r="IV43" s="697">
        <f t="shared" si="975"/>
        <v>98417</v>
      </c>
      <c r="IW43" s="697">
        <f t="shared" si="975"/>
        <v>97211</v>
      </c>
      <c r="IX43" s="697">
        <f t="shared" si="975"/>
        <v>92115</v>
      </c>
      <c r="IY43" s="697">
        <f t="shared" si="975"/>
        <v>0</v>
      </c>
      <c r="IZ43" s="697">
        <f t="shared" si="975"/>
        <v>0</v>
      </c>
      <c r="JA43" s="697">
        <f t="shared" si="975"/>
        <v>0</v>
      </c>
      <c r="JB43" s="697">
        <f t="shared" si="975"/>
        <v>130670</v>
      </c>
      <c r="JC43" s="697">
        <f t="shared" si="975"/>
        <v>115691</v>
      </c>
      <c r="JD43" s="697">
        <f t="shared" si="975"/>
        <v>116294</v>
      </c>
      <c r="JE43" s="697">
        <f t="shared" si="975"/>
        <v>122381</v>
      </c>
      <c r="JF43" s="697">
        <f t="shared" si="975"/>
        <v>0</v>
      </c>
      <c r="JG43" s="697">
        <f t="shared" ref="JG43:KL43" si="976">SUM(JG41,JG39,JG37,JG35)</f>
        <v>0</v>
      </c>
      <c r="JH43" s="697">
        <f t="shared" si="976"/>
        <v>0</v>
      </c>
      <c r="JI43" s="697">
        <f t="shared" si="976"/>
        <v>202838</v>
      </c>
      <c r="JJ43" s="697">
        <f t="shared" si="976"/>
        <v>119234</v>
      </c>
      <c r="JK43" s="697">
        <f t="shared" si="976"/>
        <v>110785</v>
      </c>
      <c r="JL43" s="697">
        <f t="shared" si="976"/>
        <v>120609</v>
      </c>
      <c r="JM43" s="697">
        <f t="shared" si="976"/>
        <v>116846</v>
      </c>
      <c r="JN43" s="697">
        <f t="shared" si="976"/>
        <v>115933</v>
      </c>
      <c r="JO43" s="697">
        <f t="shared" si="976"/>
        <v>0</v>
      </c>
      <c r="JP43" s="697">
        <f t="shared" si="976"/>
        <v>0</v>
      </c>
      <c r="JQ43" s="697">
        <f t="shared" si="976"/>
        <v>206456</v>
      </c>
      <c r="JR43" s="697">
        <f t="shared" si="976"/>
        <v>135915</v>
      </c>
      <c r="JS43" s="697">
        <f t="shared" si="976"/>
        <v>151004</v>
      </c>
      <c r="JT43" s="697">
        <f t="shared" si="976"/>
        <v>126585</v>
      </c>
      <c r="JU43" s="697">
        <f t="shared" si="976"/>
        <v>129748</v>
      </c>
      <c r="JV43" s="697">
        <f t="shared" si="976"/>
        <v>116980</v>
      </c>
      <c r="JW43" s="697">
        <f t="shared" si="976"/>
        <v>0</v>
      </c>
      <c r="JX43" s="697">
        <f t="shared" si="976"/>
        <v>0</v>
      </c>
      <c r="JY43" s="697">
        <f t="shared" si="976"/>
        <v>167949</v>
      </c>
      <c r="JZ43" s="697">
        <f t="shared" si="976"/>
        <v>145683</v>
      </c>
      <c r="KA43" s="697">
        <f t="shared" si="976"/>
        <v>145327</v>
      </c>
      <c r="KB43" s="697">
        <f t="shared" si="976"/>
        <v>143135</v>
      </c>
      <c r="KC43" s="697">
        <f t="shared" si="976"/>
        <v>130213</v>
      </c>
      <c r="KD43" s="697">
        <f t="shared" si="976"/>
        <v>102622</v>
      </c>
      <c r="KE43" s="697">
        <f t="shared" si="976"/>
        <v>0</v>
      </c>
      <c r="KF43" s="697">
        <f t="shared" si="976"/>
        <v>0</v>
      </c>
      <c r="KG43" s="697">
        <f t="shared" si="976"/>
        <v>232359</v>
      </c>
      <c r="KH43" s="697">
        <f t="shared" si="976"/>
        <v>137320</v>
      </c>
      <c r="KI43" s="697">
        <f t="shared" si="976"/>
        <v>133523</v>
      </c>
      <c r="KJ43" s="697">
        <f t="shared" si="976"/>
        <v>101314</v>
      </c>
      <c r="KK43" s="697">
        <f t="shared" si="976"/>
        <v>117213</v>
      </c>
      <c r="KL43" s="697">
        <f t="shared" si="976"/>
        <v>115069</v>
      </c>
      <c r="KM43" s="697">
        <f t="shared" ref="KM43:LQ43" si="977">SUM(KM41,KM39,KM37,KM35)</f>
        <v>0</v>
      </c>
      <c r="KN43" s="697">
        <f t="shared" si="977"/>
        <v>0</v>
      </c>
      <c r="KO43" s="697">
        <f t="shared" si="977"/>
        <v>164340</v>
      </c>
      <c r="KP43" s="697">
        <f t="shared" si="977"/>
        <v>135981</v>
      </c>
      <c r="KQ43" s="697">
        <f t="shared" si="977"/>
        <v>142589</v>
      </c>
      <c r="KR43" s="697">
        <f t="shared" si="977"/>
        <v>115566</v>
      </c>
      <c r="KS43" s="697">
        <f t="shared" si="977"/>
        <v>97846</v>
      </c>
      <c r="KT43" s="697">
        <f t="shared" si="977"/>
        <v>85021</v>
      </c>
      <c r="KU43" s="697">
        <f t="shared" si="977"/>
        <v>0</v>
      </c>
      <c r="KV43" s="697">
        <f t="shared" si="977"/>
        <v>0</v>
      </c>
      <c r="KW43" s="697">
        <f t="shared" si="977"/>
        <v>160212</v>
      </c>
      <c r="KX43" s="697">
        <f t="shared" si="977"/>
        <v>125029</v>
      </c>
      <c r="KY43" s="697">
        <f t="shared" si="977"/>
        <v>142802</v>
      </c>
      <c r="KZ43" s="697">
        <f t="shared" si="977"/>
        <v>121317</v>
      </c>
      <c r="LA43" s="697">
        <f t="shared" si="977"/>
        <v>124708</v>
      </c>
      <c r="LB43" s="697">
        <f t="shared" si="977"/>
        <v>130537</v>
      </c>
      <c r="LC43" s="697">
        <f t="shared" si="977"/>
        <v>0</v>
      </c>
      <c r="LD43" s="697">
        <f>SUM(LD41,LD39,LD37,LD35)</f>
        <v>0</v>
      </c>
      <c r="LE43" s="697">
        <f t="shared" si="977"/>
        <v>183447</v>
      </c>
      <c r="LF43" s="697">
        <f t="shared" si="977"/>
        <v>143935</v>
      </c>
      <c r="LG43" s="697">
        <f t="shared" si="977"/>
        <v>150283</v>
      </c>
      <c r="LH43" s="697">
        <f t="shared" si="977"/>
        <v>141251</v>
      </c>
      <c r="LI43" s="697">
        <f t="shared" si="977"/>
        <v>129805</v>
      </c>
      <c r="LJ43" s="697">
        <f t="shared" si="977"/>
        <v>119933</v>
      </c>
      <c r="LK43" s="697">
        <f t="shared" si="977"/>
        <v>0</v>
      </c>
      <c r="LL43" s="697">
        <f>SUM(LL41,LL39,LL37,LL35)</f>
        <v>0</v>
      </c>
      <c r="LM43" s="697">
        <f t="shared" si="977"/>
        <v>159275</v>
      </c>
      <c r="LN43" s="697">
        <f t="shared" si="977"/>
        <v>157751</v>
      </c>
      <c r="LO43" s="697">
        <f t="shared" si="977"/>
        <v>134487</v>
      </c>
      <c r="LP43" s="697">
        <f t="shared" si="977"/>
        <v>136630</v>
      </c>
      <c r="LQ43" s="697">
        <f t="shared" si="977"/>
        <v>115863</v>
      </c>
      <c r="LR43" s="697">
        <f t="shared" ref="LR43:LZ43" si="978">SUM(LR41,LR39,LR37,LR35)</f>
        <v>120017</v>
      </c>
      <c r="LS43" s="697">
        <f t="shared" si="978"/>
        <v>0</v>
      </c>
      <c r="LT43" s="697">
        <f t="shared" si="978"/>
        <v>0</v>
      </c>
      <c r="LU43" s="169">
        <f t="shared" si="978"/>
        <v>157844</v>
      </c>
      <c r="LV43" s="169">
        <f t="shared" si="978"/>
        <v>143512</v>
      </c>
      <c r="LW43" s="169">
        <f t="shared" si="978"/>
        <v>146708</v>
      </c>
      <c r="LX43" s="169">
        <f t="shared" si="978"/>
        <v>122119</v>
      </c>
      <c r="LY43" s="169">
        <f t="shared" si="978"/>
        <v>104732</v>
      </c>
      <c r="LZ43" s="169">
        <f t="shared" si="978"/>
        <v>113810</v>
      </c>
      <c r="MA43" s="193"/>
      <c r="MB43" s="697">
        <f>SUM(MB41,MB39,MB37,MB35)</f>
        <v>0</v>
      </c>
      <c r="MC43" s="169">
        <f>SUM(MC41,MC39,MC37,MC35)</f>
        <v>157004</v>
      </c>
      <c r="MD43" s="169">
        <f t="shared" ref="MD43:MH43" si="979">SUM(MD41,MD39,MD37,MD35)</f>
        <v>125198</v>
      </c>
      <c r="ME43" s="169">
        <f t="shared" si="979"/>
        <v>132519</v>
      </c>
      <c r="MF43" s="169">
        <f t="shared" si="979"/>
        <v>121487</v>
      </c>
      <c r="MG43" s="169">
        <f t="shared" si="979"/>
        <v>107211</v>
      </c>
      <c r="MH43" s="169">
        <f t="shared" si="979"/>
        <v>165972</v>
      </c>
      <c r="MI43" s="169"/>
      <c r="MJ43" s="697">
        <f t="shared" si="932"/>
        <v>792736</v>
      </c>
      <c r="MK43" s="169">
        <f t="shared" ref="MK43:MQ43" si="980">SUM(MK41,MK39,MK37,MK35)</f>
        <v>145688</v>
      </c>
      <c r="ML43" s="169">
        <f t="shared" si="980"/>
        <v>0</v>
      </c>
      <c r="MM43" s="169">
        <f t="shared" si="980"/>
        <v>196709</v>
      </c>
      <c r="MN43" s="169">
        <f t="shared" si="980"/>
        <v>142596</v>
      </c>
      <c r="MO43" s="169">
        <f t="shared" si="980"/>
        <v>172094</v>
      </c>
      <c r="MP43" s="169">
        <f t="shared" si="980"/>
        <v>135649</v>
      </c>
      <c r="MQ43" s="169">
        <f t="shared" si="980"/>
        <v>0</v>
      </c>
      <c r="MR43" s="169">
        <f t="shared" si="919"/>
        <v>837820</v>
      </c>
      <c r="MS43" s="169">
        <f t="shared" ref="MS43:MY43" si="981">SUM(MS41,MS39,MS37,MS35)</f>
        <v>169605</v>
      </c>
      <c r="MT43" s="169">
        <f t="shared" si="981"/>
        <v>281438</v>
      </c>
      <c r="MU43" s="169">
        <f t="shared" si="981"/>
        <v>110302</v>
      </c>
      <c r="MV43" s="169">
        <f t="shared" si="981"/>
        <v>172729</v>
      </c>
      <c r="MW43" s="169">
        <f t="shared" si="981"/>
        <v>0</v>
      </c>
      <c r="MX43" s="169">
        <f t="shared" si="981"/>
        <v>103746</v>
      </c>
      <c r="MY43" s="169">
        <f t="shared" si="981"/>
        <v>0</v>
      </c>
      <c r="MZ43" s="169">
        <f t="shared" si="920"/>
        <v>928872</v>
      </c>
      <c r="NA43" s="169">
        <f t="shared" ref="NA43:NG43" si="982">SUM(NA41,NA39,NA37,NA35)</f>
        <v>167442</v>
      </c>
      <c r="NB43" s="169">
        <f t="shared" si="982"/>
        <v>149827</v>
      </c>
      <c r="NC43" s="169">
        <f t="shared" si="982"/>
        <v>179289</v>
      </c>
      <c r="ND43" s="169">
        <f t="shared" si="982"/>
        <v>178788</v>
      </c>
      <c r="NE43" s="169">
        <f t="shared" si="982"/>
        <v>128461</v>
      </c>
      <c r="NF43" s="169">
        <f t="shared" si="982"/>
        <v>125065</v>
      </c>
      <c r="NG43" s="169">
        <f t="shared" si="982"/>
        <v>0</v>
      </c>
      <c r="NH43" s="191">
        <f t="shared" si="921"/>
        <v>847040</v>
      </c>
      <c r="NI43" s="169">
        <f t="shared" ref="NI43:NO43" si="983">SUM(NI35,NI37,NI39,NI41)</f>
        <v>194927</v>
      </c>
      <c r="NJ43" s="169">
        <f t="shared" si="983"/>
        <v>126457</v>
      </c>
      <c r="NK43" s="169">
        <f t="shared" si="983"/>
        <v>142679</v>
      </c>
      <c r="NL43" s="169">
        <f t="shared" si="983"/>
        <v>120376</v>
      </c>
      <c r="NM43" s="169">
        <f>SUM(NM35,NM37,NM39,NM41)</f>
        <v>125592</v>
      </c>
      <c r="NN43" s="169">
        <f t="shared" si="983"/>
        <v>137009</v>
      </c>
      <c r="NO43" s="193">
        <f t="shared" si="983"/>
        <v>0</v>
      </c>
      <c r="NP43" s="191">
        <f t="shared" si="922"/>
        <v>988330</v>
      </c>
      <c r="NQ43" s="169">
        <v>229306</v>
      </c>
      <c r="NR43" s="169">
        <f t="shared" ref="NR43:PC43" si="984">SUM(NR41,NR39,NR37,NR35)</f>
        <v>171062</v>
      </c>
      <c r="NS43" s="169">
        <f t="shared" si="984"/>
        <v>164939</v>
      </c>
      <c r="NT43" s="169">
        <f t="shared" si="984"/>
        <v>163951</v>
      </c>
      <c r="NU43" s="169">
        <f t="shared" si="984"/>
        <v>133453</v>
      </c>
      <c r="NV43" s="169">
        <f t="shared" si="984"/>
        <v>125619</v>
      </c>
      <c r="NW43" s="169">
        <f t="shared" si="984"/>
        <v>0</v>
      </c>
      <c r="NX43" s="169">
        <f t="shared" si="984"/>
        <v>0</v>
      </c>
      <c r="NY43" s="169">
        <f t="shared" si="984"/>
        <v>160397</v>
      </c>
      <c r="NZ43" s="169">
        <f t="shared" si="984"/>
        <v>158606</v>
      </c>
      <c r="OA43" s="169">
        <f t="shared" si="984"/>
        <v>136450</v>
      </c>
      <c r="OB43" s="169">
        <f t="shared" si="984"/>
        <v>130393</v>
      </c>
      <c r="OC43" s="169">
        <f t="shared" si="984"/>
        <v>119185</v>
      </c>
      <c r="OD43" s="169">
        <f t="shared" si="984"/>
        <v>129387</v>
      </c>
      <c r="OE43" s="169">
        <f t="shared" si="984"/>
        <v>0</v>
      </c>
      <c r="OF43" s="665">
        <f>SUM(OG43:OL43)</f>
        <v>830716</v>
      </c>
      <c r="OG43" s="169">
        <f t="shared" si="984"/>
        <v>202929</v>
      </c>
      <c r="OH43" s="169">
        <f t="shared" si="984"/>
        <v>136161</v>
      </c>
      <c r="OI43" s="169">
        <f t="shared" si="984"/>
        <v>150172</v>
      </c>
      <c r="OJ43" s="169">
        <f t="shared" si="984"/>
        <v>117070</v>
      </c>
      <c r="OK43" s="169">
        <f t="shared" si="984"/>
        <v>119092</v>
      </c>
      <c r="OL43" s="169">
        <f t="shared" si="984"/>
        <v>105292</v>
      </c>
      <c r="OM43" s="169">
        <f t="shared" si="984"/>
        <v>0</v>
      </c>
      <c r="ON43" s="665">
        <f>SUM(OO43:OT43)</f>
        <v>884533</v>
      </c>
      <c r="OO43" s="169">
        <f t="shared" si="984"/>
        <v>159540</v>
      </c>
      <c r="OP43" s="169">
        <f t="shared" si="984"/>
        <v>173634</v>
      </c>
      <c r="OQ43" s="169">
        <f t="shared" si="984"/>
        <v>163462</v>
      </c>
      <c r="OR43" s="169">
        <f t="shared" si="984"/>
        <v>164681</v>
      </c>
      <c r="OS43" s="169">
        <f t="shared" si="984"/>
        <v>128625</v>
      </c>
      <c r="OT43" s="169">
        <f t="shared" si="984"/>
        <v>94591</v>
      </c>
      <c r="OU43" s="169">
        <f t="shared" si="984"/>
        <v>0</v>
      </c>
      <c r="OV43" s="169">
        <f>SUM(OW43:PB43)</f>
        <v>751758</v>
      </c>
      <c r="OW43" s="169">
        <f t="shared" si="984"/>
        <v>141472</v>
      </c>
      <c r="OX43" s="169">
        <f t="shared" si="984"/>
        <v>149324</v>
      </c>
      <c r="OY43" s="169">
        <f t="shared" si="984"/>
        <v>120697</v>
      </c>
      <c r="OZ43" s="169">
        <f t="shared" si="984"/>
        <v>119795</v>
      </c>
      <c r="PA43" s="169">
        <f t="shared" si="984"/>
        <v>117869</v>
      </c>
      <c r="PB43" s="169">
        <f t="shared" si="984"/>
        <v>102601</v>
      </c>
      <c r="PC43" s="169">
        <f t="shared" si="984"/>
        <v>0</v>
      </c>
    </row>
    <row r="44" spans="1:419" ht="15" thickBot="1" x14ac:dyDescent="0.35">
      <c r="B44" s="973" t="s">
        <v>222</v>
      </c>
      <c r="C44" s="765" t="s">
        <v>273</v>
      </c>
      <c r="D44" s="157"/>
      <c r="E44" s="158"/>
      <c r="F44" s="158"/>
      <c r="G44" s="158"/>
      <c r="H44" s="158"/>
      <c r="I44" s="158"/>
      <c r="J44" s="158"/>
      <c r="K44" s="783"/>
      <c r="L44" s="157"/>
      <c r="M44" s="158"/>
      <c r="N44" s="158"/>
      <c r="O44" s="158"/>
      <c r="P44" s="158"/>
      <c r="Q44" s="158"/>
      <c r="R44" s="158"/>
      <c r="S44" s="783"/>
      <c r="T44" s="452"/>
      <c r="U44" s="452"/>
      <c r="V44" s="452"/>
      <c r="W44" s="452"/>
      <c r="X44" s="452"/>
      <c r="Y44" s="452"/>
      <c r="Z44" s="452"/>
      <c r="AA44" s="452"/>
      <c r="AB44" s="452"/>
      <c r="AC44" s="452"/>
      <c r="AD44" s="452"/>
      <c r="AE44" s="452"/>
      <c r="AF44" s="452"/>
      <c r="AG44" s="452"/>
      <c r="AH44" s="452"/>
      <c r="AI44" s="452"/>
      <c r="AJ44" s="452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BA44" s="452"/>
      <c r="BB44" s="452"/>
      <c r="BC44" s="452"/>
      <c r="BD44" s="452"/>
      <c r="BE44" s="452"/>
      <c r="BF44" s="452"/>
      <c r="BG44" s="452"/>
      <c r="BI44" s="452"/>
      <c r="BJ44" s="452"/>
      <c r="BK44" s="452"/>
      <c r="BL44" s="452"/>
      <c r="BM44" s="452"/>
      <c r="BN44" s="452"/>
      <c r="BO44" s="452"/>
      <c r="BQ44" s="452"/>
      <c r="BR44" s="452"/>
      <c r="BS44" s="452"/>
      <c r="BT44" s="452"/>
      <c r="BU44" s="452"/>
      <c r="BV44" s="452"/>
      <c r="BW44" s="452"/>
      <c r="BY44" s="452"/>
      <c r="BZ44" s="452"/>
      <c r="CA44" s="452"/>
      <c r="CB44" s="452"/>
      <c r="CC44" s="452"/>
      <c r="CD44" s="452"/>
      <c r="CE44" s="452"/>
      <c r="CF44" s="452"/>
      <c r="CG44" s="452"/>
      <c r="CH44" s="452"/>
      <c r="CI44" s="452"/>
      <c r="CJ44" s="452"/>
      <c r="CK44" s="452"/>
      <c r="CL44" s="452"/>
      <c r="CM44" s="452"/>
      <c r="CN44" s="452"/>
      <c r="CO44" s="452"/>
      <c r="CP44" s="452"/>
      <c r="CQ44" s="452"/>
      <c r="CR44" s="452"/>
      <c r="CS44" s="452"/>
      <c r="CT44" s="452"/>
      <c r="CU44" s="452"/>
      <c r="CV44" s="452"/>
      <c r="CW44" s="452"/>
      <c r="CX44" s="452"/>
      <c r="CY44" s="452"/>
      <c r="CZ44" s="452"/>
      <c r="DA44" s="452"/>
      <c r="DB44" s="452"/>
      <c r="DC44" s="452"/>
      <c r="DD44" s="452"/>
      <c r="DE44" s="452"/>
      <c r="DF44" s="452"/>
      <c r="DG44" s="452"/>
      <c r="DH44" s="452"/>
      <c r="DI44" s="452"/>
      <c r="DJ44" s="452"/>
      <c r="DK44" s="452"/>
      <c r="DL44" s="452"/>
      <c r="DM44" s="452"/>
      <c r="DN44" s="452"/>
      <c r="DO44" s="452"/>
      <c r="DP44" s="452"/>
      <c r="DQ44" s="452"/>
      <c r="DR44" s="452"/>
      <c r="DS44" s="452"/>
      <c r="DT44" s="452"/>
      <c r="DU44" s="452"/>
      <c r="DV44" s="452"/>
      <c r="DW44" s="452"/>
      <c r="DX44" s="452"/>
      <c r="DY44" s="452"/>
      <c r="DZ44" s="452"/>
      <c r="EA44" s="452"/>
      <c r="EB44" s="452"/>
      <c r="EC44" s="452"/>
      <c r="ED44" s="452"/>
      <c r="EE44" s="452"/>
      <c r="EF44" s="452"/>
      <c r="EG44" s="452"/>
      <c r="EH44" s="452"/>
      <c r="EI44" s="452"/>
      <c r="EJ44" s="452"/>
      <c r="EK44" s="452"/>
      <c r="EL44" s="452"/>
      <c r="EM44" s="452"/>
      <c r="EN44" s="452"/>
      <c r="EO44" s="452"/>
      <c r="EP44" s="452"/>
      <c r="EQ44" s="452"/>
      <c r="ER44" s="452"/>
      <c r="ES44" s="452"/>
      <c r="ET44" s="452"/>
      <c r="EU44" s="452"/>
      <c r="EV44" s="452"/>
      <c r="EW44" s="452"/>
      <c r="EX44" s="452"/>
      <c r="EY44" s="452"/>
      <c r="EZ44" s="452"/>
      <c r="FA44" s="452"/>
      <c r="FB44" s="452"/>
      <c r="FC44" s="452"/>
      <c r="FD44" s="452"/>
      <c r="FE44" s="452"/>
      <c r="FF44" s="452"/>
      <c r="FG44" s="452"/>
      <c r="FH44" s="452"/>
      <c r="FI44" s="452"/>
      <c r="FJ44" s="452"/>
      <c r="FK44" s="452"/>
      <c r="FL44" s="452"/>
      <c r="FM44" s="452"/>
      <c r="FN44" s="452"/>
      <c r="FO44" s="452"/>
      <c r="FP44" s="452"/>
      <c r="FQ44" s="452"/>
      <c r="FR44" s="452"/>
      <c r="FS44" s="452"/>
      <c r="FT44" s="452"/>
      <c r="FU44" s="452"/>
      <c r="FV44" s="452"/>
      <c r="FW44" s="452"/>
      <c r="FX44" s="452"/>
      <c r="FY44" s="452"/>
      <c r="FZ44" s="452"/>
      <c r="GA44" s="452"/>
      <c r="GB44" s="452"/>
      <c r="GC44" s="452"/>
      <c r="GD44" s="452"/>
      <c r="GE44" s="452"/>
      <c r="GF44" s="452"/>
      <c r="GG44" s="452"/>
      <c r="GH44" s="452"/>
      <c r="GI44" s="452"/>
      <c r="GJ44" s="452"/>
      <c r="GK44" s="452"/>
      <c r="GL44" s="452"/>
      <c r="GM44" s="452"/>
      <c r="GN44" s="452"/>
      <c r="GO44" s="452"/>
      <c r="GP44" s="452"/>
      <c r="GQ44" s="452"/>
      <c r="GR44" s="452"/>
      <c r="GS44" s="452"/>
      <c r="GT44" s="452"/>
      <c r="GU44" s="452"/>
      <c r="GV44" s="452"/>
      <c r="GW44" s="452"/>
      <c r="GX44" s="452"/>
      <c r="GY44" s="452"/>
      <c r="GZ44" s="452"/>
      <c r="HA44" s="452"/>
      <c r="HB44" s="452"/>
      <c r="HC44" s="452"/>
      <c r="HD44" s="452"/>
      <c r="HE44" s="452"/>
      <c r="HF44" s="452"/>
      <c r="HG44" s="452"/>
      <c r="HH44" s="452"/>
      <c r="HI44" s="452"/>
      <c r="HJ44" s="452"/>
      <c r="HK44" s="452"/>
      <c r="HL44" s="452"/>
      <c r="HM44" s="452"/>
      <c r="HN44" s="452"/>
      <c r="HO44" s="452"/>
      <c r="HP44" s="452"/>
      <c r="HQ44" s="452"/>
      <c r="HR44" s="452"/>
      <c r="HS44" s="452"/>
      <c r="HT44" s="452"/>
      <c r="HU44" s="452"/>
      <c r="HV44" s="452"/>
      <c r="HW44" s="452"/>
      <c r="HX44" s="452"/>
      <c r="HY44" s="452"/>
      <c r="HZ44" s="452"/>
      <c r="IA44" s="452"/>
      <c r="IC44" s="452"/>
      <c r="ID44" s="452"/>
      <c r="IE44" s="452"/>
      <c r="IF44" s="452"/>
      <c r="IG44" s="452"/>
      <c r="IH44" s="452"/>
      <c r="II44" s="452"/>
      <c r="IK44" s="452"/>
      <c r="IL44" s="452"/>
      <c r="IM44" s="452"/>
      <c r="IN44" s="452"/>
      <c r="IO44" s="452"/>
      <c r="IP44" s="452"/>
      <c r="IQ44" s="452"/>
      <c r="IR44" s="452"/>
      <c r="IS44" s="452"/>
      <c r="IT44" s="452"/>
      <c r="IU44" s="452"/>
      <c r="IV44" s="452"/>
      <c r="IW44" s="452"/>
      <c r="IX44" s="452"/>
      <c r="IY44" s="452"/>
      <c r="IZ44" s="452"/>
      <c r="JA44" s="452"/>
      <c r="JB44" s="452"/>
      <c r="JC44" s="452"/>
      <c r="JD44" s="452"/>
      <c r="JE44" s="452"/>
      <c r="JF44" s="452"/>
      <c r="JG44" s="452"/>
      <c r="JH44" s="452"/>
      <c r="JI44" s="452"/>
      <c r="JJ44" s="452"/>
      <c r="JK44" s="452"/>
      <c r="JL44" s="452"/>
      <c r="JM44" s="452"/>
      <c r="JN44" s="452"/>
      <c r="JO44" s="452"/>
      <c r="JP44" s="452"/>
      <c r="JQ44" s="452"/>
      <c r="JR44" s="452"/>
      <c r="JS44" s="452"/>
      <c r="JT44" s="452"/>
      <c r="JU44" s="452"/>
      <c r="JV44" s="452"/>
      <c r="JW44" s="452"/>
      <c r="JX44" s="452"/>
      <c r="JY44" s="452"/>
      <c r="JZ44" s="452"/>
      <c r="KA44" s="452"/>
      <c r="KB44" s="452"/>
      <c r="KC44" s="452"/>
      <c r="KD44" s="452"/>
      <c r="KE44" s="452"/>
      <c r="KF44" s="452"/>
      <c r="KG44" s="452"/>
      <c r="KH44" s="452"/>
      <c r="KI44" s="452"/>
      <c r="KJ44" s="452"/>
      <c r="KK44" s="452"/>
      <c r="KL44" s="452"/>
      <c r="KM44" s="452"/>
      <c r="KN44" s="452"/>
      <c r="KO44" s="452"/>
      <c r="KP44" s="452"/>
      <c r="KQ44" s="452"/>
      <c r="KR44" s="452"/>
      <c r="KS44" s="452"/>
      <c r="KT44" s="452"/>
      <c r="KU44" s="452"/>
      <c r="KV44" s="452"/>
      <c r="KW44" s="452"/>
      <c r="KX44" s="452"/>
      <c r="KY44" s="452"/>
      <c r="KZ44" s="452"/>
      <c r="LA44" s="452"/>
      <c r="LB44" s="452"/>
      <c r="LC44" s="452"/>
      <c r="LD44" s="452"/>
      <c r="LE44" s="452"/>
      <c r="LF44" s="452"/>
      <c r="LG44" s="452"/>
      <c r="LH44" s="452"/>
      <c r="LI44" s="452"/>
      <c r="LJ44" s="452"/>
      <c r="LK44" s="452"/>
      <c r="LL44" s="452"/>
      <c r="LM44" s="452"/>
      <c r="LN44" s="452"/>
      <c r="LO44" s="452"/>
      <c r="LP44" s="452"/>
      <c r="LQ44" s="452"/>
      <c r="LR44" s="452"/>
      <c r="LS44" s="452"/>
      <c r="LT44" s="452"/>
      <c r="LU44" s="452"/>
      <c r="LV44" s="452"/>
      <c r="LW44" s="452"/>
      <c r="LX44" s="452"/>
      <c r="LY44" s="452"/>
      <c r="LZ44" s="452"/>
      <c r="MA44" s="452"/>
      <c r="MB44" s="452"/>
      <c r="MC44" s="452"/>
      <c r="MD44" s="452"/>
      <c r="ME44" s="452"/>
      <c r="MF44" s="452"/>
      <c r="MG44" s="452"/>
      <c r="MH44" s="452"/>
      <c r="MI44" s="452"/>
      <c r="MJ44" s="452"/>
      <c r="MK44" s="452"/>
      <c r="ML44" s="452"/>
      <c r="MM44" s="452"/>
      <c r="MN44" s="452"/>
      <c r="MO44" s="452"/>
      <c r="MP44" s="452"/>
      <c r="MQ44" s="452"/>
      <c r="MR44" s="452"/>
      <c r="MS44" s="452"/>
      <c r="MT44" s="452"/>
      <c r="MU44" s="452"/>
      <c r="MV44" s="452"/>
      <c r="MW44" s="452"/>
      <c r="MX44" s="452"/>
      <c r="MY44" s="452"/>
      <c r="MZ44" s="763"/>
      <c r="NA44" s="762">
        <f t="shared" ref="NA44:NF44" si="985">ROUND(SUM(NA24:NA25)/1000,0)*1000</f>
        <v>47000</v>
      </c>
      <c r="NB44" s="762">
        <f t="shared" si="985"/>
        <v>9000</v>
      </c>
      <c r="NC44" s="762">
        <f t="shared" si="985"/>
        <v>9000</v>
      </c>
      <c r="ND44" s="762">
        <f t="shared" si="985"/>
        <v>23000</v>
      </c>
      <c r="NE44" s="762">
        <f t="shared" si="985"/>
        <v>9000</v>
      </c>
      <c r="NF44" s="762">
        <f t="shared" si="985"/>
        <v>7000</v>
      </c>
      <c r="NG44" s="452"/>
      <c r="NH44" s="782"/>
      <c r="NI44" s="360"/>
      <c r="NJ44" s="360"/>
      <c r="NK44" s="360"/>
      <c r="NL44" s="360"/>
      <c r="NM44" s="360"/>
      <c r="NN44" s="360"/>
      <c r="NO44" s="783"/>
      <c r="NP44" s="782"/>
      <c r="NQ44" s="360"/>
      <c r="NR44" s="360"/>
      <c r="NS44" s="360"/>
      <c r="NT44" s="360"/>
      <c r="NU44" s="360"/>
      <c r="NV44" s="360"/>
      <c r="NW44" s="783"/>
      <c r="NX44" s="782"/>
      <c r="NY44" s="360"/>
      <c r="NZ44" s="360"/>
      <c r="OA44" s="360"/>
      <c r="OB44" s="360"/>
      <c r="OC44" s="360"/>
      <c r="OD44" s="360"/>
      <c r="OE44" s="783"/>
      <c r="OF44" s="782"/>
      <c r="OG44" s="360"/>
      <c r="OH44" s="360"/>
      <c r="OI44" s="360"/>
      <c r="OJ44" s="360"/>
      <c r="OK44" s="360"/>
      <c r="OL44" s="360"/>
      <c r="OM44" s="783"/>
      <c r="ON44" s="782"/>
      <c r="OO44" s="360"/>
      <c r="OP44" s="360"/>
      <c r="OQ44" s="360"/>
      <c r="OR44" s="360"/>
      <c r="OS44" s="360"/>
      <c r="OT44" s="360"/>
      <c r="OU44" s="783"/>
      <c r="OV44" s="782"/>
      <c r="OW44" s="360"/>
      <c r="OX44" s="360"/>
      <c r="OY44" s="360"/>
      <c r="OZ44" s="360"/>
      <c r="PA44" s="360"/>
      <c r="PB44" s="360"/>
      <c r="PC44" s="783"/>
    </row>
    <row r="45" spans="1:419" x14ac:dyDescent="0.3">
      <c r="B45" s="974"/>
      <c r="C45" s="766" t="s">
        <v>274</v>
      </c>
      <c r="D45" s="155"/>
      <c r="E45" s="156"/>
      <c r="F45" s="156"/>
      <c r="G45" s="156"/>
      <c r="H45" s="156"/>
      <c r="I45" s="156"/>
      <c r="J45" s="156"/>
      <c r="K45" s="785"/>
      <c r="L45" s="155"/>
      <c r="M45" s="156"/>
      <c r="N45" s="156">
        <v>15000</v>
      </c>
      <c r="O45" s="156">
        <v>20000</v>
      </c>
      <c r="P45" s="156">
        <v>14000</v>
      </c>
      <c r="Q45" s="156">
        <v>14000</v>
      </c>
      <c r="R45" s="156">
        <v>14000</v>
      </c>
      <c r="S45" s="785"/>
      <c r="MZ45" s="764"/>
      <c r="NA45" s="166"/>
      <c r="NB45" s="166"/>
      <c r="NC45" s="166"/>
      <c r="ND45" s="166"/>
      <c r="NE45" s="166"/>
      <c r="NF45" s="166"/>
      <c r="NH45" s="784"/>
      <c r="NI45" s="156"/>
      <c r="NJ45" s="156"/>
      <c r="NK45" s="156"/>
      <c r="NL45" s="156"/>
      <c r="NM45" s="156"/>
      <c r="NN45" s="156"/>
      <c r="NO45" s="785"/>
      <c r="NP45" s="784"/>
      <c r="NQ45" s="156"/>
      <c r="NR45" s="156"/>
      <c r="NS45" s="156"/>
      <c r="NT45" s="156"/>
      <c r="NU45" s="156"/>
      <c r="NV45" s="156"/>
      <c r="NW45" s="785"/>
      <c r="NX45" s="784"/>
      <c r="NY45" s="156"/>
      <c r="NZ45" s="156"/>
      <c r="OA45" s="156"/>
      <c r="OB45" s="156"/>
      <c r="OC45" s="156"/>
      <c r="OD45" s="156"/>
      <c r="OE45" s="785"/>
      <c r="OF45" s="784"/>
      <c r="OG45" s="156"/>
      <c r="OH45" s="156"/>
      <c r="OI45" s="156"/>
      <c r="OJ45" s="156"/>
      <c r="OK45" s="156"/>
      <c r="OL45" s="156"/>
      <c r="OM45" s="785"/>
      <c r="ON45" s="784"/>
      <c r="OO45" s="156"/>
      <c r="OP45" s="156"/>
      <c r="OQ45" s="156"/>
      <c r="OR45" s="156"/>
      <c r="OS45" s="156"/>
      <c r="OT45" s="156"/>
      <c r="OU45" s="785"/>
      <c r="OV45" s="784"/>
      <c r="OW45" s="156"/>
      <c r="OX45" s="360"/>
      <c r="OY45" s="156"/>
      <c r="OZ45" s="156"/>
      <c r="PA45" s="156"/>
      <c r="PB45" s="156"/>
      <c r="PC45" s="785"/>
    </row>
    <row r="46" spans="1:419" x14ac:dyDescent="0.3">
      <c r="B46" s="974"/>
      <c r="C46" s="779" t="s">
        <v>275</v>
      </c>
      <c r="D46" s="155"/>
      <c r="E46" s="156"/>
      <c r="F46" s="156"/>
      <c r="G46" s="156"/>
      <c r="H46" s="156"/>
      <c r="I46" s="156"/>
      <c r="J46" s="156"/>
      <c r="K46" s="785"/>
      <c r="L46" s="155"/>
      <c r="M46" s="156"/>
      <c r="N46" s="156"/>
      <c r="O46" s="156"/>
      <c r="P46" s="156"/>
      <c r="Q46" s="156"/>
      <c r="R46" s="156"/>
      <c r="S46" s="785"/>
      <c r="T46" s="780"/>
      <c r="U46" s="780"/>
      <c r="V46" s="780"/>
      <c r="W46" s="780"/>
      <c r="X46" s="780"/>
      <c r="Y46" s="780"/>
      <c r="Z46" s="780"/>
      <c r="AA46" s="780"/>
      <c r="AB46" s="780"/>
      <c r="AC46" s="780"/>
      <c r="AD46" s="780"/>
      <c r="AE46" s="780"/>
      <c r="AF46" s="780"/>
      <c r="AG46" s="780"/>
      <c r="AH46" s="780"/>
      <c r="AI46" s="780"/>
      <c r="AJ46" s="780"/>
      <c r="AK46" s="780"/>
      <c r="AL46" s="780"/>
      <c r="AM46" s="780"/>
      <c r="AN46" s="780"/>
      <c r="AO46" s="780"/>
      <c r="AP46" s="780"/>
      <c r="AQ46" s="780"/>
      <c r="AR46" s="780"/>
      <c r="AS46" s="780"/>
      <c r="AT46" s="780"/>
      <c r="AU46" s="780"/>
      <c r="AV46" s="780"/>
      <c r="AW46" s="780"/>
      <c r="AX46" s="279"/>
      <c r="AY46" s="780"/>
      <c r="AZ46" s="780"/>
      <c r="BA46" s="780"/>
      <c r="BB46" s="780"/>
      <c r="BC46" s="780"/>
      <c r="BD46" s="780"/>
      <c r="BE46" s="780"/>
      <c r="BF46" s="780"/>
      <c r="BG46" s="780"/>
      <c r="BH46" s="780"/>
      <c r="BI46" s="780"/>
      <c r="BJ46" s="780"/>
      <c r="BK46" s="780"/>
      <c r="BL46" s="780"/>
      <c r="BM46" s="780"/>
      <c r="BN46" s="780"/>
      <c r="BO46" s="780"/>
      <c r="BP46" s="780"/>
      <c r="BQ46" s="780"/>
      <c r="BR46" s="780"/>
      <c r="BS46" s="780"/>
      <c r="BT46" s="780"/>
      <c r="BU46" s="780"/>
      <c r="BV46" s="780"/>
      <c r="BW46" s="780"/>
      <c r="BX46" s="780"/>
      <c r="BY46" s="780"/>
      <c r="BZ46" s="780"/>
      <c r="CA46" s="780"/>
      <c r="CB46" s="780"/>
      <c r="CC46" s="780"/>
      <c r="CD46" s="780"/>
      <c r="CE46" s="780"/>
      <c r="CF46" s="780"/>
      <c r="CG46" s="780"/>
      <c r="CH46" s="780"/>
      <c r="CI46" s="780"/>
      <c r="CJ46" s="780"/>
      <c r="CK46" s="780"/>
      <c r="CL46" s="780"/>
      <c r="CM46" s="780"/>
      <c r="CN46" s="780"/>
      <c r="CO46" s="780"/>
      <c r="CP46" s="780"/>
      <c r="CQ46" s="780"/>
      <c r="CR46" s="780"/>
      <c r="CS46" s="780"/>
      <c r="CT46" s="780"/>
      <c r="CU46" s="780"/>
      <c r="CV46" s="780"/>
      <c r="CW46" s="780"/>
      <c r="CX46" s="780"/>
      <c r="CY46" s="780"/>
      <c r="CZ46" s="780"/>
      <c r="DA46" s="780"/>
      <c r="DB46" s="780"/>
      <c r="DC46" s="780"/>
      <c r="DD46" s="780"/>
      <c r="DE46" s="780"/>
      <c r="DF46" s="780"/>
      <c r="DG46" s="780"/>
      <c r="DH46" s="780"/>
      <c r="DI46" s="780"/>
      <c r="DJ46" s="780"/>
      <c r="DK46" s="780"/>
      <c r="DL46" s="780"/>
      <c r="DM46" s="780"/>
      <c r="DN46" s="780"/>
      <c r="DO46" s="780"/>
      <c r="DP46" s="780"/>
      <c r="DQ46" s="780"/>
      <c r="DR46" s="780"/>
      <c r="DS46" s="780"/>
      <c r="DT46" s="780"/>
      <c r="DU46" s="780"/>
      <c r="DV46" s="780"/>
      <c r="DW46" s="780"/>
      <c r="DX46" s="780"/>
      <c r="DY46" s="780"/>
      <c r="DZ46" s="780"/>
      <c r="EA46" s="780"/>
      <c r="EB46" s="780"/>
      <c r="EC46" s="780"/>
      <c r="ED46" s="780"/>
      <c r="EE46" s="780"/>
      <c r="EF46" s="780"/>
      <c r="EG46" s="780"/>
      <c r="EH46" s="780"/>
      <c r="EI46" s="780"/>
      <c r="EJ46" s="780"/>
      <c r="EK46" s="780"/>
      <c r="EL46" s="780"/>
      <c r="EM46" s="780"/>
      <c r="EN46" s="780"/>
      <c r="EO46" s="780"/>
      <c r="EP46" s="780"/>
      <c r="EQ46" s="780"/>
      <c r="ER46" s="780"/>
      <c r="ES46" s="780"/>
      <c r="ET46" s="780"/>
      <c r="EU46" s="780"/>
      <c r="EV46" s="780"/>
      <c r="EW46" s="780"/>
      <c r="EX46" s="780"/>
      <c r="EY46" s="780"/>
      <c r="EZ46" s="780"/>
      <c r="FA46" s="780"/>
      <c r="FB46" s="780"/>
      <c r="FC46" s="780"/>
      <c r="FD46" s="780"/>
      <c r="FE46" s="780"/>
      <c r="FF46" s="780"/>
      <c r="FG46" s="780"/>
      <c r="FH46" s="780"/>
      <c r="FI46" s="780"/>
      <c r="FJ46" s="780"/>
      <c r="FK46" s="780"/>
      <c r="FL46" s="780"/>
      <c r="FM46" s="780"/>
      <c r="FN46" s="780"/>
      <c r="FO46" s="780"/>
      <c r="FP46" s="780"/>
      <c r="FQ46" s="780"/>
      <c r="FR46" s="780"/>
      <c r="FS46" s="780"/>
      <c r="FT46" s="780"/>
      <c r="FU46" s="780"/>
      <c r="FV46" s="780"/>
      <c r="FW46" s="780"/>
      <c r="FX46" s="780"/>
      <c r="FY46" s="780"/>
      <c r="FZ46" s="780"/>
      <c r="GA46" s="780"/>
      <c r="GB46" s="780"/>
      <c r="GC46" s="780"/>
      <c r="GD46" s="780"/>
      <c r="GE46" s="780"/>
      <c r="GF46" s="780"/>
      <c r="GG46" s="780"/>
      <c r="GH46" s="780"/>
      <c r="GI46" s="780"/>
      <c r="GJ46" s="780"/>
      <c r="GK46" s="780"/>
      <c r="GL46" s="780"/>
      <c r="GM46" s="780"/>
      <c r="GN46" s="780"/>
      <c r="GO46" s="780"/>
      <c r="GP46" s="780"/>
      <c r="GQ46" s="780"/>
      <c r="GR46" s="780"/>
      <c r="GS46" s="780"/>
      <c r="GT46" s="780"/>
      <c r="GU46" s="780"/>
      <c r="GV46" s="780"/>
      <c r="GW46" s="780"/>
      <c r="GX46" s="780"/>
      <c r="GY46" s="780"/>
      <c r="GZ46" s="780"/>
      <c r="HA46" s="780"/>
      <c r="HB46" s="780"/>
      <c r="HC46" s="780"/>
      <c r="HD46" s="780"/>
      <c r="HE46" s="780"/>
      <c r="HF46" s="780"/>
      <c r="HG46" s="780"/>
      <c r="HH46" s="780"/>
      <c r="HI46" s="780"/>
      <c r="HJ46" s="780"/>
      <c r="HK46" s="780"/>
      <c r="HL46" s="780"/>
      <c r="HM46" s="780"/>
      <c r="HN46" s="780"/>
      <c r="HO46" s="780"/>
      <c r="HP46" s="780"/>
      <c r="HQ46" s="780"/>
      <c r="HR46" s="780"/>
      <c r="HS46" s="780"/>
      <c r="HT46" s="780"/>
      <c r="HU46" s="780"/>
      <c r="HV46" s="780"/>
      <c r="HW46" s="780"/>
      <c r="HX46" s="780"/>
      <c r="HY46" s="780"/>
      <c r="HZ46" s="780"/>
      <c r="IA46" s="780"/>
      <c r="IB46" s="780"/>
      <c r="IC46" s="780"/>
      <c r="ID46" s="780"/>
      <c r="IE46" s="780"/>
      <c r="IF46" s="780"/>
      <c r="IG46" s="780"/>
      <c r="IH46" s="780"/>
      <c r="II46" s="780"/>
      <c r="IJ46" s="780"/>
      <c r="IK46" s="780"/>
      <c r="IL46" s="780"/>
      <c r="IM46" s="780"/>
      <c r="IN46" s="780"/>
      <c r="IO46" s="780"/>
      <c r="IP46" s="780"/>
      <c r="IQ46" s="780"/>
      <c r="IR46" s="780"/>
      <c r="IS46" s="780"/>
      <c r="IT46" s="780"/>
      <c r="IU46" s="780"/>
      <c r="IV46" s="780"/>
      <c r="IW46" s="780"/>
      <c r="IX46" s="780"/>
      <c r="IY46" s="780"/>
      <c r="IZ46" s="780"/>
      <c r="JA46" s="780"/>
      <c r="JB46" s="780"/>
      <c r="JC46" s="780"/>
      <c r="JD46" s="780"/>
      <c r="JE46" s="780"/>
      <c r="JF46" s="780"/>
      <c r="JG46" s="780"/>
      <c r="JH46" s="780"/>
      <c r="JI46" s="780"/>
      <c r="JJ46" s="780"/>
      <c r="JK46" s="780"/>
      <c r="JL46" s="780"/>
      <c r="JM46" s="780"/>
      <c r="JN46" s="780"/>
      <c r="JO46" s="780"/>
      <c r="JP46" s="780"/>
      <c r="JQ46" s="780"/>
      <c r="JR46" s="780"/>
      <c r="JS46" s="780"/>
      <c r="JT46" s="780"/>
      <c r="JU46" s="780"/>
      <c r="JV46" s="780"/>
      <c r="JW46" s="780"/>
      <c r="JX46" s="780"/>
      <c r="JY46" s="780"/>
      <c r="JZ46" s="780"/>
      <c r="KA46" s="780"/>
      <c r="KB46" s="780"/>
      <c r="KC46" s="780"/>
      <c r="KD46" s="780"/>
      <c r="KE46" s="780"/>
      <c r="KF46" s="780"/>
      <c r="KG46" s="780"/>
      <c r="KH46" s="780"/>
      <c r="KI46" s="780"/>
      <c r="KJ46" s="780"/>
      <c r="KK46" s="780"/>
      <c r="KL46" s="780"/>
      <c r="KM46" s="780"/>
      <c r="KN46" s="780"/>
      <c r="KO46" s="780"/>
      <c r="KP46" s="780"/>
      <c r="KQ46" s="780"/>
      <c r="KR46" s="780"/>
      <c r="KS46" s="780"/>
      <c r="KT46" s="780"/>
      <c r="KU46" s="780"/>
      <c r="KV46" s="780"/>
      <c r="KW46" s="780"/>
      <c r="KX46" s="780"/>
      <c r="KY46" s="780"/>
      <c r="KZ46" s="780"/>
      <c r="LA46" s="780"/>
      <c r="LB46" s="780"/>
      <c r="LC46" s="780"/>
      <c r="LD46" s="780"/>
      <c r="LE46" s="780"/>
      <c r="LF46" s="780"/>
      <c r="LG46" s="780"/>
      <c r="LH46" s="780"/>
      <c r="LI46" s="780"/>
      <c r="LJ46" s="780"/>
      <c r="LK46" s="780"/>
      <c r="LL46" s="780"/>
      <c r="LM46" s="780"/>
      <c r="LN46" s="780"/>
      <c r="LO46" s="780"/>
      <c r="LP46" s="780"/>
      <c r="LQ46" s="780"/>
      <c r="LR46" s="780"/>
      <c r="LS46" s="780"/>
      <c r="LT46" s="780"/>
      <c r="LU46" s="780"/>
      <c r="LV46" s="780"/>
      <c r="LW46" s="780"/>
      <c r="LX46" s="780"/>
      <c r="LY46" s="780"/>
      <c r="LZ46" s="780"/>
      <c r="MA46" s="780"/>
      <c r="MB46" s="780"/>
      <c r="MC46" s="780"/>
      <c r="MD46" s="780"/>
      <c r="ME46" s="780"/>
      <c r="MF46" s="780"/>
      <c r="MG46" s="780"/>
      <c r="MH46" s="780"/>
      <c r="MI46" s="780"/>
      <c r="MJ46" s="780"/>
      <c r="MK46" s="780"/>
      <c r="ML46" s="780"/>
      <c r="MM46" s="780"/>
      <c r="MN46" s="780"/>
      <c r="MO46" s="780"/>
      <c r="MP46" s="780"/>
      <c r="MQ46" s="780"/>
      <c r="MR46" s="780"/>
      <c r="MS46" s="780"/>
      <c r="MT46" s="780"/>
      <c r="MU46" s="780"/>
      <c r="MV46" s="780"/>
      <c r="MW46" s="780"/>
      <c r="MX46" s="780"/>
      <c r="MY46" s="780"/>
      <c r="MZ46" s="781"/>
      <c r="NA46" s="780">
        <v>9000</v>
      </c>
      <c r="NB46" s="780">
        <v>14000</v>
      </c>
      <c r="NC46" s="780">
        <v>18750</v>
      </c>
      <c r="ND46" s="780">
        <v>20000</v>
      </c>
      <c r="NE46" s="780">
        <v>24000</v>
      </c>
      <c r="NF46" s="780">
        <v>29000</v>
      </c>
      <c r="NG46" s="780"/>
      <c r="NH46" s="786"/>
      <c r="NI46" s="790"/>
      <c r="NJ46" s="791"/>
      <c r="NK46" s="791"/>
      <c r="NL46" s="791"/>
      <c r="NM46" s="791"/>
      <c r="NN46" s="791"/>
      <c r="NO46" s="787"/>
      <c r="NP46" s="786"/>
      <c r="NQ46" s="790"/>
      <c r="NR46" s="791"/>
      <c r="NS46" s="791"/>
      <c r="NT46" s="791"/>
      <c r="NU46" s="791"/>
      <c r="NV46" s="791"/>
      <c r="NW46" s="787"/>
      <c r="NX46" s="784"/>
      <c r="NY46" s="790"/>
      <c r="NZ46" s="791"/>
      <c r="OA46" s="791"/>
      <c r="OB46" s="791"/>
      <c r="OC46" s="791"/>
      <c r="OD46" s="791"/>
      <c r="OE46" s="787"/>
      <c r="OF46" s="784"/>
      <c r="OG46" s="790"/>
      <c r="OH46" s="791"/>
      <c r="OI46" s="791"/>
      <c r="OJ46" s="791"/>
      <c r="OK46" s="791"/>
      <c r="OL46" s="791"/>
      <c r="OM46" s="787"/>
      <c r="ON46" s="784"/>
      <c r="OO46" s="790"/>
      <c r="OP46" s="791"/>
      <c r="OQ46" s="791"/>
      <c r="OR46" s="791"/>
      <c r="OS46" s="791"/>
      <c r="OT46" s="791"/>
      <c r="OU46" s="787"/>
      <c r="OV46" s="784"/>
      <c r="OW46" s="790"/>
      <c r="OX46" s="791"/>
      <c r="OY46" s="791"/>
      <c r="OZ46" s="791"/>
      <c r="PA46" s="791"/>
      <c r="PB46" s="791"/>
      <c r="PC46" s="787"/>
    </row>
    <row r="47" spans="1:419" x14ac:dyDescent="0.3">
      <c r="B47" s="974"/>
      <c r="C47" s="766" t="s">
        <v>276</v>
      </c>
      <c r="D47" s="155"/>
      <c r="E47" s="156"/>
      <c r="F47" s="156"/>
      <c r="G47" s="156"/>
      <c r="H47" s="156"/>
      <c r="I47" s="156"/>
      <c r="J47" s="156"/>
      <c r="K47" s="785"/>
      <c r="L47" s="155"/>
      <c r="M47" s="156"/>
      <c r="N47" s="156"/>
      <c r="O47" s="156"/>
      <c r="P47" s="156"/>
      <c r="Q47" s="156"/>
      <c r="R47" s="156"/>
      <c r="S47" s="785"/>
      <c r="AX47" s="166"/>
      <c r="MZ47" s="767"/>
      <c r="NH47" s="784"/>
      <c r="NI47" s="788"/>
      <c r="NJ47" s="156"/>
      <c r="NK47" s="156"/>
      <c r="NL47" s="208"/>
      <c r="NM47" s="208"/>
      <c r="NN47" s="208"/>
      <c r="NO47" s="785"/>
      <c r="NP47" s="784"/>
      <c r="NQ47" s="208"/>
      <c r="NR47" s="208"/>
      <c r="NS47" s="208"/>
      <c r="NT47" s="208"/>
      <c r="NU47" s="208"/>
      <c r="NV47" s="208"/>
      <c r="NW47" s="785"/>
      <c r="NX47" s="784"/>
      <c r="NY47" s="208"/>
      <c r="NZ47" s="208"/>
      <c r="OA47" s="208"/>
      <c r="OB47" s="208"/>
      <c r="OC47" s="208"/>
      <c r="OD47" s="208"/>
      <c r="OE47" s="785"/>
      <c r="OF47" s="784"/>
      <c r="OG47" s="208"/>
      <c r="OH47" s="208"/>
      <c r="OI47" s="208"/>
      <c r="OJ47" s="208"/>
      <c r="OK47" s="208"/>
      <c r="OL47" s="208"/>
      <c r="OM47" s="785"/>
      <c r="ON47" s="784"/>
      <c r="OO47" s="208"/>
      <c r="OP47" s="208"/>
      <c r="OQ47" s="208"/>
      <c r="OR47" s="208"/>
      <c r="OS47" s="208"/>
      <c r="OT47" s="208"/>
      <c r="OU47" s="785"/>
      <c r="OV47" s="784"/>
      <c r="OW47" s="208"/>
      <c r="OX47" s="208"/>
      <c r="OY47" s="208"/>
      <c r="OZ47" s="208"/>
      <c r="PA47" s="208"/>
      <c r="PB47" s="208"/>
      <c r="PC47" s="785"/>
    </row>
    <row r="48" spans="1:419" ht="15" thickBot="1" x14ac:dyDescent="0.35">
      <c r="B48" s="975"/>
      <c r="C48" s="792" t="s">
        <v>216</v>
      </c>
      <c r="D48" s="797"/>
      <c r="E48" s="798"/>
      <c r="F48" s="798"/>
      <c r="G48" s="798"/>
      <c r="H48" s="798"/>
      <c r="I48" s="798"/>
      <c r="J48" s="798"/>
      <c r="K48" s="799"/>
      <c r="L48" s="797"/>
      <c r="M48" s="798"/>
      <c r="N48" s="798"/>
      <c r="O48" s="798"/>
      <c r="P48" s="798"/>
      <c r="Q48" s="798"/>
      <c r="R48" s="798"/>
      <c r="S48" s="799"/>
      <c r="T48" s="793"/>
      <c r="U48" s="793"/>
      <c r="V48" s="793"/>
      <c r="W48" s="793"/>
      <c r="X48" s="793"/>
      <c r="Y48" s="793"/>
      <c r="Z48" s="793"/>
      <c r="AA48" s="793"/>
      <c r="AB48" s="793"/>
      <c r="AC48" s="793"/>
      <c r="AD48" s="793"/>
      <c r="AE48" s="793"/>
      <c r="AF48" s="793"/>
      <c r="AG48" s="793"/>
      <c r="AH48" s="793"/>
      <c r="AI48" s="793"/>
      <c r="AJ48" s="793"/>
      <c r="AK48" s="793"/>
      <c r="AL48" s="793"/>
      <c r="AM48" s="793"/>
      <c r="AN48" s="793"/>
      <c r="AO48" s="793"/>
      <c r="AP48" s="793"/>
      <c r="AQ48" s="793"/>
      <c r="AR48" s="793"/>
      <c r="AS48" s="793"/>
      <c r="AT48" s="793"/>
      <c r="AU48" s="793"/>
      <c r="AV48" s="793"/>
      <c r="AW48" s="793"/>
      <c r="AX48" s="793"/>
      <c r="AY48" s="793"/>
      <c r="AZ48" s="793"/>
      <c r="BA48" s="793"/>
      <c r="BB48" s="793"/>
      <c r="BC48" s="793"/>
      <c r="BD48" s="793"/>
      <c r="BE48" s="793"/>
      <c r="BF48" s="793"/>
      <c r="BG48" s="793"/>
      <c r="BH48" s="793"/>
      <c r="BI48" s="793"/>
      <c r="BJ48" s="793"/>
      <c r="BK48" s="793"/>
      <c r="BL48" s="793"/>
      <c r="BM48" s="793"/>
      <c r="BN48" s="793"/>
      <c r="BO48" s="793"/>
      <c r="BP48" s="793"/>
      <c r="BQ48" s="793"/>
      <c r="BR48" s="793"/>
      <c r="BS48" s="793"/>
      <c r="BT48" s="793"/>
      <c r="BU48" s="793"/>
      <c r="BV48" s="793"/>
      <c r="BW48" s="793"/>
      <c r="BX48" s="793"/>
      <c r="BY48" s="793"/>
      <c r="BZ48" s="793"/>
      <c r="CA48" s="793"/>
      <c r="CB48" s="793"/>
      <c r="CC48" s="793"/>
      <c r="CD48" s="793"/>
      <c r="CE48" s="793"/>
      <c r="CF48" s="793"/>
      <c r="CG48" s="793"/>
      <c r="CH48" s="793"/>
      <c r="CI48" s="793"/>
      <c r="CJ48" s="793"/>
      <c r="CK48" s="793"/>
      <c r="CL48" s="793"/>
      <c r="CM48" s="793"/>
      <c r="CN48" s="793"/>
      <c r="CO48" s="793"/>
      <c r="CP48" s="793"/>
      <c r="CQ48" s="793"/>
      <c r="CR48" s="793"/>
      <c r="CS48" s="793"/>
      <c r="CT48" s="793"/>
      <c r="CU48" s="793"/>
      <c r="CV48" s="793"/>
      <c r="CW48" s="793"/>
      <c r="CX48" s="793"/>
      <c r="CY48" s="793"/>
      <c r="CZ48" s="793"/>
      <c r="DA48" s="793"/>
      <c r="DB48" s="793"/>
      <c r="DC48" s="793"/>
      <c r="DD48" s="793"/>
      <c r="DE48" s="793"/>
      <c r="DF48" s="793"/>
      <c r="DG48" s="793"/>
      <c r="DH48" s="793"/>
      <c r="DI48" s="793"/>
      <c r="DJ48" s="793"/>
      <c r="DK48" s="793"/>
      <c r="DL48" s="793"/>
      <c r="DM48" s="793"/>
      <c r="DN48" s="793"/>
      <c r="DO48" s="793"/>
      <c r="DP48" s="793"/>
      <c r="DQ48" s="793"/>
      <c r="DR48" s="793"/>
      <c r="DS48" s="793"/>
      <c r="DT48" s="793"/>
      <c r="DU48" s="793"/>
      <c r="DV48" s="793"/>
      <c r="DW48" s="793"/>
      <c r="DX48" s="793"/>
      <c r="DY48" s="793"/>
      <c r="DZ48" s="793"/>
      <c r="EA48" s="793"/>
      <c r="EB48" s="793"/>
      <c r="EC48" s="793"/>
      <c r="ED48" s="793"/>
      <c r="EE48" s="793"/>
      <c r="EF48" s="793"/>
      <c r="EG48" s="793"/>
      <c r="EH48" s="793"/>
      <c r="EI48" s="793"/>
      <c r="EJ48" s="793"/>
      <c r="EK48" s="793"/>
      <c r="EL48" s="793"/>
      <c r="EM48" s="793"/>
      <c r="EN48" s="793"/>
      <c r="EO48" s="793"/>
      <c r="EP48" s="793"/>
      <c r="EQ48" s="793"/>
      <c r="ER48" s="793"/>
      <c r="ES48" s="793"/>
      <c r="ET48" s="793"/>
      <c r="EU48" s="793"/>
      <c r="EV48" s="793"/>
      <c r="EW48" s="793"/>
      <c r="EX48" s="793"/>
      <c r="EY48" s="793"/>
      <c r="EZ48" s="793"/>
      <c r="FA48" s="793"/>
      <c r="FB48" s="793"/>
      <c r="FC48" s="793"/>
      <c r="FD48" s="793"/>
      <c r="FE48" s="793"/>
      <c r="FF48" s="793"/>
      <c r="FG48" s="793"/>
      <c r="FH48" s="793"/>
      <c r="FI48" s="793"/>
      <c r="FJ48" s="793"/>
      <c r="FK48" s="793"/>
      <c r="FL48" s="793"/>
      <c r="FM48" s="793"/>
      <c r="FN48" s="793"/>
      <c r="FO48" s="793"/>
      <c r="FP48" s="793"/>
      <c r="FQ48" s="793"/>
      <c r="FR48" s="793"/>
      <c r="FS48" s="793"/>
      <c r="FT48" s="793"/>
      <c r="FU48" s="793"/>
      <c r="FV48" s="793"/>
      <c r="FW48" s="793"/>
      <c r="FX48" s="793"/>
      <c r="FY48" s="793"/>
      <c r="FZ48" s="793"/>
      <c r="GA48" s="793"/>
      <c r="GB48" s="793"/>
      <c r="GC48" s="793"/>
      <c r="GD48" s="793"/>
      <c r="GE48" s="793"/>
      <c r="GF48" s="793"/>
      <c r="GG48" s="793"/>
      <c r="GH48" s="793"/>
      <c r="GI48" s="793"/>
      <c r="GJ48" s="793"/>
      <c r="GK48" s="793"/>
      <c r="GL48" s="793"/>
      <c r="GM48" s="793"/>
      <c r="GN48" s="793"/>
      <c r="GO48" s="793"/>
      <c r="GP48" s="793"/>
      <c r="GQ48" s="793"/>
      <c r="GR48" s="793"/>
      <c r="GS48" s="793"/>
      <c r="GT48" s="793"/>
      <c r="GU48" s="793"/>
      <c r="GV48" s="793"/>
      <c r="GW48" s="793"/>
      <c r="GX48" s="793"/>
      <c r="GY48" s="793"/>
      <c r="GZ48" s="793"/>
      <c r="HA48" s="793"/>
      <c r="HB48" s="793"/>
      <c r="HC48" s="793"/>
      <c r="HD48" s="793"/>
      <c r="HE48" s="793"/>
      <c r="HF48" s="793"/>
      <c r="HG48" s="793"/>
      <c r="HH48" s="793"/>
      <c r="HI48" s="793"/>
      <c r="HJ48" s="793"/>
      <c r="HK48" s="793"/>
      <c r="HL48" s="793"/>
      <c r="HM48" s="793"/>
      <c r="HN48" s="793"/>
      <c r="HO48" s="793"/>
      <c r="HP48" s="793"/>
      <c r="HQ48" s="793"/>
      <c r="HR48" s="793"/>
      <c r="HS48" s="793"/>
      <c r="HT48" s="793"/>
      <c r="HU48" s="793"/>
      <c r="HV48" s="793"/>
      <c r="HW48" s="793"/>
      <c r="HX48" s="793"/>
      <c r="HY48" s="793"/>
      <c r="HZ48" s="793"/>
      <c r="IA48" s="793"/>
      <c r="IB48" s="793"/>
      <c r="IC48" s="793"/>
      <c r="ID48" s="793"/>
      <c r="IE48" s="793"/>
      <c r="IF48" s="793"/>
      <c r="IG48" s="793"/>
      <c r="IH48" s="793"/>
      <c r="II48" s="793"/>
      <c r="IJ48" s="793"/>
      <c r="IK48" s="793"/>
      <c r="IL48" s="793"/>
      <c r="IM48" s="793"/>
      <c r="IN48" s="793"/>
      <c r="IO48" s="793"/>
      <c r="IP48" s="793"/>
      <c r="IQ48" s="793"/>
      <c r="IR48" s="793"/>
      <c r="IS48" s="793"/>
      <c r="IT48" s="793"/>
      <c r="IU48" s="793"/>
      <c r="IV48" s="793"/>
      <c r="IW48" s="793"/>
      <c r="IX48" s="793"/>
      <c r="IY48" s="793"/>
      <c r="IZ48" s="793"/>
      <c r="JA48" s="793"/>
      <c r="JB48" s="793"/>
      <c r="JC48" s="793"/>
      <c r="JD48" s="793"/>
      <c r="JE48" s="793"/>
      <c r="JF48" s="793"/>
      <c r="JG48" s="793"/>
      <c r="JH48" s="793"/>
      <c r="JI48" s="793"/>
      <c r="JJ48" s="793"/>
      <c r="JK48" s="793"/>
      <c r="JL48" s="793"/>
      <c r="JM48" s="793"/>
      <c r="JN48" s="793"/>
      <c r="JO48" s="793"/>
      <c r="JP48" s="793"/>
      <c r="JQ48" s="793"/>
      <c r="JR48" s="793"/>
      <c r="JS48" s="793"/>
      <c r="JT48" s="793"/>
      <c r="JU48" s="793"/>
      <c r="JV48" s="793"/>
      <c r="JW48" s="793"/>
      <c r="JX48" s="793"/>
      <c r="JY48" s="793"/>
      <c r="JZ48" s="793"/>
      <c r="KA48" s="793"/>
      <c r="KB48" s="793"/>
      <c r="KC48" s="793"/>
      <c r="KD48" s="793"/>
      <c r="KE48" s="793"/>
      <c r="KF48" s="793"/>
      <c r="KG48" s="793"/>
      <c r="KH48" s="793"/>
      <c r="KI48" s="793"/>
      <c r="KJ48" s="793"/>
      <c r="KK48" s="793"/>
      <c r="KL48" s="793"/>
      <c r="KM48" s="793"/>
      <c r="KN48" s="793"/>
      <c r="KO48" s="793"/>
      <c r="KP48" s="793"/>
      <c r="KQ48" s="793"/>
      <c r="KR48" s="793"/>
      <c r="KS48" s="793"/>
      <c r="KT48" s="793"/>
      <c r="KU48" s="793"/>
      <c r="KV48" s="793"/>
      <c r="KW48" s="793"/>
      <c r="KX48" s="793"/>
      <c r="KY48" s="793"/>
      <c r="KZ48" s="793"/>
      <c r="LA48" s="793"/>
      <c r="LB48" s="793"/>
      <c r="LC48" s="793"/>
      <c r="LD48" s="793"/>
      <c r="LE48" s="793"/>
      <c r="LF48" s="793"/>
      <c r="LG48" s="793"/>
      <c r="LH48" s="793"/>
      <c r="LI48" s="793"/>
      <c r="LJ48" s="793"/>
      <c r="LK48" s="793"/>
      <c r="LL48" s="793"/>
      <c r="LM48" s="793"/>
      <c r="LN48" s="793"/>
      <c r="LO48" s="793"/>
      <c r="LP48" s="793"/>
      <c r="LQ48" s="793"/>
      <c r="LR48" s="793"/>
      <c r="LS48" s="793"/>
      <c r="LT48" s="793"/>
      <c r="LU48" s="793"/>
      <c r="LV48" s="793"/>
      <c r="LW48" s="793"/>
      <c r="LX48" s="793"/>
      <c r="LY48" s="793"/>
      <c r="LZ48" s="793"/>
      <c r="MA48" s="793"/>
      <c r="MB48" s="793"/>
      <c r="MC48" s="793"/>
      <c r="MD48" s="793"/>
      <c r="ME48" s="793"/>
      <c r="MF48" s="793"/>
      <c r="MG48" s="793"/>
      <c r="MH48" s="793"/>
      <c r="MI48" s="793"/>
      <c r="MJ48" s="793"/>
      <c r="MK48" s="793"/>
      <c r="ML48" s="793"/>
      <c r="MM48" s="793"/>
      <c r="MN48" s="793"/>
      <c r="MO48" s="793"/>
      <c r="MP48" s="793"/>
      <c r="MQ48" s="793"/>
      <c r="MR48" s="793"/>
      <c r="MS48" s="793"/>
      <c r="MT48" s="793"/>
      <c r="MU48" s="793"/>
      <c r="MV48" s="793"/>
      <c r="MW48" s="793"/>
      <c r="MX48" s="793"/>
      <c r="MY48" s="793"/>
      <c r="MZ48" s="794" t="e">
        <f>SUM(NA48:NG48)</f>
        <v>#REF!</v>
      </c>
      <c r="NA48" s="795" t="e">
        <f>SUM(#REF!)</f>
        <v>#REF!</v>
      </c>
      <c r="NB48" s="795" t="e">
        <f>SUM(#REF!)</f>
        <v>#REF!</v>
      </c>
      <c r="NC48" s="795" t="e">
        <f>SUM(#REF!)</f>
        <v>#REF!</v>
      </c>
      <c r="ND48" s="795" t="e">
        <f>SUM(#REF!)</f>
        <v>#REF!</v>
      </c>
      <c r="NE48" s="795" t="e">
        <f>SUM(#REF!)</f>
        <v>#REF!</v>
      </c>
      <c r="NF48" s="795" t="e">
        <f>SUM(#REF!)</f>
        <v>#REF!</v>
      </c>
      <c r="NG48" s="795" t="e">
        <f>SUM(#REF!)</f>
        <v>#REF!</v>
      </c>
      <c r="NH48" s="794"/>
      <c r="NI48" s="795"/>
      <c r="NJ48" s="795"/>
      <c r="NK48" s="795"/>
      <c r="NL48" s="795"/>
      <c r="NM48" s="795"/>
      <c r="NN48" s="795"/>
      <c r="NO48" s="795"/>
      <c r="NP48" s="794"/>
      <c r="NQ48" s="795"/>
      <c r="NR48" s="795"/>
      <c r="NS48" s="795"/>
      <c r="NT48" s="795"/>
      <c r="NU48" s="795"/>
      <c r="NV48" s="795"/>
      <c r="NW48" s="795"/>
      <c r="NX48" s="794"/>
      <c r="NY48" s="795"/>
      <c r="NZ48" s="795"/>
      <c r="OA48" s="795"/>
      <c r="OB48" s="795"/>
      <c r="OC48" s="795"/>
      <c r="OD48" s="795"/>
      <c r="OE48" s="796"/>
      <c r="OF48" s="794"/>
      <c r="OG48" s="795"/>
      <c r="OH48" s="795"/>
      <c r="OI48" s="795"/>
      <c r="OJ48" s="795"/>
      <c r="OK48" s="795"/>
      <c r="OL48" s="795"/>
      <c r="OM48" s="796"/>
      <c r="ON48" s="794"/>
      <c r="OO48" s="795"/>
      <c r="OP48" s="795"/>
      <c r="OQ48" s="795"/>
      <c r="OR48" s="795"/>
      <c r="OS48" s="795"/>
      <c r="OT48" s="795"/>
      <c r="OU48" s="796"/>
      <c r="OV48" s="794"/>
      <c r="OW48" s="795"/>
      <c r="OX48" s="795"/>
      <c r="OY48" s="795"/>
      <c r="OZ48" s="795"/>
      <c r="PA48" s="795"/>
      <c r="PB48" s="795"/>
      <c r="PC48" s="796"/>
    </row>
    <row r="49" spans="373:373" x14ac:dyDescent="0.3">
      <c r="NI49" s="452"/>
    </row>
  </sheetData>
  <mergeCells count="9">
    <mergeCell ref="B34:B43"/>
    <mergeCell ref="B44:B48"/>
    <mergeCell ref="B31:B32"/>
    <mergeCell ref="B4:B9"/>
    <mergeCell ref="B10:B15"/>
    <mergeCell ref="B16:B21"/>
    <mergeCell ref="B22:B23"/>
    <mergeCell ref="B26:B30"/>
    <mergeCell ref="B24:B25"/>
  </mergeCells>
  <conditionalFormatting sqref="A2:C2 PD2:XFD2">
    <cfRule type="timePeriod" dxfId="1441" priority="3683" timePeriod="today">
      <formula>FLOOR(A2,1)=TODAY()</formula>
    </cfRule>
  </conditionalFormatting>
  <conditionalFormatting sqref="U2:AA2">
    <cfRule type="timePeriod" dxfId="1440" priority="3676" timePeriod="today">
      <formula>FLOOR(U2,1)=TODAY()</formula>
    </cfRule>
  </conditionalFormatting>
  <conditionalFormatting sqref="T2">
    <cfRule type="timePeriod" dxfId="1439" priority="3673" timePeriod="today">
      <formula>FLOOR(T2,1)=TODAY()</formula>
    </cfRule>
  </conditionalFormatting>
  <conditionalFormatting sqref="AC2:AI2">
    <cfRule type="timePeriod" dxfId="1438" priority="3671" timePeriod="today">
      <formula>FLOOR(AC2,1)=TODAY()</formula>
    </cfRule>
  </conditionalFormatting>
  <conditionalFormatting sqref="AB2">
    <cfRule type="timePeriod" dxfId="1437" priority="3668" timePeriod="today">
      <formula>FLOOR(AB2,1)=TODAY()</formula>
    </cfRule>
  </conditionalFormatting>
  <conditionalFormatting sqref="AK2:AQ2">
    <cfRule type="timePeriod" dxfId="1436" priority="3624" timePeriod="today">
      <formula>FLOOR(AK2,1)=TODAY()</formula>
    </cfRule>
  </conditionalFormatting>
  <conditionalFormatting sqref="AJ2">
    <cfRule type="timePeriod" dxfId="1435" priority="3621" timePeriod="today">
      <formula>FLOOR(AJ2,1)=TODAY()</formula>
    </cfRule>
  </conditionalFormatting>
  <conditionalFormatting sqref="AS2:AY2">
    <cfRule type="timePeriod" dxfId="1434" priority="3618" timePeriod="today">
      <formula>FLOOR(AS2,1)=TODAY()</formula>
    </cfRule>
  </conditionalFormatting>
  <conditionalFormatting sqref="AR2">
    <cfRule type="timePeriod" dxfId="1433" priority="3615" timePeriod="today">
      <formula>FLOOR(AR2,1)=TODAY()</formula>
    </cfRule>
  </conditionalFormatting>
  <conditionalFormatting sqref="BA2:BG2">
    <cfRule type="timePeriod" dxfId="1432" priority="3612" timePeriod="today">
      <formula>FLOOR(BA2,1)=TODAY()</formula>
    </cfRule>
  </conditionalFormatting>
  <conditionalFormatting sqref="AZ2">
    <cfRule type="timePeriod" dxfId="1431" priority="3609" timePeriod="today">
      <formula>FLOOR(AZ2,1)=TODAY()</formula>
    </cfRule>
  </conditionalFormatting>
  <conditionalFormatting sqref="BI2:BO2">
    <cfRule type="timePeriod" dxfId="1430" priority="3606" timePeriod="today">
      <formula>FLOOR(BI2,1)=TODAY()</formula>
    </cfRule>
  </conditionalFormatting>
  <conditionalFormatting sqref="BH2">
    <cfRule type="timePeriod" dxfId="1429" priority="3603" timePeriod="today">
      <formula>FLOOR(BH2,1)=TODAY()</formula>
    </cfRule>
  </conditionalFormatting>
  <conditionalFormatting sqref="BQ2:BW2">
    <cfRule type="timePeriod" dxfId="1428" priority="3600" timePeriod="today">
      <formula>FLOOR(BQ2,1)=TODAY()</formula>
    </cfRule>
  </conditionalFormatting>
  <conditionalFormatting sqref="BP2">
    <cfRule type="timePeriod" dxfId="1427" priority="3597" timePeriod="today">
      <formula>FLOOR(BP2,1)=TODAY()</formula>
    </cfRule>
  </conditionalFormatting>
  <conditionalFormatting sqref="BY2:CE2">
    <cfRule type="timePeriod" dxfId="1426" priority="3594" timePeriod="today">
      <formula>FLOOR(BY2,1)=TODAY()</formula>
    </cfRule>
  </conditionalFormatting>
  <conditionalFormatting sqref="BX2">
    <cfRule type="timePeriod" dxfId="1425" priority="3591" timePeriod="today">
      <formula>FLOOR(BX2,1)=TODAY()</formula>
    </cfRule>
  </conditionalFormatting>
  <conditionalFormatting sqref="CG2:CM2">
    <cfRule type="timePeriod" dxfId="1424" priority="3588" timePeriod="today">
      <formula>FLOOR(CG2,1)=TODAY()</formula>
    </cfRule>
  </conditionalFormatting>
  <conditionalFormatting sqref="CF2">
    <cfRule type="timePeriod" dxfId="1423" priority="3585" timePeriod="today">
      <formula>FLOOR(CF2,1)=TODAY()</formula>
    </cfRule>
  </conditionalFormatting>
  <conditionalFormatting sqref="CO2:CU2">
    <cfRule type="timePeriod" dxfId="1422" priority="3582" timePeriod="today">
      <formula>FLOOR(CO2,1)=TODAY()</formula>
    </cfRule>
  </conditionalFormatting>
  <conditionalFormatting sqref="CN2">
    <cfRule type="timePeriod" dxfId="1421" priority="3579" timePeriod="today">
      <formula>FLOOR(CN2,1)=TODAY()</formula>
    </cfRule>
  </conditionalFormatting>
  <conditionalFormatting sqref="CW2:DC2">
    <cfRule type="timePeriod" dxfId="1420" priority="3576" timePeriod="today">
      <formula>FLOOR(CW2,1)=TODAY()</formula>
    </cfRule>
  </conditionalFormatting>
  <conditionalFormatting sqref="CV2">
    <cfRule type="timePeriod" dxfId="1419" priority="3573" timePeriod="today">
      <formula>FLOOR(CV2,1)=TODAY()</formula>
    </cfRule>
  </conditionalFormatting>
  <conditionalFormatting sqref="DE2:DK2">
    <cfRule type="timePeriod" dxfId="1418" priority="3570" timePeriod="today">
      <formula>FLOOR(DE2,1)=TODAY()</formula>
    </cfRule>
  </conditionalFormatting>
  <conditionalFormatting sqref="DD2">
    <cfRule type="timePeriod" dxfId="1417" priority="3567" timePeriod="today">
      <formula>FLOOR(DD2,1)=TODAY()</formula>
    </cfRule>
  </conditionalFormatting>
  <conditionalFormatting sqref="DM2:DS2">
    <cfRule type="timePeriod" dxfId="1416" priority="3561" timePeriod="today">
      <formula>FLOOR(DM2,1)=TODAY()</formula>
    </cfRule>
  </conditionalFormatting>
  <conditionalFormatting sqref="DL2">
    <cfRule type="timePeriod" dxfId="1415" priority="3558" timePeriod="today">
      <formula>FLOOR(DL2,1)=TODAY()</formula>
    </cfRule>
  </conditionalFormatting>
  <conditionalFormatting sqref="DU2:EA2">
    <cfRule type="timePeriod" dxfId="1414" priority="3552" timePeriod="today">
      <formula>FLOOR(DU2,1)=TODAY()</formula>
    </cfRule>
  </conditionalFormatting>
  <conditionalFormatting sqref="DT2">
    <cfRule type="timePeriod" dxfId="1413" priority="3549" timePeriod="today">
      <formula>FLOOR(DT2,1)=TODAY()</formula>
    </cfRule>
  </conditionalFormatting>
  <conditionalFormatting sqref="EC2:EI2">
    <cfRule type="timePeriod" dxfId="1412" priority="3544" timePeriod="today">
      <formula>FLOOR(EC2,1)=TODAY()</formula>
    </cfRule>
  </conditionalFormatting>
  <conditionalFormatting sqref="EB2">
    <cfRule type="timePeriod" dxfId="1411" priority="3541" timePeriod="today">
      <formula>FLOOR(EB2,1)=TODAY()</formula>
    </cfRule>
  </conditionalFormatting>
  <conditionalFormatting sqref="EK2:EQ2">
    <cfRule type="timePeriod" dxfId="1410" priority="3536" timePeriod="today">
      <formula>FLOOR(EK2,1)=TODAY()</formula>
    </cfRule>
  </conditionalFormatting>
  <conditionalFormatting sqref="EJ2">
    <cfRule type="timePeriod" dxfId="1409" priority="3533" timePeriod="today">
      <formula>FLOOR(EJ2,1)=TODAY()</formula>
    </cfRule>
  </conditionalFormatting>
  <conditionalFormatting sqref="ES2:EY2">
    <cfRule type="timePeriod" dxfId="1408" priority="3527" timePeriod="today">
      <formula>FLOOR(ES2,1)=TODAY()</formula>
    </cfRule>
  </conditionalFormatting>
  <conditionalFormatting sqref="ER2">
    <cfRule type="timePeriod" dxfId="1407" priority="3524" timePeriod="today">
      <formula>FLOOR(ER2,1)=TODAY()</formula>
    </cfRule>
  </conditionalFormatting>
  <conditionalFormatting sqref="FA2:FG2">
    <cfRule type="timePeriod" dxfId="1406" priority="3519" timePeriod="today">
      <formula>FLOOR(FA2,1)=TODAY()</formula>
    </cfRule>
  </conditionalFormatting>
  <conditionalFormatting sqref="EZ2">
    <cfRule type="timePeriod" dxfId="1405" priority="3516" timePeriod="today">
      <formula>FLOOR(EZ2,1)=TODAY()</formula>
    </cfRule>
  </conditionalFormatting>
  <conditionalFormatting sqref="FI2:FO2">
    <cfRule type="timePeriod" dxfId="1404" priority="3511" timePeriod="today">
      <formula>FLOOR(FI2,1)=TODAY()</formula>
    </cfRule>
  </conditionalFormatting>
  <conditionalFormatting sqref="FH2">
    <cfRule type="timePeriod" dxfId="1403" priority="3508" timePeriod="today">
      <formula>FLOOR(FH2,1)=TODAY()</formula>
    </cfRule>
  </conditionalFormatting>
  <conditionalFormatting sqref="FQ2:FW2">
    <cfRule type="timePeriod" dxfId="1402" priority="3503" timePeriod="today">
      <formula>FLOOR(FQ2,1)=TODAY()</formula>
    </cfRule>
  </conditionalFormatting>
  <conditionalFormatting sqref="FP2">
    <cfRule type="timePeriod" dxfId="1401" priority="3500" timePeriod="today">
      <formula>FLOOR(FP2,1)=TODAY()</formula>
    </cfRule>
  </conditionalFormatting>
  <conditionalFormatting sqref="FY2:GE2">
    <cfRule type="timePeriod" dxfId="1400" priority="3495" timePeriod="today">
      <formula>FLOOR(FY2,1)=TODAY()</formula>
    </cfRule>
  </conditionalFormatting>
  <conditionalFormatting sqref="FX2">
    <cfRule type="timePeriod" dxfId="1399" priority="3492" timePeriod="today">
      <formula>FLOOR(FX2,1)=TODAY()</formula>
    </cfRule>
  </conditionalFormatting>
  <conditionalFormatting sqref="GG2:GM2">
    <cfRule type="timePeriod" dxfId="1398" priority="3487" timePeriod="today">
      <formula>FLOOR(GG2,1)=TODAY()</formula>
    </cfRule>
  </conditionalFormatting>
  <conditionalFormatting sqref="GF2">
    <cfRule type="timePeriod" dxfId="1397" priority="3484" timePeriod="today">
      <formula>FLOOR(GF2,1)=TODAY()</formula>
    </cfRule>
  </conditionalFormatting>
  <conditionalFormatting sqref="GO2:GU2">
    <cfRule type="timePeriod" dxfId="1396" priority="3479" timePeriod="today">
      <formula>FLOOR(GO2,1)=TODAY()</formula>
    </cfRule>
  </conditionalFormatting>
  <conditionalFormatting sqref="GN2">
    <cfRule type="timePeriod" dxfId="1395" priority="3476" timePeriod="today">
      <formula>FLOOR(GN2,1)=TODAY()</formula>
    </cfRule>
  </conditionalFormatting>
  <conditionalFormatting sqref="GW2:HC2">
    <cfRule type="timePeriod" dxfId="1394" priority="3471" timePeriod="today">
      <formula>FLOOR(GW2,1)=TODAY()</formula>
    </cfRule>
  </conditionalFormatting>
  <conditionalFormatting sqref="GV2">
    <cfRule type="timePeriod" dxfId="1393" priority="3468" timePeriod="today">
      <formula>FLOOR(GV2,1)=TODAY()</formula>
    </cfRule>
  </conditionalFormatting>
  <conditionalFormatting sqref="HE2:HK2">
    <cfRule type="timePeriod" dxfId="1392" priority="3451" timePeriod="today">
      <formula>FLOOR(HE2,1)=TODAY()</formula>
    </cfRule>
  </conditionalFormatting>
  <conditionalFormatting sqref="HD2">
    <cfRule type="timePeriod" dxfId="1391" priority="3448" timePeriod="today">
      <formula>FLOOR(HD2,1)=TODAY()</formula>
    </cfRule>
  </conditionalFormatting>
  <conditionalFormatting sqref="HM2:HS2">
    <cfRule type="timePeriod" dxfId="1390" priority="3434" timePeriod="today">
      <formula>FLOOR(HM2,1)=TODAY()</formula>
    </cfRule>
  </conditionalFormatting>
  <conditionalFormatting sqref="HL2">
    <cfRule type="timePeriod" dxfId="1389" priority="3431" timePeriod="today">
      <formula>FLOOR(HL2,1)=TODAY()</formula>
    </cfRule>
  </conditionalFormatting>
  <conditionalFormatting sqref="HU2:IA2">
    <cfRule type="timePeriod" dxfId="1388" priority="3421" timePeriod="today">
      <formula>FLOOR(HU2,1)=TODAY()</formula>
    </cfRule>
  </conditionalFormatting>
  <conditionalFormatting sqref="HT2">
    <cfRule type="timePeriod" dxfId="1387" priority="3418" timePeriod="today">
      <formula>FLOOR(HT2,1)=TODAY()</formula>
    </cfRule>
  </conditionalFormatting>
  <conditionalFormatting sqref="IC2:II2">
    <cfRule type="timePeriod" dxfId="1386" priority="3408" timePeriod="today">
      <formula>FLOOR(IC2,1)=TODAY()</formula>
    </cfRule>
  </conditionalFormatting>
  <conditionalFormatting sqref="IB2">
    <cfRule type="timePeriod" dxfId="1385" priority="3405" timePeriod="today">
      <formula>FLOOR(IB2,1)=TODAY()</formula>
    </cfRule>
  </conditionalFormatting>
  <conditionalFormatting sqref="IK2:IQ2">
    <cfRule type="timePeriod" dxfId="1384" priority="3395" timePeriod="today">
      <formula>FLOOR(IK2,1)=TODAY()</formula>
    </cfRule>
  </conditionalFormatting>
  <conditionalFormatting sqref="IJ2">
    <cfRule type="timePeriod" dxfId="1383" priority="3392" timePeriod="today">
      <formula>FLOOR(IJ2,1)=TODAY()</formula>
    </cfRule>
  </conditionalFormatting>
  <conditionalFormatting sqref="IS2:IY2">
    <cfRule type="timePeriod" dxfId="1382" priority="3382" timePeriod="today">
      <formula>FLOOR(IS2,1)=TODAY()</formula>
    </cfRule>
  </conditionalFormatting>
  <conditionalFormatting sqref="IR2">
    <cfRule type="timePeriod" dxfId="1381" priority="3379" timePeriod="today">
      <formula>FLOOR(IR2,1)=TODAY()</formula>
    </cfRule>
  </conditionalFormatting>
  <conditionalFormatting sqref="JA2:JG2">
    <cfRule type="timePeriod" dxfId="1380" priority="3369" timePeriod="today">
      <formula>FLOOR(JA2,1)=TODAY()</formula>
    </cfRule>
  </conditionalFormatting>
  <conditionalFormatting sqref="IZ2">
    <cfRule type="timePeriod" dxfId="1379" priority="3366" timePeriod="today">
      <formula>FLOOR(IZ2,1)=TODAY()</formula>
    </cfRule>
  </conditionalFormatting>
  <conditionalFormatting sqref="JI2:JO2">
    <cfRule type="timePeriod" dxfId="1378" priority="3356" timePeriod="today">
      <formula>FLOOR(JI2,1)=TODAY()</formula>
    </cfRule>
  </conditionalFormatting>
  <conditionalFormatting sqref="JH2">
    <cfRule type="timePeriod" dxfId="1377" priority="3353" timePeriod="today">
      <formula>FLOOR(JH2,1)=TODAY()</formula>
    </cfRule>
  </conditionalFormatting>
  <conditionalFormatting sqref="JQ2:JW2">
    <cfRule type="timePeriod" dxfId="1376" priority="3343" timePeriod="today">
      <formula>FLOOR(JQ2,1)=TODAY()</formula>
    </cfRule>
  </conditionalFormatting>
  <conditionalFormatting sqref="JP2">
    <cfRule type="timePeriod" dxfId="1375" priority="3340" timePeriod="today">
      <formula>FLOOR(JP2,1)=TODAY()</formula>
    </cfRule>
  </conditionalFormatting>
  <conditionalFormatting sqref="JY2:KE2">
    <cfRule type="timePeriod" dxfId="1374" priority="3330" timePeriod="today">
      <formula>FLOOR(JY2,1)=TODAY()</formula>
    </cfRule>
  </conditionalFormatting>
  <conditionalFormatting sqref="JX2">
    <cfRule type="timePeriod" dxfId="1373" priority="3327" timePeriod="today">
      <formula>FLOOR(JX2,1)=TODAY()</formula>
    </cfRule>
  </conditionalFormatting>
  <conditionalFormatting sqref="KG2:KM2">
    <cfRule type="timePeriod" dxfId="1372" priority="3317" timePeriod="today">
      <formula>FLOOR(KG2,1)=TODAY()</formula>
    </cfRule>
  </conditionalFormatting>
  <conditionalFormatting sqref="KF2">
    <cfRule type="timePeriod" dxfId="1371" priority="3314" timePeriod="today">
      <formula>FLOOR(KF2,1)=TODAY()</formula>
    </cfRule>
  </conditionalFormatting>
  <conditionalFormatting sqref="KO2:KU2">
    <cfRule type="timePeriod" dxfId="1370" priority="3304" timePeriod="today">
      <formula>FLOOR(KO2,1)=TODAY()</formula>
    </cfRule>
  </conditionalFormatting>
  <conditionalFormatting sqref="KN2">
    <cfRule type="timePeriod" dxfId="1369" priority="3301" timePeriod="today">
      <formula>FLOOR(KN2,1)=TODAY()</formula>
    </cfRule>
  </conditionalFormatting>
  <conditionalFormatting sqref="KW2:LC2">
    <cfRule type="timePeriod" dxfId="1368" priority="3291" timePeriod="today">
      <formula>FLOOR(KW2,1)=TODAY()</formula>
    </cfRule>
  </conditionalFormatting>
  <conditionalFormatting sqref="KV2">
    <cfRule type="timePeriod" dxfId="1367" priority="3288" timePeriod="today">
      <formula>FLOOR(KV2,1)=TODAY()</formula>
    </cfRule>
  </conditionalFormatting>
  <conditionalFormatting sqref="LE2:LK2">
    <cfRule type="timePeriod" dxfId="1366" priority="3150" timePeriod="today">
      <formula>FLOOR(LE2,1)=TODAY()</formula>
    </cfRule>
  </conditionalFormatting>
  <conditionalFormatting sqref="LD2">
    <cfRule type="timePeriod" dxfId="1365" priority="3147" timePeriod="today">
      <formula>FLOOR(LD2,1)=TODAY()</formula>
    </cfRule>
  </conditionalFormatting>
  <conditionalFormatting sqref="LM2:LS2">
    <cfRule type="timePeriod" dxfId="1364" priority="3120" timePeriod="today">
      <formula>FLOOR(LM2,1)=TODAY()</formula>
    </cfRule>
  </conditionalFormatting>
  <conditionalFormatting sqref="LL2">
    <cfRule type="timePeriod" dxfId="1363" priority="3117" timePeriod="today">
      <formula>FLOOR(LL2,1)=TODAY()</formula>
    </cfRule>
  </conditionalFormatting>
  <conditionalFormatting sqref="LU2:MA2">
    <cfRule type="timePeriod" dxfId="1362" priority="3086" timePeriod="today">
      <formula>FLOOR(LU2,1)=TODAY()</formula>
    </cfRule>
  </conditionalFormatting>
  <conditionalFormatting sqref="LT2">
    <cfRule type="timePeriod" dxfId="1361" priority="3083" timePeriod="today">
      <formula>FLOOR(LT2,1)=TODAY()</formula>
    </cfRule>
  </conditionalFormatting>
  <conditionalFormatting sqref="MC2:MI2">
    <cfRule type="timePeriod" dxfId="1360" priority="2982" timePeriod="today">
      <formula>FLOOR(MC2,1)=TODAY()</formula>
    </cfRule>
  </conditionalFormatting>
  <conditionalFormatting sqref="MB2">
    <cfRule type="timePeriod" dxfId="1359" priority="2981" timePeriod="today">
      <formula>FLOOR(MB2,1)=TODAY()</formula>
    </cfRule>
  </conditionalFormatting>
  <conditionalFormatting sqref="MK2:MQ2">
    <cfRule type="timePeriod" dxfId="1358" priority="2940" timePeriod="today">
      <formula>FLOOR(MK2,1)=TODAY()</formula>
    </cfRule>
  </conditionalFormatting>
  <conditionalFormatting sqref="MJ2">
    <cfRule type="timePeriod" dxfId="1357" priority="2939" timePeriod="today">
      <formula>FLOOR(MJ2,1)=TODAY()</formula>
    </cfRule>
  </conditionalFormatting>
  <conditionalFormatting sqref="MS2:MY2">
    <cfRule type="timePeriod" dxfId="1356" priority="2788" timePeriod="today">
      <formula>FLOOR(MS2,1)=TODAY()</formula>
    </cfRule>
  </conditionalFormatting>
  <conditionalFormatting sqref="MR2">
    <cfRule type="timePeriod" dxfId="1355" priority="2787" timePeriod="today">
      <formula>FLOOR(MR2,1)=TODAY()</formula>
    </cfRule>
  </conditionalFormatting>
  <conditionalFormatting sqref="NA2:NG2">
    <cfRule type="timePeriod" dxfId="1354" priority="2752" timePeriod="today">
      <formula>FLOOR(NA2,1)=TODAY()</formula>
    </cfRule>
  </conditionalFormatting>
  <conditionalFormatting sqref="MZ2">
    <cfRule type="timePeriod" dxfId="1353" priority="2751" timePeriod="today">
      <formula>FLOOR(MZ2,1)=TODAY()</formula>
    </cfRule>
  </conditionalFormatting>
  <conditionalFormatting sqref="NI2:NO2">
    <cfRule type="timePeriod" dxfId="1352" priority="2724" timePeriod="today">
      <formula>FLOOR(NI2,1)=TODAY()</formula>
    </cfRule>
  </conditionalFormatting>
  <conditionalFormatting sqref="NH2">
    <cfRule type="timePeriod" dxfId="1351" priority="2723" timePeriod="today">
      <formula>FLOOR(NH2,1)=TODAY()</formula>
    </cfRule>
  </conditionalFormatting>
  <conditionalFormatting sqref="NQ2:NW2">
    <cfRule type="timePeriod" dxfId="1350" priority="2696" timePeriod="today">
      <formula>FLOOR(NQ2,1)=TODAY()</formula>
    </cfRule>
  </conditionalFormatting>
  <conditionalFormatting sqref="NP2">
    <cfRule type="timePeriod" dxfId="1349" priority="2695" timePeriod="today">
      <formula>FLOOR(NP2,1)=TODAY()</formula>
    </cfRule>
  </conditionalFormatting>
  <conditionalFormatting sqref="NP33">
    <cfRule type="cellIs" dxfId="1348" priority="2694" operator="lessThanOrEqual">
      <formula>25000</formula>
    </cfRule>
  </conditionalFormatting>
  <conditionalFormatting sqref="NQ33:NW33">
    <cfRule type="cellIs" dxfId="1347" priority="2690" operator="greaterThan">
      <formula>45000</formula>
    </cfRule>
  </conditionalFormatting>
  <conditionalFormatting sqref="NQ33:NW33">
    <cfRule type="cellIs" dxfId="1346" priority="2689" operator="lessThanOrEqual">
      <formula>45000</formula>
    </cfRule>
  </conditionalFormatting>
  <conditionalFormatting sqref="NY2:OE2">
    <cfRule type="timePeriod" dxfId="1345" priority="2668" timePeriod="today">
      <formula>FLOOR(NY2,1)=TODAY()</formula>
    </cfRule>
  </conditionalFormatting>
  <conditionalFormatting sqref="NX2">
    <cfRule type="timePeriod" dxfId="1344" priority="2667" timePeriod="today">
      <formula>FLOOR(NX2,1)=TODAY()</formula>
    </cfRule>
  </conditionalFormatting>
  <conditionalFormatting sqref="NX33">
    <cfRule type="cellIs" dxfId="1343" priority="2666" operator="lessThanOrEqual">
      <formula>25000</formula>
    </cfRule>
  </conditionalFormatting>
  <conditionalFormatting sqref="NY33:OE33">
    <cfRule type="cellIs" dxfId="1342" priority="2662" operator="greaterThan">
      <formula>45000</formula>
    </cfRule>
  </conditionalFormatting>
  <conditionalFormatting sqref="NY33:OE33">
    <cfRule type="cellIs" dxfId="1341" priority="2661" operator="lessThanOrEqual">
      <formula>45000</formula>
    </cfRule>
  </conditionalFormatting>
  <conditionalFormatting sqref="OG2:OM2">
    <cfRule type="timePeriod" dxfId="1340" priority="2640" timePeriod="today">
      <formula>FLOOR(OG2,1)=TODAY()</formula>
    </cfRule>
  </conditionalFormatting>
  <conditionalFormatting sqref="OF2">
    <cfRule type="timePeriod" dxfId="1339" priority="2639" timePeriod="today">
      <formula>FLOOR(OF2,1)=TODAY()</formula>
    </cfRule>
  </conditionalFormatting>
  <conditionalFormatting sqref="OF33">
    <cfRule type="cellIs" dxfId="1338" priority="2638" operator="lessThanOrEqual">
      <formula>25000</formula>
    </cfRule>
  </conditionalFormatting>
  <conditionalFormatting sqref="OG33:OM33">
    <cfRule type="cellIs" dxfId="1337" priority="2634" operator="greaterThan">
      <formula>45000</formula>
    </cfRule>
  </conditionalFormatting>
  <conditionalFormatting sqref="OG33:OM33">
    <cfRule type="cellIs" dxfId="1336" priority="2633" operator="lessThanOrEqual">
      <formula>45000</formula>
    </cfRule>
  </conditionalFormatting>
  <conditionalFormatting sqref="OO2:OU2">
    <cfRule type="timePeriod" dxfId="1335" priority="2612" timePeriod="today">
      <formula>FLOOR(OO2,1)=TODAY()</formula>
    </cfRule>
  </conditionalFormatting>
  <conditionalFormatting sqref="ON2">
    <cfRule type="timePeriod" dxfId="1334" priority="2611" timePeriod="today">
      <formula>FLOOR(ON2,1)=TODAY()</formula>
    </cfRule>
  </conditionalFormatting>
  <conditionalFormatting sqref="ON33">
    <cfRule type="cellIs" dxfId="1333" priority="2610" operator="lessThanOrEqual">
      <formula>25000</formula>
    </cfRule>
  </conditionalFormatting>
  <conditionalFormatting sqref="OO33:OU33">
    <cfRule type="cellIs" dxfId="1332" priority="2606" operator="greaterThan">
      <formula>45000</formula>
    </cfRule>
  </conditionalFormatting>
  <conditionalFormatting sqref="OO33:OU33">
    <cfRule type="cellIs" dxfId="1331" priority="2605" operator="lessThanOrEqual">
      <formula>45000</formula>
    </cfRule>
  </conditionalFormatting>
  <conditionalFormatting sqref="OW2:PC2">
    <cfRule type="timePeriod" dxfId="1330" priority="2584" timePeriod="today">
      <formula>FLOOR(OW2,1)=TODAY()</formula>
    </cfRule>
  </conditionalFormatting>
  <conditionalFormatting sqref="OV2">
    <cfRule type="timePeriod" dxfId="1329" priority="2583" timePeriod="today">
      <formula>FLOOR(OV2,1)=TODAY()</formula>
    </cfRule>
  </conditionalFormatting>
  <conditionalFormatting sqref="OV33">
    <cfRule type="cellIs" dxfId="1328" priority="2582" operator="lessThanOrEqual">
      <formula>25000</formula>
    </cfRule>
  </conditionalFormatting>
  <conditionalFormatting sqref="OW33:PC33">
    <cfRule type="cellIs" dxfId="1327" priority="2578" operator="greaterThan">
      <formula>45000</formula>
    </cfRule>
  </conditionalFormatting>
  <conditionalFormatting sqref="OW33:PC33">
    <cfRule type="cellIs" dxfId="1326" priority="2577" operator="lessThanOrEqual">
      <formula>45000</formula>
    </cfRule>
  </conditionalFormatting>
  <conditionalFormatting sqref="FQ35:FW35 GE35 GG35:GM35 GU35 HC35 HK35 HS35 IA35 IC35:II35 IK35:IQ35 IS35:IY35 JA35:JG35 JI35:JO35 JQ35:JW35 JY35:KE35 KG35:KM35 KO35:KU35 KW35:LC35 LE35:LK35 LM35:LS35 MC35:MI35 MK35:MQ35 MS35:MY35 AS35:AV35 AX35:BR35 BT35:FJ35 FL35:FO35 LU35:MA35">
    <cfRule type="expression" dxfId="1325" priority="2001">
      <formula>_xlfn.ISFORMULA(AS35)</formula>
    </cfRule>
  </conditionalFormatting>
  <conditionalFormatting sqref="FQ37:FW37 GE37 GG37:GM37 GU37 HC37 HK37 HS37 LR37:LS37 MC37:MI37 MK37:MQ37 MS37:MY37 AU37:AV37 AX37:AZ37 BC37:DE37 DG37:FO37 LU37:MA37">
    <cfRule type="expression" dxfId="1324" priority="2000">
      <formula>_xlfn.ISFORMULA(AU37)</formula>
    </cfRule>
  </conditionalFormatting>
  <conditionalFormatting sqref="FQ39:FW39 GE39 GG39:GM39 GU39 HC39 HK39 HS39 LR39:LS39 MC39:MI39 MK39:MQ39 MS39:MY39 AS39:DH39 DJ39:FO39 LU39:MA39">
    <cfRule type="expression" dxfId="1323" priority="1999">
      <formula>_xlfn.ISFORMULA(AS39)</formula>
    </cfRule>
  </conditionalFormatting>
  <conditionalFormatting sqref="FQ41:FW41 GE41 GG41:GM41 GU41 HC41 HK41 HS41 LR41:LS41 MC41:MI41 MK41:MQ41 MS41:MY41 AS41:DH41 DJ41:FO41 LU41:MA41">
    <cfRule type="expression" dxfId="1322" priority="1998">
      <formula>_xlfn.ISFORMULA(AS41)</formula>
    </cfRule>
  </conditionalFormatting>
  <conditionalFormatting sqref="AY43 BG43 GU43 HC43 HK43 HS43 BI43:BO43 BQ43:BW43 BY43:CE43 CG43:CM43 CO43:CU43 CW43:DC43 DE43:DK43 DM43:DS43 DU43:EA43 EC43:EI43 EK43:EQ43 ES43:EY43 FA43:FG43 FI43:FO43 FQ43:FW43 FY43:GE43 GG43:GM43 LU43:MA43 MC43:MI43 MK43:NG43">
    <cfRule type="expression" dxfId="1321" priority="1997">
      <formula>_xlfn.ISFORMULA(AY43)</formula>
    </cfRule>
  </conditionalFormatting>
  <conditionalFormatting sqref="NI46">
    <cfRule type="cellIs" dxfId="1320" priority="1950" operator="lessThan">
      <formula>NI$35</formula>
    </cfRule>
  </conditionalFormatting>
  <conditionalFormatting sqref="NI46">
    <cfRule type="cellIs" dxfId="1319" priority="1949" operator="greaterThanOrEqual">
      <formula>NI$35</formula>
    </cfRule>
  </conditionalFormatting>
  <conditionalFormatting sqref="NJ46:NN46">
    <cfRule type="cellIs" dxfId="1318" priority="1948" operator="lessThan">
      <formula>NJ$35</formula>
    </cfRule>
  </conditionalFormatting>
  <conditionalFormatting sqref="NJ46:NN46">
    <cfRule type="cellIs" dxfId="1317" priority="1947" operator="greaterThanOrEqual">
      <formula>NJ$35</formula>
    </cfRule>
  </conditionalFormatting>
  <conditionalFormatting sqref="NQ46">
    <cfRule type="cellIs" dxfId="1316" priority="1946" operator="lessThan">
      <formula>NQ$35</formula>
    </cfRule>
  </conditionalFormatting>
  <conditionalFormatting sqref="NQ46">
    <cfRule type="cellIs" dxfId="1315" priority="1945" operator="greaterThanOrEqual">
      <formula>NQ$35</formula>
    </cfRule>
  </conditionalFormatting>
  <conditionalFormatting sqref="NR46:NV46">
    <cfRule type="cellIs" dxfId="1314" priority="1944" operator="lessThan">
      <formula>NR$35</formula>
    </cfRule>
  </conditionalFormatting>
  <conditionalFormatting sqref="NR46:NV46">
    <cfRule type="cellIs" dxfId="1313" priority="1943" operator="greaterThanOrEqual">
      <formula>NR$35</formula>
    </cfRule>
  </conditionalFormatting>
  <conditionalFormatting sqref="NY46">
    <cfRule type="cellIs" dxfId="1312" priority="1942" operator="lessThan">
      <formula>NY$35</formula>
    </cfRule>
  </conditionalFormatting>
  <conditionalFormatting sqref="NY46">
    <cfRule type="cellIs" dxfId="1311" priority="1941" operator="greaterThanOrEqual">
      <formula>NY$35</formula>
    </cfRule>
  </conditionalFormatting>
  <conditionalFormatting sqref="NZ46:OD46">
    <cfRule type="cellIs" dxfId="1310" priority="1938" operator="lessThan">
      <formula>NZ$35</formula>
    </cfRule>
  </conditionalFormatting>
  <conditionalFormatting sqref="NZ46:OD46">
    <cfRule type="cellIs" dxfId="1309" priority="1937" operator="greaterThanOrEqual">
      <formula>NZ$35</formula>
    </cfRule>
  </conditionalFormatting>
  <conditionalFormatting sqref="OG46">
    <cfRule type="cellIs" dxfId="1308" priority="1936" operator="lessThan">
      <formula>OG$35</formula>
    </cfRule>
  </conditionalFormatting>
  <conditionalFormatting sqref="OG46">
    <cfRule type="cellIs" dxfId="1307" priority="1935" operator="greaterThanOrEqual">
      <formula>OG$35</formula>
    </cfRule>
  </conditionalFormatting>
  <conditionalFormatting sqref="OH46:OL46">
    <cfRule type="cellIs" dxfId="1306" priority="1934" operator="lessThan">
      <formula>OH$35</formula>
    </cfRule>
  </conditionalFormatting>
  <conditionalFormatting sqref="OH46:OL46">
    <cfRule type="cellIs" dxfId="1305" priority="1933" operator="greaterThanOrEqual">
      <formula>OH$35</formula>
    </cfRule>
  </conditionalFormatting>
  <conditionalFormatting sqref="OO46">
    <cfRule type="cellIs" dxfId="1304" priority="1932" operator="lessThan">
      <formula>OO$35</formula>
    </cfRule>
  </conditionalFormatting>
  <conditionalFormatting sqref="OO46">
    <cfRule type="cellIs" dxfId="1303" priority="1931" operator="greaterThanOrEqual">
      <formula>OO$35</formula>
    </cfRule>
  </conditionalFormatting>
  <conditionalFormatting sqref="OP46:OT46">
    <cfRule type="cellIs" dxfId="1302" priority="1930" operator="lessThan">
      <formula>OP$35</formula>
    </cfRule>
  </conditionalFormatting>
  <conditionalFormatting sqref="OP46:OT46">
    <cfRule type="cellIs" dxfId="1301" priority="1929" operator="greaterThanOrEqual">
      <formula>OP$35</formula>
    </cfRule>
  </conditionalFormatting>
  <conditionalFormatting sqref="OW46">
    <cfRule type="cellIs" dxfId="1300" priority="1928" operator="lessThan">
      <formula>OW$35</formula>
    </cfRule>
  </conditionalFormatting>
  <conditionalFormatting sqref="OW46">
    <cfRule type="cellIs" dxfId="1299" priority="1927" operator="greaterThanOrEqual">
      <formula>OW$35</formula>
    </cfRule>
  </conditionalFormatting>
  <conditionalFormatting sqref="OX46:PB46">
    <cfRule type="cellIs" dxfId="1298" priority="1926" operator="lessThan">
      <formula>OX$35</formula>
    </cfRule>
  </conditionalFormatting>
  <conditionalFormatting sqref="OX46:PB46">
    <cfRule type="cellIs" dxfId="1297" priority="1925" operator="greaterThanOrEqual">
      <formula>OX$35</formula>
    </cfRule>
  </conditionalFormatting>
  <conditionalFormatting sqref="E2:K2">
    <cfRule type="timePeriod" dxfId="1296" priority="1834" timePeriod="today">
      <formula>FLOOR(E2,1)=TODAY()</formula>
    </cfRule>
  </conditionalFormatting>
  <conditionalFormatting sqref="D2">
    <cfRule type="timePeriod" dxfId="1295" priority="1833" timePeriod="today">
      <formula>FLOOR(D2,1)=TODAY()</formula>
    </cfRule>
  </conditionalFormatting>
  <conditionalFormatting sqref="D32:D33">
    <cfRule type="cellIs" dxfId="1294" priority="1832" operator="lessThanOrEqual">
      <formula>25000</formula>
    </cfRule>
  </conditionalFormatting>
  <conditionalFormatting sqref="K9">
    <cfRule type="expression" dxfId="1293" priority="1831">
      <formula>_xlfn.ISFORMULA(K9)</formula>
    </cfRule>
  </conditionalFormatting>
  <conditionalFormatting sqref="E15:K15">
    <cfRule type="expression" dxfId="1292" priority="1830">
      <formula>_xlfn.ISFORMULA(E15)</formula>
    </cfRule>
  </conditionalFormatting>
  <conditionalFormatting sqref="E21:K21">
    <cfRule type="expression" dxfId="1291" priority="1829">
      <formula>_xlfn.ISFORMULA(E21)</formula>
    </cfRule>
  </conditionalFormatting>
  <conditionalFormatting sqref="E33:K33">
    <cfRule type="cellIs" dxfId="1290" priority="1828" operator="greaterThan">
      <formula>45000</formula>
    </cfRule>
  </conditionalFormatting>
  <conditionalFormatting sqref="E33:K33">
    <cfRule type="cellIs" dxfId="1289" priority="1827" operator="lessThanOrEqual">
      <formula>45000</formula>
    </cfRule>
  </conditionalFormatting>
  <conditionalFormatting sqref="D31">
    <cfRule type="cellIs" dxfId="1288" priority="1826" operator="greaterThan">
      <formula>45000</formula>
    </cfRule>
  </conditionalFormatting>
  <conditionalFormatting sqref="D31">
    <cfRule type="cellIs" dxfId="1287" priority="1825" operator="lessThanOrEqual">
      <formula>45000</formula>
    </cfRule>
  </conditionalFormatting>
  <conditionalFormatting sqref="E9:J9">
    <cfRule type="expression" dxfId="1286" priority="1824">
      <formula>_xlfn.ISFORMULA(E9)</formula>
    </cfRule>
  </conditionalFormatting>
  <conditionalFormatting sqref="E8:J8">
    <cfRule type="expression" dxfId="1285" priority="1823">
      <formula>_xlfn.ISFORMULA(E8)</formula>
    </cfRule>
  </conditionalFormatting>
  <conditionalFormatting sqref="E14:K14">
    <cfRule type="expression" dxfId="1284" priority="1822">
      <formula>_xlfn.ISFORMULA(E14)</formula>
    </cfRule>
  </conditionalFormatting>
  <conditionalFormatting sqref="E13 G13:I13 K13">
    <cfRule type="expression" dxfId="1283" priority="1820">
      <formula>_xlfn.ISFORMULA(E13)</formula>
    </cfRule>
  </conditionalFormatting>
  <conditionalFormatting sqref="E19">
    <cfRule type="expression" dxfId="1282" priority="1818">
      <formula>_xlfn.ISFORMULA(E19)</formula>
    </cfRule>
  </conditionalFormatting>
  <conditionalFormatting sqref="G19:J19 G7:J7">
    <cfRule type="expression" dxfId="1281" priority="1817">
      <formula>_xlfn.ISFORMULA(G7)</formula>
    </cfRule>
  </conditionalFormatting>
  <conditionalFormatting sqref="K32">
    <cfRule type="cellIs" dxfId="1280" priority="1812" operator="greaterThan">
      <formula>45000</formula>
    </cfRule>
  </conditionalFormatting>
  <conditionalFormatting sqref="K32">
    <cfRule type="cellIs" dxfId="1279" priority="1811" operator="lessThanOrEqual">
      <formula>45000</formula>
    </cfRule>
  </conditionalFormatting>
  <conditionalFormatting sqref="OH31:OL31">
    <cfRule type="cellIs" dxfId="1278" priority="1412" operator="greaterThan">
      <formula>OH$26</formula>
    </cfRule>
  </conditionalFormatting>
  <conditionalFormatting sqref="OH31:OL31">
    <cfRule type="cellIs" dxfId="1277" priority="1411" operator="lessThanOrEqual">
      <formula>OH$26</formula>
    </cfRule>
  </conditionalFormatting>
  <conditionalFormatting sqref="OG31">
    <cfRule type="cellIs" dxfId="1276" priority="1410" operator="greaterThan">
      <formula>OG$26</formula>
    </cfRule>
  </conditionalFormatting>
  <conditionalFormatting sqref="OG31">
    <cfRule type="cellIs" dxfId="1275" priority="1409" operator="lessThanOrEqual">
      <formula>OG$26</formula>
    </cfRule>
  </conditionalFormatting>
  <conditionalFormatting sqref="OM31">
    <cfRule type="cellIs" dxfId="1274" priority="1408" operator="greaterThan">
      <formula>OM$26</formula>
    </cfRule>
  </conditionalFormatting>
  <conditionalFormatting sqref="OM31">
    <cfRule type="cellIs" dxfId="1273" priority="1407" operator="lessThanOrEqual">
      <formula>OM$26</formula>
    </cfRule>
  </conditionalFormatting>
  <conditionalFormatting sqref="M2:S2">
    <cfRule type="timePeriod" dxfId="1272" priority="1804" timePeriod="today">
      <formula>FLOOR(M2,1)=TODAY()</formula>
    </cfRule>
  </conditionalFormatting>
  <conditionalFormatting sqref="L2">
    <cfRule type="timePeriod" dxfId="1271" priority="1803" timePeriod="today">
      <formula>FLOOR(L2,1)=TODAY()</formula>
    </cfRule>
  </conditionalFormatting>
  <conditionalFormatting sqref="L32:L33">
    <cfRule type="cellIs" dxfId="1270" priority="1802" operator="lessThanOrEqual">
      <formula>25000</formula>
    </cfRule>
  </conditionalFormatting>
  <conditionalFormatting sqref="S9">
    <cfRule type="expression" dxfId="1269" priority="1801">
      <formula>_xlfn.ISFORMULA(S9)</formula>
    </cfRule>
  </conditionalFormatting>
  <conditionalFormatting sqref="M15:S15">
    <cfRule type="expression" dxfId="1268" priority="1800">
      <formula>_xlfn.ISFORMULA(M15)</formula>
    </cfRule>
  </conditionalFormatting>
  <conditionalFormatting sqref="M21:S21">
    <cfRule type="expression" dxfId="1267" priority="1799">
      <formula>_xlfn.ISFORMULA(M21)</formula>
    </cfRule>
  </conditionalFormatting>
  <conditionalFormatting sqref="M33:S33">
    <cfRule type="cellIs" dxfId="1266" priority="1798" operator="greaterThan">
      <formula>45000</formula>
    </cfRule>
  </conditionalFormatting>
  <conditionalFormatting sqref="M33:S33">
    <cfRule type="cellIs" dxfId="1265" priority="1797" operator="lessThanOrEqual">
      <formula>45000</formula>
    </cfRule>
  </conditionalFormatting>
  <conditionalFormatting sqref="L31">
    <cfRule type="cellIs" dxfId="1264" priority="1796" operator="greaterThan">
      <formula>45000</formula>
    </cfRule>
  </conditionalFormatting>
  <conditionalFormatting sqref="L31">
    <cfRule type="cellIs" dxfId="1263" priority="1795" operator="lessThanOrEqual">
      <formula>45000</formula>
    </cfRule>
  </conditionalFormatting>
  <conditionalFormatting sqref="M9:R9">
    <cfRule type="expression" dxfId="1262" priority="1794">
      <formula>_xlfn.ISFORMULA(M9)</formula>
    </cfRule>
  </conditionalFormatting>
  <conditionalFormatting sqref="M8:R8">
    <cfRule type="expression" dxfId="1261" priority="1793">
      <formula>_xlfn.ISFORMULA(M8)</formula>
    </cfRule>
  </conditionalFormatting>
  <conditionalFormatting sqref="M14:S14">
    <cfRule type="expression" dxfId="1260" priority="1792">
      <formula>_xlfn.ISFORMULA(M14)</formula>
    </cfRule>
  </conditionalFormatting>
  <conditionalFormatting sqref="M13:S13">
    <cfRule type="expression" dxfId="1259" priority="1790">
      <formula>_xlfn.ISFORMULA(M13)</formula>
    </cfRule>
  </conditionalFormatting>
  <conditionalFormatting sqref="M19">
    <cfRule type="expression" dxfId="1258" priority="1788">
      <formula>_xlfn.ISFORMULA(M19)</formula>
    </cfRule>
  </conditionalFormatting>
  <conditionalFormatting sqref="N19:R19 M7:R7">
    <cfRule type="expression" dxfId="1257" priority="1787">
      <formula>_xlfn.ISFORMULA(M7)</formula>
    </cfRule>
  </conditionalFormatting>
  <conditionalFormatting sqref="S32">
    <cfRule type="cellIs" dxfId="1256" priority="1782" operator="greaterThan">
      <formula>45000</formula>
    </cfRule>
  </conditionalFormatting>
  <conditionalFormatting sqref="S32">
    <cfRule type="cellIs" dxfId="1255" priority="1781" operator="lessThanOrEqual">
      <formula>45000</formula>
    </cfRule>
  </conditionalFormatting>
  <conditionalFormatting sqref="N31:R31">
    <cfRule type="cellIs" dxfId="1254" priority="1780" operator="greaterThan">
      <formula>N$26</formula>
    </cfRule>
  </conditionalFormatting>
  <conditionalFormatting sqref="N31:R31">
    <cfRule type="cellIs" dxfId="1253" priority="1779" operator="lessThanOrEqual">
      <formula>N$26</formula>
    </cfRule>
  </conditionalFormatting>
  <conditionalFormatting sqref="M31">
    <cfRule type="cellIs" dxfId="1252" priority="1778" operator="greaterThan">
      <formula>M$26</formula>
    </cfRule>
  </conditionalFormatting>
  <conditionalFormatting sqref="M31">
    <cfRule type="cellIs" dxfId="1251" priority="1777" operator="lessThanOrEqual">
      <formula>M$26</formula>
    </cfRule>
  </conditionalFormatting>
  <conditionalFormatting sqref="S31">
    <cfRule type="cellIs" dxfId="1250" priority="1776" operator="greaterThan">
      <formula>S$26</formula>
    </cfRule>
  </conditionalFormatting>
  <conditionalFormatting sqref="S31">
    <cfRule type="cellIs" dxfId="1249" priority="1775" operator="lessThanOrEqual">
      <formula>S$26</formula>
    </cfRule>
  </conditionalFormatting>
  <conditionalFormatting sqref="F31:K31">
    <cfRule type="cellIs" dxfId="1248" priority="1774" operator="greaterThan">
      <formula>F$26</formula>
    </cfRule>
  </conditionalFormatting>
  <conditionalFormatting sqref="F31:K31">
    <cfRule type="cellIs" dxfId="1247" priority="1773" operator="lessThanOrEqual">
      <formula>F$26</formula>
    </cfRule>
  </conditionalFormatting>
  <conditionalFormatting sqref="E31">
    <cfRule type="cellIs" dxfId="1246" priority="1772" operator="greaterThan">
      <formula>E$26</formula>
    </cfRule>
  </conditionalFormatting>
  <conditionalFormatting sqref="E31">
    <cfRule type="cellIs" dxfId="1245" priority="1771" operator="lessThanOrEqual">
      <formula>E$26</formula>
    </cfRule>
  </conditionalFormatting>
  <conditionalFormatting sqref="V31:Z31">
    <cfRule type="cellIs" dxfId="1244" priority="1768" operator="greaterThan">
      <formula>V$26</formula>
    </cfRule>
  </conditionalFormatting>
  <conditionalFormatting sqref="V31:Z31">
    <cfRule type="cellIs" dxfId="1243" priority="1767" operator="lessThanOrEqual">
      <formula>V$26</formula>
    </cfRule>
  </conditionalFormatting>
  <conditionalFormatting sqref="U31">
    <cfRule type="cellIs" dxfId="1242" priority="1766" operator="greaterThan">
      <formula>U$26</formula>
    </cfRule>
  </conditionalFormatting>
  <conditionalFormatting sqref="U31">
    <cfRule type="cellIs" dxfId="1241" priority="1765" operator="lessThanOrEqual">
      <formula>U$26</formula>
    </cfRule>
  </conditionalFormatting>
  <conditionalFormatting sqref="AA31">
    <cfRule type="cellIs" dxfId="1240" priority="1764" operator="greaterThan">
      <formula>AA$26</formula>
    </cfRule>
  </conditionalFormatting>
  <conditionalFormatting sqref="AA31">
    <cfRule type="cellIs" dxfId="1239" priority="1763" operator="lessThanOrEqual">
      <formula>AA$26</formula>
    </cfRule>
  </conditionalFormatting>
  <conditionalFormatting sqref="AD31:AH31">
    <cfRule type="cellIs" dxfId="1238" priority="1762" operator="greaterThan">
      <formula>AD$26</formula>
    </cfRule>
  </conditionalFormatting>
  <conditionalFormatting sqref="AD31:AH31">
    <cfRule type="cellIs" dxfId="1237" priority="1761" operator="lessThanOrEqual">
      <formula>AD$26</formula>
    </cfRule>
  </conditionalFormatting>
  <conditionalFormatting sqref="AC31">
    <cfRule type="cellIs" dxfId="1236" priority="1760" operator="greaterThan">
      <formula>AC$26</formula>
    </cfRule>
  </conditionalFormatting>
  <conditionalFormatting sqref="AC31">
    <cfRule type="cellIs" dxfId="1235" priority="1759" operator="lessThanOrEqual">
      <formula>AC$26</formula>
    </cfRule>
  </conditionalFormatting>
  <conditionalFormatting sqref="AI31">
    <cfRule type="cellIs" dxfId="1234" priority="1758" operator="greaterThan">
      <formula>AI$26</formula>
    </cfRule>
  </conditionalFormatting>
  <conditionalFormatting sqref="AI31">
    <cfRule type="cellIs" dxfId="1233" priority="1757" operator="lessThanOrEqual">
      <formula>AI$26</formula>
    </cfRule>
  </conditionalFormatting>
  <conditionalFormatting sqref="AL31:AP31">
    <cfRule type="cellIs" dxfId="1232" priority="1756" operator="greaterThan">
      <formula>AL$26</formula>
    </cfRule>
  </conditionalFormatting>
  <conditionalFormatting sqref="AL31:AP31">
    <cfRule type="cellIs" dxfId="1231" priority="1755" operator="lessThanOrEqual">
      <formula>AL$26</formula>
    </cfRule>
  </conditionalFormatting>
  <conditionalFormatting sqref="AK31">
    <cfRule type="cellIs" dxfId="1230" priority="1754" operator="greaterThan">
      <formula>AK$26</formula>
    </cfRule>
  </conditionalFormatting>
  <conditionalFormatting sqref="AK31">
    <cfRule type="cellIs" dxfId="1229" priority="1753" operator="lessThanOrEqual">
      <formula>AK$26</formula>
    </cfRule>
  </conditionalFormatting>
  <conditionalFormatting sqref="AQ31">
    <cfRule type="cellIs" dxfId="1228" priority="1752" operator="greaterThan">
      <formula>AQ$26</formula>
    </cfRule>
  </conditionalFormatting>
  <conditionalFormatting sqref="AQ31">
    <cfRule type="cellIs" dxfId="1227" priority="1751" operator="lessThanOrEqual">
      <formula>AQ$26</formula>
    </cfRule>
  </conditionalFormatting>
  <conditionalFormatting sqref="AT31:AX31">
    <cfRule type="cellIs" dxfId="1226" priority="1750" operator="greaterThan">
      <formula>AT$26</formula>
    </cfRule>
  </conditionalFormatting>
  <conditionalFormatting sqref="AT31:AX31">
    <cfRule type="cellIs" dxfId="1225" priority="1749" operator="lessThanOrEqual">
      <formula>AT$26</formula>
    </cfRule>
  </conditionalFormatting>
  <conditionalFormatting sqref="AS31">
    <cfRule type="cellIs" dxfId="1224" priority="1748" operator="greaterThan">
      <formula>AS$26</formula>
    </cfRule>
  </conditionalFormatting>
  <conditionalFormatting sqref="AS31">
    <cfRule type="cellIs" dxfId="1223" priority="1747" operator="lessThanOrEqual">
      <formula>AS$26</formula>
    </cfRule>
  </conditionalFormatting>
  <conditionalFormatting sqref="AY31:AZ31">
    <cfRule type="cellIs" dxfId="1222" priority="1746" operator="greaterThan">
      <formula>AY$26</formula>
    </cfRule>
  </conditionalFormatting>
  <conditionalFormatting sqref="AY31:AZ31">
    <cfRule type="cellIs" dxfId="1221" priority="1745" operator="lessThanOrEqual">
      <formula>AY$26</formula>
    </cfRule>
  </conditionalFormatting>
  <conditionalFormatting sqref="AZ32">
    <cfRule type="cellIs" dxfId="1220" priority="1744" operator="lessThanOrEqual">
      <formula>25000</formula>
    </cfRule>
  </conditionalFormatting>
  <conditionalFormatting sqref="BG32">
    <cfRule type="cellIs" dxfId="1219" priority="1741" operator="greaterThan">
      <formula>45000</formula>
    </cfRule>
  </conditionalFormatting>
  <conditionalFormatting sqref="BG32">
    <cfRule type="cellIs" dxfId="1218" priority="1740" operator="lessThanOrEqual">
      <formula>45000</formula>
    </cfRule>
  </conditionalFormatting>
  <conditionalFormatting sqref="BH32">
    <cfRule type="cellIs" dxfId="1217" priority="1739" operator="lessThanOrEqual">
      <formula>25000</formula>
    </cfRule>
  </conditionalFormatting>
  <conditionalFormatting sqref="BH31">
    <cfRule type="cellIs" dxfId="1216" priority="1738" operator="greaterThan">
      <formula>45000</formula>
    </cfRule>
  </conditionalFormatting>
  <conditionalFormatting sqref="BH31">
    <cfRule type="cellIs" dxfId="1215" priority="1737" operator="lessThanOrEqual">
      <formula>45000</formula>
    </cfRule>
  </conditionalFormatting>
  <conditionalFormatting sqref="BO32">
    <cfRule type="cellIs" dxfId="1214" priority="1736" operator="greaterThan">
      <formula>45000</formula>
    </cfRule>
  </conditionalFormatting>
  <conditionalFormatting sqref="BO32">
    <cfRule type="cellIs" dxfId="1213" priority="1735" operator="lessThanOrEqual">
      <formula>45000</formula>
    </cfRule>
  </conditionalFormatting>
  <conditionalFormatting sqref="BJ31:BN31">
    <cfRule type="cellIs" dxfId="1212" priority="1734" operator="greaterThan">
      <formula>BJ$26</formula>
    </cfRule>
  </conditionalFormatting>
  <conditionalFormatting sqref="BJ31:BN31">
    <cfRule type="cellIs" dxfId="1211" priority="1733" operator="lessThanOrEqual">
      <formula>BJ$26</formula>
    </cfRule>
  </conditionalFormatting>
  <conditionalFormatting sqref="BI31">
    <cfRule type="cellIs" dxfId="1210" priority="1732" operator="greaterThan">
      <formula>BI$26</formula>
    </cfRule>
  </conditionalFormatting>
  <conditionalFormatting sqref="BI31">
    <cfRule type="cellIs" dxfId="1209" priority="1731" operator="lessThanOrEqual">
      <formula>BI$26</formula>
    </cfRule>
  </conditionalFormatting>
  <conditionalFormatting sqref="BO31">
    <cfRule type="cellIs" dxfId="1208" priority="1730" operator="greaterThan">
      <formula>BO$26</formula>
    </cfRule>
  </conditionalFormatting>
  <conditionalFormatting sqref="BO31">
    <cfRule type="cellIs" dxfId="1207" priority="1729" operator="lessThanOrEqual">
      <formula>BO$26</formula>
    </cfRule>
  </conditionalFormatting>
  <conditionalFormatting sqref="BR31:BV31">
    <cfRule type="cellIs" dxfId="1206" priority="1722" operator="greaterThan">
      <formula>BR$26</formula>
    </cfRule>
  </conditionalFormatting>
  <conditionalFormatting sqref="BR31:BV31">
    <cfRule type="cellIs" dxfId="1205" priority="1721" operator="lessThanOrEqual">
      <formula>BR$26</formula>
    </cfRule>
  </conditionalFormatting>
  <conditionalFormatting sqref="BQ31">
    <cfRule type="cellIs" dxfId="1204" priority="1720" operator="greaterThan">
      <formula>BQ$26</formula>
    </cfRule>
  </conditionalFormatting>
  <conditionalFormatting sqref="BQ31">
    <cfRule type="cellIs" dxfId="1203" priority="1719" operator="lessThanOrEqual">
      <formula>BQ$26</formula>
    </cfRule>
  </conditionalFormatting>
  <conditionalFormatting sqref="BW31">
    <cfRule type="cellIs" dxfId="1202" priority="1718" operator="greaterThan">
      <formula>BW$26</formula>
    </cfRule>
  </conditionalFormatting>
  <conditionalFormatting sqref="BW31">
    <cfRule type="cellIs" dxfId="1201" priority="1717" operator="lessThanOrEqual">
      <formula>BW$26</formula>
    </cfRule>
  </conditionalFormatting>
  <conditionalFormatting sqref="BZ31:CD31">
    <cfRule type="cellIs" dxfId="1200" priority="1716" operator="greaterThan">
      <formula>BZ$26</formula>
    </cfRule>
  </conditionalFormatting>
  <conditionalFormatting sqref="BZ31:CD31">
    <cfRule type="cellIs" dxfId="1199" priority="1715" operator="lessThanOrEqual">
      <formula>BZ$26</formula>
    </cfRule>
  </conditionalFormatting>
  <conditionalFormatting sqref="BY31">
    <cfRule type="cellIs" dxfId="1198" priority="1714" operator="greaterThan">
      <formula>BY$26</formula>
    </cfRule>
  </conditionalFormatting>
  <conditionalFormatting sqref="BY31">
    <cfRule type="cellIs" dxfId="1197" priority="1713" operator="lessThanOrEqual">
      <formula>BY$26</formula>
    </cfRule>
  </conditionalFormatting>
  <conditionalFormatting sqref="CE31">
    <cfRule type="cellIs" dxfId="1196" priority="1712" operator="greaterThan">
      <formula>CE$26</formula>
    </cfRule>
  </conditionalFormatting>
  <conditionalFormatting sqref="CE31">
    <cfRule type="cellIs" dxfId="1195" priority="1711" operator="lessThanOrEqual">
      <formula>CE$26</formula>
    </cfRule>
  </conditionalFormatting>
  <conditionalFormatting sqref="CH31:CL31">
    <cfRule type="cellIs" dxfId="1194" priority="1710" operator="greaterThan">
      <formula>CH$26</formula>
    </cfRule>
  </conditionalFormatting>
  <conditionalFormatting sqref="CH31:CL31">
    <cfRule type="cellIs" dxfId="1193" priority="1709" operator="lessThanOrEqual">
      <formula>CH$26</formula>
    </cfRule>
  </conditionalFormatting>
  <conditionalFormatting sqref="CG31">
    <cfRule type="cellIs" dxfId="1192" priority="1708" operator="greaterThan">
      <formula>CG$26</formula>
    </cfRule>
  </conditionalFormatting>
  <conditionalFormatting sqref="CG31">
    <cfRule type="cellIs" dxfId="1191" priority="1707" operator="lessThanOrEqual">
      <formula>CG$26</formula>
    </cfRule>
  </conditionalFormatting>
  <conditionalFormatting sqref="CM31">
    <cfRule type="cellIs" dxfId="1190" priority="1706" operator="greaterThan">
      <formula>CM$26</formula>
    </cfRule>
  </conditionalFormatting>
  <conditionalFormatting sqref="CM31">
    <cfRule type="cellIs" dxfId="1189" priority="1705" operator="lessThanOrEqual">
      <formula>CM$26</formula>
    </cfRule>
  </conditionalFormatting>
  <conditionalFormatting sqref="CP31:CT31">
    <cfRule type="cellIs" dxfId="1188" priority="1704" operator="greaterThan">
      <formula>CP$26</formula>
    </cfRule>
  </conditionalFormatting>
  <conditionalFormatting sqref="CP31:CT31">
    <cfRule type="cellIs" dxfId="1187" priority="1703" operator="lessThanOrEqual">
      <formula>CP$26</formula>
    </cfRule>
  </conditionalFormatting>
  <conditionalFormatting sqref="CO31">
    <cfRule type="cellIs" dxfId="1186" priority="1702" operator="greaterThan">
      <formula>CO$26</formula>
    </cfRule>
  </conditionalFormatting>
  <conditionalFormatting sqref="CO31">
    <cfRule type="cellIs" dxfId="1185" priority="1701" operator="lessThanOrEqual">
      <formula>CO$26</formula>
    </cfRule>
  </conditionalFormatting>
  <conditionalFormatting sqref="CU31">
    <cfRule type="cellIs" dxfId="1184" priority="1700" operator="greaterThan">
      <formula>CU$26</formula>
    </cfRule>
  </conditionalFormatting>
  <conditionalFormatting sqref="CU31">
    <cfRule type="cellIs" dxfId="1183" priority="1699" operator="lessThanOrEqual">
      <formula>CU$26</formula>
    </cfRule>
  </conditionalFormatting>
  <conditionalFormatting sqref="CV32">
    <cfRule type="cellIs" dxfId="1182" priority="1698" operator="lessThanOrEqual">
      <formula>25000</formula>
    </cfRule>
  </conditionalFormatting>
  <conditionalFormatting sqref="CV31">
    <cfRule type="cellIs" dxfId="1181" priority="1697" operator="greaterThan">
      <formula>45000</formula>
    </cfRule>
  </conditionalFormatting>
  <conditionalFormatting sqref="CV31">
    <cfRule type="cellIs" dxfId="1180" priority="1696" operator="lessThanOrEqual">
      <formula>45000</formula>
    </cfRule>
  </conditionalFormatting>
  <conditionalFormatting sqref="DC32">
    <cfRule type="cellIs" dxfId="1179" priority="1695" operator="greaterThan">
      <formula>45000</formula>
    </cfRule>
  </conditionalFormatting>
  <conditionalFormatting sqref="DC32">
    <cfRule type="cellIs" dxfId="1178" priority="1694" operator="lessThanOrEqual">
      <formula>45000</formula>
    </cfRule>
  </conditionalFormatting>
  <conditionalFormatting sqref="DD32">
    <cfRule type="cellIs" dxfId="1177" priority="1693" operator="lessThanOrEqual">
      <formula>25000</formula>
    </cfRule>
  </conditionalFormatting>
  <conditionalFormatting sqref="DD31">
    <cfRule type="cellIs" dxfId="1176" priority="1692" operator="greaterThan">
      <formula>45000</formula>
    </cfRule>
  </conditionalFormatting>
  <conditionalFormatting sqref="DD31">
    <cfRule type="cellIs" dxfId="1175" priority="1691" operator="lessThanOrEqual">
      <formula>45000</formula>
    </cfRule>
  </conditionalFormatting>
  <conditionalFormatting sqref="DK32">
    <cfRule type="cellIs" dxfId="1174" priority="1690" operator="greaterThan">
      <formula>45000</formula>
    </cfRule>
  </conditionalFormatting>
  <conditionalFormatting sqref="DK32">
    <cfRule type="cellIs" dxfId="1173" priority="1689" operator="lessThanOrEqual">
      <formula>45000</formula>
    </cfRule>
  </conditionalFormatting>
  <conditionalFormatting sqref="DF31:DJ31">
    <cfRule type="cellIs" dxfId="1172" priority="1688" operator="greaterThan">
      <formula>DF$26</formula>
    </cfRule>
  </conditionalFormatting>
  <conditionalFormatting sqref="DF31:DJ31">
    <cfRule type="cellIs" dxfId="1171" priority="1687" operator="lessThanOrEqual">
      <formula>DF$26</formula>
    </cfRule>
  </conditionalFormatting>
  <conditionalFormatting sqref="DE31">
    <cfRule type="cellIs" dxfId="1170" priority="1686" operator="greaterThan">
      <formula>DE$26</formula>
    </cfRule>
  </conditionalFormatting>
  <conditionalFormatting sqref="DE31">
    <cfRule type="cellIs" dxfId="1169" priority="1685" operator="lessThanOrEqual">
      <formula>DE$26</formula>
    </cfRule>
  </conditionalFormatting>
  <conditionalFormatting sqref="DK31">
    <cfRule type="cellIs" dxfId="1168" priority="1684" operator="greaterThan">
      <formula>DK$26</formula>
    </cfRule>
  </conditionalFormatting>
  <conditionalFormatting sqref="DK31">
    <cfRule type="cellIs" dxfId="1167" priority="1683" operator="lessThanOrEqual">
      <formula>DK$26</formula>
    </cfRule>
  </conditionalFormatting>
  <conditionalFormatting sqref="CX31:DB31">
    <cfRule type="cellIs" dxfId="1166" priority="1682" operator="greaterThan">
      <formula>CX$26</formula>
    </cfRule>
  </conditionalFormatting>
  <conditionalFormatting sqref="CX31:DB31">
    <cfRule type="cellIs" dxfId="1165" priority="1681" operator="lessThanOrEqual">
      <formula>CX$26</formula>
    </cfRule>
  </conditionalFormatting>
  <conditionalFormatting sqref="CW31">
    <cfRule type="cellIs" dxfId="1164" priority="1680" operator="greaterThan">
      <formula>CW$26</formula>
    </cfRule>
  </conditionalFormatting>
  <conditionalFormatting sqref="CW31">
    <cfRule type="cellIs" dxfId="1163" priority="1679" operator="lessThanOrEqual">
      <formula>CW$26</formula>
    </cfRule>
  </conditionalFormatting>
  <conditionalFormatting sqref="DC31">
    <cfRule type="cellIs" dxfId="1162" priority="1678" operator="greaterThan">
      <formula>DC$26</formula>
    </cfRule>
  </conditionalFormatting>
  <conditionalFormatting sqref="DC31">
    <cfRule type="cellIs" dxfId="1161" priority="1677" operator="lessThanOrEqual">
      <formula>DC$26</formula>
    </cfRule>
  </conditionalFormatting>
  <conditionalFormatting sqref="DN31:DR31">
    <cfRule type="cellIs" dxfId="1160" priority="1676" operator="greaterThan">
      <formula>DN$26</formula>
    </cfRule>
  </conditionalFormatting>
  <conditionalFormatting sqref="DN31:DR31">
    <cfRule type="cellIs" dxfId="1159" priority="1675" operator="lessThanOrEqual">
      <formula>DN$26</formula>
    </cfRule>
  </conditionalFormatting>
  <conditionalFormatting sqref="DM31">
    <cfRule type="cellIs" dxfId="1158" priority="1674" operator="greaterThan">
      <formula>DM$26</formula>
    </cfRule>
  </conditionalFormatting>
  <conditionalFormatting sqref="DM31">
    <cfRule type="cellIs" dxfId="1157" priority="1673" operator="lessThanOrEqual">
      <formula>DM$26</formula>
    </cfRule>
  </conditionalFormatting>
  <conditionalFormatting sqref="DS31">
    <cfRule type="cellIs" dxfId="1156" priority="1672" operator="greaterThan">
      <formula>DS$26</formula>
    </cfRule>
  </conditionalFormatting>
  <conditionalFormatting sqref="DS31">
    <cfRule type="cellIs" dxfId="1155" priority="1671" operator="lessThanOrEqual">
      <formula>DS$26</formula>
    </cfRule>
  </conditionalFormatting>
  <conditionalFormatting sqref="DV31:DZ31">
    <cfRule type="cellIs" dxfId="1154" priority="1670" operator="greaterThan">
      <formula>DV$26</formula>
    </cfRule>
  </conditionalFormatting>
  <conditionalFormatting sqref="DV31:DZ31">
    <cfRule type="cellIs" dxfId="1153" priority="1669" operator="lessThanOrEqual">
      <formula>DV$26</formula>
    </cfRule>
  </conditionalFormatting>
  <conditionalFormatting sqref="DU31">
    <cfRule type="cellIs" dxfId="1152" priority="1668" operator="greaterThan">
      <formula>DU$26</formula>
    </cfRule>
  </conditionalFormatting>
  <conditionalFormatting sqref="DU31">
    <cfRule type="cellIs" dxfId="1151" priority="1667" operator="lessThanOrEqual">
      <formula>DU$26</formula>
    </cfRule>
  </conditionalFormatting>
  <conditionalFormatting sqref="EA31">
    <cfRule type="cellIs" dxfId="1150" priority="1666" operator="greaterThan">
      <formula>EA$26</formula>
    </cfRule>
  </conditionalFormatting>
  <conditionalFormatting sqref="EA31">
    <cfRule type="cellIs" dxfId="1149" priority="1665" operator="lessThanOrEqual">
      <formula>EA$26</formula>
    </cfRule>
  </conditionalFormatting>
  <conditionalFormatting sqref="ED31:EH31">
    <cfRule type="cellIs" dxfId="1148" priority="1664" operator="greaterThan">
      <formula>ED$26</formula>
    </cfRule>
  </conditionalFormatting>
  <conditionalFormatting sqref="ED31:EH31">
    <cfRule type="cellIs" dxfId="1147" priority="1663" operator="lessThanOrEqual">
      <formula>ED$26</formula>
    </cfRule>
  </conditionalFormatting>
  <conditionalFormatting sqref="EC31">
    <cfRule type="cellIs" dxfId="1146" priority="1662" operator="greaterThan">
      <formula>EC$26</formula>
    </cfRule>
  </conditionalFormatting>
  <conditionalFormatting sqref="EC31">
    <cfRule type="cellIs" dxfId="1145" priority="1661" operator="lessThanOrEqual">
      <formula>EC$26</formula>
    </cfRule>
  </conditionalFormatting>
  <conditionalFormatting sqref="EI31">
    <cfRule type="cellIs" dxfId="1144" priority="1660" operator="greaterThan">
      <formula>EI$26</formula>
    </cfRule>
  </conditionalFormatting>
  <conditionalFormatting sqref="EI31">
    <cfRule type="cellIs" dxfId="1143" priority="1659" operator="lessThanOrEqual">
      <formula>EI$26</formula>
    </cfRule>
  </conditionalFormatting>
  <conditionalFormatting sqref="EL31:EP31">
    <cfRule type="cellIs" dxfId="1142" priority="1658" operator="greaterThan">
      <formula>EL$26</formula>
    </cfRule>
  </conditionalFormatting>
  <conditionalFormatting sqref="EL31:EP31">
    <cfRule type="cellIs" dxfId="1141" priority="1657" operator="lessThanOrEqual">
      <formula>EL$26</formula>
    </cfRule>
  </conditionalFormatting>
  <conditionalFormatting sqref="EK31">
    <cfRule type="cellIs" dxfId="1140" priority="1656" operator="greaterThan">
      <formula>EK$26</formula>
    </cfRule>
  </conditionalFormatting>
  <conditionalFormatting sqref="EK31">
    <cfRule type="cellIs" dxfId="1139" priority="1655" operator="lessThanOrEqual">
      <formula>EK$26</formula>
    </cfRule>
  </conditionalFormatting>
  <conditionalFormatting sqref="EQ31">
    <cfRule type="cellIs" dxfId="1138" priority="1654" operator="greaterThan">
      <formula>EQ$26</formula>
    </cfRule>
  </conditionalFormatting>
  <conditionalFormatting sqref="EQ31">
    <cfRule type="cellIs" dxfId="1137" priority="1653" operator="lessThanOrEqual">
      <formula>EQ$26</formula>
    </cfRule>
  </conditionalFormatting>
  <conditionalFormatting sqref="ER32">
    <cfRule type="cellIs" dxfId="1136" priority="1652" operator="lessThanOrEqual">
      <formula>25000</formula>
    </cfRule>
  </conditionalFormatting>
  <conditionalFormatting sqref="ER31">
    <cfRule type="cellIs" dxfId="1135" priority="1651" operator="greaterThan">
      <formula>45000</formula>
    </cfRule>
  </conditionalFormatting>
  <conditionalFormatting sqref="ER31">
    <cfRule type="cellIs" dxfId="1134" priority="1650" operator="lessThanOrEqual">
      <formula>45000</formula>
    </cfRule>
  </conditionalFormatting>
  <conditionalFormatting sqref="EY32">
    <cfRule type="cellIs" dxfId="1133" priority="1649" operator="greaterThan">
      <formula>45000</formula>
    </cfRule>
  </conditionalFormatting>
  <conditionalFormatting sqref="EY32">
    <cfRule type="cellIs" dxfId="1132" priority="1648" operator="lessThanOrEqual">
      <formula>45000</formula>
    </cfRule>
  </conditionalFormatting>
  <conditionalFormatting sqref="EZ32">
    <cfRule type="cellIs" dxfId="1131" priority="1647" operator="lessThanOrEqual">
      <formula>25000</formula>
    </cfRule>
  </conditionalFormatting>
  <conditionalFormatting sqref="EZ31">
    <cfRule type="cellIs" dxfId="1130" priority="1646" operator="greaterThan">
      <formula>45000</formula>
    </cfRule>
  </conditionalFormatting>
  <conditionalFormatting sqref="EZ31">
    <cfRule type="cellIs" dxfId="1129" priority="1645" operator="lessThanOrEqual">
      <formula>45000</formula>
    </cfRule>
  </conditionalFormatting>
  <conditionalFormatting sqref="FG32">
    <cfRule type="cellIs" dxfId="1128" priority="1644" operator="greaterThan">
      <formula>45000</formula>
    </cfRule>
  </conditionalFormatting>
  <conditionalFormatting sqref="FG32">
    <cfRule type="cellIs" dxfId="1127" priority="1643" operator="lessThanOrEqual">
      <formula>45000</formula>
    </cfRule>
  </conditionalFormatting>
  <conditionalFormatting sqref="FB31:FF31">
    <cfRule type="cellIs" dxfId="1126" priority="1642" operator="greaterThan">
      <formula>FB$26</formula>
    </cfRule>
  </conditionalFormatting>
  <conditionalFormatting sqref="FB31:FF31">
    <cfRule type="cellIs" dxfId="1125" priority="1641" operator="lessThanOrEqual">
      <formula>FB$26</formula>
    </cfRule>
  </conditionalFormatting>
  <conditionalFormatting sqref="FA31">
    <cfRule type="cellIs" dxfId="1124" priority="1640" operator="greaterThan">
      <formula>FA$26</formula>
    </cfRule>
  </conditionalFormatting>
  <conditionalFormatting sqref="FA31">
    <cfRule type="cellIs" dxfId="1123" priority="1639" operator="lessThanOrEqual">
      <formula>FA$26</formula>
    </cfRule>
  </conditionalFormatting>
  <conditionalFormatting sqref="FG31">
    <cfRule type="cellIs" dxfId="1122" priority="1638" operator="greaterThan">
      <formula>FG$26</formula>
    </cfRule>
  </conditionalFormatting>
  <conditionalFormatting sqref="FG31">
    <cfRule type="cellIs" dxfId="1121" priority="1637" operator="lessThanOrEqual">
      <formula>FG$26</formula>
    </cfRule>
  </conditionalFormatting>
  <conditionalFormatting sqref="ET31:EX31">
    <cfRule type="cellIs" dxfId="1120" priority="1636" operator="greaterThan">
      <formula>ET$26</formula>
    </cfRule>
  </conditionalFormatting>
  <conditionalFormatting sqref="ET31:EX31">
    <cfRule type="cellIs" dxfId="1119" priority="1635" operator="lessThanOrEqual">
      <formula>ET$26</formula>
    </cfRule>
  </conditionalFormatting>
  <conditionalFormatting sqref="ES31">
    <cfRule type="cellIs" dxfId="1118" priority="1634" operator="greaterThan">
      <formula>ES$26</formula>
    </cfRule>
  </conditionalFormatting>
  <conditionalFormatting sqref="ES31">
    <cfRule type="cellIs" dxfId="1117" priority="1633" operator="lessThanOrEqual">
      <formula>ES$26</formula>
    </cfRule>
  </conditionalFormatting>
  <conditionalFormatting sqref="EY31">
    <cfRule type="cellIs" dxfId="1116" priority="1632" operator="greaterThan">
      <formula>EY$26</formula>
    </cfRule>
  </conditionalFormatting>
  <conditionalFormatting sqref="EY31">
    <cfRule type="cellIs" dxfId="1115" priority="1631" operator="lessThanOrEqual">
      <formula>EY$26</formula>
    </cfRule>
  </conditionalFormatting>
  <conditionalFormatting sqref="FJ31:FN31">
    <cfRule type="cellIs" dxfId="1114" priority="1630" operator="greaterThan">
      <formula>FJ$26</formula>
    </cfRule>
  </conditionalFormatting>
  <conditionalFormatting sqref="FJ31:FN31">
    <cfRule type="cellIs" dxfId="1113" priority="1629" operator="lessThanOrEqual">
      <formula>FJ$26</formula>
    </cfRule>
  </conditionalFormatting>
  <conditionalFormatting sqref="FI31">
    <cfRule type="cellIs" dxfId="1112" priority="1628" operator="greaterThan">
      <formula>FI$26</formula>
    </cfRule>
  </conditionalFormatting>
  <conditionalFormatting sqref="FI31">
    <cfRule type="cellIs" dxfId="1111" priority="1627" operator="lessThanOrEqual">
      <formula>FI$26</formula>
    </cfRule>
  </conditionalFormatting>
  <conditionalFormatting sqref="FO31">
    <cfRule type="cellIs" dxfId="1110" priority="1626" operator="greaterThan">
      <formula>FO$26</formula>
    </cfRule>
  </conditionalFormatting>
  <conditionalFormatting sqref="FO31">
    <cfRule type="cellIs" dxfId="1109" priority="1625" operator="lessThanOrEqual">
      <formula>FO$26</formula>
    </cfRule>
  </conditionalFormatting>
  <conditionalFormatting sqref="FR31:FV31">
    <cfRule type="cellIs" dxfId="1108" priority="1624" operator="greaterThan">
      <formula>FR$26</formula>
    </cfRule>
  </conditionalFormatting>
  <conditionalFormatting sqref="FR31:FV31">
    <cfRule type="cellIs" dxfId="1107" priority="1623" operator="lessThanOrEqual">
      <formula>FR$26</formula>
    </cfRule>
  </conditionalFormatting>
  <conditionalFormatting sqref="FQ31">
    <cfRule type="cellIs" dxfId="1106" priority="1622" operator="greaterThan">
      <formula>FQ$26</formula>
    </cfRule>
  </conditionalFormatting>
  <conditionalFormatting sqref="FQ31">
    <cfRule type="cellIs" dxfId="1105" priority="1621" operator="lessThanOrEqual">
      <formula>FQ$26</formula>
    </cfRule>
  </conditionalFormatting>
  <conditionalFormatting sqref="FW31">
    <cfRule type="cellIs" dxfId="1104" priority="1620" operator="greaterThan">
      <formula>FW$26</formula>
    </cfRule>
  </conditionalFormatting>
  <conditionalFormatting sqref="FW31">
    <cfRule type="cellIs" dxfId="1103" priority="1619" operator="lessThanOrEqual">
      <formula>FW$26</formula>
    </cfRule>
  </conditionalFormatting>
  <conditionalFormatting sqref="FZ31:GD31">
    <cfRule type="cellIs" dxfId="1102" priority="1618" operator="greaterThan">
      <formula>FZ$26</formula>
    </cfRule>
  </conditionalFormatting>
  <conditionalFormatting sqref="FZ31:GD31">
    <cfRule type="cellIs" dxfId="1101" priority="1617" operator="lessThanOrEqual">
      <formula>FZ$26</formula>
    </cfRule>
  </conditionalFormatting>
  <conditionalFormatting sqref="FY31">
    <cfRule type="cellIs" dxfId="1100" priority="1616" operator="greaterThan">
      <formula>FY$26</formula>
    </cfRule>
  </conditionalFormatting>
  <conditionalFormatting sqref="FY31">
    <cfRule type="cellIs" dxfId="1099" priority="1615" operator="lessThanOrEqual">
      <formula>FY$26</formula>
    </cfRule>
  </conditionalFormatting>
  <conditionalFormatting sqref="GE31">
    <cfRule type="cellIs" dxfId="1098" priority="1614" operator="greaterThan">
      <formula>GE$26</formula>
    </cfRule>
  </conditionalFormatting>
  <conditionalFormatting sqref="GE31">
    <cfRule type="cellIs" dxfId="1097" priority="1613" operator="lessThanOrEqual">
      <formula>GE$26</formula>
    </cfRule>
  </conditionalFormatting>
  <conditionalFormatting sqref="GH31:GL31">
    <cfRule type="cellIs" dxfId="1096" priority="1612" operator="greaterThan">
      <formula>GH$26</formula>
    </cfRule>
  </conditionalFormatting>
  <conditionalFormatting sqref="GH31:GL31">
    <cfRule type="cellIs" dxfId="1095" priority="1611" operator="lessThanOrEqual">
      <formula>GH$26</formula>
    </cfRule>
  </conditionalFormatting>
  <conditionalFormatting sqref="GG31">
    <cfRule type="cellIs" dxfId="1094" priority="1610" operator="greaterThan">
      <formula>GG$26</formula>
    </cfRule>
  </conditionalFormatting>
  <conditionalFormatting sqref="GG31">
    <cfRule type="cellIs" dxfId="1093" priority="1609" operator="lessThanOrEqual">
      <formula>GG$26</formula>
    </cfRule>
  </conditionalFormatting>
  <conditionalFormatting sqref="GM31">
    <cfRule type="cellIs" dxfId="1092" priority="1608" operator="greaterThan">
      <formula>GM$26</formula>
    </cfRule>
  </conditionalFormatting>
  <conditionalFormatting sqref="GM31">
    <cfRule type="cellIs" dxfId="1091" priority="1607" operator="lessThanOrEqual">
      <formula>GM$26</formula>
    </cfRule>
  </conditionalFormatting>
  <conditionalFormatting sqref="GN32">
    <cfRule type="cellIs" dxfId="1090" priority="1606" operator="lessThanOrEqual">
      <formula>25000</formula>
    </cfRule>
  </conditionalFormatting>
  <conditionalFormatting sqref="GN31">
    <cfRule type="cellIs" dxfId="1089" priority="1605" operator="greaterThan">
      <formula>45000</formula>
    </cfRule>
  </conditionalFormatting>
  <conditionalFormatting sqref="GN31">
    <cfRule type="cellIs" dxfId="1088" priority="1604" operator="lessThanOrEqual">
      <formula>45000</formula>
    </cfRule>
  </conditionalFormatting>
  <conditionalFormatting sqref="GU32">
    <cfRule type="cellIs" dxfId="1087" priority="1603" operator="greaterThan">
      <formula>45000</formula>
    </cfRule>
  </conditionalFormatting>
  <conditionalFormatting sqref="GU32">
    <cfRule type="cellIs" dxfId="1086" priority="1602" operator="lessThanOrEqual">
      <formula>45000</formula>
    </cfRule>
  </conditionalFormatting>
  <conditionalFormatting sqref="GV32">
    <cfRule type="cellIs" dxfId="1085" priority="1601" operator="lessThanOrEqual">
      <formula>25000</formula>
    </cfRule>
  </conditionalFormatting>
  <conditionalFormatting sqref="GV31">
    <cfRule type="cellIs" dxfId="1084" priority="1600" operator="greaterThan">
      <formula>45000</formula>
    </cfRule>
  </conditionalFormatting>
  <conditionalFormatting sqref="GV31">
    <cfRule type="cellIs" dxfId="1083" priority="1599" operator="lessThanOrEqual">
      <formula>45000</formula>
    </cfRule>
  </conditionalFormatting>
  <conditionalFormatting sqref="HC32">
    <cfRule type="cellIs" dxfId="1082" priority="1598" operator="greaterThan">
      <formula>45000</formula>
    </cfRule>
  </conditionalFormatting>
  <conditionalFormatting sqref="HC32">
    <cfRule type="cellIs" dxfId="1081" priority="1597" operator="lessThanOrEqual">
      <formula>45000</formula>
    </cfRule>
  </conditionalFormatting>
  <conditionalFormatting sqref="GX31:HB31">
    <cfRule type="cellIs" dxfId="1080" priority="1596" operator="greaterThan">
      <formula>GX$26</formula>
    </cfRule>
  </conditionalFormatting>
  <conditionalFormatting sqref="GX31:HB31">
    <cfRule type="cellIs" dxfId="1079" priority="1595" operator="lessThanOrEqual">
      <formula>GX$26</formula>
    </cfRule>
  </conditionalFormatting>
  <conditionalFormatting sqref="GW31">
    <cfRule type="cellIs" dxfId="1078" priority="1594" operator="greaterThan">
      <formula>GW$26</formula>
    </cfRule>
  </conditionalFormatting>
  <conditionalFormatting sqref="GW31">
    <cfRule type="cellIs" dxfId="1077" priority="1593" operator="lessThanOrEqual">
      <formula>GW$26</formula>
    </cfRule>
  </conditionalFormatting>
  <conditionalFormatting sqref="HC31">
    <cfRule type="cellIs" dxfId="1076" priority="1592" operator="greaterThan">
      <formula>HC$26</formula>
    </cfRule>
  </conditionalFormatting>
  <conditionalFormatting sqref="HC31">
    <cfRule type="cellIs" dxfId="1075" priority="1591" operator="lessThanOrEqual">
      <formula>HC$26</formula>
    </cfRule>
  </conditionalFormatting>
  <conditionalFormatting sqref="GP31:GT31">
    <cfRule type="cellIs" dxfId="1074" priority="1590" operator="greaterThan">
      <formula>GP$26</formula>
    </cfRule>
  </conditionalFormatting>
  <conditionalFormatting sqref="GP31:GT31">
    <cfRule type="cellIs" dxfId="1073" priority="1589" operator="lessThanOrEqual">
      <formula>GP$26</formula>
    </cfRule>
  </conditionalFormatting>
  <conditionalFormatting sqref="GU31">
    <cfRule type="cellIs" dxfId="1072" priority="1586" operator="greaterThan">
      <formula>GU$26</formula>
    </cfRule>
  </conditionalFormatting>
  <conditionalFormatting sqref="GU31">
    <cfRule type="cellIs" dxfId="1071" priority="1585" operator="lessThanOrEqual">
      <formula>GU$26</formula>
    </cfRule>
  </conditionalFormatting>
  <conditionalFormatting sqref="HF31:HJ31">
    <cfRule type="cellIs" dxfId="1070" priority="1584" operator="greaterThan">
      <formula>HF$26</formula>
    </cfRule>
  </conditionalFormatting>
  <conditionalFormatting sqref="HF31:HJ31">
    <cfRule type="cellIs" dxfId="1069" priority="1583" operator="lessThanOrEqual">
      <formula>HF$26</formula>
    </cfRule>
  </conditionalFormatting>
  <conditionalFormatting sqref="HE31">
    <cfRule type="cellIs" dxfId="1068" priority="1582" operator="greaterThan">
      <formula>HE$26</formula>
    </cfRule>
  </conditionalFormatting>
  <conditionalFormatting sqref="HE31">
    <cfRule type="cellIs" dxfId="1067" priority="1581" operator="lessThanOrEqual">
      <formula>HE$26</formula>
    </cfRule>
  </conditionalFormatting>
  <conditionalFormatting sqref="HK31">
    <cfRule type="cellIs" dxfId="1066" priority="1580" operator="greaterThan">
      <formula>HK$26</formula>
    </cfRule>
  </conditionalFormatting>
  <conditionalFormatting sqref="HK31">
    <cfRule type="cellIs" dxfId="1065" priority="1579" operator="lessThanOrEqual">
      <formula>HK$26</formula>
    </cfRule>
  </conditionalFormatting>
  <conditionalFormatting sqref="HN31:HR31">
    <cfRule type="cellIs" dxfId="1064" priority="1578" operator="greaterThan">
      <formula>HN$26</formula>
    </cfRule>
  </conditionalFormatting>
  <conditionalFormatting sqref="HN31:HR31">
    <cfRule type="cellIs" dxfId="1063" priority="1577" operator="lessThanOrEqual">
      <formula>HN$26</formula>
    </cfRule>
  </conditionalFormatting>
  <conditionalFormatting sqref="HM31">
    <cfRule type="cellIs" dxfId="1062" priority="1576" operator="greaterThan">
      <formula>HM$26</formula>
    </cfRule>
  </conditionalFormatting>
  <conditionalFormatting sqref="HM31">
    <cfRule type="cellIs" dxfId="1061" priority="1575" operator="lessThanOrEqual">
      <formula>HM$26</formula>
    </cfRule>
  </conditionalFormatting>
  <conditionalFormatting sqref="HS31">
    <cfRule type="cellIs" dxfId="1060" priority="1574" operator="greaterThan">
      <formula>HS$26</formula>
    </cfRule>
  </conditionalFormatting>
  <conditionalFormatting sqref="HS31">
    <cfRule type="cellIs" dxfId="1059" priority="1573" operator="lessThanOrEqual">
      <formula>HS$26</formula>
    </cfRule>
  </conditionalFormatting>
  <conditionalFormatting sqref="HV31:HZ31">
    <cfRule type="cellIs" dxfId="1058" priority="1572" operator="greaterThan">
      <formula>HV$26</formula>
    </cfRule>
  </conditionalFormatting>
  <conditionalFormatting sqref="HV31:HZ31">
    <cfRule type="cellIs" dxfId="1057" priority="1571" operator="lessThanOrEqual">
      <formula>HV$26</formula>
    </cfRule>
  </conditionalFormatting>
  <conditionalFormatting sqref="HU31">
    <cfRule type="cellIs" dxfId="1056" priority="1570" operator="greaterThan">
      <formula>HU$26</formula>
    </cfRule>
  </conditionalFormatting>
  <conditionalFormatting sqref="HU31">
    <cfRule type="cellIs" dxfId="1055" priority="1569" operator="lessThanOrEqual">
      <formula>HU$26</formula>
    </cfRule>
  </conditionalFormatting>
  <conditionalFormatting sqref="IA31">
    <cfRule type="cellIs" dxfId="1054" priority="1568" operator="greaterThan">
      <formula>IA$26</formula>
    </cfRule>
  </conditionalFormatting>
  <conditionalFormatting sqref="IA31">
    <cfRule type="cellIs" dxfId="1053" priority="1567" operator="lessThanOrEqual">
      <formula>IA$26</formula>
    </cfRule>
  </conditionalFormatting>
  <conditionalFormatting sqref="ID31:IH31">
    <cfRule type="cellIs" dxfId="1052" priority="1566" operator="greaterThan">
      <formula>ID$26</formula>
    </cfRule>
  </conditionalFormatting>
  <conditionalFormatting sqref="ID31:IH31">
    <cfRule type="cellIs" dxfId="1051" priority="1565" operator="lessThanOrEqual">
      <formula>ID$26</formula>
    </cfRule>
  </conditionalFormatting>
  <conditionalFormatting sqref="IC31">
    <cfRule type="cellIs" dxfId="1050" priority="1564" operator="greaterThan">
      <formula>IC$26</formula>
    </cfRule>
  </conditionalFormatting>
  <conditionalFormatting sqref="IC31">
    <cfRule type="cellIs" dxfId="1049" priority="1563" operator="lessThanOrEqual">
      <formula>IC$26</formula>
    </cfRule>
  </conditionalFormatting>
  <conditionalFormatting sqref="II31">
    <cfRule type="cellIs" dxfId="1048" priority="1562" operator="greaterThan">
      <formula>II$26</formula>
    </cfRule>
  </conditionalFormatting>
  <conditionalFormatting sqref="II31">
    <cfRule type="cellIs" dxfId="1047" priority="1561" operator="lessThanOrEqual">
      <formula>II$26</formula>
    </cfRule>
  </conditionalFormatting>
  <conditionalFormatting sqref="IJ32">
    <cfRule type="cellIs" dxfId="1046" priority="1560" operator="lessThanOrEqual">
      <formula>25000</formula>
    </cfRule>
  </conditionalFormatting>
  <conditionalFormatting sqref="IJ31">
    <cfRule type="cellIs" dxfId="1045" priority="1559" operator="greaterThan">
      <formula>45000</formula>
    </cfRule>
  </conditionalFormatting>
  <conditionalFormatting sqref="IJ31">
    <cfRule type="cellIs" dxfId="1044" priority="1558" operator="lessThanOrEqual">
      <formula>45000</formula>
    </cfRule>
  </conditionalFormatting>
  <conditionalFormatting sqref="IQ32">
    <cfRule type="cellIs" dxfId="1043" priority="1557" operator="greaterThan">
      <formula>45000</formula>
    </cfRule>
  </conditionalFormatting>
  <conditionalFormatting sqref="IQ32">
    <cfRule type="cellIs" dxfId="1042" priority="1556" operator="lessThanOrEqual">
      <formula>45000</formula>
    </cfRule>
  </conditionalFormatting>
  <conditionalFormatting sqref="IR32">
    <cfRule type="cellIs" dxfId="1041" priority="1555" operator="lessThanOrEqual">
      <formula>25000</formula>
    </cfRule>
  </conditionalFormatting>
  <conditionalFormatting sqref="IR31">
    <cfRule type="cellIs" dxfId="1040" priority="1554" operator="greaterThan">
      <formula>45000</formula>
    </cfRule>
  </conditionalFormatting>
  <conditionalFormatting sqref="IR31">
    <cfRule type="cellIs" dxfId="1039" priority="1553" operator="lessThanOrEqual">
      <formula>45000</formula>
    </cfRule>
  </conditionalFormatting>
  <conditionalFormatting sqref="IY32">
    <cfRule type="cellIs" dxfId="1038" priority="1552" operator="greaterThan">
      <formula>45000</formula>
    </cfRule>
  </conditionalFormatting>
  <conditionalFormatting sqref="IY32">
    <cfRule type="cellIs" dxfId="1037" priority="1551" operator="lessThanOrEqual">
      <formula>45000</formula>
    </cfRule>
  </conditionalFormatting>
  <conditionalFormatting sqref="IT31:IX31">
    <cfRule type="cellIs" dxfId="1036" priority="1550" operator="greaterThan">
      <formula>IT$26</formula>
    </cfRule>
  </conditionalFormatting>
  <conditionalFormatting sqref="IT31:IX31">
    <cfRule type="cellIs" dxfId="1035" priority="1549" operator="lessThanOrEqual">
      <formula>IT$26</formula>
    </cfRule>
  </conditionalFormatting>
  <conditionalFormatting sqref="IS31">
    <cfRule type="cellIs" dxfId="1034" priority="1548" operator="greaterThan">
      <formula>IS$26</formula>
    </cfRule>
  </conditionalFormatting>
  <conditionalFormatting sqref="IS31">
    <cfRule type="cellIs" dxfId="1033" priority="1547" operator="lessThanOrEqual">
      <formula>IS$26</formula>
    </cfRule>
  </conditionalFormatting>
  <conditionalFormatting sqref="IY31">
    <cfRule type="cellIs" dxfId="1032" priority="1546" operator="greaterThan">
      <formula>IY$26</formula>
    </cfRule>
  </conditionalFormatting>
  <conditionalFormatting sqref="IY31">
    <cfRule type="cellIs" dxfId="1031" priority="1545" operator="lessThanOrEqual">
      <formula>IY$26</formula>
    </cfRule>
  </conditionalFormatting>
  <conditionalFormatting sqref="IL31:IP31">
    <cfRule type="cellIs" dxfId="1030" priority="1544" operator="greaterThan">
      <formula>IL$26</formula>
    </cfRule>
  </conditionalFormatting>
  <conditionalFormatting sqref="IL31:IP31">
    <cfRule type="cellIs" dxfId="1029" priority="1543" operator="lessThanOrEqual">
      <formula>IL$26</formula>
    </cfRule>
  </conditionalFormatting>
  <conditionalFormatting sqref="IK31">
    <cfRule type="cellIs" dxfId="1028" priority="1542" operator="greaterThan">
      <formula>IK$26</formula>
    </cfRule>
  </conditionalFormatting>
  <conditionalFormatting sqref="IK31">
    <cfRule type="cellIs" dxfId="1027" priority="1541" operator="lessThanOrEqual">
      <formula>IK$26</formula>
    </cfRule>
  </conditionalFormatting>
  <conditionalFormatting sqref="IQ31">
    <cfRule type="cellIs" dxfId="1026" priority="1540" operator="greaterThan">
      <formula>IQ$26</formula>
    </cfRule>
  </conditionalFormatting>
  <conditionalFormatting sqref="IQ31">
    <cfRule type="cellIs" dxfId="1025" priority="1539" operator="lessThanOrEqual">
      <formula>IQ$26</formula>
    </cfRule>
  </conditionalFormatting>
  <conditionalFormatting sqref="JB31:JF31">
    <cfRule type="cellIs" dxfId="1024" priority="1538" operator="greaterThan">
      <formula>JB$26</formula>
    </cfRule>
  </conditionalFormatting>
  <conditionalFormatting sqref="JB31:JF31">
    <cfRule type="cellIs" dxfId="1023" priority="1537" operator="lessThanOrEqual">
      <formula>JB$26</formula>
    </cfRule>
  </conditionalFormatting>
  <conditionalFormatting sqref="JA31">
    <cfRule type="cellIs" dxfId="1022" priority="1536" operator="greaterThan">
      <formula>JA$26</formula>
    </cfRule>
  </conditionalFormatting>
  <conditionalFormatting sqref="JA31">
    <cfRule type="cellIs" dxfId="1021" priority="1535" operator="lessThanOrEqual">
      <formula>JA$26</formula>
    </cfRule>
  </conditionalFormatting>
  <conditionalFormatting sqref="JG31">
    <cfRule type="cellIs" dxfId="1020" priority="1534" operator="greaterThan">
      <formula>JG$26</formula>
    </cfRule>
  </conditionalFormatting>
  <conditionalFormatting sqref="JG31">
    <cfRule type="cellIs" dxfId="1019" priority="1533" operator="lessThanOrEqual">
      <formula>JG$26</formula>
    </cfRule>
  </conditionalFormatting>
  <conditionalFormatting sqref="JJ31:JN31">
    <cfRule type="cellIs" dxfId="1018" priority="1532" operator="greaterThan">
      <formula>JJ$26</formula>
    </cfRule>
  </conditionalFormatting>
  <conditionalFormatting sqref="JJ31:JN31">
    <cfRule type="cellIs" dxfId="1017" priority="1531" operator="lessThanOrEqual">
      <formula>JJ$26</formula>
    </cfRule>
  </conditionalFormatting>
  <conditionalFormatting sqref="JI31">
    <cfRule type="cellIs" dxfId="1016" priority="1530" operator="greaterThan">
      <formula>JI$26</formula>
    </cfRule>
  </conditionalFormatting>
  <conditionalFormatting sqref="JI31">
    <cfRule type="cellIs" dxfId="1015" priority="1529" operator="lessThanOrEqual">
      <formula>JI$26</formula>
    </cfRule>
  </conditionalFormatting>
  <conditionalFormatting sqref="JO31">
    <cfRule type="cellIs" dxfId="1014" priority="1528" operator="greaterThan">
      <formula>JO$26</formula>
    </cfRule>
  </conditionalFormatting>
  <conditionalFormatting sqref="JO31">
    <cfRule type="cellIs" dxfId="1013" priority="1527" operator="lessThanOrEqual">
      <formula>JO$26</formula>
    </cfRule>
  </conditionalFormatting>
  <conditionalFormatting sqref="JR31:JV31">
    <cfRule type="cellIs" dxfId="1012" priority="1526" operator="greaterThan">
      <formula>JR$26</formula>
    </cfRule>
  </conditionalFormatting>
  <conditionalFormatting sqref="JR31:JV31">
    <cfRule type="cellIs" dxfId="1011" priority="1525" operator="lessThanOrEqual">
      <formula>JR$26</formula>
    </cfRule>
  </conditionalFormatting>
  <conditionalFormatting sqref="JQ31">
    <cfRule type="cellIs" dxfId="1010" priority="1524" operator="greaterThan">
      <formula>JQ$26</formula>
    </cfRule>
  </conditionalFormatting>
  <conditionalFormatting sqref="JQ31">
    <cfRule type="cellIs" dxfId="1009" priority="1523" operator="lessThanOrEqual">
      <formula>JQ$26</formula>
    </cfRule>
  </conditionalFormatting>
  <conditionalFormatting sqref="JW31">
    <cfRule type="cellIs" dxfId="1008" priority="1522" operator="greaterThan">
      <formula>JW$26</formula>
    </cfRule>
  </conditionalFormatting>
  <conditionalFormatting sqref="JW31">
    <cfRule type="cellIs" dxfId="1007" priority="1521" operator="lessThanOrEqual">
      <formula>JW$26</formula>
    </cfRule>
  </conditionalFormatting>
  <conditionalFormatting sqref="JZ31:KD31">
    <cfRule type="cellIs" dxfId="1006" priority="1520" operator="greaterThan">
      <formula>JZ$26</formula>
    </cfRule>
  </conditionalFormatting>
  <conditionalFormatting sqref="JZ31:KD31">
    <cfRule type="cellIs" dxfId="1005" priority="1519" operator="lessThanOrEqual">
      <formula>JZ$26</formula>
    </cfRule>
  </conditionalFormatting>
  <conditionalFormatting sqref="JY31">
    <cfRule type="cellIs" dxfId="1004" priority="1518" operator="greaterThan">
      <formula>JY$26</formula>
    </cfRule>
  </conditionalFormatting>
  <conditionalFormatting sqref="JY31">
    <cfRule type="cellIs" dxfId="1003" priority="1517" operator="lessThanOrEqual">
      <formula>JY$26</formula>
    </cfRule>
  </conditionalFormatting>
  <conditionalFormatting sqref="KE31">
    <cfRule type="cellIs" dxfId="1002" priority="1516" operator="greaterThan">
      <formula>KE$26</formula>
    </cfRule>
  </conditionalFormatting>
  <conditionalFormatting sqref="KE31">
    <cfRule type="cellIs" dxfId="1001" priority="1515" operator="lessThanOrEqual">
      <formula>KE$26</formula>
    </cfRule>
  </conditionalFormatting>
  <conditionalFormatting sqref="KF32">
    <cfRule type="cellIs" dxfId="1000" priority="1514" operator="lessThanOrEqual">
      <formula>25000</formula>
    </cfRule>
  </conditionalFormatting>
  <conditionalFormatting sqref="KF31">
    <cfRule type="cellIs" dxfId="999" priority="1513" operator="greaterThan">
      <formula>45000</formula>
    </cfRule>
  </conditionalFormatting>
  <conditionalFormatting sqref="KF31">
    <cfRule type="cellIs" dxfId="998" priority="1512" operator="lessThanOrEqual">
      <formula>45000</formula>
    </cfRule>
  </conditionalFormatting>
  <conditionalFormatting sqref="KM32">
    <cfRule type="cellIs" dxfId="997" priority="1511" operator="greaterThan">
      <formula>45000</formula>
    </cfRule>
  </conditionalFormatting>
  <conditionalFormatting sqref="KM32">
    <cfRule type="cellIs" dxfId="996" priority="1510" operator="lessThanOrEqual">
      <formula>45000</formula>
    </cfRule>
  </conditionalFormatting>
  <conditionalFormatting sqref="KN32">
    <cfRule type="cellIs" dxfId="995" priority="1509" operator="lessThanOrEqual">
      <formula>25000</formula>
    </cfRule>
  </conditionalFormatting>
  <conditionalFormatting sqref="KN31">
    <cfRule type="cellIs" dxfId="994" priority="1508" operator="greaterThan">
      <formula>45000</formula>
    </cfRule>
  </conditionalFormatting>
  <conditionalFormatting sqref="KN31">
    <cfRule type="cellIs" dxfId="993" priority="1507" operator="lessThanOrEqual">
      <formula>45000</formula>
    </cfRule>
  </conditionalFormatting>
  <conditionalFormatting sqref="KU32">
    <cfRule type="cellIs" dxfId="992" priority="1506" operator="greaterThan">
      <formula>45000</formula>
    </cfRule>
  </conditionalFormatting>
  <conditionalFormatting sqref="KU32">
    <cfRule type="cellIs" dxfId="991" priority="1505" operator="lessThanOrEqual">
      <formula>45000</formula>
    </cfRule>
  </conditionalFormatting>
  <conditionalFormatting sqref="KP31:KT31">
    <cfRule type="cellIs" dxfId="990" priority="1504" operator="greaterThan">
      <formula>KP$26</formula>
    </cfRule>
  </conditionalFormatting>
  <conditionalFormatting sqref="KP31:KT31">
    <cfRule type="cellIs" dxfId="989" priority="1503" operator="lessThanOrEqual">
      <formula>KP$26</formula>
    </cfRule>
  </conditionalFormatting>
  <conditionalFormatting sqref="KO31">
    <cfRule type="cellIs" dxfId="988" priority="1502" operator="greaterThan">
      <formula>KO$26</formula>
    </cfRule>
  </conditionalFormatting>
  <conditionalFormatting sqref="KO31">
    <cfRule type="cellIs" dxfId="987" priority="1501" operator="lessThanOrEqual">
      <formula>KO$26</formula>
    </cfRule>
  </conditionalFormatting>
  <conditionalFormatting sqref="KU31">
    <cfRule type="cellIs" dxfId="986" priority="1500" operator="greaterThan">
      <formula>KU$26</formula>
    </cfRule>
  </conditionalFormatting>
  <conditionalFormatting sqref="KU31">
    <cfRule type="cellIs" dxfId="985" priority="1499" operator="lessThanOrEqual">
      <formula>KU$26</formula>
    </cfRule>
  </conditionalFormatting>
  <conditionalFormatting sqref="KH31:KL31">
    <cfRule type="cellIs" dxfId="984" priority="1498" operator="greaterThan">
      <formula>KH$26</formula>
    </cfRule>
  </conditionalFormatting>
  <conditionalFormatting sqref="KH31:KL31">
    <cfRule type="cellIs" dxfId="983" priority="1497" operator="lessThanOrEqual">
      <formula>KH$26</formula>
    </cfRule>
  </conditionalFormatting>
  <conditionalFormatting sqref="KM31">
    <cfRule type="cellIs" dxfId="982" priority="1494" operator="greaterThan">
      <formula>KM$26</formula>
    </cfRule>
  </conditionalFormatting>
  <conditionalFormatting sqref="KM31">
    <cfRule type="cellIs" dxfId="981" priority="1493" operator="lessThanOrEqual">
      <formula>KM$26</formula>
    </cfRule>
  </conditionalFormatting>
  <conditionalFormatting sqref="KX31:LB31">
    <cfRule type="cellIs" dxfId="980" priority="1492" operator="greaterThan">
      <formula>KX$26</formula>
    </cfRule>
  </conditionalFormatting>
  <conditionalFormatting sqref="KX31:LB31">
    <cfRule type="cellIs" dxfId="979" priority="1491" operator="lessThanOrEqual">
      <formula>KX$26</formula>
    </cfRule>
  </conditionalFormatting>
  <conditionalFormatting sqref="KW31">
    <cfRule type="cellIs" dxfId="978" priority="1490" operator="greaterThan">
      <formula>KW$26</formula>
    </cfRule>
  </conditionalFormatting>
  <conditionalFormatting sqref="KW31">
    <cfRule type="cellIs" dxfId="977" priority="1489" operator="lessThanOrEqual">
      <formula>KW$26</formula>
    </cfRule>
  </conditionalFormatting>
  <conditionalFormatting sqref="LC31">
    <cfRule type="cellIs" dxfId="976" priority="1488" operator="greaterThan">
      <formula>LC$26</formula>
    </cfRule>
  </conditionalFormatting>
  <conditionalFormatting sqref="LC31">
    <cfRule type="cellIs" dxfId="975" priority="1487" operator="lessThanOrEqual">
      <formula>LC$26</formula>
    </cfRule>
  </conditionalFormatting>
  <conditionalFormatting sqref="LF31:LJ31">
    <cfRule type="cellIs" dxfId="974" priority="1486" operator="greaterThan">
      <formula>LF$26</formula>
    </cfRule>
  </conditionalFormatting>
  <conditionalFormatting sqref="LF31:LJ31">
    <cfRule type="cellIs" dxfId="973" priority="1485" operator="lessThanOrEqual">
      <formula>LF$26</formula>
    </cfRule>
  </conditionalFormatting>
  <conditionalFormatting sqref="LE31">
    <cfRule type="cellIs" dxfId="972" priority="1484" operator="greaterThan">
      <formula>LE$26</formula>
    </cfRule>
  </conditionalFormatting>
  <conditionalFormatting sqref="LE31">
    <cfRule type="cellIs" dxfId="971" priority="1483" operator="lessThanOrEqual">
      <formula>LE$26</formula>
    </cfRule>
  </conditionalFormatting>
  <conditionalFormatting sqref="LK31">
    <cfRule type="cellIs" dxfId="970" priority="1482" operator="greaterThan">
      <formula>LK$26</formula>
    </cfRule>
  </conditionalFormatting>
  <conditionalFormatting sqref="LK31">
    <cfRule type="cellIs" dxfId="969" priority="1481" operator="lessThanOrEqual">
      <formula>LK$26</formula>
    </cfRule>
  </conditionalFormatting>
  <conditionalFormatting sqref="LN31:LR31">
    <cfRule type="cellIs" dxfId="968" priority="1480" operator="greaterThan">
      <formula>LN$26</formula>
    </cfRule>
  </conditionalFormatting>
  <conditionalFormatting sqref="LN31:LR31">
    <cfRule type="cellIs" dxfId="967" priority="1479" operator="lessThanOrEqual">
      <formula>LN$26</formula>
    </cfRule>
  </conditionalFormatting>
  <conditionalFormatting sqref="LM31">
    <cfRule type="cellIs" dxfId="966" priority="1478" operator="greaterThan">
      <formula>LM$26</formula>
    </cfRule>
  </conditionalFormatting>
  <conditionalFormatting sqref="LM31">
    <cfRule type="cellIs" dxfId="965" priority="1477" operator="lessThanOrEqual">
      <formula>LM$26</formula>
    </cfRule>
  </conditionalFormatting>
  <conditionalFormatting sqref="LS31">
    <cfRule type="cellIs" dxfId="964" priority="1476" operator="greaterThan">
      <formula>LS$26</formula>
    </cfRule>
  </conditionalFormatting>
  <conditionalFormatting sqref="LS31">
    <cfRule type="cellIs" dxfId="963" priority="1475" operator="lessThanOrEqual">
      <formula>LS$26</formula>
    </cfRule>
  </conditionalFormatting>
  <conditionalFormatting sqref="LV31:LZ31">
    <cfRule type="cellIs" dxfId="962" priority="1474" operator="greaterThan">
      <formula>LV$26</formula>
    </cfRule>
  </conditionalFormatting>
  <conditionalFormatting sqref="LV31:LZ31">
    <cfRule type="cellIs" dxfId="961" priority="1473" operator="lessThanOrEqual">
      <formula>LV$26</formula>
    </cfRule>
  </conditionalFormatting>
  <conditionalFormatting sqref="LU31">
    <cfRule type="cellIs" dxfId="960" priority="1472" operator="greaterThan">
      <formula>LU$26</formula>
    </cfRule>
  </conditionalFormatting>
  <conditionalFormatting sqref="LU31">
    <cfRule type="cellIs" dxfId="959" priority="1471" operator="lessThanOrEqual">
      <formula>LU$26</formula>
    </cfRule>
  </conditionalFormatting>
  <conditionalFormatting sqref="MA31">
    <cfRule type="cellIs" dxfId="958" priority="1470" operator="greaterThan">
      <formula>MA$26</formula>
    </cfRule>
  </conditionalFormatting>
  <conditionalFormatting sqref="MA31">
    <cfRule type="cellIs" dxfId="957" priority="1469" operator="lessThanOrEqual">
      <formula>MA$26</formula>
    </cfRule>
  </conditionalFormatting>
  <conditionalFormatting sqref="MB32">
    <cfRule type="cellIs" dxfId="956" priority="1468" operator="lessThanOrEqual">
      <formula>25000</formula>
    </cfRule>
  </conditionalFormatting>
  <conditionalFormatting sqref="MB31">
    <cfRule type="cellIs" dxfId="955" priority="1467" operator="greaterThan">
      <formula>45000</formula>
    </cfRule>
  </conditionalFormatting>
  <conditionalFormatting sqref="MB31">
    <cfRule type="cellIs" dxfId="954" priority="1466" operator="lessThanOrEqual">
      <formula>45000</formula>
    </cfRule>
  </conditionalFormatting>
  <conditionalFormatting sqref="MI32">
    <cfRule type="cellIs" dxfId="953" priority="1465" operator="greaterThan">
      <formula>45000</formula>
    </cfRule>
  </conditionalFormatting>
  <conditionalFormatting sqref="MI32">
    <cfRule type="cellIs" dxfId="952" priority="1464" operator="lessThanOrEqual">
      <formula>45000</formula>
    </cfRule>
  </conditionalFormatting>
  <conditionalFormatting sqref="MJ32">
    <cfRule type="cellIs" dxfId="951" priority="1463" operator="lessThanOrEqual">
      <formula>25000</formula>
    </cfRule>
  </conditionalFormatting>
  <conditionalFormatting sqref="MJ31">
    <cfRule type="cellIs" dxfId="950" priority="1462" operator="greaterThan">
      <formula>45000</formula>
    </cfRule>
  </conditionalFormatting>
  <conditionalFormatting sqref="MJ31">
    <cfRule type="cellIs" dxfId="949" priority="1461" operator="lessThanOrEqual">
      <formula>45000</formula>
    </cfRule>
  </conditionalFormatting>
  <conditionalFormatting sqref="MQ32">
    <cfRule type="cellIs" dxfId="948" priority="1460" operator="greaterThan">
      <formula>45000</formula>
    </cfRule>
  </conditionalFormatting>
  <conditionalFormatting sqref="MQ32">
    <cfRule type="cellIs" dxfId="947" priority="1459" operator="lessThanOrEqual">
      <formula>45000</formula>
    </cfRule>
  </conditionalFormatting>
  <conditionalFormatting sqref="ML31:MP31">
    <cfRule type="cellIs" dxfId="946" priority="1458" operator="greaterThan">
      <formula>ML$26</formula>
    </cfRule>
  </conditionalFormatting>
  <conditionalFormatting sqref="ML31:MP31">
    <cfRule type="cellIs" dxfId="945" priority="1457" operator="lessThanOrEqual">
      <formula>ML$26</formula>
    </cfRule>
  </conditionalFormatting>
  <conditionalFormatting sqref="MK31">
    <cfRule type="cellIs" dxfId="944" priority="1456" operator="greaterThan">
      <formula>MK$26</formula>
    </cfRule>
  </conditionalFormatting>
  <conditionalFormatting sqref="MK31">
    <cfRule type="cellIs" dxfId="943" priority="1455" operator="lessThanOrEqual">
      <formula>MK$26</formula>
    </cfRule>
  </conditionalFormatting>
  <conditionalFormatting sqref="MQ31">
    <cfRule type="cellIs" dxfId="942" priority="1454" operator="greaterThan">
      <formula>MQ$26</formula>
    </cfRule>
  </conditionalFormatting>
  <conditionalFormatting sqref="MQ31">
    <cfRule type="cellIs" dxfId="941" priority="1453" operator="lessThanOrEqual">
      <formula>MQ$26</formula>
    </cfRule>
  </conditionalFormatting>
  <conditionalFormatting sqref="MD31:MH31">
    <cfRule type="cellIs" dxfId="940" priority="1452" operator="greaterThan">
      <formula>MD$26</formula>
    </cfRule>
  </conditionalFormatting>
  <conditionalFormatting sqref="MD31:MH31">
    <cfRule type="cellIs" dxfId="939" priority="1451" operator="lessThanOrEqual">
      <formula>MD$26</formula>
    </cfRule>
  </conditionalFormatting>
  <conditionalFormatting sqref="MC31">
    <cfRule type="cellIs" dxfId="938" priority="1450" operator="greaterThan">
      <formula>MC$26</formula>
    </cfRule>
  </conditionalFormatting>
  <conditionalFormatting sqref="MC31">
    <cfRule type="cellIs" dxfId="937" priority="1449" operator="lessThanOrEqual">
      <formula>MC$26</formula>
    </cfRule>
  </conditionalFormatting>
  <conditionalFormatting sqref="MI31">
    <cfRule type="cellIs" dxfId="936" priority="1448" operator="greaterThan">
      <formula>MI$26</formula>
    </cfRule>
  </conditionalFormatting>
  <conditionalFormatting sqref="MI31">
    <cfRule type="cellIs" dxfId="935" priority="1447" operator="lessThanOrEqual">
      <formula>MI$26</formula>
    </cfRule>
  </conditionalFormatting>
  <conditionalFormatting sqref="MT31:MX31">
    <cfRule type="cellIs" dxfId="934" priority="1446" operator="greaterThan">
      <formula>MT$26</formula>
    </cfRule>
  </conditionalFormatting>
  <conditionalFormatting sqref="MT31:MX31">
    <cfRule type="cellIs" dxfId="933" priority="1445" operator="lessThanOrEqual">
      <formula>MT$26</formula>
    </cfRule>
  </conditionalFormatting>
  <conditionalFormatting sqref="MS31">
    <cfRule type="cellIs" dxfId="932" priority="1444" operator="greaterThan">
      <formula>MS$26</formula>
    </cfRule>
  </conditionalFormatting>
  <conditionalFormatting sqref="MS31">
    <cfRule type="cellIs" dxfId="931" priority="1443" operator="lessThanOrEqual">
      <formula>MS$26</formula>
    </cfRule>
  </conditionalFormatting>
  <conditionalFormatting sqref="MY31">
    <cfRule type="cellIs" dxfId="930" priority="1442" operator="greaterThan">
      <formula>MY$26</formula>
    </cfRule>
  </conditionalFormatting>
  <conditionalFormatting sqref="MY31">
    <cfRule type="cellIs" dxfId="929" priority="1441" operator="lessThanOrEqual">
      <formula>MY$26</formula>
    </cfRule>
  </conditionalFormatting>
  <conditionalFormatting sqref="NB31:NF31">
    <cfRule type="cellIs" dxfId="928" priority="1440" operator="greaterThan">
      <formula>NB$26</formula>
    </cfRule>
  </conditionalFormatting>
  <conditionalFormatting sqref="NB31:NF31">
    <cfRule type="cellIs" dxfId="927" priority="1439" operator="lessThanOrEqual">
      <formula>NB$26</formula>
    </cfRule>
  </conditionalFormatting>
  <conditionalFormatting sqref="NA31">
    <cfRule type="cellIs" dxfId="926" priority="1438" operator="greaterThan">
      <formula>NA$26</formula>
    </cfRule>
  </conditionalFormatting>
  <conditionalFormatting sqref="NA31">
    <cfRule type="cellIs" dxfId="925" priority="1437" operator="lessThanOrEqual">
      <formula>NA$26</formula>
    </cfRule>
  </conditionalFormatting>
  <conditionalFormatting sqref="NG31">
    <cfRule type="cellIs" dxfId="924" priority="1436" operator="greaterThan">
      <formula>NG$26</formula>
    </cfRule>
  </conditionalFormatting>
  <conditionalFormatting sqref="NG31">
    <cfRule type="cellIs" dxfId="923" priority="1435" operator="lessThanOrEqual">
      <formula>NG$26</formula>
    </cfRule>
  </conditionalFormatting>
  <conditionalFormatting sqref="NJ31:NN31">
    <cfRule type="cellIs" dxfId="922" priority="1434" operator="greaterThan">
      <formula>NJ$26</formula>
    </cfRule>
  </conditionalFormatting>
  <conditionalFormatting sqref="NJ31:NN31">
    <cfRule type="cellIs" dxfId="921" priority="1433" operator="lessThanOrEqual">
      <formula>NJ$26</formula>
    </cfRule>
  </conditionalFormatting>
  <conditionalFormatting sqref="NI31">
    <cfRule type="cellIs" dxfId="920" priority="1432" operator="greaterThan">
      <formula>NI$26</formula>
    </cfRule>
  </conditionalFormatting>
  <conditionalFormatting sqref="NI31">
    <cfRule type="cellIs" dxfId="919" priority="1431" operator="lessThanOrEqual">
      <formula>NI$26</formula>
    </cfRule>
  </conditionalFormatting>
  <conditionalFormatting sqref="NO31">
    <cfRule type="cellIs" dxfId="918" priority="1430" operator="greaterThan">
      <formula>NO$26</formula>
    </cfRule>
  </conditionalFormatting>
  <conditionalFormatting sqref="NO31">
    <cfRule type="cellIs" dxfId="917" priority="1429" operator="lessThanOrEqual">
      <formula>NO$26</formula>
    </cfRule>
  </conditionalFormatting>
  <conditionalFormatting sqref="NR31:NV31">
    <cfRule type="cellIs" dxfId="916" priority="1428" operator="greaterThan">
      <formula>NR$26</formula>
    </cfRule>
  </conditionalFormatting>
  <conditionalFormatting sqref="NR31:NV31">
    <cfRule type="cellIs" dxfId="915" priority="1427" operator="lessThanOrEqual">
      <formula>NR$26</formula>
    </cfRule>
  </conditionalFormatting>
  <conditionalFormatting sqref="NQ31">
    <cfRule type="cellIs" dxfId="914" priority="1426" operator="greaterThan">
      <formula>NQ$26</formula>
    </cfRule>
  </conditionalFormatting>
  <conditionalFormatting sqref="NQ31">
    <cfRule type="cellIs" dxfId="913" priority="1425" operator="lessThanOrEqual">
      <formula>NQ$26</formula>
    </cfRule>
  </conditionalFormatting>
  <conditionalFormatting sqref="NW31">
    <cfRule type="cellIs" dxfId="912" priority="1424" operator="greaterThan">
      <formula>NW$26</formula>
    </cfRule>
  </conditionalFormatting>
  <conditionalFormatting sqref="NW31">
    <cfRule type="cellIs" dxfId="911" priority="1423" operator="lessThanOrEqual">
      <formula>NW$26</formula>
    </cfRule>
  </conditionalFormatting>
  <conditionalFormatting sqref="NX32">
    <cfRule type="cellIs" dxfId="910" priority="1422" operator="lessThanOrEqual">
      <formula>25000</formula>
    </cfRule>
  </conditionalFormatting>
  <conditionalFormatting sqref="NX31">
    <cfRule type="cellIs" dxfId="909" priority="1421" operator="greaterThan">
      <formula>45000</formula>
    </cfRule>
  </conditionalFormatting>
  <conditionalFormatting sqref="NX31">
    <cfRule type="cellIs" dxfId="908" priority="1420" operator="lessThanOrEqual">
      <formula>45000</formula>
    </cfRule>
  </conditionalFormatting>
  <conditionalFormatting sqref="OE32">
    <cfRule type="cellIs" dxfId="907" priority="1419" operator="greaterThan">
      <formula>45000</formula>
    </cfRule>
  </conditionalFormatting>
  <conditionalFormatting sqref="OE32">
    <cfRule type="cellIs" dxfId="906" priority="1418" operator="lessThanOrEqual">
      <formula>45000</formula>
    </cfRule>
  </conditionalFormatting>
  <conditionalFormatting sqref="OF32">
    <cfRule type="cellIs" dxfId="905" priority="1417" operator="lessThanOrEqual">
      <formula>25000</formula>
    </cfRule>
  </conditionalFormatting>
  <conditionalFormatting sqref="OF31">
    <cfRule type="cellIs" dxfId="904" priority="1416" operator="greaterThan">
      <formula>45000</formula>
    </cfRule>
  </conditionalFormatting>
  <conditionalFormatting sqref="OF31">
    <cfRule type="cellIs" dxfId="903" priority="1415" operator="lessThanOrEqual">
      <formula>45000</formula>
    </cfRule>
  </conditionalFormatting>
  <conditionalFormatting sqref="OM32">
    <cfRule type="cellIs" dxfId="902" priority="1414" operator="greaterThan">
      <formula>45000</formula>
    </cfRule>
  </conditionalFormatting>
  <conditionalFormatting sqref="OM32">
    <cfRule type="cellIs" dxfId="901" priority="1413" operator="lessThanOrEqual">
      <formula>45000</formula>
    </cfRule>
  </conditionalFormatting>
  <conditionalFormatting sqref="NZ31:OD31">
    <cfRule type="cellIs" dxfId="900" priority="1406" operator="greaterThan">
      <formula>NZ$26</formula>
    </cfRule>
  </conditionalFormatting>
  <conditionalFormatting sqref="NZ31:OD31">
    <cfRule type="cellIs" dxfId="899" priority="1405" operator="lessThanOrEqual">
      <formula>NZ$26</formula>
    </cfRule>
  </conditionalFormatting>
  <conditionalFormatting sqref="NY31">
    <cfRule type="cellIs" dxfId="898" priority="1404" operator="greaterThan">
      <formula>NY$26</formula>
    </cfRule>
  </conditionalFormatting>
  <conditionalFormatting sqref="NY31">
    <cfRule type="cellIs" dxfId="897" priority="1403" operator="lessThanOrEqual">
      <formula>NY$26</formula>
    </cfRule>
  </conditionalFormatting>
  <conditionalFormatting sqref="OE31">
    <cfRule type="cellIs" dxfId="896" priority="1402" operator="greaterThan">
      <formula>OE$26</formula>
    </cfRule>
  </conditionalFormatting>
  <conditionalFormatting sqref="OE31">
    <cfRule type="cellIs" dxfId="895" priority="1401" operator="lessThanOrEqual">
      <formula>OE$26</formula>
    </cfRule>
  </conditionalFormatting>
  <conditionalFormatting sqref="OP31:OT31">
    <cfRule type="cellIs" dxfId="894" priority="1400" operator="greaterThan">
      <formula>OP$26</formula>
    </cfRule>
  </conditionalFormatting>
  <conditionalFormatting sqref="OP31:OT31">
    <cfRule type="cellIs" dxfId="893" priority="1399" operator="lessThanOrEqual">
      <formula>OP$26</formula>
    </cfRule>
  </conditionalFormatting>
  <conditionalFormatting sqref="OO31">
    <cfRule type="cellIs" dxfId="892" priority="1398" operator="greaterThan">
      <formula>OO$26</formula>
    </cfRule>
  </conditionalFormatting>
  <conditionalFormatting sqref="OO31">
    <cfRule type="cellIs" dxfId="891" priority="1397" operator="lessThanOrEqual">
      <formula>OO$26</formula>
    </cfRule>
  </conditionalFormatting>
  <conditionalFormatting sqref="OU31">
    <cfRule type="cellIs" dxfId="890" priority="1396" operator="greaterThan">
      <formula>OU$26</formula>
    </cfRule>
  </conditionalFormatting>
  <conditionalFormatting sqref="OU31">
    <cfRule type="cellIs" dxfId="889" priority="1395" operator="lessThanOrEqual">
      <formula>OU$26</formula>
    </cfRule>
  </conditionalFormatting>
  <conditionalFormatting sqref="OX31:PB31">
    <cfRule type="cellIs" dxfId="888" priority="1394" operator="greaterThan">
      <formula>OX$26</formula>
    </cfRule>
  </conditionalFormatting>
  <conditionalFormatting sqref="OX31:PB31">
    <cfRule type="cellIs" dxfId="887" priority="1393" operator="lessThanOrEqual">
      <formula>OX$26</formula>
    </cfRule>
  </conditionalFormatting>
  <conditionalFormatting sqref="OW31">
    <cfRule type="cellIs" dxfId="886" priority="1392" operator="greaterThan">
      <formula>OW$26</formula>
    </cfRule>
  </conditionalFormatting>
  <conditionalFormatting sqref="OW31">
    <cfRule type="cellIs" dxfId="885" priority="1391" operator="lessThanOrEqual">
      <formula>OW$26</formula>
    </cfRule>
  </conditionalFormatting>
  <conditionalFormatting sqref="PC31">
    <cfRule type="cellIs" dxfId="884" priority="1390" operator="greaterThan">
      <formula>PC$26</formula>
    </cfRule>
  </conditionalFormatting>
  <conditionalFormatting sqref="PC31">
    <cfRule type="cellIs" dxfId="883" priority="1389" operator="lessThanOrEqual">
      <formula>PC$26</formula>
    </cfRule>
  </conditionalFormatting>
  <conditionalFormatting sqref="AA9">
    <cfRule type="expression" dxfId="882" priority="1376">
      <formula>_xlfn.ISFORMULA(AA9)</formula>
    </cfRule>
  </conditionalFormatting>
  <conditionalFormatting sqref="U15:AA15">
    <cfRule type="expression" dxfId="881" priority="1375">
      <formula>_xlfn.ISFORMULA(U15)</formula>
    </cfRule>
  </conditionalFormatting>
  <conditionalFormatting sqref="U21:AA21">
    <cfRule type="expression" dxfId="880" priority="1374">
      <formula>_xlfn.ISFORMULA(U21)</formula>
    </cfRule>
  </conditionalFormatting>
  <conditionalFormatting sqref="U9:Z9">
    <cfRule type="expression" dxfId="879" priority="1373">
      <formula>_xlfn.ISFORMULA(U9)</formula>
    </cfRule>
  </conditionalFormatting>
  <conditionalFormatting sqref="U8:Z8">
    <cfRule type="expression" dxfId="878" priority="1372">
      <formula>_xlfn.ISFORMULA(U8)</formula>
    </cfRule>
  </conditionalFormatting>
  <conditionalFormatting sqref="U14:AA14">
    <cfRule type="expression" dxfId="877" priority="1371">
      <formula>_xlfn.ISFORMULA(U14)</formula>
    </cfRule>
  </conditionalFormatting>
  <conditionalFormatting sqref="U13:AA13">
    <cfRule type="expression" dxfId="876" priority="1369">
      <formula>_xlfn.ISFORMULA(U13)</formula>
    </cfRule>
  </conditionalFormatting>
  <conditionalFormatting sqref="U19">
    <cfRule type="expression" dxfId="875" priority="1367">
      <formula>_xlfn.ISFORMULA(U19)</formula>
    </cfRule>
  </conditionalFormatting>
  <conditionalFormatting sqref="V19:Z19 U7:Z7">
    <cfRule type="expression" dxfId="874" priority="1366">
      <formula>_xlfn.ISFORMULA(U7)</formula>
    </cfRule>
  </conditionalFormatting>
  <conditionalFormatting sqref="AI9">
    <cfRule type="expression" dxfId="873" priority="1362">
      <formula>_xlfn.ISFORMULA(AI9)</formula>
    </cfRule>
  </conditionalFormatting>
  <conditionalFormatting sqref="AC15:AI15">
    <cfRule type="expression" dxfId="872" priority="1361">
      <formula>_xlfn.ISFORMULA(AC15)</formula>
    </cfRule>
  </conditionalFormatting>
  <conditionalFormatting sqref="AC21:AI21">
    <cfRule type="expression" dxfId="871" priority="1360">
      <formula>_xlfn.ISFORMULA(AC21)</formula>
    </cfRule>
  </conditionalFormatting>
  <conditionalFormatting sqref="AC9:AH9">
    <cfRule type="expression" dxfId="870" priority="1359">
      <formula>_xlfn.ISFORMULA(AC9)</formula>
    </cfRule>
  </conditionalFormatting>
  <conditionalFormatting sqref="AC8:AH8">
    <cfRule type="expression" dxfId="869" priority="1358">
      <formula>_xlfn.ISFORMULA(AC8)</formula>
    </cfRule>
  </conditionalFormatting>
  <conditionalFormatting sqref="AD14:AI14">
    <cfRule type="expression" dxfId="868" priority="1357">
      <formula>_xlfn.ISFORMULA(AD14)</formula>
    </cfRule>
  </conditionalFormatting>
  <conditionalFormatting sqref="AC13:AI13">
    <cfRule type="expression" dxfId="867" priority="1355">
      <formula>_xlfn.ISFORMULA(AC13)</formula>
    </cfRule>
  </conditionalFormatting>
  <conditionalFormatting sqref="AC19">
    <cfRule type="expression" dxfId="866" priority="1353">
      <formula>_xlfn.ISFORMULA(AC19)</formula>
    </cfRule>
  </conditionalFormatting>
  <conditionalFormatting sqref="AD19:AH19 AC7:AH7">
    <cfRule type="expression" dxfId="865" priority="1352">
      <formula>_xlfn.ISFORMULA(AC7)</formula>
    </cfRule>
  </conditionalFormatting>
  <conditionalFormatting sqref="AK15:AQ15">
    <cfRule type="expression" dxfId="864" priority="1347">
      <formula>_xlfn.ISFORMULA(AK15)</formula>
    </cfRule>
  </conditionalFormatting>
  <conditionalFormatting sqref="AF20">
    <cfRule type="expression" dxfId="863" priority="1350">
      <formula>_xlfn.ISFORMULA(AF20)</formula>
    </cfRule>
  </conditionalFormatting>
  <conditionalFormatting sqref="AQ9">
    <cfRule type="expression" dxfId="862" priority="1348">
      <formula>_xlfn.ISFORMULA(AQ9)</formula>
    </cfRule>
  </conditionalFormatting>
  <conditionalFormatting sqref="AK21:AQ21">
    <cfRule type="expression" dxfId="861" priority="1346">
      <formula>_xlfn.ISFORMULA(AK21)</formula>
    </cfRule>
  </conditionalFormatting>
  <conditionalFormatting sqref="AK9:AP9">
    <cfRule type="expression" dxfId="860" priority="1345">
      <formula>_xlfn.ISFORMULA(AK9)</formula>
    </cfRule>
  </conditionalFormatting>
  <conditionalFormatting sqref="AK8:AP8">
    <cfRule type="expression" dxfId="859" priority="1344">
      <formula>_xlfn.ISFORMULA(AK8)</formula>
    </cfRule>
  </conditionalFormatting>
  <conditionalFormatting sqref="AK14:AQ14">
    <cfRule type="expression" dxfId="858" priority="1343">
      <formula>_xlfn.ISFORMULA(AK14)</formula>
    </cfRule>
  </conditionalFormatting>
  <conditionalFormatting sqref="AK13:AQ13">
    <cfRule type="expression" dxfId="857" priority="1341">
      <formula>_xlfn.ISFORMULA(AK13)</formula>
    </cfRule>
  </conditionalFormatting>
  <conditionalFormatting sqref="AK20">
    <cfRule type="expression" dxfId="856" priority="1340">
      <formula>_xlfn.ISFORMULA(AK20)</formula>
    </cfRule>
  </conditionalFormatting>
  <conditionalFormatting sqref="AK19">
    <cfRule type="expression" dxfId="855" priority="1339">
      <formula>_xlfn.ISFORMULA(AK19)</formula>
    </cfRule>
  </conditionalFormatting>
  <conditionalFormatting sqref="AL19:AP19 AK7:AP7">
    <cfRule type="expression" dxfId="854" priority="1338">
      <formula>_xlfn.ISFORMULA(AK7)</formula>
    </cfRule>
  </conditionalFormatting>
  <conditionalFormatting sqref="AS21:AY21">
    <cfRule type="expression" dxfId="853" priority="1332">
      <formula>_xlfn.ISFORMULA(AS21)</formula>
    </cfRule>
  </conditionalFormatting>
  <conditionalFormatting sqref="AS8:AX8">
    <cfRule type="expression" dxfId="852" priority="1330">
      <formula>_xlfn.ISFORMULA(AS8)</formula>
    </cfRule>
  </conditionalFormatting>
  <conditionalFormatting sqref="AY9">
    <cfRule type="expression" dxfId="851" priority="1334">
      <formula>_xlfn.ISFORMULA(AY9)</formula>
    </cfRule>
  </conditionalFormatting>
  <conditionalFormatting sqref="AS15:AY15">
    <cfRule type="expression" dxfId="850" priority="1333">
      <formula>_xlfn.ISFORMULA(AS15)</formula>
    </cfRule>
  </conditionalFormatting>
  <conditionalFormatting sqref="AS9:AX9">
    <cfRule type="expression" dxfId="849" priority="1331">
      <formula>_xlfn.ISFORMULA(AS9)</formula>
    </cfRule>
  </conditionalFormatting>
  <conditionalFormatting sqref="AS14:AV14 AX14:AY14">
    <cfRule type="expression" dxfId="848" priority="1329">
      <formula>_xlfn.ISFORMULA(AS14)</formula>
    </cfRule>
  </conditionalFormatting>
  <conditionalFormatting sqref="AS13:AY13">
    <cfRule type="expression" dxfId="847" priority="1327">
      <formula>_xlfn.ISFORMULA(AS13)</formula>
    </cfRule>
  </conditionalFormatting>
  <conditionalFormatting sqref="AS19">
    <cfRule type="expression" dxfId="846" priority="1325">
      <formula>_xlfn.ISFORMULA(AS19)</formula>
    </cfRule>
  </conditionalFormatting>
  <conditionalFormatting sqref="AT19:AX19 AS7:AX7">
    <cfRule type="expression" dxfId="845" priority="1324">
      <formula>_xlfn.ISFORMULA(AS7)</formula>
    </cfRule>
  </conditionalFormatting>
  <conditionalFormatting sqref="BG9">
    <cfRule type="expression" dxfId="844" priority="1320">
      <formula>_xlfn.ISFORMULA(BG9)</formula>
    </cfRule>
  </conditionalFormatting>
  <conditionalFormatting sqref="BA15:BG15">
    <cfRule type="expression" dxfId="843" priority="1319">
      <formula>_xlfn.ISFORMULA(BA15)</formula>
    </cfRule>
  </conditionalFormatting>
  <conditionalFormatting sqref="BA21:BG21">
    <cfRule type="expression" dxfId="842" priority="1318">
      <formula>_xlfn.ISFORMULA(BA21)</formula>
    </cfRule>
  </conditionalFormatting>
  <conditionalFormatting sqref="BA9:BF9">
    <cfRule type="expression" dxfId="841" priority="1317">
      <formula>_xlfn.ISFORMULA(BA9)</formula>
    </cfRule>
  </conditionalFormatting>
  <conditionalFormatting sqref="BA8:BF8">
    <cfRule type="expression" dxfId="840" priority="1316">
      <formula>_xlfn.ISFORMULA(BA8)</formula>
    </cfRule>
  </conditionalFormatting>
  <conditionalFormatting sqref="BA14:BG14">
    <cfRule type="expression" dxfId="839" priority="1315">
      <formula>_xlfn.ISFORMULA(BA14)</formula>
    </cfRule>
  </conditionalFormatting>
  <conditionalFormatting sqref="BE20">
    <cfRule type="expression" dxfId="838" priority="1314">
      <formula>_xlfn.ISFORMULA(BE20)</formula>
    </cfRule>
  </conditionalFormatting>
  <conditionalFormatting sqref="BA13:BG13">
    <cfRule type="expression" dxfId="837" priority="1313">
      <formula>_xlfn.ISFORMULA(BA13)</formula>
    </cfRule>
  </conditionalFormatting>
  <conditionalFormatting sqref="BA19">
    <cfRule type="expression" dxfId="836" priority="1311">
      <formula>_xlfn.ISFORMULA(BA19)</formula>
    </cfRule>
  </conditionalFormatting>
  <conditionalFormatting sqref="BB19:BF19 BA7:BF7">
    <cfRule type="expression" dxfId="835" priority="1310">
      <formula>_xlfn.ISFORMULA(BA7)</formula>
    </cfRule>
  </conditionalFormatting>
  <conditionalFormatting sqref="BO9">
    <cfRule type="expression" dxfId="834" priority="1306">
      <formula>_xlfn.ISFORMULA(BO9)</formula>
    </cfRule>
  </conditionalFormatting>
  <conditionalFormatting sqref="BI15:BO15">
    <cfRule type="expression" dxfId="833" priority="1305">
      <formula>_xlfn.ISFORMULA(BI15)</formula>
    </cfRule>
  </conditionalFormatting>
  <conditionalFormatting sqref="BI21:BO21">
    <cfRule type="expression" dxfId="832" priority="1304">
      <formula>_xlfn.ISFORMULA(BI21)</formula>
    </cfRule>
  </conditionalFormatting>
  <conditionalFormatting sqref="BI9:BN9">
    <cfRule type="expression" dxfId="831" priority="1303">
      <formula>_xlfn.ISFORMULA(BI9)</formula>
    </cfRule>
  </conditionalFormatting>
  <conditionalFormatting sqref="BI8:BN8">
    <cfRule type="expression" dxfId="830" priority="1302">
      <formula>_xlfn.ISFORMULA(BI8)</formula>
    </cfRule>
  </conditionalFormatting>
  <conditionalFormatting sqref="BI14:BO14">
    <cfRule type="expression" dxfId="829" priority="1301">
      <formula>_xlfn.ISFORMULA(BI14)</formula>
    </cfRule>
  </conditionalFormatting>
  <conditionalFormatting sqref="BI13:BO13">
    <cfRule type="expression" dxfId="828" priority="1299">
      <formula>_xlfn.ISFORMULA(BI13)</formula>
    </cfRule>
  </conditionalFormatting>
  <conditionalFormatting sqref="BI19">
    <cfRule type="expression" dxfId="827" priority="1297">
      <formula>_xlfn.ISFORMULA(BI19)</formula>
    </cfRule>
  </conditionalFormatting>
  <conditionalFormatting sqref="BJ19:BN19 BI7:BN7">
    <cfRule type="expression" dxfId="826" priority="1296">
      <formula>_xlfn.ISFORMULA(BI7)</formula>
    </cfRule>
  </conditionalFormatting>
  <conditionalFormatting sqref="BK20">
    <cfRule type="expression" dxfId="825" priority="1293">
      <formula>_xlfn.ISFORMULA(BK20)</formula>
    </cfRule>
  </conditionalFormatting>
  <conditionalFormatting sqref="BW9">
    <cfRule type="expression" dxfId="824" priority="1292">
      <formula>_xlfn.ISFORMULA(BW9)</formula>
    </cfRule>
  </conditionalFormatting>
  <conditionalFormatting sqref="BQ15:BW15">
    <cfRule type="expression" dxfId="823" priority="1291">
      <formula>_xlfn.ISFORMULA(BQ15)</formula>
    </cfRule>
  </conditionalFormatting>
  <conditionalFormatting sqref="BQ21:BW21">
    <cfRule type="expression" dxfId="822" priority="1290">
      <formula>_xlfn.ISFORMULA(BQ21)</formula>
    </cfRule>
  </conditionalFormatting>
  <conditionalFormatting sqref="BQ9:BV9">
    <cfRule type="expression" dxfId="821" priority="1289">
      <formula>_xlfn.ISFORMULA(BQ9)</formula>
    </cfRule>
  </conditionalFormatting>
  <conditionalFormatting sqref="BQ8:BV8">
    <cfRule type="expression" dxfId="820" priority="1288">
      <formula>_xlfn.ISFORMULA(BQ8)</formula>
    </cfRule>
  </conditionalFormatting>
  <conditionalFormatting sqref="BQ14:BW14">
    <cfRule type="expression" dxfId="819" priority="1287">
      <formula>_xlfn.ISFORMULA(BQ14)</formula>
    </cfRule>
  </conditionalFormatting>
  <conditionalFormatting sqref="BU20:BV20">
    <cfRule type="expression" dxfId="818" priority="1286">
      <formula>_xlfn.ISFORMULA(BU20)</formula>
    </cfRule>
  </conditionalFormatting>
  <conditionalFormatting sqref="BQ13:BW13">
    <cfRule type="expression" dxfId="817" priority="1285">
      <formula>_xlfn.ISFORMULA(BQ13)</formula>
    </cfRule>
  </conditionalFormatting>
  <conditionalFormatting sqref="BQ19">
    <cfRule type="expression" dxfId="816" priority="1283">
      <formula>_xlfn.ISFORMULA(BQ19)</formula>
    </cfRule>
  </conditionalFormatting>
  <conditionalFormatting sqref="BQ7:BV7 BR19:BV19">
    <cfRule type="expression" dxfId="815" priority="1282">
      <formula>_xlfn.ISFORMULA(BQ7)</formula>
    </cfRule>
  </conditionalFormatting>
  <conditionalFormatting sqref="BS20">
    <cfRule type="expression" dxfId="814" priority="1279">
      <formula>_xlfn.ISFORMULA(BS20)</formula>
    </cfRule>
  </conditionalFormatting>
  <conditionalFormatting sqref="CE9">
    <cfRule type="expression" dxfId="813" priority="1278">
      <formula>_xlfn.ISFORMULA(CE9)</formula>
    </cfRule>
  </conditionalFormatting>
  <conditionalFormatting sqref="BY15:CE15">
    <cfRule type="expression" dxfId="812" priority="1277">
      <formula>_xlfn.ISFORMULA(BY15)</formula>
    </cfRule>
  </conditionalFormatting>
  <conditionalFormatting sqref="BY21:CE21">
    <cfRule type="expression" dxfId="811" priority="1276">
      <formula>_xlfn.ISFORMULA(BY21)</formula>
    </cfRule>
  </conditionalFormatting>
  <conditionalFormatting sqref="BY9:CD9">
    <cfRule type="expression" dxfId="810" priority="1275">
      <formula>_xlfn.ISFORMULA(BY9)</formula>
    </cfRule>
  </conditionalFormatting>
  <conditionalFormatting sqref="BY8:CD8">
    <cfRule type="expression" dxfId="809" priority="1274">
      <formula>_xlfn.ISFORMULA(BY8)</formula>
    </cfRule>
  </conditionalFormatting>
  <conditionalFormatting sqref="BY14:CE14">
    <cfRule type="expression" dxfId="808" priority="1273">
      <formula>_xlfn.ISFORMULA(BY14)</formula>
    </cfRule>
  </conditionalFormatting>
  <conditionalFormatting sqref="BY13:CE13">
    <cfRule type="expression" dxfId="807" priority="1271">
      <formula>_xlfn.ISFORMULA(BY13)</formula>
    </cfRule>
  </conditionalFormatting>
  <conditionalFormatting sqref="BY20">
    <cfRule type="expression" dxfId="806" priority="1270">
      <formula>_xlfn.ISFORMULA(BY20)</formula>
    </cfRule>
  </conditionalFormatting>
  <conditionalFormatting sqref="BY19">
    <cfRule type="expression" dxfId="805" priority="1269">
      <formula>_xlfn.ISFORMULA(BY19)</formula>
    </cfRule>
  </conditionalFormatting>
  <conditionalFormatting sqref="BZ19:CD19 BY7:CD7">
    <cfRule type="expression" dxfId="804" priority="1268">
      <formula>_xlfn.ISFORMULA(BY7)</formula>
    </cfRule>
  </conditionalFormatting>
  <conditionalFormatting sqref="CM9">
    <cfRule type="expression" dxfId="803" priority="1264">
      <formula>_xlfn.ISFORMULA(CM9)</formula>
    </cfRule>
  </conditionalFormatting>
  <conditionalFormatting sqref="CG15:CM15">
    <cfRule type="expression" dxfId="802" priority="1263">
      <formula>_xlfn.ISFORMULA(CG15)</formula>
    </cfRule>
  </conditionalFormatting>
  <conditionalFormatting sqref="CG21:CM21">
    <cfRule type="expression" dxfId="801" priority="1262">
      <formula>_xlfn.ISFORMULA(CG21)</formula>
    </cfRule>
  </conditionalFormatting>
  <conditionalFormatting sqref="CG9:CL9">
    <cfRule type="expression" dxfId="800" priority="1261">
      <formula>_xlfn.ISFORMULA(CG9)</formula>
    </cfRule>
  </conditionalFormatting>
  <conditionalFormatting sqref="CG8:CL8">
    <cfRule type="expression" dxfId="799" priority="1260">
      <formula>_xlfn.ISFORMULA(CG8)</formula>
    </cfRule>
  </conditionalFormatting>
  <conditionalFormatting sqref="CG14:CM14">
    <cfRule type="expression" dxfId="798" priority="1259">
      <formula>_xlfn.ISFORMULA(CG14)</formula>
    </cfRule>
  </conditionalFormatting>
  <conditionalFormatting sqref="CL20">
    <cfRule type="expression" dxfId="797" priority="1258">
      <formula>_xlfn.ISFORMULA(CL20)</formula>
    </cfRule>
  </conditionalFormatting>
  <conditionalFormatting sqref="CG13:CM13">
    <cfRule type="expression" dxfId="796" priority="1257">
      <formula>_xlfn.ISFORMULA(CG13)</formula>
    </cfRule>
  </conditionalFormatting>
  <conditionalFormatting sqref="CG20">
    <cfRule type="expression" dxfId="795" priority="1256">
      <formula>_xlfn.ISFORMULA(CG20)</formula>
    </cfRule>
  </conditionalFormatting>
  <conditionalFormatting sqref="CG19">
    <cfRule type="expression" dxfId="794" priority="1255">
      <formula>_xlfn.ISFORMULA(CG19)</formula>
    </cfRule>
  </conditionalFormatting>
  <conditionalFormatting sqref="CH19:CL19 CG7:CL7">
    <cfRule type="expression" dxfId="793" priority="1254">
      <formula>_xlfn.ISFORMULA(CG7)</formula>
    </cfRule>
  </conditionalFormatting>
  <conditionalFormatting sqref="CI20">
    <cfRule type="expression" dxfId="792" priority="1251">
      <formula>_xlfn.ISFORMULA(CI20)</formula>
    </cfRule>
  </conditionalFormatting>
  <conditionalFormatting sqref="CU9">
    <cfRule type="expression" dxfId="791" priority="1250">
      <formula>_xlfn.ISFORMULA(CU9)</formula>
    </cfRule>
  </conditionalFormatting>
  <conditionalFormatting sqref="CO15:CU15">
    <cfRule type="expression" dxfId="790" priority="1249">
      <formula>_xlfn.ISFORMULA(CO15)</formula>
    </cfRule>
  </conditionalFormatting>
  <conditionalFormatting sqref="CO21:CU21">
    <cfRule type="expression" dxfId="789" priority="1248">
      <formula>_xlfn.ISFORMULA(CO21)</formula>
    </cfRule>
  </conditionalFormatting>
  <conditionalFormatting sqref="CO9:CT9">
    <cfRule type="expression" dxfId="788" priority="1247">
      <formula>_xlfn.ISFORMULA(CO9)</formula>
    </cfRule>
  </conditionalFormatting>
  <conditionalFormatting sqref="CO8:CT8">
    <cfRule type="expression" dxfId="787" priority="1246">
      <formula>_xlfn.ISFORMULA(CO8)</formula>
    </cfRule>
  </conditionalFormatting>
  <conditionalFormatting sqref="CO14:CU14">
    <cfRule type="expression" dxfId="786" priority="1245">
      <formula>_xlfn.ISFORMULA(CO14)</formula>
    </cfRule>
  </conditionalFormatting>
  <conditionalFormatting sqref="CS20">
    <cfRule type="expression" dxfId="785" priority="1244">
      <formula>_xlfn.ISFORMULA(CS20)</formula>
    </cfRule>
  </conditionalFormatting>
  <conditionalFormatting sqref="CO13:CU13">
    <cfRule type="expression" dxfId="784" priority="1243">
      <formula>_xlfn.ISFORMULA(CO13)</formula>
    </cfRule>
  </conditionalFormatting>
  <conditionalFormatting sqref="CO19">
    <cfRule type="expression" dxfId="783" priority="1241">
      <formula>_xlfn.ISFORMULA(CO19)</formula>
    </cfRule>
  </conditionalFormatting>
  <conditionalFormatting sqref="CP19:CT19 CO7:CT7">
    <cfRule type="expression" dxfId="782" priority="1240">
      <formula>_xlfn.ISFORMULA(CO7)</formula>
    </cfRule>
  </conditionalFormatting>
  <conditionalFormatting sqref="CP20">
    <cfRule type="expression" dxfId="781" priority="1239">
      <formula>_xlfn.ISFORMULA(CP20)</formula>
    </cfRule>
  </conditionalFormatting>
  <conditionalFormatting sqref="CR20">
    <cfRule type="expression" dxfId="780" priority="1238">
      <formula>_xlfn.ISFORMULA(CR20)</formula>
    </cfRule>
  </conditionalFormatting>
  <conditionalFormatting sqref="CQ20">
    <cfRule type="expression" dxfId="779" priority="1237">
      <formula>_xlfn.ISFORMULA(CQ20)</formula>
    </cfRule>
  </conditionalFormatting>
  <conditionalFormatting sqref="CW21:DC21">
    <cfRule type="expression" dxfId="778" priority="1234">
      <formula>_xlfn.ISFORMULA(CW21)</formula>
    </cfRule>
  </conditionalFormatting>
  <conditionalFormatting sqref="CW8:DB8">
    <cfRule type="expression" dxfId="777" priority="1232">
      <formula>_xlfn.ISFORMULA(CW8)</formula>
    </cfRule>
  </conditionalFormatting>
  <conditionalFormatting sqref="CW14:DC14">
    <cfRule type="expression" dxfId="776" priority="1231">
      <formula>_xlfn.ISFORMULA(CW14)</formula>
    </cfRule>
  </conditionalFormatting>
  <conditionalFormatting sqref="DA20">
    <cfRule type="expression" dxfId="775" priority="1230">
      <formula>_xlfn.ISFORMULA(DA20)</formula>
    </cfRule>
  </conditionalFormatting>
  <conditionalFormatting sqref="CW13:DC13">
    <cfRule type="expression" dxfId="774" priority="1229">
      <formula>_xlfn.ISFORMULA(CW13)</formula>
    </cfRule>
  </conditionalFormatting>
  <conditionalFormatting sqref="CW19">
    <cfRule type="expression" dxfId="773" priority="1227">
      <formula>_xlfn.ISFORMULA(CW19)</formula>
    </cfRule>
  </conditionalFormatting>
  <conditionalFormatting sqref="CX19:DB19 CW7:DB7">
    <cfRule type="expression" dxfId="772" priority="1226">
      <formula>_xlfn.ISFORMULA(CW7)</formula>
    </cfRule>
  </conditionalFormatting>
  <conditionalFormatting sqref="CZ20">
    <cfRule type="expression" dxfId="771" priority="1224">
      <formula>_xlfn.ISFORMULA(CZ20)</formula>
    </cfRule>
  </conditionalFormatting>
  <conditionalFormatting sqref="DK9">
    <cfRule type="expression" dxfId="770" priority="1222">
      <formula>_xlfn.ISFORMULA(DK9)</formula>
    </cfRule>
  </conditionalFormatting>
  <conditionalFormatting sqref="CW15:DK15">
    <cfRule type="expression" dxfId="769" priority="1221">
      <formula>_xlfn.ISFORMULA(CW15)</formula>
    </cfRule>
  </conditionalFormatting>
  <conditionalFormatting sqref="DE21:DK21">
    <cfRule type="expression" dxfId="768" priority="1220">
      <formula>_xlfn.ISFORMULA(DE21)</formula>
    </cfRule>
  </conditionalFormatting>
  <conditionalFormatting sqref="CW9:DJ9">
    <cfRule type="expression" dxfId="767" priority="1219">
      <formula>_xlfn.ISFORMULA(CW9)</formula>
    </cfRule>
  </conditionalFormatting>
  <conditionalFormatting sqref="DE8:DJ8">
    <cfRule type="expression" dxfId="766" priority="1218">
      <formula>_xlfn.ISFORMULA(DE8)</formula>
    </cfRule>
  </conditionalFormatting>
  <conditionalFormatting sqref="DE14:DK14">
    <cfRule type="expression" dxfId="765" priority="1217">
      <formula>_xlfn.ISFORMULA(DE14)</formula>
    </cfRule>
  </conditionalFormatting>
  <conditionalFormatting sqref="DI20:DJ20">
    <cfRule type="expression" dxfId="764" priority="1216">
      <formula>_xlfn.ISFORMULA(DI20)</formula>
    </cfRule>
  </conditionalFormatting>
  <conditionalFormatting sqref="DE13:DK13">
    <cfRule type="expression" dxfId="763" priority="1215">
      <formula>_xlfn.ISFORMULA(DE13)</formula>
    </cfRule>
  </conditionalFormatting>
  <conditionalFormatting sqref="DE19">
    <cfRule type="expression" dxfId="762" priority="1213">
      <formula>_xlfn.ISFORMULA(DE19)</formula>
    </cfRule>
  </conditionalFormatting>
  <conditionalFormatting sqref="DF19:DJ19 DE7:DJ7">
    <cfRule type="expression" dxfId="761" priority="1212">
      <formula>_xlfn.ISFORMULA(DE7)</formula>
    </cfRule>
  </conditionalFormatting>
  <conditionalFormatting sqref="DH20">
    <cfRule type="expression" dxfId="760" priority="1210">
      <formula>_xlfn.ISFORMULA(DH20)</formula>
    </cfRule>
  </conditionalFormatting>
  <conditionalFormatting sqref="DS9">
    <cfRule type="expression" dxfId="759" priority="1208">
      <formula>_xlfn.ISFORMULA(DS9)</formula>
    </cfRule>
  </conditionalFormatting>
  <conditionalFormatting sqref="DM15:DS15">
    <cfRule type="expression" dxfId="758" priority="1207">
      <formula>_xlfn.ISFORMULA(DM15)</formula>
    </cfRule>
  </conditionalFormatting>
  <conditionalFormatting sqref="DM21:DS21">
    <cfRule type="expression" dxfId="757" priority="1206">
      <formula>_xlfn.ISFORMULA(DM21)</formula>
    </cfRule>
  </conditionalFormatting>
  <conditionalFormatting sqref="DM9:DR9">
    <cfRule type="expression" dxfId="756" priority="1205">
      <formula>_xlfn.ISFORMULA(DM9)</formula>
    </cfRule>
  </conditionalFormatting>
  <conditionalFormatting sqref="DM8:DR8">
    <cfRule type="expression" dxfId="755" priority="1204">
      <formula>_xlfn.ISFORMULA(DM8)</formula>
    </cfRule>
  </conditionalFormatting>
  <conditionalFormatting sqref="DM14:DS14">
    <cfRule type="expression" dxfId="754" priority="1203">
      <formula>_xlfn.ISFORMULA(DM14)</formula>
    </cfRule>
  </conditionalFormatting>
  <conditionalFormatting sqref="DQ20:DR20">
    <cfRule type="expression" dxfId="753" priority="1202">
      <formula>_xlfn.ISFORMULA(DQ20)</formula>
    </cfRule>
  </conditionalFormatting>
  <conditionalFormatting sqref="DM13:DS13">
    <cfRule type="expression" dxfId="752" priority="1201">
      <formula>_xlfn.ISFORMULA(DM13)</formula>
    </cfRule>
  </conditionalFormatting>
  <conditionalFormatting sqref="DM20">
    <cfRule type="expression" dxfId="751" priority="1200">
      <formula>_xlfn.ISFORMULA(DM20)</formula>
    </cfRule>
  </conditionalFormatting>
  <conditionalFormatting sqref="DM19">
    <cfRule type="expression" dxfId="750" priority="1199">
      <formula>_xlfn.ISFORMULA(DM19)</formula>
    </cfRule>
  </conditionalFormatting>
  <conditionalFormatting sqref="DN19:DR19 DM7:DR7">
    <cfRule type="expression" dxfId="749" priority="1198">
      <formula>_xlfn.ISFORMULA(DM7)</formula>
    </cfRule>
  </conditionalFormatting>
  <conditionalFormatting sqref="DN20">
    <cfRule type="expression" dxfId="748" priority="1197">
      <formula>_xlfn.ISFORMULA(DN20)</formula>
    </cfRule>
  </conditionalFormatting>
  <conditionalFormatting sqref="DP20">
    <cfRule type="expression" dxfId="747" priority="1196">
      <formula>_xlfn.ISFORMULA(DP20)</formula>
    </cfRule>
  </conditionalFormatting>
  <conditionalFormatting sqref="DO20">
    <cfRule type="expression" dxfId="746" priority="1195">
      <formula>_xlfn.ISFORMULA(DO20)</formula>
    </cfRule>
  </conditionalFormatting>
  <conditionalFormatting sqref="DU15:EI15">
    <cfRule type="expression" dxfId="745" priority="1193">
      <formula>_xlfn.ISFORMULA(DU15)</formula>
    </cfRule>
  </conditionalFormatting>
  <conditionalFormatting sqref="DU21:EH21">
    <cfRule type="expression" dxfId="744" priority="1192">
      <formula>_xlfn.ISFORMULA(DU21)</formula>
    </cfRule>
  </conditionalFormatting>
  <conditionalFormatting sqref="DU9:EH9">
    <cfRule type="expression" dxfId="743" priority="1191">
      <formula>_xlfn.ISFORMULA(DU9)</formula>
    </cfRule>
  </conditionalFormatting>
  <conditionalFormatting sqref="DU8:DZ8">
    <cfRule type="expression" dxfId="742" priority="1190">
      <formula>_xlfn.ISFORMULA(DU8)</formula>
    </cfRule>
  </conditionalFormatting>
  <conditionalFormatting sqref="DU14:DX14 DZ14:EA14">
    <cfRule type="expression" dxfId="741" priority="1189">
      <formula>_xlfn.ISFORMULA(DU14)</formula>
    </cfRule>
  </conditionalFormatting>
  <conditionalFormatting sqref="DU13:EA13">
    <cfRule type="expression" dxfId="740" priority="1187">
      <formula>_xlfn.ISFORMULA(DU13)</formula>
    </cfRule>
  </conditionalFormatting>
  <conditionalFormatting sqref="DU20">
    <cfRule type="expression" dxfId="739" priority="1186">
      <formula>_xlfn.ISFORMULA(DU20)</formula>
    </cfRule>
  </conditionalFormatting>
  <conditionalFormatting sqref="DU19">
    <cfRule type="expression" dxfId="738" priority="1185">
      <formula>_xlfn.ISFORMULA(DU19)</formula>
    </cfRule>
  </conditionalFormatting>
  <conditionalFormatting sqref="DV19:DZ19 DU7:DZ7">
    <cfRule type="expression" dxfId="737" priority="1184">
      <formula>_xlfn.ISFORMULA(DU7)</formula>
    </cfRule>
  </conditionalFormatting>
  <conditionalFormatting sqref="DV20">
    <cfRule type="expression" dxfId="736" priority="1183">
      <formula>_xlfn.ISFORMULA(DV20)</formula>
    </cfRule>
  </conditionalFormatting>
  <conditionalFormatting sqref="EI9">
    <cfRule type="expression" dxfId="735" priority="1180">
      <formula>_xlfn.ISFORMULA(EI9)</formula>
    </cfRule>
  </conditionalFormatting>
  <conditionalFormatting sqref="EI21">
    <cfRule type="expression" dxfId="734" priority="1178">
      <formula>_xlfn.ISFORMULA(EI21)</formula>
    </cfRule>
  </conditionalFormatting>
  <conditionalFormatting sqref="EC8:EH8">
    <cfRule type="expression" dxfId="733" priority="1176">
      <formula>_xlfn.ISFORMULA(EC8)</formula>
    </cfRule>
  </conditionalFormatting>
  <conditionalFormatting sqref="EC14:EI14">
    <cfRule type="expression" dxfId="732" priority="1175">
      <formula>_xlfn.ISFORMULA(EC14)</formula>
    </cfRule>
  </conditionalFormatting>
  <conditionalFormatting sqref="EC13:EI13">
    <cfRule type="expression" dxfId="731" priority="1173">
      <formula>_xlfn.ISFORMULA(EC13)</formula>
    </cfRule>
  </conditionalFormatting>
  <conditionalFormatting sqref="EC19">
    <cfRule type="expression" dxfId="730" priority="1171">
      <formula>_xlfn.ISFORMULA(EC19)</formula>
    </cfRule>
  </conditionalFormatting>
  <conditionalFormatting sqref="ED19:EH19 EC7:EH7">
    <cfRule type="expression" dxfId="729" priority="1170">
      <formula>_xlfn.ISFORMULA(EC7)</formula>
    </cfRule>
  </conditionalFormatting>
  <conditionalFormatting sqref="EF20">
    <cfRule type="expression" dxfId="728" priority="1168">
      <formula>_xlfn.ISFORMULA(EF20)</formula>
    </cfRule>
  </conditionalFormatting>
  <conditionalFormatting sqref="EQ9">
    <cfRule type="expression" dxfId="727" priority="1166">
      <formula>_xlfn.ISFORMULA(EQ9)</formula>
    </cfRule>
  </conditionalFormatting>
  <conditionalFormatting sqref="EK15:EQ15">
    <cfRule type="expression" dxfId="726" priority="1165">
      <formula>_xlfn.ISFORMULA(EK15)</formula>
    </cfRule>
  </conditionalFormatting>
  <conditionalFormatting sqref="EK21:EQ21">
    <cfRule type="expression" dxfId="725" priority="1164">
      <formula>_xlfn.ISFORMULA(EK21)</formula>
    </cfRule>
  </conditionalFormatting>
  <conditionalFormatting sqref="EK9:EP9">
    <cfRule type="expression" dxfId="724" priority="1163">
      <formula>_xlfn.ISFORMULA(EK9)</formula>
    </cfRule>
  </conditionalFormatting>
  <conditionalFormatting sqref="EK8:EP8">
    <cfRule type="expression" dxfId="723" priority="1162">
      <formula>_xlfn.ISFORMULA(EK8)</formula>
    </cfRule>
  </conditionalFormatting>
  <conditionalFormatting sqref="EK14:EQ14">
    <cfRule type="expression" dxfId="722" priority="1161">
      <formula>_xlfn.ISFORMULA(EK14)</formula>
    </cfRule>
  </conditionalFormatting>
  <conditionalFormatting sqref="EO20:EP20">
    <cfRule type="expression" dxfId="721" priority="1160">
      <formula>_xlfn.ISFORMULA(EO20)</formula>
    </cfRule>
  </conditionalFormatting>
  <conditionalFormatting sqref="EK13:EQ13">
    <cfRule type="expression" dxfId="720" priority="1159">
      <formula>_xlfn.ISFORMULA(EK13)</formula>
    </cfRule>
  </conditionalFormatting>
  <conditionalFormatting sqref="EK20">
    <cfRule type="expression" dxfId="719" priority="1158">
      <formula>_xlfn.ISFORMULA(EK20)</formula>
    </cfRule>
  </conditionalFormatting>
  <conditionalFormatting sqref="EK19">
    <cfRule type="expression" dxfId="718" priority="1157">
      <formula>_xlfn.ISFORMULA(EK19)</formula>
    </cfRule>
  </conditionalFormatting>
  <conditionalFormatting sqref="EL19:EP19 EK7:EP7">
    <cfRule type="expression" dxfId="717" priority="1156">
      <formula>_xlfn.ISFORMULA(EK7)</formula>
    </cfRule>
  </conditionalFormatting>
  <conditionalFormatting sqref="EN20">
    <cfRule type="expression" dxfId="716" priority="1154">
      <formula>_xlfn.ISFORMULA(EN20)</formula>
    </cfRule>
  </conditionalFormatting>
  <conditionalFormatting sqref="EY9">
    <cfRule type="expression" dxfId="715" priority="1152">
      <formula>_xlfn.ISFORMULA(EY9)</formula>
    </cfRule>
  </conditionalFormatting>
  <conditionalFormatting sqref="ES15:EY15">
    <cfRule type="expression" dxfId="714" priority="1151">
      <formula>_xlfn.ISFORMULA(ES15)</formula>
    </cfRule>
  </conditionalFormatting>
  <conditionalFormatting sqref="ES21:EY21">
    <cfRule type="expression" dxfId="713" priority="1150">
      <formula>_xlfn.ISFORMULA(ES21)</formula>
    </cfRule>
  </conditionalFormatting>
  <conditionalFormatting sqref="ES9:EX9">
    <cfRule type="expression" dxfId="712" priority="1149">
      <formula>_xlfn.ISFORMULA(ES9)</formula>
    </cfRule>
  </conditionalFormatting>
  <conditionalFormatting sqref="ES8:EX8">
    <cfRule type="expression" dxfId="711" priority="1148">
      <formula>_xlfn.ISFORMULA(ES8)</formula>
    </cfRule>
  </conditionalFormatting>
  <conditionalFormatting sqref="ES14:EY14">
    <cfRule type="expression" dxfId="710" priority="1147">
      <formula>_xlfn.ISFORMULA(ES14)</formula>
    </cfRule>
  </conditionalFormatting>
  <conditionalFormatting sqref="EW20:EX20">
    <cfRule type="expression" dxfId="709" priority="1146">
      <formula>_xlfn.ISFORMULA(EW20)</formula>
    </cfRule>
  </conditionalFormatting>
  <conditionalFormatting sqref="ES13:EY13">
    <cfRule type="expression" dxfId="708" priority="1145">
      <formula>_xlfn.ISFORMULA(ES13)</formula>
    </cfRule>
  </conditionalFormatting>
  <conditionalFormatting sqref="ES20">
    <cfRule type="expression" dxfId="707" priority="1144">
      <formula>_xlfn.ISFORMULA(ES20)</formula>
    </cfRule>
  </conditionalFormatting>
  <conditionalFormatting sqref="ES19">
    <cfRule type="expression" dxfId="706" priority="1143">
      <formula>_xlfn.ISFORMULA(ES19)</formula>
    </cfRule>
  </conditionalFormatting>
  <conditionalFormatting sqref="ET19:EX19 ES7:EX7">
    <cfRule type="expression" dxfId="705" priority="1142">
      <formula>_xlfn.ISFORMULA(ES7)</formula>
    </cfRule>
  </conditionalFormatting>
  <conditionalFormatting sqref="ET20">
    <cfRule type="expression" dxfId="704" priority="1141">
      <formula>_xlfn.ISFORMULA(ET20)</formula>
    </cfRule>
  </conditionalFormatting>
  <conditionalFormatting sqref="EV20">
    <cfRule type="expression" dxfId="703" priority="1140">
      <formula>_xlfn.ISFORMULA(EV20)</formula>
    </cfRule>
  </conditionalFormatting>
  <conditionalFormatting sqref="EU20">
    <cfRule type="expression" dxfId="702" priority="1139">
      <formula>_xlfn.ISFORMULA(EU20)</formula>
    </cfRule>
  </conditionalFormatting>
  <conditionalFormatting sqref="FG9">
    <cfRule type="expression" dxfId="701" priority="1138">
      <formula>_xlfn.ISFORMULA(FG9)</formula>
    </cfRule>
  </conditionalFormatting>
  <conditionalFormatting sqref="FA15:FG15">
    <cfRule type="expression" dxfId="700" priority="1137">
      <formula>_xlfn.ISFORMULA(FA15)</formula>
    </cfRule>
  </conditionalFormatting>
  <conditionalFormatting sqref="FA21:FG21">
    <cfRule type="expression" dxfId="699" priority="1136">
      <formula>_xlfn.ISFORMULA(FA21)</formula>
    </cfRule>
  </conditionalFormatting>
  <conditionalFormatting sqref="FA9:FF9">
    <cfRule type="expression" dxfId="698" priority="1135">
      <formula>_xlfn.ISFORMULA(FA9)</formula>
    </cfRule>
  </conditionalFormatting>
  <conditionalFormatting sqref="FA8:FF8">
    <cfRule type="expression" dxfId="697" priority="1134">
      <formula>_xlfn.ISFORMULA(FA8)</formula>
    </cfRule>
  </conditionalFormatting>
  <conditionalFormatting sqref="FA14:FG14">
    <cfRule type="expression" dxfId="696" priority="1133">
      <formula>_xlfn.ISFORMULA(FA14)</formula>
    </cfRule>
  </conditionalFormatting>
  <conditionalFormatting sqref="FA13:FG13">
    <cfRule type="expression" dxfId="695" priority="1131">
      <formula>_xlfn.ISFORMULA(FA13)</formula>
    </cfRule>
  </conditionalFormatting>
  <conditionalFormatting sqref="FA20">
    <cfRule type="expression" dxfId="694" priority="1130">
      <formula>_xlfn.ISFORMULA(FA20)</formula>
    </cfRule>
  </conditionalFormatting>
  <conditionalFormatting sqref="FA19">
    <cfRule type="expression" dxfId="693" priority="1129">
      <formula>_xlfn.ISFORMULA(FA19)</formula>
    </cfRule>
  </conditionalFormatting>
  <conditionalFormatting sqref="FB19:FF19 FA7:FF7">
    <cfRule type="expression" dxfId="692" priority="1128">
      <formula>_xlfn.ISFORMULA(FA7)</formula>
    </cfRule>
  </conditionalFormatting>
  <conditionalFormatting sqref="FD20">
    <cfRule type="expression" dxfId="691" priority="1126">
      <formula>_xlfn.ISFORMULA(FD20)</formula>
    </cfRule>
  </conditionalFormatting>
  <conditionalFormatting sqref="FO9">
    <cfRule type="expression" dxfId="690" priority="1124">
      <formula>_xlfn.ISFORMULA(FO9)</formula>
    </cfRule>
  </conditionalFormatting>
  <conditionalFormatting sqref="FI15:FO15">
    <cfRule type="expression" dxfId="689" priority="1123">
      <formula>_xlfn.ISFORMULA(FI15)</formula>
    </cfRule>
  </conditionalFormatting>
  <conditionalFormatting sqref="FI21:FO21">
    <cfRule type="expression" dxfId="688" priority="1122">
      <formula>_xlfn.ISFORMULA(FI21)</formula>
    </cfRule>
  </conditionalFormatting>
  <conditionalFormatting sqref="FI9:FN9">
    <cfRule type="expression" dxfId="687" priority="1121">
      <formula>_xlfn.ISFORMULA(FI9)</formula>
    </cfRule>
  </conditionalFormatting>
  <conditionalFormatting sqref="FI8:FN8">
    <cfRule type="expression" dxfId="686" priority="1120">
      <formula>_xlfn.ISFORMULA(FI8)</formula>
    </cfRule>
  </conditionalFormatting>
  <conditionalFormatting sqref="FI14:FO14">
    <cfRule type="expression" dxfId="685" priority="1119">
      <formula>_xlfn.ISFORMULA(FI14)</formula>
    </cfRule>
  </conditionalFormatting>
  <conditionalFormatting sqref="FI13:FO13">
    <cfRule type="expression" dxfId="684" priority="1117">
      <formula>_xlfn.ISFORMULA(FI13)</formula>
    </cfRule>
  </conditionalFormatting>
  <conditionalFormatting sqref="FI20">
    <cfRule type="expression" dxfId="683" priority="1116">
      <formula>_xlfn.ISFORMULA(FI20)</formula>
    </cfRule>
  </conditionalFormatting>
  <conditionalFormatting sqref="FI19">
    <cfRule type="expression" dxfId="682" priority="1115">
      <formula>_xlfn.ISFORMULA(FI19)</formula>
    </cfRule>
  </conditionalFormatting>
  <conditionalFormatting sqref="FJ19:FN19 FI7:FN7">
    <cfRule type="expression" dxfId="681" priority="1114">
      <formula>_xlfn.ISFORMULA(FI7)</formula>
    </cfRule>
  </conditionalFormatting>
  <conditionalFormatting sqref="FJ20">
    <cfRule type="expression" dxfId="680" priority="1113">
      <formula>_xlfn.ISFORMULA(FJ20)</formula>
    </cfRule>
  </conditionalFormatting>
  <conditionalFormatting sqref="FL20">
    <cfRule type="expression" dxfId="679" priority="1112">
      <formula>_xlfn.ISFORMULA(FL20)</formula>
    </cfRule>
  </conditionalFormatting>
  <conditionalFormatting sqref="FK20">
    <cfRule type="expression" dxfId="678" priority="1111">
      <formula>_xlfn.ISFORMULA(FK20)</formula>
    </cfRule>
  </conditionalFormatting>
  <conditionalFormatting sqref="FW9">
    <cfRule type="expression" dxfId="677" priority="1110">
      <formula>_xlfn.ISFORMULA(FW9)</formula>
    </cfRule>
  </conditionalFormatting>
  <conditionalFormatting sqref="FQ15:FW15">
    <cfRule type="expression" dxfId="676" priority="1109">
      <formula>_xlfn.ISFORMULA(FQ15)</formula>
    </cfRule>
  </conditionalFormatting>
  <conditionalFormatting sqref="FQ21:FW21">
    <cfRule type="expression" dxfId="675" priority="1108">
      <formula>_xlfn.ISFORMULA(FQ21)</formula>
    </cfRule>
  </conditionalFormatting>
  <conditionalFormatting sqref="FQ9:FV9">
    <cfRule type="expression" dxfId="674" priority="1107">
      <formula>_xlfn.ISFORMULA(FQ9)</formula>
    </cfRule>
  </conditionalFormatting>
  <conditionalFormatting sqref="FQ8:FV8">
    <cfRule type="expression" dxfId="673" priority="1106">
      <formula>_xlfn.ISFORMULA(FQ8)</formula>
    </cfRule>
  </conditionalFormatting>
  <conditionalFormatting sqref="FQ14:FW14">
    <cfRule type="expression" dxfId="672" priority="1105">
      <formula>_xlfn.ISFORMULA(FQ14)</formula>
    </cfRule>
  </conditionalFormatting>
  <conditionalFormatting sqref="FQ13:FW13">
    <cfRule type="expression" dxfId="671" priority="1103">
      <formula>_xlfn.ISFORMULA(FQ13)</formula>
    </cfRule>
  </conditionalFormatting>
  <conditionalFormatting sqref="FQ20">
    <cfRule type="expression" dxfId="670" priority="1102">
      <formula>_xlfn.ISFORMULA(FQ20)</formula>
    </cfRule>
  </conditionalFormatting>
  <conditionalFormatting sqref="FQ19">
    <cfRule type="expression" dxfId="669" priority="1101">
      <formula>_xlfn.ISFORMULA(FQ19)</formula>
    </cfRule>
  </conditionalFormatting>
  <conditionalFormatting sqref="FR19:FV19 FQ7:FV7">
    <cfRule type="expression" dxfId="668" priority="1100">
      <formula>_xlfn.ISFORMULA(FQ7)</formula>
    </cfRule>
  </conditionalFormatting>
  <conditionalFormatting sqref="FR20">
    <cfRule type="expression" dxfId="667" priority="1099">
      <formula>_xlfn.ISFORMULA(FR20)</formula>
    </cfRule>
  </conditionalFormatting>
  <conditionalFormatting sqref="GE9">
    <cfRule type="expression" dxfId="666" priority="1096">
      <formula>_xlfn.ISFORMULA(GE9)</formula>
    </cfRule>
  </conditionalFormatting>
  <conditionalFormatting sqref="FY15:GE15">
    <cfRule type="expression" dxfId="665" priority="1095">
      <formula>_xlfn.ISFORMULA(FY15)</formula>
    </cfRule>
  </conditionalFormatting>
  <conditionalFormatting sqref="FY21:GE21">
    <cfRule type="expression" dxfId="664" priority="1094">
      <formula>_xlfn.ISFORMULA(FY21)</formula>
    </cfRule>
  </conditionalFormatting>
  <conditionalFormatting sqref="FY9:GD9">
    <cfRule type="expression" dxfId="663" priority="1093">
      <formula>_xlfn.ISFORMULA(FY9)</formula>
    </cfRule>
  </conditionalFormatting>
  <conditionalFormatting sqref="FY8:GD8">
    <cfRule type="expression" dxfId="662" priority="1092">
      <formula>_xlfn.ISFORMULA(FY8)</formula>
    </cfRule>
  </conditionalFormatting>
  <conditionalFormatting sqref="FY14:GE14">
    <cfRule type="expression" dxfId="661" priority="1091">
      <formula>_xlfn.ISFORMULA(FY14)</formula>
    </cfRule>
  </conditionalFormatting>
  <conditionalFormatting sqref="GD20">
    <cfRule type="expression" dxfId="660" priority="1090">
      <formula>_xlfn.ISFORMULA(GD20)</formula>
    </cfRule>
  </conditionalFormatting>
  <conditionalFormatting sqref="FY13:GE13">
    <cfRule type="expression" dxfId="659" priority="1089">
      <formula>_xlfn.ISFORMULA(FY13)</formula>
    </cfRule>
  </conditionalFormatting>
  <conditionalFormatting sqref="FY20">
    <cfRule type="expression" dxfId="658" priority="1088">
      <formula>_xlfn.ISFORMULA(FY20)</formula>
    </cfRule>
  </conditionalFormatting>
  <conditionalFormatting sqref="FY19">
    <cfRule type="expression" dxfId="657" priority="1087">
      <formula>_xlfn.ISFORMULA(FY19)</formula>
    </cfRule>
  </conditionalFormatting>
  <conditionalFormatting sqref="FZ19:GD19 FY7:GD7">
    <cfRule type="expression" dxfId="656" priority="1086">
      <formula>_xlfn.ISFORMULA(FY7)</formula>
    </cfRule>
  </conditionalFormatting>
  <conditionalFormatting sqref="GM9">
    <cfRule type="expression" dxfId="655" priority="1082">
      <formula>_xlfn.ISFORMULA(GM9)</formula>
    </cfRule>
  </conditionalFormatting>
  <conditionalFormatting sqref="GG15:GM15">
    <cfRule type="expression" dxfId="654" priority="1081">
      <formula>_xlfn.ISFORMULA(GG15)</formula>
    </cfRule>
  </conditionalFormatting>
  <conditionalFormatting sqref="GG21:GM21">
    <cfRule type="expression" dxfId="653" priority="1080">
      <formula>_xlfn.ISFORMULA(GG21)</formula>
    </cfRule>
  </conditionalFormatting>
  <conditionalFormatting sqref="GG9:GL9">
    <cfRule type="expression" dxfId="652" priority="1079">
      <formula>_xlfn.ISFORMULA(GG9)</formula>
    </cfRule>
  </conditionalFormatting>
  <conditionalFormatting sqref="GG8:GL8">
    <cfRule type="expression" dxfId="651" priority="1078">
      <formula>_xlfn.ISFORMULA(GG8)</formula>
    </cfRule>
  </conditionalFormatting>
  <conditionalFormatting sqref="GG14:GM14">
    <cfRule type="expression" dxfId="650" priority="1077">
      <formula>_xlfn.ISFORMULA(GG14)</formula>
    </cfRule>
  </conditionalFormatting>
  <conditionalFormatting sqref="GK20:GL20">
    <cfRule type="expression" dxfId="649" priority="1076">
      <formula>_xlfn.ISFORMULA(GK20)</formula>
    </cfRule>
  </conditionalFormatting>
  <conditionalFormatting sqref="GG13:GM13">
    <cfRule type="expression" dxfId="648" priority="1075">
      <formula>_xlfn.ISFORMULA(GG13)</formula>
    </cfRule>
  </conditionalFormatting>
  <conditionalFormatting sqref="GG20">
    <cfRule type="expression" dxfId="647" priority="1074">
      <formula>_xlfn.ISFORMULA(GG20)</formula>
    </cfRule>
  </conditionalFormatting>
  <conditionalFormatting sqref="GG19">
    <cfRule type="expression" dxfId="646" priority="1073">
      <formula>_xlfn.ISFORMULA(GG19)</formula>
    </cfRule>
  </conditionalFormatting>
  <conditionalFormatting sqref="GH19:GL19 GG7:GL7">
    <cfRule type="expression" dxfId="645" priority="1072">
      <formula>_xlfn.ISFORMULA(GG7)</formula>
    </cfRule>
  </conditionalFormatting>
  <conditionalFormatting sqref="GH20">
    <cfRule type="expression" dxfId="644" priority="1071">
      <formula>_xlfn.ISFORMULA(GH20)</formula>
    </cfRule>
  </conditionalFormatting>
  <conditionalFormatting sqref="GU9">
    <cfRule type="expression" dxfId="643" priority="1068">
      <formula>_xlfn.ISFORMULA(GU9)</formula>
    </cfRule>
  </conditionalFormatting>
  <conditionalFormatting sqref="GO15:GU15">
    <cfRule type="expression" dxfId="642" priority="1067">
      <formula>_xlfn.ISFORMULA(GO15)</formula>
    </cfRule>
  </conditionalFormatting>
  <conditionalFormatting sqref="GO21:GU21">
    <cfRule type="expression" dxfId="641" priority="1066">
      <formula>_xlfn.ISFORMULA(GO21)</formula>
    </cfRule>
  </conditionalFormatting>
  <conditionalFormatting sqref="GO9:GT9">
    <cfRule type="expression" dxfId="640" priority="1065">
      <formula>_xlfn.ISFORMULA(GO9)</formula>
    </cfRule>
  </conditionalFormatting>
  <conditionalFormatting sqref="GO8:GT8">
    <cfRule type="expression" dxfId="639" priority="1064">
      <formula>_xlfn.ISFORMULA(GO8)</formula>
    </cfRule>
  </conditionalFormatting>
  <conditionalFormatting sqref="GO14:GU14">
    <cfRule type="expression" dxfId="638" priority="1063">
      <formula>_xlfn.ISFORMULA(GO14)</formula>
    </cfRule>
  </conditionalFormatting>
  <conditionalFormatting sqref="GS20:GT20">
    <cfRule type="expression" dxfId="637" priority="1062">
      <formula>_xlfn.ISFORMULA(GS20)</formula>
    </cfRule>
  </conditionalFormatting>
  <conditionalFormatting sqref="GO13:GU13">
    <cfRule type="expression" dxfId="636" priority="1061">
      <formula>_xlfn.ISFORMULA(GO13)</formula>
    </cfRule>
  </conditionalFormatting>
  <conditionalFormatting sqref="GO19">
    <cfRule type="expression" dxfId="635" priority="1059">
      <formula>_xlfn.ISFORMULA(GO19)</formula>
    </cfRule>
  </conditionalFormatting>
  <conditionalFormatting sqref="GP19:GT19 GO7:GT7">
    <cfRule type="expression" dxfId="634" priority="1058">
      <formula>_xlfn.ISFORMULA(GO7)</formula>
    </cfRule>
  </conditionalFormatting>
  <conditionalFormatting sqref="GR20">
    <cfRule type="expression" dxfId="633" priority="1056">
      <formula>_xlfn.ISFORMULA(GR20)</formula>
    </cfRule>
  </conditionalFormatting>
  <conditionalFormatting sqref="HC9">
    <cfRule type="expression" dxfId="632" priority="1054">
      <formula>_xlfn.ISFORMULA(HC9)</formula>
    </cfRule>
  </conditionalFormatting>
  <conditionalFormatting sqref="GW15:HC15">
    <cfRule type="expression" dxfId="631" priority="1053">
      <formula>_xlfn.ISFORMULA(GW15)</formula>
    </cfRule>
  </conditionalFormatting>
  <conditionalFormatting sqref="GW21:HC21">
    <cfRule type="expression" dxfId="630" priority="1052">
      <formula>_xlfn.ISFORMULA(GW21)</formula>
    </cfRule>
  </conditionalFormatting>
  <conditionalFormatting sqref="GW9:HB9">
    <cfRule type="expression" dxfId="629" priority="1051">
      <formula>_xlfn.ISFORMULA(GW9)</formula>
    </cfRule>
  </conditionalFormatting>
  <conditionalFormatting sqref="GW8:HB8">
    <cfRule type="expression" dxfId="628" priority="1050">
      <formula>_xlfn.ISFORMULA(GW8)</formula>
    </cfRule>
  </conditionalFormatting>
  <conditionalFormatting sqref="GW14:HC14">
    <cfRule type="expression" dxfId="627" priority="1049">
      <formula>_xlfn.ISFORMULA(GW14)</formula>
    </cfRule>
  </conditionalFormatting>
  <conditionalFormatting sqref="HA20:HB20">
    <cfRule type="expression" dxfId="626" priority="1048">
      <formula>_xlfn.ISFORMULA(HA20)</formula>
    </cfRule>
  </conditionalFormatting>
  <conditionalFormatting sqref="GW13:HC13">
    <cfRule type="expression" dxfId="625" priority="1047">
      <formula>_xlfn.ISFORMULA(GW13)</formula>
    </cfRule>
  </conditionalFormatting>
  <conditionalFormatting sqref="GW20">
    <cfRule type="expression" dxfId="624" priority="1046">
      <formula>_xlfn.ISFORMULA(GW20)</formula>
    </cfRule>
  </conditionalFormatting>
  <conditionalFormatting sqref="GW19">
    <cfRule type="expression" dxfId="623" priority="1045">
      <formula>_xlfn.ISFORMULA(GW19)</formula>
    </cfRule>
  </conditionalFormatting>
  <conditionalFormatting sqref="GX19:HB19 GW7:HB7">
    <cfRule type="expression" dxfId="622" priority="1044">
      <formula>_xlfn.ISFORMULA(GW7)</formula>
    </cfRule>
  </conditionalFormatting>
  <conditionalFormatting sqref="GX20">
    <cfRule type="expression" dxfId="621" priority="1043">
      <formula>_xlfn.ISFORMULA(GX20)</formula>
    </cfRule>
  </conditionalFormatting>
  <conditionalFormatting sqref="GZ20">
    <cfRule type="expression" dxfId="620" priority="1042">
      <formula>_xlfn.ISFORMULA(GZ20)</formula>
    </cfRule>
  </conditionalFormatting>
  <conditionalFormatting sqref="GY20">
    <cfRule type="expression" dxfId="619" priority="1041">
      <formula>_xlfn.ISFORMULA(GY20)</formula>
    </cfRule>
  </conditionalFormatting>
  <conditionalFormatting sqref="HK9">
    <cfRule type="expression" dxfId="618" priority="1040">
      <formula>_xlfn.ISFORMULA(HK9)</formula>
    </cfRule>
  </conditionalFormatting>
  <conditionalFormatting sqref="HE15:HK15">
    <cfRule type="expression" dxfId="617" priority="1039">
      <formula>_xlfn.ISFORMULA(HE15)</formula>
    </cfRule>
  </conditionalFormatting>
  <conditionalFormatting sqref="HE21:HK21">
    <cfRule type="expression" dxfId="616" priority="1038">
      <formula>_xlfn.ISFORMULA(HE21)</formula>
    </cfRule>
  </conditionalFormatting>
  <conditionalFormatting sqref="HE9:HJ9">
    <cfRule type="expression" dxfId="615" priority="1037">
      <formula>_xlfn.ISFORMULA(HE9)</formula>
    </cfRule>
  </conditionalFormatting>
  <conditionalFormatting sqref="HE8:HJ8">
    <cfRule type="expression" dxfId="614" priority="1036">
      <formula>_xlfn.ISFORMULA(HE8)</formula>
    </cfRule>
  </conditionalFormatting>
  <conditionalFormatting sqref="HE14:HK14">
    <cfRule type="expression" dxfId="613" priority="1035">
      <formula>_xlfn.ISFORMULA(HE14)</formula>
    </cfRule>
  </conditionalFormatting>
  <conditionalFormatting sqref="HJ20">
    <cfRule type="expression" dxfId="612" priority="1034">
      <formula>_xlfn.ISFORMULA(HJ20)</formula>
    </cfRule>
  </conditionalFormatting>
  <conditionalFormatting sqref="HE13:HK13">
    <cfRule type="expression" dxfId="611" priority="1033">
      <formula>_xlfn.ISFORMULA(HE13)</formula>
    </cfRule>
  </conditionalFormatting>
  <conditionalFormatting sqref="HE20">
    <cfRule type="expression" dxfId="610" priority="1032">
      <formula>_xlfn.ISFORMULA(HE20)</formula>
    </cfRule>
  </conditionalFormatting>
  <conditionalFormatting sqref="HE19">
    <cfRule type="expression" dxfId="609" priority="1031">
      <formula>_xlfn.ISFORMULA(HE19)</formula>
    </cfRule>
  </conditionalFormatting>
  <conditionalFormatting sqref="HF19:HJ19 HE7:HJ7">
    <cfRule type="expression" dxfId="608" priority="1030">
      <formula>_xlfn.ISFORMULA(HE7)</formula>
    </cfRule>
  </conditionalFormatting>
  <conditionalFormatting sqref="HF20">
    <cfRule type="expression" dxfId="607" priority="1029">
      <formula>_xlfn.ISFORMULA(HF20)</formula>
    </cfRule>
  </conditionalFormatting>
  <conditionalFormatting sqref="HG20">
    <cfRule type="expression" dxfId="606" priority="1027">
      <formula>_xlfn.ISFORMULA(HG20)</formula>
    </cfRule>
  </conditionalFormatting>
  <conditionalFormatting sqref="HS9">
    <cfRule type="expression" dxfId="605" priority="1026">
      <formula>_xlfn.ISFORMULA(HS9)</formula>
    </cfRule>
  </conditionalFormatting>
  <conditionalFormatting sqref="HM15:HS15">
    <cfRule type="expression" dxfId="604" priority="1025">
      <formula>_xlfn.ISFORMULA(HM15)</formula>
    </cfRule>
  </conditionalFormatting>
  <conditionalFormatting sqref="HM21:HS21">
    <cfRule type="expression" dxfId="603" priority="1024">
      <formula>_xlfn.ISFORMULA(HM21)</formula>
    </cfRule>
  </conditionalFormatting>
  <conditionalFormatting sqref="HM9:HR9">
    <cfRule type="expression" dxfId="602" priority="1023">
      <formula>_xlfn.ISFORMULA(HM9)</formula>
    </cfRule>
  </conditionalFormatting>
  <conditionalFormatting sqref="HM8:HR8">
    <cfRule type="expression" dxfId="601" priority="1022">
      <formula>_xlfn.ISFORMULA(HM8)</formula>
    </cfRule>
  </conditionalFormatting>
  <conditionalFormatting sqref="HM14:HS14">
    <cfRule type="expression" dxfId="600" priority="1021">
      <formula>_xlfn.ISFORMULA(HM14)</formula>
    </cfRule>
  </conditionalFormatting>
  <conditionalFormatting sqref="HM13:HS13">
    <cfRule type="expression" dxfId="599" priority="1019">
      <formula>_xlfn.ISFORMULA(HM13)</formula>
    </cfRule>
  </conditionalFormatting>
  <conditionalFormatting sqref="HM20">
    <cfRule type="expression" dxfId="598" priority="1018">
      <formula>_xlfn.ISFORMULA(HM20)</formula>
    </cfRule>
  </conditionalFormatting>
  <conditionalFormatting sqref="HM19">
    <cfRule type="expression" dxfId="597" priority="1017">
      <formula>_xlfn.ISFORMULA(HM19)</formula>
    </cfRule>
  </conditionalFormatting>
  <conditionalFormatting sqref="HN19:HR19 HM7:HR7">
    <cfRule type="expression" dxfId="596" priority="1016">
      <formula>_xlfn.ISFORMULA(HM7)</formula>
    </cfRule>
  </conditionalFormatting>
  <conditionalFormatting sqref="IA9">
    <cfRule type="expression" dxfId="595" priority="1012">
      <formula>_xlfn.ISFORMULA(IA9)</formula>
    </cfRule>
  </conditionalFormatting>
  <conditionalFormatting sqref="HU15:IA15">
    <cfRule type="expression" dxfId="594" priority="1011">
      <formula>_xlfn.ISFORMULA(HU15)</formula>
    </cfRule>
  </conditionalFormatting>
  <conditionalFormatting sqref="HU21:IA21">
    <cfRule type="expression" dxfId="593" priority="1010">
      <formula>_xlfn.ISFORMULA(HU21)</formula>
    </cfRule>
  </conditionalFormatting>
  <conditionalFormatting sqref="HU9:HZ9">
    <cfRule type="expression" dxfId="592" priority="1009">
      <formula>_xlfn.ISFORMULA(HU9)</formula>
    </cfRule>
  </conditionalFormatting>
  <conditionalFormatting sqref="HU8:HZ8">
    <cfRule type="expression" dxfId="591" priority="1008">
      <formula>_xlfn.ISFORMULA(HU8)</formula>
    </cfRule>
  </conditionalFormatting>
  <conditionalFormatting sqref="HU14:IA14">
    <cfRule type="expression" dxfId="590" priority="1007">
      <formula>_xlfn.ISFORMULA(HU14)</formula>
    </cfRule>
  </conditionalFormatting>
  <conditionalFormatting sqref="HY20:HZ20">
    <cfRule type="expression" dxfId="589" priority="1006">
      <formula>_xlfn.ISFORMULA(HY20)</formula>
    </cfRule>
  </conditionalFormatting>
  <conditionalFormatting sqref="HU13:IA13">
    <cfRule type="expression" dxfId="588" priority="1005">
      <formula>_xlfn.ISFORMULA(HU13)</formula>
    </cfRule>
  </conditionalFormatting>
  <conditionalFormatting sqref="HU20">
    <cfRule type="expression" dxfId="587" priority="1004">
      <formula>_xlfn.ISFORMULA(HU20)</formula>
    </cfRule>
  </conditionalFormatting>
  <conditionalFormatting sqref="HU19">
    <cfRule type="expression" dxfId="586" priority="1003">
      <formula>_xlfn.ISFORMULA(HU19)</formula>
    </cfRule>
  </conditionalFormatting>
  <conditionalFormatting sqref="HV19:HZ19 HU7:HZ7">
    <cfRule type="expression" dxfId="585" priority="1002">
      <formula>_xlfn.ISFORMULA(HU7)</formula>
    </cfRule>
  </conditionalFormatting>
  <conditionalFormatting sqref="HV20">
    <cfRule type="expression" dxfId="584" priority="1001">
      <formula>_xlfn.ISFORMULA(HV20)</formula>
    </cfRule>
  </conditionalFormatting>
  <conditionalFormatting sqref="HX20">
    <cfRule type="expression" dxfId="583" priority="1000">
      <formula>_xlfn.ISFORMULA(HX20)</formula>
    </cfRule>
  </conditionalFormatting>
  <conditionalFormatting sqref="HW20">
    <cfRule type="expression" dxfId="582" priority="999">
      <formula>_xlfn.ISFORMULA(HW20)</formula>
    </cfRule>
  </conditionalFormatting>
  <conditionalFormatting sqref="II9">
    <cfRule type="expression" dxfId="581" priority="998">
      <formula>_xlfn.ISFORMULA(II9)</formula>
    </cfRule>
  </conditionalFormatting>
  <conditionalFormatting sqref="IC15:II15">
    <cfRule type="expression" dxfId="580" priority="997">
      <formula>_xlfn.ISFORMULA(IC15)</formula>
    </cfRule>
  </conditionalFormatting>
  <conditionalFormatting sqref="IC21:II21">
    <cfRule type="expression" dxfId="579" priority="996">
      <formula>_xlfn.ISFORMULA(IC21)</formula>
    </cfRule>
  </conditionalFormatting>
  <conditionalFormatting sqref="IC9:IH9">
    <cfRule type="expression" dxfId="578" priority="995">
      <formula>_xlfn.ISFORMULA(IC9)</formula>
    </cfRule>
  </conditionalFormatting>
  <conditionalFormatting sqref="IC8:IH8">
    <cfRule type="expression" dxfId="577" priority="994">
      <formula>_xlfn.ISFORMULA(IC8)</formula>
    </cfRule>
  </conditionalFormatting>
  <conditionalFormatting sqref="IC14:II14">
    <cfRule type="expression" dxfId="576" priority="993">
      <formula>_xlfn.ISFORMULA(IC14)</formula>
    </cfRule>
  </conditionalFormatting>
  <conditionalFormatting sqref="IG20:IH20">
    <cfRule type="expression" dxfId="575" priority="992">
      <formula>_xlfn.ISFORMULA(IG20)</formula>
    </cfRule>
  </conditionalFormatting>
  <conditionalFormatting sqref="IC13:II13">
    <cfRule type="expression" dxfId="574" priority="991">
      <formula>_xlfn.ISFORMULA(IC13)</formula>
    </cfRule>
  </conditionalFormatting>
  <conditionalFormatting sqref="IC20">
    <cfRule type="expression" dxfId="573" priority="990">
      <formula>_xlfn.ISFORMULA(IC20)</formula>
    </cfRule>
  </conditionalFormatting>
  <conditionalFormatting sqref="IC19">
    <cfRule type="expression" dxfId="572" priority="989">
      <formula>_xlfn.ISFORMULA(IC19)</formula>
    </cfRule>
  </conditionalFormatting>
  <conditionalFormatting sqref="ID19:IH19 IC7:IH7">
    <cfRule type="expression" dxfId="571" priority="988">
      <formula>_xlfn.ISFORMULA(IC7)</formula>
    </cfRule>
  </conditionalFormatting>
  <conditionalFormatting sqref="ID20">
    <cfRule type="expression" dxfId="570" priority="987">
      <formula>_xlfn.ISFORMULA(ID20)</formula>
    </cfRule>
  </conditionalFormatting>
  <conditionalFormatting sqref="IF20">
    <cfRule type="expression" dxfId="569" priority="986">
      <formula>_xlfn.ISFORMULA(IF20)</formula>
    </cfRule>
  </conditionalFormatting>
  <conditionalFormatting sqref="IE20">
    <cfRule type="expression" dxfId="568" priority="985">
      <formula>_xlfn.ISFORMULA(IE20)</formula>
    </cfRule>
  </conditionalFormatting>
  <conditionalFormatting sqref="IQ9">
    <cfRule type="expression" dxfId="567" priority="984">
      <formula>_xlfn.ISFORMULA(IQ9)</formula>
    </cfRule>
  </conditionalFormatting>
  <conditionalFormatting sqref="IK15:IQ15">
    <cfRule type="expression" dxfId="566" priority="983">
      <formula>_xlfn.ISFORMULA(IK15)</formula>
    </cfRule>
  </conditionalFormatting>
  <conditionalFormatting sqref="IK21:IQ21">
    <cfRule type="expression" dxfId="565" priority="982">
      <formula>_xlfn.ISFORMULA(IK21)</formula>
    </cfRule>
  </conditionalFormatting>
  <conditionalFormatting sqref="IK9:IP9">
    <cfRule type="expression" dxfId="564" priority="981">
      <formula>_xlfn.ISFORMULA(IK9)</formula>
    </cfRule>
  </conditionalFormatting>
  <conditionalFormatting sqref="IK8:IP8">
    <cfRule type="expression" dxfId="563" priority="980">
      <formula>_xlfn.ISFORMULA(IK8)</formula>
    </cfRule>
  </conditionalFormatting>
  <conditionalFormatting sqref="IK14:IQ14">
    <cfRule type="expression" dxfId="562" priority="979">
      <formula>_xlfn.ISFORMULA(IK14)</formula>
    </cfRule>
  </conditionalFormatting>
  <conditionalFormatting sqref="IK13:IQ13">
    <cfRule type="expression" dxfId="561" priority="977">
      <formula>_xlfn.ISFORMULA(IK13)</formula>
    </cfRule>
  </conditionalFormatting>
  <conditionalFormatting sqref="IK20">
    <cfRule type="expression" dxfId="560" priority="976">
      <formula>_xlfn.ISFORMULA(IK20)</formula>
    </cfRule>
  </conditionalFormatting>
  <conditionalFormatting sqref="IK19">
    <cfRule type="expression" dxfId="559" priority="975">
      <formula>_xlfn.ISFORMULA(IK19)</formula>
    </cfRule>
  </conditionalFormatting>
  <conditionalFormatting sqref="IL19:IP19 IK7:IP7">
    <cfRule type="expression" dxfId="558" priority="974">
      <formula>_xlfn.ISFORMULA(IK7)</formula>
    </cfRule>
  </conditionalFormatting>
  <conditionalFormatting sqref="IL20">
    <cfRule type="expression" dxfId="557" priority="973">
      <formula>_xlfn.ISFORMULA(IL20)</formula>
    </cfRule>
  </conditionalFormatting>
  <conditionalFormatting sqref="IN20">
    <cfRule type="expression" dxfId="556" priority="972">
      <formula>_xlfn.ISFORMULA(IN20)</formula>
    </cfRule>
  </conditionalFormatting>
  <conditionalFormatting sqref="IM20">
    <cfRule type="expression" dxfId="555" priority="971">
      <formula>_xlfn.ISFORMULA(IM20)</formula>
    </cfRule>
  </conditionalFormatting>
  <conditionalFormatting sqref="IY9">
    <cfRule type="expression" dxfId="554" priority="970">
      <formula>_xlfn.ISFORMULA(IY9)</formula>
    </cfRule>
  </conditionalFormatting>
  <conditionalFormatting sqref="IS15:IY15">
    <cfRule type="expression" dxfId="553" priority="969">
      <formula>_xlfn.ISFORMULA(IS15)</formula>
    </cfRule>
  </conditionalFormatting>
  <conditionalFormatting sqref="IS21:IY21">
    <cfRule type="expression" dxfId="552" priority="968">
      <formula>_xlfn.ISFORMULA(IS21)</formula>
    </cfRule>
  </conditionalFormatting>
  <conditionalFormatting sqref="IS9:IX9">
    <cfRule type="expression" dxfId="551" priority="967">
      <formula>_xlfn.ISFORMULA(IS9)</formula>
    </cfRule>
  </conditionalFormatting>
  <conditionalFormatting sqref="IS8:IX8">
    <cfRule type="expression" dxfId="550" priority="966">
      <formula>_xlfn.ISFORMULA(IS8)</formula>
    </cfRule>
  </conditionalFormatting>
  <conditionalFormatting sqref="IS14:IY14">
    <cfRule type="expression" dxfId="549" priority="965">
      <formula>_xlfn.ISFORMULA(IS14)</formula>
    </cfRule>
  </conditionalFormatting>
  <conditionalFormatting sqref="IW20:IX20">
    <cfRule type="expression" dxfId="548" priority="964">
      <formula>_xlfn.ISFORMULA(IW20)</formula>
    </cfRule>
  </conditionalFormatting>
  <conditionalFormatting sqref="IS13:IY13">
    <cfRule type="expression" dxfId="547" priority="963">
      <formula>_xlfn.ISFORMULA(IS13)</formula>
    </cfRule>
  </conditionalFormatting>
  <conditionalFormatting sqref="IS19">
    <cfRule type="expression" dxfId="546" priority="961">
      <formula>_xlfn.ISFORMULA(IS19)</formula>
    </cfRule>
  </conditionalFormatting>
  <conditionalFormatting sqref="IT19:IX19 IS7:IX7">
    <cfRule type="expression" dxfId="545" priority="960">
      <formula>_xlfn.ISFORMULA(IS7)</formula>
    </cfRule>
  </conditionalFormatting>
  <conditionalFormatting sqref="IT20">
    <cfRule type="expression" dxfId="544" priority="959">
      <formula>_xlfn.ISFORMULA(IT20)</formula>
    </cfRule>
  </conditionalFormatting>
  <conditionalFormatting sqref="IV20">
    <cfRule type="expression" dxfId="543" priority="958">
      <formula>_xlfn.ISFORMULA(IV20)</formula>
    </cfRule>
  </conditionalFormatting>
  <conditionalFormatting sqref="IU20">
    <cfRule type="expression" dxfId="542" priority="957">
      <formula>_xlfn.ISFORMULA(IU20)</formula>
    </cfRule>
  </conditionalFormatting>
  <conditionalFormatting sqref="JG9">
    <cfRule type="expression" dxfId="541" priority="956">
      <formula>_xlfn.ISFORMULA(JG9)</formula>
    </cfRule>
  </conditionalFormatting>
  <conditionalFormatting sqref="JA15:JG15">
    <cfRule type="expression" dxfId="540" priority="955">
      <formula>_xlfn.ISFORMULA(JA15)</formula>
    </cfRule>
  </conditionalFormatting>
  <conditionalFormatting sqref="JA21:JG21">
    <cfRule type="expression" dxfId="539" priority="954">
      <formula>_xlfn.ISFORMULA(JA21)</formula>
    </cfRule>
  </conditionalFormatting>
  <conditionalFormatting sqref="JA9:JF9">
    <cfRule type="expression" dxfId="538" priority="953">
      <formula>_xlfn.ISFORMULA(JA9)</formula>
    </cfRule>
  </conditionalFormatting>
  <conditionalFormatting sqref="JA8:JF8">
    <cfRule type="expression" dxfId="537" priority="952">
      <formula>_xlfn.ISFORMULA(JA8)</formula>
    </cfRule>
  </conditionalFormatting>
  <conditionalFormatting sqref="JA14:JG14">
    <cfRule type="expression" dxfId="536" priority="951">
      <formula>_xlfn.ISFORMULA(JA14)</formula>
    </cfRule>
  </conditionalFormatting>
  <conditionalFormatting sqref="JF20">
    <cfRule type="expression" dxfId="535" priority="950">
      <formula>_xlfn.ISFORMULA(JF20)</formula>
    </cfRule>
  </conditionalFormatting>
  <conditionalFormatting sqref="JA13:JG13">
    <cfRule type="expression" dxfId="534" priority="949">
      <formula>_xlfn.ISFORMULA(JA13)</formula>
    </cfRule>
  </conditionalFormatting>
  <conditionalFormatting sqref="JA20">
    <cfRule type="expression" dxfId="533" priority="948">
      <formula>_xlfn.ISFORMULA(JA20)</formula>
    </cfRule>
  </conditionalFormatting>
  <conditionalFormatting sqref="JA19">
    <cfRule type="expression" dxfId="532" priority="947">
      <formula>_xlfn.ISFORMULA(JA19)</formula>
    </cfRule>
  </conditionalFormatting>
  <conditionalFormatting sqref="JB19:JF19 JA7:JF7">
    <cfRule type="expression" dxfId="531" priority="946">
      <formula>_xlfn.ISFORMULA(JA7)</formula>
    </cfRule>
  </conditionalFormatting>
  <conditionalFormatting sqref="JD20">
    <cfRule type="expression" dxfId="530" priority="944">
      <formula>_xlfn.ISFORMULA(JD20)</formula>
    </cfRule>
  </conditionalFormatting>
  <conditionalFormatting sqref="JO9">
    <cfRule type="expression" dxfId="529" priority="942">
      <formula>_xlfn.ISFORMULA(JO9)</formula>
    </cfRule>
  </conditionalFormatting>
  <conditionalFormatting sqref="JI15:JO15">
    <cfRule type="expression" dxfId="528" priority="941">
      <formula>_xlfn.ISFORMULA(JI15)</formula>
    </cfRule>
  </conditionalFormatting>
  <conditionalFormatting sqref="JI21:JO21">
    <cfRule type="expression" dxfId="527" priority="940">
      <formula>_xlfn.ISFORMULA(JI21)</formula>
    </cfRule>
  </conditionalFormatting>
  <conditionalFormatting sqref="JI9:JN9">
    <cfRule type="expression" dxfId="526" priority="939">
      <formula>_xlfn.ISFORMULA(JI9)</formula>
    </cfRule>
  </conditionalFormatting>
  <conditionalFormatting sqref="JI8:JN8">
    <cfRule type="expression" dxfId="525" priority="938">
      <formula>_xlfn.ISFORMULA(JI8)</formula>
    </cfRule>
  </conditionalFormatting>
  <conditionalFormatting sqref="JI14:JO14">
    <cfRule type="expression" dxfId="524" priority="937">
      <formula>_xlfn.ISFORMULA(JI14)</formula>
    </cfRule>
  </conditionalFormatting>
  <conditionalFormatting sqref="JM20:JN20">
    <cfRule type="expression" dxfId="523" priority="936">
      <formula>_xlfn.ISFORMULA(JM20)</formula>
    </cfRule>
  </conditionalFormatting>
  <conditionalFormatting sqref="JI13:JO13">
    <cfRule type="expression" dxfId="522" priority="935">
      <formula>_xlfn.ISFORMULA(JI13)</formula>
    </cfRule>
  </conditionalFormatting>
  <conditionalFormatting sqref="JI20">
    <cfRule type="expression" dxfId="521" priority="934">
      <formula>_xlfn.ISFORMULA(JI20)</formula>
    </cfRule>
  </conditionalFormatting>
  <conditionalFormatting sqref="JI19">
    <cfRule type="expression" dxfId="520" priority="933">
      <formula>_xlfn.ISFORMULA(JI19)</formula>
    </cfRule>
  </conditionalFormatting>
  <conditionalFormatting sqref="JJ19:JN19 JI7:JN7">
    <cfRule type="expression" dxfId="519" priority="932">
      <formula>_xlfn.ISFORMULA(JI7)</formula>
    </cfRule>
  </conditionalFormatting>
  <conditionalFormatting sqref="JJ20">
    <cfRule type="expression" dxfId="518" priority="931">
      <formula>_xlfn.ISFORMULA(JJ20)</formula>
    </cfRule>
  </conditionalFormatting>
  <conditionalFormatting sqref="JL20">
    <cfRule type="expression" dxfId="517" priority="930">
      <formula>_xlfn.ISFORMULA(JL20)</formula>
    </cfRule>
  </conditionalFormatting>
  <conditionalFormatting sqref="JK20">
    <cfRule type="expression" dxfId="516" priority="929">
      <formula>_xlfn.ISFORMULA(JK20)</formula>
    </cfRule>
  </conditionalFormatting>
  <conditionalFormatting sqref="JW9">
    <cfRule type="expression" dxfId="515" priority="928">
      <formula>_xlfn.ISFORMULA(JW9)</formula>
    </cfRule>
  </conditionalFormatting>
  <conditionalFormatting sqref="JQ15:JW15">
    <cfRule type="expression" dxfId="514" priority="927">
      <formula>_xlfn.ISFORMULA(JQ15)</formula>
    </cfRule>
  </conditionalFormatting>
  <conditionalFormatting sqref="JQ21:JW21">
    <cfRule type="expression" dxfId="513" priority="926">
      <formula>_xlfn.ISFORMULA(JQ21)</formula>
    </cfRule>
  </conditionalFormatting>
  <conditionalFormatting sqref="JQ9:JV9">
    <cfRule type="expression" dxfId="512" priority="925">
      <formula>_xlfn.ISFORMULA(JQ9)</formula>
    </cfRule>
  </conditionalFormatting>
  <conditionalFormatting sqref="JQ8:JV8">
    <cfRule type="expression" dxfId="511" priority="924">
      <formula>_xlfn.ISFORMULA(JQ8)</formula>
    </cfRule>
  </conditionalFormatting>
  <conditionalFormatting sqref="JQ14:JW14">
    <cfRule type="expression" dxfId="510" priority="923">
      <formula>_xlfn.ISFORMULA(JQ14)</formula>
    </cfRule>
  </conditionalFormatting>
  <conditionalFormatting sqref="JQ13:JW13">
    <cfRule type="expression" dxfId="509" priority="921">
      <formula>_xlfn.ISFORMULA(JQ13)</formula>
    </cfRule>
  </conditionalFormatting>
  <conditionalFormatting sqref="JQ19">
    <cfRule type="expression" dxfId="508" priority="919">
      <formula>_xlfn.ISFORMULA(JQ19)</formula>
    </cfRule>
  </conditionalFormatting>
  <conditionalFormatting sqref="JR19:JV19 JQ7:JV7">
    <cfRule type="expression" dxfId="507" priority="918">
      <formula>_xlfn.ISFORMULA(JQ7)</formula>
    </cfRule>
  </conditionalFormatting>
  <conditionalFormatting sqref="KE9">
    <cfRule type="expression" dxfId="506" priority="914">
      <formula>_xlfn.ISFORMULA(KE9)</formula>
    </cfRule>
  </conditionalFormatting>
  <conditionalFormatting sqref="JY15:KE15">
    <cfRule type="expression" dxfId="505" priority="913">
      <formula>_xlfn.ISFORMULA(JY15)</formula>
    </cfRule>
  </conditionalFormatting>
  <conditionalFormatting sqref="JY21:KE21">
    <cfRule type="expression" dxfId="504" priority="912">
      <formula>_xlfn.ISFORMULA(JY21)</formula>
    </cfRule>
  </conditionalFormatting>
  <conditionalFormatting sqref="JY9:KD9">
    <cfRule type="expression" dxfId="503" priority="911">
      <formula>_xlfn.ISFORMULA(JY9)</formula>
    </cfRule>
  </conditionalFormatting>
  <conditionalFormatting sqref="JY8:KD8">
    <cfRule type="expression" dxfId="502" priority="910">
      <formula>_xlfn.ISFORMULA(JY8)</formula>
    </cfRule>
  </conditionalFormatting>
  <conditionalFormatting sqref="JY14:KC14 KE14">
    <cfRule type="expression" dxfId="501" priority="909">
      <formula>_xlfn.ISFORMULA(JY14)</formula>
    </cfRule>
  </conditionalFormatting>
  <conditionalFormatting sqref="JY13:KE13">
    <cfRule type="expression" dxfId="500" priority="907">
      <formula>_xlfn.ISFORMULA(JY13)</formula>
    </cfRule>
  </conditionalFormatting>
  <conditionalFormatting sqref="JY19">
    <cfRule type="expression" dxfId="499" priority="905">
      <formula>_xlfn.ISFORMULA(JY19)</formula>
    </cfRule>
  </conditionalFormatting>
  <conditionalFormatting sqref="JZ19:KD19 JY7:KD7">
    <cfRule type="expression" dxfId="498" priority="904">
      <formula>_xlfn.ISFORMULA(JY7)</formula>
    </cfRule>
  </conditionalFormatting>
  <conditionalFormatting sqref="KM9">
    <cfRule type="expression" dxfId="497" priority="900">
      <formula>_xlfn.ISFORMULA(KM9)</formula>
    </cfRule>
  </conditionalFormatting>
  <conditionalFormatting sqref="KG15:KM15">
    <cfRule type="expression" dxfId="496" priority="899">
      <formula>_xlfn.ISFORMULA(KG15)</formula>
    </cfRule>
  </conditionalFormatting>
  <conditionalFormatting sqref="KG21:KM21">
    <cfRule type="expression" dxfId="495" priority="898">
      <formula>_xlfn.ISFORMULA(KG21)</formula>
    </cfRule>
  </conditionalFormatting>
  <conditionalFormatting sqref="KG9:KL9">
    <cfRule type="expression" dxfId="494" priority="897">
      <formula>_xlfn.ISFORMULA(KG9)</formula>
    </cfRule>
  </conditionalFormatting>
  <conditionalFormatting sqref="KG8:KL8">
    <cfRule type="expression" dxfId="493" priority="896">
      <formula>_xlfn.ISFORMULA(KG8)</formula>
    </cfRule>
  </conditionalFormatting>
  <conditionalFormatting sqref="KG14:KM14">
    <cfRule type="expression" dxfId="492" priority="895">
      <formula>_xlfn.ISFORMULA(KG14)</formula>
    </cfRule>
  </conditionalFormatting>
  <conditionalFormatting sqref="KG13:KM13">
    <cfRule type="expression" dxfId="491" priority="893">
      <formula>_xlfn.ISFORMULA(KG13)</formula>
    </cfRule>
  </conditionalFormatting>
  <conditionalFormatting sqref="KG19">
    <cfRule type="expression" dxfId="490" priority="891">
      <formula>_xlfn.ISFORMULA(KG19)</formula>
    </cfRule>
  </conditionalFormatting>
  <conditionalFormatting sqref="KH19:KL19 KG7:KL7">
    <cfRule type="expression" dxfId="489" priority="890">
      <formula>_xlfn.ISFORMULA(KG7)</formula>
    </cfRule>
  </conditionalFormatting>
  <conditionalFormatting sqref="KU9">
    <cfRule type="expression" dxfId="488" priority="886">
      <formula>_xlfn.ISFORMULA(KU9)</formula>
    </cfRule>
  </conditionalFormatting>
  <conditionalFormatting sqref="KO15:KU15">
    <cfRule type="expression" dxfId="487" priority="885">
      <formula>_xlfn.ISFORMULA(KO15)</formula>
    </cfRule>
  </conditionalFormatting>
  <conditionalFormatting sqref="KO21:KU21">
    <cfRule type="expression" dxfId="486" priority="884">
      <formula>_xlfn.ISFORMULA(KO21)</formula>
    </cfRule>
  </conditionalFormatting>
  <conditionalFormatting sqref="KO9:KT9">
    <cfRule type="expression" dxfId="485" priority="883">
      <formula>_xlfn.ISFORMULA(KO9)</formula>
    </cfRule>
  </conditionalFormatting>
  <conditionalFormatting sqref="KO8:KT8">
    <cfRule type="expression" dxfId="484" priority="882">
      <formula>_xlfn.ISFORMULA(KO8)</formula>
    </cfRule>
  </conditionalFormatting>
  <conditionalFormatting sqref="KO14:KU14">
    <cfRule type="expression" dxfId="483" priority="881">
      <formula>_xlfn.ISFORMULA(KO14)</formula>
    </cfRule>
  </conditionalFormatting>
  <conditionalFormatting sqref="KS20:KT20">
    <cfRule type="expression" dxfId="482" priority="880">
      <formula>_xlfn.ISFORMULA(KS20)</formula>
    </cfRule>
  </conditionalFormatting>
  <conditionalFormatting sqref="KO13:KU13">
    <cfRule type="expression" dxfId="481" priority="879">
      <formula>_xlfn.ISFORMULA(KO13)</formula>
    </cfRule>
  </conditionalFormatting>
  <conditionalFormatting sqref="KO20">
    <cfRule type="expression" dxfId="480" priority="878">
      <formula>_xlfn.ISFORMULA(KO20)</formula>
    </cfRule>
  </conditionalFormatting>
  <conditionalFormatting sqref="KO19">
    <cfRule type="expression" dxfId="479" priority="877">
      <formula>_xlfn.ISFORMULA(KO19)</formula>
    </cfRule>
  </conditionalFormatting>
  <conditionalFormatting sqref="KP19:KT19 KO7:KT7">
    <cfRule type="expression" dxfId="478" priority="876">
      <formula>_xlfn.ISFORMULA(KO7)</formula>
    </cfRule>
  </conditionalFormatting>
  <conditionalFormatting sqref="KP20">
    <cfRule type="expression" dxfId="477" priority="875">
      <formula>_xlfn.ISFORMULA(KP20)</formula>
    </cfRule>
  </conditionalFormatting>
  <conditionalFormatting sqref="KR20">
    <cfRule type="expression" dxfId="476" priority="874">
      <formula>_xlfn.ISFORMULA(KR20)</formula>
    </cfRule>
  </conditionalFormatting>
  <conditionalFormatting sqref="KQ20">
    <cfRule type="expression" dxfId="475" priority="873">
      <formula>_xlfn.ISFORMULA(KQ20)</formula>
    </cfRule>
  </conditionalFormatting>
  <conditionalFormatting sqref="LC9">
    <cfRule type="expression" dxfId="474" priority="872">
      <formula>_xlfn.ISFORMULA(LC9)</formula>
    </cfRule>
  </conditionalFormatting>
  <conditionalFormatting sqref="KW15:LC15">
    <cfRule type="expression" dxfId="473" priority="871">
      <formula>_xlfn.ISFORMULA(KW15)</formula>
    </cfRule>
  </conditionalFormatting>
  <conditionalFormatting sqref="KW21:LC21">
    <cfRule type="expression" dxfId="472" priority="870">
      <formula>_xlfn.ISFORMULA(KW21)</formula>
    </cfRule>
  </conditionalFormatting>
  <conditionalFormatting sqref="KW9:LB9">
    <cfRule type="expression" dxfId="471" priority="869">
      <formula>_xlfn.ISFORMULA(KW9)</formula>
    </cfRule>
  </conditionalFormatting>
  <conditionalFormatting sqref="KW8:LB8">
    <cfRule type="expression" dxfId="470" priority="868">
      <formula>_xlfn.ISFORMULA(KW8)</formula>
    </cfRule>
  </conditionalFormatting>
  <conditionalFormatting sqref="KW14:LC14">
    <cfRule type="expression" dxfId="469" priority="867">
      <formula>_xlfn.ISFORMULA(KW14)</formula>
    </cfRule>
  </conditionalFormatting>
  <conditionalFormatting sqref="LA20:LB20">
    <cfRule type="expression" dxfId="468" priority="866">
      <formula>_xlfn.ISFORMULA(LA20)</formula>
    </cfRule>
  </conditionalFormatting>
  <conditionalFormatting sqref="KW13:LC13">
    <cfRule type="expression" dxfId="467" priority="865">
      <formula>_xlfn.ISFORMULA(KW13)</formula>
    </cfRule>
  </conditionalFormatting>
  <conditionalFormatting sqref="KW20">
    <cfRule type="expression" dxfId="466" priority="864">
      <formula>_xlfn.ISFORMULA(KW20)</formula>
    </cfRule>
  </conditionalFormatting>
  <conditionalFormatting sqref="KW19">
    <cfRule type="expression" dxfId="465" priority="863">
      <formula>_xlfn.ISFORMULA(KW19)</formula>
    </cfRule>
  </conditionalFormatting>
  <conditionalFormatting sqref="KX19:LB19 KW7:LB7">
    <cfRule type="expression" dxfId="464" priority="862">
      <formula>_xlfn.ISFORMULA(KW7)</formula>
    </cfRule>
  </conditionalFormatting>
  <conditionalFormatting sqref="KX20">
    <cfRule type="expression" dxfId="463" priority="861">
      <formula>_xlfn.ISFORMULA(KX20)</formula>
    </cfRule>
  </conditionalFormatting>
  <conditionalFormatting sqref="KZ20">
    <cfRule type="expression" dxfId="462" priority="860">
      <formula>_xlfn.ISFORMULA(KZ20)</formula>
    </cfRule>
  </conditionalFormatting>
  <conditionalFormatting sqref="KY20">
    <cfRule type="expression" dxfId="461" priority="859">
      <formula>_xlfn.ISFORMULA(KY20)</formula>
    </cfRule>
  </conditionalFormatting>
  <conditionalFormatting sqref="LK9">
    <cfRule type="expression" dxfId="460" priority="858">
      <formula>_xlfn.ISFORMULA(LK9)</formula>
    </cfRule>
  </conditionalFormatting>
  <conditionalFormatting sqref="LE15:LK15">
    <cfRule type="expression" dxfId="459" priority="857">
      <formula>_xlfn.ISFORMULA(LE15)</formula>
    </cfRule>
  </conditionalFormatting>
  <conditionalFormatting sqref="LE21:LK21">
    <cfRule type="expression" dxfId="458" priority="856">
      <formula>_xlfn.ISFORMULA(LE21)</formula>
    </cfRule>
  </conditionalFormatting>
  <conditionalFormatting sqref="LE9:LJ9">
    <cfRule type="expression" dxfId="457" priority="855">
      <formula>_xlfn.ISFORMULA(LE9)</formula>
    </cfRule>
  </conditionalFormatting>
  <conditionalFormatting sqref="LE8:LJ8">
    <cfRule type="expression" dxfId="456" priority="854">
      <formula>_xlfn.ISFORMULA(LE8)</formula>
    </cfRule>
  </conditionalFormatting>
  <conditionalFormatting sqref="LE14:LK14">
    <cfRule type="expression" dxfId="455" priority="853">
      <formula>_xlfn.ISFORMULA(LE14)</formula>
    </cfRule>
  </conditionalFormatting>
  <conditionalFormatting sqref="LE13:LK13">
    <cfRule type="expression" dxfId="454" priority="851">
      <formula>_xlfn.ISFORMULA(LE13)</formula>
    </cfRule>
  </conditionalFormatting>
  <conditionalFormatting sqref="LE20">
    <cfRule type="expression" dxfId="453" priority="850">
      <formula>_xlfn.ISFORMULA(LE20)</formula>
    </cfRule>
  </conditionalFormatting>
  <conditionalFormatting sqref="LE19">
    <cfRule type="expression" dxfId="452" priority="849">
      <formula>_xlfn.ISFORMULA(LE19)</formula>
    </cfRule>
  </conditionalFormatting>
  <conditionalFormatting sqref="LF19:LJ19 LE7:LJ7">
    <cfRule type="expression" dxfId="451" priority="848">
      <formula>_xlfn.ISFORMULA(LE7)</formula>
    </cfRule>
  </conditionalFormatting>
  <conditionalFormatting sqref="LF20">
    <cfRule type="expression" dxfId="450" priority="847">
      <formula>_xlfn.ISFORMULA(LF20)</formula>
    </cfRule>
  </conditionalFormatting>
  <conditionalFormatting sqref="LH20">
    <cfRule type="expression" dxfId="449" priority="846">
      <formula>_xlfn.ISFORMULA(LH20)</formula>
    </cfRule>
  </conditionalFormatting>
  <conditionalFormatting sqref="LG20">
    <cfRule type="expression" dxfId="448" priority="845">
      <formula>_xlfn.ISFORMULA(LG20)</formula>
    </cfRule>
  </conditionalFormatting>
  <conditionalFormatting sqref="LS9">
    <cfRule type="expression" dxfId="447" priority="844">
      <formula>_xlfn.ISFORMULA(LS9)</formula>
    </cfRule>
  </conditionalFormatting>
  <conditionalFormatting sqref="LM15:LS15">
    <cfRule type="expression" dxfId="446" priority="843">
      <formula>_xlfn.ISFORMULA(LM15)</formula>
    </cfRule>
  </conditionalFormatting>
  <conditionalFormatting sqref="LM21:LS21">
    <cfRule type="expression" dxfId="445" priority="842">
      <formula>_xlfn.ISFORMULA(LM21)</formula>
    </cfRule>
  </conditionalFormatting>
  <conditionalFormatting sqref="LM9:LR9">
    <cfRule type="expression" dxfId="444" priority="841">
      <formula>_xlfn.ISFORMULA(LM9)</formula>
    </cfRule>
  </conditionalFormatting>
  <conditionalFormatting sqref="LM8:LR8">
    <cfRule type="expression" dxfId="443" priority="840">
      <formula>_xlfn.ISFORMULA(LM8)</formula>
    </cfRule>
  </conditionalFormatting>
  <conditionalFormatting sqref="LM14:LS14">
    <cfRule type="expression" dxfId="442" priority="839">
      <formula>_xlfn.ISFORMULA(LM14)</formula>
    </cfRule>
  </conditionalFormatting>
  <conditionalFormatting sqref="LQ20:LR20">
    <cfRule type="expression" dxfId="441" priority="838">
      <formula>_xlfn.ISFORMULA(LQ20)</formula>
    </cfRule>
  </conditionalFormatting>
  <conditionalFormatting sqref="LM13:LS13">
    <cfRule type="expression" dxfId="440" priority="837">
      <formula>_xlfn.ISFORMULA(LM13)</formula>
    </cfRule>
  </conditionalFormatting>
  <conditionalFormatting sqref="LM19">
    <cfRule type="expression" dxfId="439" priority="835">
      <formula>_xlfn.ISFORMULA(LM19)</formula>
    </cfRule>
  </conditionalFormatting>
  <conditionalFormatting sqref="LN19:LR19 LM7:LR7">
    <cfRule type="expression" dxfId="438" priority="834">
      <formula>_xlfn.ISFORMULA(LM7)</formula>
    </cfRule>
  </conditionalFormatting>
  <conditionalFormatting sqref="LN20">
    <cfRule type="expression" dxfId="437" priority="833">
      <formula>_xlfn.ISFORMULA(LN20)</formula>
    </cfRule>
  </conditionalFormatting>
  <conditionalFormatting sqref="LP20">
    <cfRule type="expression" dxfId="436" priority="832">
      <formula>_xlfn.ISFORMULA(LP20)</formula>
    </cfRule>
  </conditionalFormatting>
  <conditionalFormatting sqref="MA9">
    <cfRule type="expression" dxfId="435" priority="830">
      <formula>_xlfn.ISFORMULA(MA9)</formula>
    </cfRule>
  </conditionalFormatting>
  <conditionalFormatting sqref="LU15:MA15">
    <cfRule type="expression" dxfId="434" priority="829">
      <formula>_xlfn.ISFORMULA(LU15)</formula>
    </cfRule>
  </conditionalFormatting>
  <conditionalFormatting sqref="LU21:MA21">
    <cfRule type="expression" dxfId="433" priority="828">
      <formula>_xlfn.ISFORMULA(LU21)</formula>
    </cfRule>
  </conditionalFormatting>
  <conditionalFormatting sqref="LU9:LZ9">
    <cfRule type="expression" dxfId="432" priority="827">
      <formula>_xlfn.ISFORMULA(LU9)</formula>
    </cfRule>
  </conditionalFormatting>
  <conditionalFormatting sqref="LU8:LZ8">
    <cfRule type="expression" dxfId="431" priority="826">
      <formula>_xlfn.ISFORMULA(LU8)</formula>
    </cfRule>
  </conditionalFormatting>
  <conditionalFormatting sqref="LU14:MA14">
    <cfRule type="expression" dxfId="430" priority="825">
      <formula>_xlfn.ISFORMULA(LU14)</formula>
    </cfRule>
  </conditionalFormatting>
  <conditionalFormatting sqref="LY20:LZ20">
    <cfRule type="expression" dxfId="429" priority="824">
      <formula>_xlfn.ISFORMULA(LY20)</formula>
    </cfRule>
  </conditionalFormatting>
  <conditionalFormatting sqref="LU13:MA13">
    <cfRule type="expression" dxfId="428" priority="823">
      <formula>_xlfn.ISFORMULA(LU13)</formula>
    </cfRule>
  </conditionalFormatting>
  <conditionalFormatting sqref="LU20">
    <cfRule type="expression" dxfId="427" priority="822">
      <formula>_xlfn.ISFORMULA(LU20)</formula>
    </cfRule>
  </conditionalFormatting>
  <conditionalFormatting sqref="LU19">
    <cfRule type="expression" dxfId="426" priority="821">
      <formula>_xlfn.ISFORMULA(LU19)</formula>
    </cfRule>
  </conditionalFormatting>
  <conditionalFormatting sqref="LV19:LZ19 LU7:LZ7">
    <cfRule type="expression" dxfId="425" priority="820">
      <formula>_xlfn.ISFORMULA(LU7)</formula>
    </cfRule>
  </conditionalFormatting>
  <conditionalFormatting sqref="LV20">
    <cfRule type="expression" dxfId="424" priority="819">
      <formula>_xlfn.ISFORMULA(LV20)</formula>
    </cfRule>
  </conditionalFormatting>
  <conditionalFormatting sqref="LX20">
    <cfRule type="expression" dxfId="423" priority="818">
      <formula>_xlfn.ISFORMULA(LX20)</formula>
    </cfRule>
  </conditionalFormatting>
  <conditionalFormatting sqref="LW20">
    <cfRule type="expression" dxfId="422" priority="817">
      <formula>_xlfn.ISFORMULA(LW20)</formula>
    </cfRule>
  </conditionalFormatting>
  <conditionalFormatting sqref="MI9">
    <cfRule type="expression" dxfId="421" priority="816">
      <formula>_xlfn.ISFORMULA(MI9)</formula>
    </cfRule>
  </conditionalFormatting>
  <conditionalFormatting sqref="MC15:MI15">
    <cfRule type="expression" dxfId="420" priority="815">
      <formula>_xlfn.ISFORMULA(MC15)</formula>
    </cfRule>
  </conditionalFormatting>
  <conditionalFormatting sqref="MC21:MI21">
    <cfRule type="expression" dxfId="419" priority="814">
      <formula>_xlfn.ISFORMULA(MC21)</formula>
    </cfRule>
  </conditionalFormatting>
  <conditionalFormatting sqref="MC9:MH9">
    <cfRule type="expression" dxfId="418" priority="813">
      <formula>_xlfn.ISFORMULA(MC9)</formula>
    </cfRule>
  </conditionalFormatting>
  <conditionalFormatting sqref="MC8:MH8">
    <cfRule type="expression" dxfId="417" priority="812">
      <formula>_xlfn.ISFORMULA(MC8)</formula>
    </cfRule>
  </conditionalFormatting>
  <conditionalFormatting sqref="MC14:MI14">
    <cfRule type="expression" dxfId="416" priority="811">
      <formula>_xlfn.ISFORMULA(MC14)</formula>
    </cfRule>
  </conditionalFormatting>
  <conditionalFormatting sqref="MC13:MI13">
    <cfRule type="expression" dxfId="415" priority="809">
      <formula>_xlfn.ISFORMULA(MC13)</formula>
    </cfRule>
  </conditionalFormatting>
  <conditionalFormatting sqref="MC19">
    <cfRule type="expression" dxfId="414" priority="807">
      <formula>_xlfn.ISFORMULA(MC19)</formula>
    </cfRule>
  </conditionalFormatting>
  <conditionalFormatting sqref="MD19:MH19 MC7:MH7">
    <cfRule type="expression" dxfId="413" priority="806">
      <formula>_xlfn.ISFORMULA(MC7)</formula>
    </cfRule>
  </conditionalFormatting>
  <conditionalFormatting sqref="MQ9">
    <cfRule type="expression" dxfId="412" priority="802">
      <formula>_xlfn.ISFORMULA(MQ9)</formula>
    </cfRule>
  </conditionalFormatting>
  <conditionalFormatting sqref="MK15:MQ15">
    <cfRule type="expression" dxfId="411" priority="801">
      <formula>_xlfn.ISFORMULA(MK15)</formula>
    </cfRule>
  </conditionalFormatting>
  <conditionalFormatting sqref="MK21:MQ21">
    <cfRule type="expression" dxfId="410" priority="800">
      <formula>_xlfn.ISFORMULA(MK21)</formula>
    </cfRule>
  </conditionalFormatting>
  <conditionalFormatting sqref="MK9:MP9">
    <cfRule type="expression" dxfId="409" priority="799">
      <formula>_xlfn.ISFORMULA(MK9)</formula>
    </cfRule>
  </conditionalFormatting>
  <conditionalFormatting sqref="MK8:MP8">
    <cfRule type="expression" dxfId="408" priority="798">
      <formula>_xlfn.ISFORMULA(MK8)</formula>
    </cfRule>
  </conditionalFormatting>
  <conditionalFormatting sqref="MK14:MQ14">
    <cfRule type="expression" dxfId="407" priority="797">
      <formula>_xlfn.ISFORMULA(MK14)</formula>
    </cfRule>
  </conditionalFormatting>
  <conditionalFormatting sqref="MK13:MQ13">
    <cfRule type="expression" dxfId="406" priority="795">
      <formula>_xlfn.ISFORMULA(MK13)</formula>
    </cfRule>
  </conditionalFormatting>
  <conditionalFormatting sqref="MK19">
    <cfRule type="expression" dxfId="405" priority="793">
      <formula>_xlfn.ISFORMULA(MK19)</formula>
    </cfRule>
  </conditionalFormatting>
  <conditionalFormatting sqref="ML19:MP19 MK7:MP7">
    <cfRule type="expression" dxfId="404" priority="792">
      <formula>_xlfn.ISFORMULA(MK7)</formula>
    </cfRule>
  </conditionalFormatting>
  <conditionalFormatting sqref="ML20">
    <cfRule type="expression" dxfId="403" priority="791">
      <formula>_xlfn.ISFORMULA(ML20)</formula>
    </cfRule>
  </conditionalFormatting>
  <conditionalFormatting sqref="MY9">
    <cfRule type="expression" dxfId="402" priority="788">
      <formula>_xlfn.ISFORMULA(MY9)</formula>
    </cfRule>
  </conditionalFormatting>
  <conditionalFormatting sqref="MS15:MY15">
    <cfRule type="expression" dxfId="401" priority="787">
      <formula>_xlfn.ISFORMULA(MS15)</formula>
    </cfRule>
  </conditionalFormatting>
  <conditionalFormatting sqref="MS21:MY21">
    <cfRule type="expression" dxfId="400" priority="786">
      <formula>_xlfn.ISFORMULA(MS21)</formula>
    </cfRule>
  </conditionalFormatting>
  <conditionalFormatting sqref="MS9:MX9">
    <cfRule type="expression" dxfId="399" priority="785">
      <formula>_xlfn.ISFORMULA(MS9)</formula>
    </cfRule>
  </conditionalFormatting>
  <conditionalFormatting sqref="MS8:MX8">
    <cfRule type="expression" dxfId="398" priority="784">
      <formula>_xlfn.ISFORMULA(MS8)</formula>
    </cfRule>
  </conditionalFormatting>
  <conditionalFormatting sqref="MS14:MY14">
    <cfRule type="expression" dxfId="397" priority="783">
      <formula>_xlfn.ISFORMULA(MS14)</formula>
    </cfRule>
  </conditionalFormatting>
  <conditionalFormatting sqref="MW20">
    <cfRule type="expression" dxfId="396" priority="782">
      <formula>_xlfn.ISFORMULA(MW20)</formula>
    </cfRule>
  </conditionalFormatting>
  <conditionalFormatting sqref="MS13:MY13">
    <cfRule type="expression" dxfId="395" priority="781">
      <formula>_xlfn.ISFORMULA(MS13)</formula>
    </cfRule>
  </conditionalFormatting>
  <conditionalFormatting sqref="MS19">
    <cfRule type="expression" dxfId="394" priority="779">
      <formula>_xlfn.ISFORMULA(MS19)</formula>
    </cfRule>
  </conditionalFormatting>
  <conditionalFormatting sqref="MT19:MX19 MS7:MX7">
    <cfRule type="expression" dxfId="393" priority="778">
      <formula>_xlfn.ISFORMULA(MS7)</formula>
    </cfRule>
  </conditionalFormatting>
  <conditionalFormatting sqref="NG9">
    <cfRule type="expression" dxfId="392" priority="774">
      <formula>_xlfn.ISFORMULA(NG9)</formula>
    </cfRule>
  </conditionalFormatting>
  <conditionalFormatting sqref="NA15:NG15">
    <cfRule type="expression" dxfId="391" priority="773">
      <formula>_xlfn.ISFORMULA(NA15)</formula>
    </cfRule>
  </conditionalFormatting>
  <conditionalFormatting sqref="NA21:NG21">
    <cfRule type="expression" dxfId="390" priority="772">
      <formula>_xlfn.ISFORMULA(NA21)</formula>
    </cfRule>
  </conditionalFormatting>
  <conditionalFormatting sqref="NA9:NF9">
    <cfRule type="expression" dxfId="389" priority="771">
      <formula>_xlfn.ISFORMULA(NA9)</formula>
    </cfRule>
  </conditionalFormatting>
  <conditionalFormatting sqref="NA8:NF8">
    <cfRule type="expression" dxfId="388" priority="770">
      <formula>_xlfn.ISFORMULA(NA8)</formula>
    </cfRule>
  </conditionalFormatting>
  <conditionalFormatting sqref="NA14:NG14">
    <cfRule type="expression" dxfId="387" priority="769">
      <formula>_xlfn.ISFORMULA(NA14)</formula>
    </cfRule>
  </conditionalFormatting>
  <conditionalFormatting sqref="NA13:NG13">
    <cfRule type="expression" dxfId="386" priority="767">
      <formula>_xlfn.ISFORMULA(NA13)</formula>
    </cfRule>
  </conditionalFormatting>
  <conditionalFormatting sqref="NA20">
    <cfRule type="expression" dxfId="385" priority="766">
      <formula>_xlfn.ISFORMULA(NA20)</formula>
    </cfRule>
  </conditionalFormatting>
  <conditionalFormatting sqref="NA19">
    <cfRule type="expression" dxfId="384" priority="765">
      <formula>_xlfn.ISFORMULA(NA19)</formula>
    </cfRule>
  </conditionalFormatting>
  <conditionalFormatting sqref="NB19:NF19 NA7:NF7">
    <cfRule type="expression" dxfId="383" priority="764">
      <formula>_xlfn.ISFORMULA(NA7)</formula>
    </cfRule>
  </conditionalFormatting>
  <conditionalFormatting sqref="ND20">
    <cfRule type="expression" dxfId="382" priority="762">
      <formula>_xlfn.ISFORMULA(ND20)</formula>
    </cfRule>
  </conditionalFormatting>
  <conditionalFormatting sqref="NC20">
    <cfRule type="expression" dxfId="381" priority="761">
      <formula>_xlfn.ISFORMULA(NC20)</formula>
    </cfRule>
  </conditionalFormatting>
  <conditionalFormatting sqref="NO9">
    <cfRule type="expression" dxfId="380" priority="760">
      <formula>_xlfn.ISFORMULA(NO9)</formula>
    </cfRule>
  </conditionalFormatting>
  <conditionalFormatting sqref="NI15:NO15">
    <cfRule type="expression" dxfId="379" priority="759">
      <formula>_xlfn.ISFORMULA(NI15)</formula>
    </cfRule>
  </conditionalFormatting>
  <conditionalFormatting sqref="NI21:NO21">
    <cfRule type="expression" dxfId="378" priority="758">
      <formula>_xlfn.ISFORMULA(NI21)</formula>
    </cfRule>
  </conditionalFormatting>
  <conditionalFormatting sqref="NI9:NN9">
    <cfRule type="expression" dxfId="377" priority="757">
      <formula>_xlfn.ISFORMULA(NI9)</formula>
    </cfRule>
  </conditionalFormatting>
  <conditionalFormatting sqref="NI8:NN8">
    <cfRule type="expression" dxfId="376" priority="756">
      <formula>_xlfn.ISFORMULA(NI8)</formula>
    </cfRule>
  </conditionalFormatting>
  <conditionalFormatting sqref="NI14:NO14">
    <cfRule type="expression" dxfId="375" priority="755">
      <formula>_xlfn.ISFORMULA(NI14)</formula>
    </cfRule>
  </conditionalFormatting>
  <conditionalFormatting sqref="NI13:NO13">
    <cfRule type="expression" dxfId="374" priority="753">
      <formula>_xlfn.ISFORMULA(NI13)</formula>
    </cfRule>
  </conditionalFormatting>
  <conditionalFormatting sqref="NI19">
    <cfRule type="expression" dxfId="373" priority="751">
      <formula>_xlfn.ISFORMULA(NI19)</formula>
    </cfRule>
  </conditionalFormatting>
  <conditionalFormatting sqref="NJ19:NN19 NI7:NN7">
    <cfRule type="expression" dxfId="372" priority="750">
      <formula>_xlfn.ISFORMULA(NI7)</formula>
    </cfRule>
  </conditionalFormatting>
  <conditionalFormatting sqref="NW9">
    <cfRule type="expression" dxfId="371" priority="746">
      <formula>_xlfn.ISFORMULA(NW9)</formula>
    </cfRule>
  </conditionalFormatting>
  <conditionalFormatting sqref="NQ15:NW15">
    <cfRule type="expression" dxfId="370" priority="745">
      <formula>_xlfn.ISFORMULA(NQ15)</formula>
    </cfRule>
  </conditionalFormatting>
  <conditionalFormatting sqref="NQ21:NW21">
    <cfRule type="expression" dxfId="369" priority="744">
      <formula>_xlfn.ISFORMULA(NQ21)</formula>
    </cfRule>
  </conditionalFormatting>
  <conditionalFormatting sqref="NQ9:NV9">
    <cfRule type="expression" dxfId="368" priority="743">
      <formula>_xlfn.ISFORMULA(NQ9)</formula>
    </cfRule>
  </conditionalFormatting>
  <conditionalFormatting sqref="NQ8:NV8">
    <cfRule type="expression" dxfId="367" priority="742">
      <formula>_xlfn.ISFORMULA(NQ8)</formula>
    </cfRule>
  </conditionalFormatting>
  <conditionalFormatting sqref="NQ14:NW14">
    <cfRule type="expression" dxfId="366" priority="741">
      <formula>_xlfn.ISFORMULA(NQ14)</formula>
    </cfRule>
  </conditionalFormatting>
  <conditionalFormatting sqref="NQ13:NW13">
    <cfRule type="expression" dxfId="365" priority="739">
      <formula>_xlfn.ISFORMULA(NQ13)</formula>
    </cfRule>
  </conditionalFormatting>
  <conditionalFormatting sqref="NQ19">
    <cfRule type="expression" dxfId="364" priority="737">
      <formula>_xlfn.ISFORMULA(NQ19)</formula>
    </cfRule>
  </conditionalFormatting>
  <conditionalFormatting sqref="NR19:NV19 NQ7:NV7">
    <cfRule type="expression" dxfId="363" priority="736">
      <formula>_xlfn.ISFORMULA(NQ7)</formula>
    </cfRule>
  </conditionalFormatting>
  <conditionalFormatting sqref="OE9">
    <cfRule type="expression" dxfId="362" priority="732">
      <formula>_xlfn.ISFORMULA(OE9)</formula>
    </cfRule>
  </conditionalFormatting>
  <conditionalFormatting sqref="NY15:OE15">
    <cfRule type="expression" dxfId="361" priority="731">
      <formula>_xlfn.ISFORMULA(NY15)</formula>
    </cfRule>
  </conditionalFormatting>
  <conditionalFormatting sqref="NY21:OE21">
    <cfRule type="expression" dxfId="360" priority="730">
      <formula>_xlfn.ISFORMULA(NY21)</formula>
    </cfRule>
  </conditionalFormatting>
  <conditionalFormatting sqref="NY9:OD9">
    <cfRule type="expression" dxfId="359" priority="729">
      <formula>_xlfn.ISFORMULA(NY9)</formula>
    </cfRule>
  </conditionalFormatting>
  <conditionalFormatting sqref="NY8:OD8">
    <cfRule type="expression" dxfId="358" priority="728">
      <formula>_xlfn.ISFORMULA(NY8)</formula>
    </cfRule>
  </conditionalFormatting>
  <conditionalFormatting sqref="NY14:OE14">
    <cfRule type="expression" dxfId="357" priority="727">
      <formula>_xlfn.ISFORMULA(NY14)</formula>
    </cfRule>
  </conditionalFormatting>
  <conditionalFormatting sqref="NY13:OE13">
    <cfRule type="expression" dxfId="356" priority="725">
      <formula>_xlfn.ISFORMULA(NY13)</formula>
    </cfRule>
  </conditionalFormatting>
  <conditionalFormatting sqref="NY19">
    <cfRule type="expression" dxfId="355" priority="723">
      <formula>_xlfn.ISFORMULA(NY19)</formula>
    </cfRule>
  </conditionalFormatting>
  <conditionalFormatting sqref="NZ19:OD19 NY7:OD7">
    <cfRule type="expression" dxfId="354" priority="722">
      <formula>_xlfn.ISFORMULA(NY7)</formula>
    </cfRule>
  </conditionalFormatting>
  <conditionalFormatting sqref="OM9">
    <cfRule type="expression" dxfId="353" priority="718">
      <formula>_xlfn.ISFORMULA(OM9)</formula>
    </cfRule>
  </conditionalFormatting>
  <conditionalFormatting sqref="OG15:OM15">
    <cfRule type="expression" dxfId="352" priority="717">
      <formula>_xlfn.ISFORMULA(OG15)</formula>
    </cfRule>
  </conditionalFormatting>
  <conditionalFormatting sqref="OG21:OM21">
    <cfRule type="expression" dxfId="351" priority="716">
      <formula>_xlfn.ISFORMULA(OG21)</formula>
    </cfRule>
  </conditionalFormatting>
  <conditionalFormatting sqref="OG9:OL9">
    <cfRule type="expression" dxfId="350" priority="715">
      <formula>_xlfn.ISFORMULA(OG9)</formula>
    </cfRule>
  </conditionalFormatting>
  <conditionalFormatting sqref="OG8:OL8">
    <cfRule type="expression" dxfId="349" priority="714">
      <formula>_xlfn.ISFORMULA(OG8)</formula>
    </cfRule>
  </conditionalFormatting>
  <conditionalFormatting sqref="OG14:OJ14 OL14:OM14">
    <cfRule type="expression" dxfId="348" priority="713">
      <formula>_xlfn.ISFORMULA(OG14)</formula>
    </cfRule>
  </conditionalFormatting>
  <conditionalFormatting sqref="OG13:OM13">
    <cfRule type="expression" dxfId="347" priority="711">
      <formula>_xlfn.ISFORMULA(OG13)</formula>
    </cfRule>
  </conditionalFormatting>
  <conditionalFormatting sqref="OG19">
    <cfRule type="expression" dxfId="346" priority="709">
      <formula>_xlfn.ISFORMULA(OG19)</formula>
    </cfRule>
  </conditionalFormatting>
  <conditionalFormatting sqref="OH19:OL19 OG7:OL7">
    <cfRule type="expression" dxfId="345" priority="708">
      <formula>_xlfn.ISFORMULA(OG7)</formula>
    </cfRule>
  </conditionalFormatting>
  <conditionalFormatting sqref="OU9">
    <cfRule type="expression" dxfId="344" priority="704">
      <formula>_xlfn.ISFORMULA(OU9)</formula>
    </cfRule>
  </conditionalFormatting>
  <conditionalFormatting sqref="OO15:OU15">
    <cfRule type="expression" dxfId="343" priority="703">
      <formula>_xlfn.ISFORMULA(OO15)</formula>
    </cfRule>
  </conditionalFormatting>
  <conditionalFormatting sqref="OO21:OU21">
    <cfRule type="expression" dxfId="342" priority="702">
      <formula>_xlfn.ISFORMULA(OO21)</formula>
    </cfRule>
  </conditionalFormatting>
  <conditionalFormatting sqref="OO9:OT9">
    <cfRule type="expression" dxfId="341" priority="701">
      <formula>_xlfn.ISFORMULA(OO9)</formula>
    </cfRule>
  </conditionalFormatting>
  <conditionalFormatting sqref="OO8:OT8">
    <cfRule type="expression" dxfId="340" priority="700">
      <formula>_xlfn.ISFORMULA(OO8)</formula>
    </cfRule>
  </conditionalFormatting>
  <conditionalFormatting sqref="OO14:OU14">
    <cfRule type="expression" dxfId="339" priority="699">
      <formula>_xlfn.ISFORMULA(OO14)</formula>
    </cfRule>
  </conditionalFormatting>
  <conditionalFormatting sqref="OT20">
    <cfRule type="expression" dxfId="338" priority="698">
      <formula>_xlfn.ISFORMULA(OT20)</formula>
    </cfRule>
  </conditionalFormatting>
  <conditionalFormatting sqref="OO13:OU13">
    <cfRule type="expression" dxfId="337" priority="697">
      <formula>_xlfn.ISFORMULA(OO13)</formula>
    </cfRule>
  </conditionalFormatting>
  <conditionalFormatting sqref="OO20">
    <cfRule type="expression" dxfId="336" priority="696">
      <formula>_xlfn.ISFORMULA(OO20)</formula>
    </cfRule>
  </conditionalFormatting>
  <conditionalFormatting sqref="OO19">
    <cfRule type="expression" dxfId="335" priority="695">
      <formula>_xlfn.ISFORMULA(OO19)</formula>
    </cfRule>
  </conditionalFormatting>
  <conditionalFormatting sqref="OP19:OT19 OO7:OT7">
    <cfRule type="expression" dxfId="334" priority="694">
      <formula>_xlfn.ISFORMULA(OO7)</formula>
    </cfRule>
  </conditionalFormatting>
  <conditionalFormatting sqref="OP20">
    <cfRule type="expression" dxfId="333" priority="693">
      <formula>_xlfn.ISFORMULA(OP20)</formula>
    </cfRule>
  </conditionalFormatting>
  <conditionalFormatting sqref="PC9">
    <cfRule type="expression" dxfId="332" priority="690">
      <formula>_xlfn.ISFORMULA(PC9)</formula>
    </cfRule>
  </conditionalFormatting>
  <conditionalFormatting sqref="OW15:PC15">
    <cfRule type="expression" dxfId="331" priority="689">
      <formula>_xlfn.ISFORMULA(OW15)</formula>
    </cfRule>
  </conditionalFormatting>
  <conditionalFormatting sqref="OW21:PC21">
    <cfRule type="expression" dxfId="330" priority="688">
      <formula>_xlfn.ISFORMULA(OW21)</formula>
    </cfRule>
  </conditionalFormatting>
  <conditionalFormatting sqref="OW9:PB9">
    <cfRule type="expression" dxfId="329" priority="687">
      <formula>_xlfn.ISFORMULA(OW9)</formula>
    </cfRule>
  </conditionalFormatting>
  <conditionalFormatting sqref="OW8:PB8">
    <cfRule type="expression" dxfId="328" priority="686">
      <formula>_xlfn.ISFORMULA(OW8)</formula>
    </cfRule>
  </conditionalFormatting>
  <conditionalFormatting sqref="OX14:PC14">
    <cfRule type="expression" dxfId="327" priority="685">
      <formula>_xlfn.ISFORMULA(OX14)</formula>
    </cfRule>
  </conditionalFormatting>
  <conditionalFormatting sqref="PB20">
    <cfRule type="expression" dxfId="326" priority="684">
      <formula>_xlfn.ISFORMULA(PB20)</formula>
    </cfRule>
  </conditionalFormatting>
  <conditionalFormatting sqref="OW13:PC13">
    <cfRule type="expression" dxfId="325" priority="683">
      <formula>_xlfn.ISFORMULA(OW13)</formula>
    </cfRule>
  </conditionalFormatting>
  <conditionalFormatting sqref="OW19">
    <cfRule type="expression" dxfId="324" priority="681">
      <formula>_xlfn.ISFORMULA(OW19)</formula>
    </cfRule>
  </conditionalFormatting>
  <conditionalFormatting sqref="OX19:PB19 OW7:PB7">
    <cfRule type="expression" dxfId="323" priority="680">
      <formula>_xlfn.ISFORMULA(OW7)</formula>
    </cfRule>
  </conditionalFormatting>
  <conditionalFormatting sqref="OX20">
    <cfRule type="expression" dxfId="322" priority="679">
      <formula>_xlfn.ISFORMULA(OX20)</formula>
    </cfRule>
  </conditionalFormatting>
  <conditionalFormatting sqref="OY20">
    <cfRule type="expression" dxfId="321" priority="677">
      <formula>_xlfn.ISFORMULA(OY20)</formula>
    </cfRule>
  </conditionalFormatting>
  <conditionalFormatting sqref="E20">
    <cfRule type="expression" dxfId="320" priority="618">
      <formula>_xlfn.ISFORMULA(E20)</formula>
    </cfRule>
  </conditionalFormatting>
  <conditionalFormatting sqref="F20">
    <cfRule type="expression" dxfId="319" priority="612">
      <formula>_xlfn.ISFORMULA(F20)</formula>
    </cfRule>
  </conditionalFormatting>
  <conditionalFormatting sqref="E7:F7">
    <cfRule type="expression" dxfId="318" priority="609">
      <formula>_xlfn.ISFORMULA(E7)</formula>
    </cfRule>
  </conditionalFormatting>
  <conditionalFormatting sqref="F13">
    <cfRule type="expression" dxfId="317" priority="608">
      <formula>_xlfn.ISFORMULA(F13)</formula>
    </cfRule>
  </conditionalFormatting>
  <conditionalFormatting sqref="F19">
    <cfRule type="expression" dxfId="316" priority="607">
      <formula>_xlfn.ISFORMULA(F19)</formula>
    </cfRule>
  </conditionalFormatting>
  <conditionalFormatting sqref="G20">
    <cfRule type="expression" dxfId="315" priority="604">
      <formula>_xlfn.ISFORMULA(G20)</formula>
    </cfRule>
  </conditionalFormatting>
  <conditionalFormatting sqref="H20">
    <cfRule type="expression" dxfId="314" priority="597">
      <formula>_xlfn.ISFORMULA(H20)</formula>
    </cfRule>
  </conditionalFormatting>
  <conditionalFormatting sqref="I20">
    <cfRule type="expression" dxfId="313" priority="596">
      <formula>_xlfn.ISFORMULA(I20)</formula>
    </cfRule>
  </conditionalFormatting>
  <conditionalFormatting sqref="J13">
    <cfRule type="expression" dxfId="312" priority="593">
      <formula>_xlfn.ISFORMULA(J13)</formula>
    </cfRule>
  </conditionalFormatting>
  <conditionalFormatting sqref="J20">
    <cfRule type="expression" dxfId="311" priority="591">
      <formula>_xlfn.ISFORMULA(J20)</formula>
    </cfRule>
  </conditionalFormatting>
  <conditionalFormatting sqref="M20">
    <cfRule type="expression" dxfId="310" priority="590">
      <formula>_xlfn.ISFORMULA(M20)</formula>
    </cfRule>
  </conditionalFormatting>
  <conditionalFormatting sqref="N20">
    <cfRule type="expression" dxfId="309" priority="583">
      <formula>_xlfn.ISFORMULA(N20)</formula>
    </cfRule>
  </conditionalFormatting>
  <conditionalFormatting sqref="O20">
    <cfRule type="expression" dxfId="308" priority="577">
      <formula>_xlfn.ISFORMULA(O20)</formula>
    </cfRule>
  </conditionalFormatting>
  <conditionalFormatting sqref="Q20">
    <cfRule type="expression" dxfId="307" priority="572">
      <formula>_xlfn.ISFORMULA(Q20)</formula>
    </cfRule>
  </conditionalFormatting>
  <conditionalFormatting sqref="P20">
    <cfRule type="expression" dxfId="306" priority="570">
      <formula>_xlfn.ISFORMULA(P20)</formula>
    </cfRule>
  </conditionalFormatting>
  <conditionalFormatting sqref="U20">
    <cfRule type="expression" dxfId="305" priority="567">
      <formula>_xlfn.ISFORMULA(U20)</formula>
    </cfRule>
  </conditionalFormatting>
  <conditionalFormatting sqref="R20">
    <cfRule type="expression" dxfId="304" priority="565">
      <formula>_xlfn.ISFORMULA(R20)</formula>
    </cfRule>
  </conditionalFormatting>
  <conditionalFormatting sqref="V20">
    <cfRule type="expression" dxfId="303" priority="560">
      <formula>_xlfn.ISFORMULA(V20)</formula>
    </cfRule>
  </conditionalFormatting>
  <conditionalFormatting sqref="W20">
    <cfRule type="expression" dxfId="302" priority="556">
      <formula>_xlfn.ISFORMULA(W20)</formula>
    </cfRule>
  </conditionalFormatting>
  <conditionalFormatting sqref="Y20">
    <cfRule type="expression" dxfId="301" priority="554">
      <formula>_xlfn.ISFORMULA(Y20)</formula>
    </cfRule>
  </conditionalFormatting>
  <conditionalFormatting sqref="X20">
    <cfRule type="expression" dxfId="300" priority="553">
      <formula>_xlfn.ISFORMULA(X20)</formula>
    </cfRule>
  </conditionalFormatting>
  <conditionalFormatting sqref="Z20">
    <cfRule type="expression" dxfId="299" priority="552">
      <formula>_xlfn.ISFORMULA(Z20)</formula>
    </cfRule>
  </conditionalFormatting>
  <conditionalFormatting sqref="AC14">
    <cfRule type="expression" dxfId="298" priority="551">
      <formula>_xlfn.ISFORMULA(AC14)</formula>
    </cfRule>
  </conditionalFormatting>
  <conditionalFormatting sqref="AC20">
    <cfRule type="expression" dxfId="297" priority="548">
      <formula>_xlfn.ISFORMULA(AC20)</formula>
    </cfRule>
  </conditionalFormatting>
  <conditionalFormatting sqref="AD20">
    <cfRule type="expression" dxfId="296" priority="545">
      <formula>_xlfn.ISFORMULA(AD20)</formula>
    </cfRule>
  </conditionalFormatting>
  <conditionalFormatting sqref="AE20">
    <cfRule type="expression" dxfId="295" priority="544">
      <formula>_xlfn.ISFORMULA(AE20)</formula>
    </cfRule>
  </conditionalFormatting>
  <conditionalFormatting sqref="AH20">
    <cfRule type="expression" dxfId="294" priority="542">
      <formula>_xlfn.ISFORMULA(AH20)</formula>
    </cfRule>
  </conditionalFormatting>
  <conditionalFormatting sqref="AG20">
    <cfRule type="expression" dxfId="293" priority="539">
      <formula>_xlfn.ISFORMULA(AG20)</formula>
    </cfRule>
  </conditionalFormatting>
  <conditionalFormatting sqref="AL20">
    <cfRule type="expression" dxfId="292" priority="538">
      <formula>_xlfn.ISFORMULA(AL20)</formula>
    </cfRule>
  </conditionalFormatting>
  <conditionalFormatting sqref="AM20">
    <cfRule type="expression" dxfId="291" priority="532">
      <formula>_xlfn.ISFORMULA(AM20)</formula>
    </cfRule>
  </conditionalFormatting>
  <conditionalFormatting sqref="AN20">
    <cfRule type="expression" dxfId="290" priority="528">
      <formula>_xlfn.ISFORMULA(AN20)</formula>
    </cfRule>
  </conditionalFormatting>
  <conditionalFormatting sqref="AO20">
    <cfRule type="expression" dxfId="289" priority="526">
      <formula>_xlfn.ISFORMULA(AO20)</formula>
    </cfRule>
  </conditionalFormatting>
  <conditionalFormatting sqref="AP20">
    <cfRule type="expression" dxfId="288" priority="525">
      <formula>_xlfn.ISFORMULA(AP20)</formula>
    </cfRule>
  </conditionalFormatting>
  <conditionalFormatting sqref="AS20">
    <cfRule type="expression" dxfId="287" priority="522">
      <formula>_xlfn.ISFORMULA(AS20)</formula>
    </cfRule>
  </conditionalFormatting>
  <conditionalFormatting sqref="AT20">
    <cfRule type="expression" dxfId="286" priority="521">
      <formula>_xlfn.ISFORMULA(AT20)</formula>
    </cfRule>
  </conditionalFormatting>
  <conditionalFormatting sqref="AS37">
    <cfRule type="expression" dxfId="285" priority="520">
      <formula>_xlfn.ISFORMULA(AS37)</formula>
    </cfRule>
  </conditionalFormatting>
  <conditionalFormatting sqref="AS43:AX43">
    <cfRule type="expression" dxfId="284" priority="519">
      <formula>_xlfn.ISFORMULA(AS43)</formula>
    </cfRule>
  </conditionalFormatting>
  <conditionalFormatting sqref="AT37">
    <cfRule type="expression" dxfId="283" priority="518">
      <formula>_xlfn.ISFORMULA(AT37)</formula>
    </cfRule>
  </conditionalFormatting>
  <conditionalFormatting sqref="AU20">
    <cfRule type="expression" dxfId="282" priority="517">
      <formula>_xlfn.ISFORMULA(AU20)</formula>
    </cfRule>
  </conditionalFormatting>
  <conditionalFormatting sqref="AV20">
    <cfRule type="expression" dxfId="281" priority="516">
      <formula>_xlfn.ISFORMULA(AV20)</formula>
    </cfRule>
  </conditionalFormatting>
  <conditionalFormatting sqref="AX20">
    <cfRule type="expression" dxfId="280" priority="513">
      <formula>_xlfn.ISFORMULA(AX20)</formula>
    </cfRule>
  </conditionalFormatting>
  <conditionalFormatting sqref="BB31:BF31">
    <cfRule type="cellIs" dxfId="279" priority="512" operator="greaterThan">
      <formula>BB$26</formula>
    </cfRule>
  </conditionalFormatting>
  <conditionalFormatting sqref="BB31:BF31">
    <cfRule type="cellIs" dxfId="278" priority="511" operator="lessThanOrEqual">
      <formula>BB$26</formula>
    </cfRule>
  </conditionalFormatting>
  <conditionalFormatting sqref="BA31">
    <cfRule type="cellIs" dxfId="277" priority="510" operator="greaterThan">
      <formula>BA$26</formula>
    </cfRule>
  </conditionalFormatting>
  <conditionalFormatting sqref="BA31">
    <cfRule type="cellIs" dxfId="276" priority="509" operator="lessThanOrEqual">
      <formula>BA$26</formula>
    </cfRule>
  </conditionalFormatting>
  <conditionalFormatting sqref="BG31">
    <cfRule type="cellIs" dxfId="275" priority="508" operator="greaterThan">
      <formula>BG$26</formula>
    </cfRule>
  </conditionalFormatting>
  <conditionalFormatting sqref="BG31">
    <cfRule type="cellIs" dxfId="274" priority="507" operator="lessThanOrEqual">
      <formula>BG$26</formula>
    </cfRule>
  </conditionalFormatting>
  <conditionalFormatting sqref="AW14">
    <cfRule type="expression" dxfId="273" priority="505">
      <formula>_xlfn.ISFORMULA(AW14)</formula>
    </cfRule>
  </conditionalFormatting>
  <conditionalFormatting sqref="AW20">
    <cfRule type="expression" dxfId="272" priority="504">
      <formula>_xlfn.ISFORMULA(AW20)</formula>
    </cfRule>
  </conditionalFormatting>
  <conditionalFormatting sqref="AW37">
    <cfRule type="expression" dxfId="271" priority="503">
      <formula>_xlfn.ISFORMULA(AW37)</formula>
    </cfRule>
  </conditionalFormatting>
  <conditionalFormatting sqref="AW35">
    <cfRule type="expression" dxfId="270" priority="502">
      <formula>_xlfn.ISFORMULA(AW35)</formula>
    </cfRule>
  </conditionalFormatting>
  <conditionalFormatting sqref="BA20">
    <cfRule type="expression" dxfId="269" priority="499">
      <formula>_xlfn.ISFORMULA(BA20)</formula>
    </cfRule>
  </conditionalFormatting>
  <conditionalFormatting sqref="BA43:BF43">
    <cfRule type="expression" dxfId="268" priority="497">
      <formula>_xlfn.ISFORMULA(BA43)</formula>
    </cfRule>
  </conditionalFormatting>
  <conditionalFormatting sqref="BA37">
    <cfRule type="expression" dxfId="267" priority="496">
      <formula>_xlfn.ISFORMULA(BA37)</formula>
    </cfRule>
  </conditionalFormatting>
  <conditionalFormatting sqref="BB20">
    <cfRule type="expression" dxfId="266" priority="495">
      <formula>_xlfn.ISFORMULA(BB20)</formula>
    </cfRule>
  </conditionalFormatting>
  <conditionalFormatting sqref="BC20">
    <cfRule type="expression" dxfId="265" priority="494">
      <formula>_xlfn.ISFORMULA(BC20)</formula>
    </cfRule>
  </conditionalFormatting>
  <conditionalFormatting sqref="BB37">
    <cfRule type="expression" dxfId="264" priority="493">
      <formula>_xlfn.ISFORMULA(BB37)</formula>
    </cfRule>
  </conditionalFormatting>
  <conditionalFormatting sqref="BD20">
    <cfRule type="expression" dxfId="263" priority="492">
      <formula>_xlfn.ISFORMULA(BD20)</formula>
    </cfRule>
  </conditionalFormatting>
  <conditionalFormatting sqref="BF20">
    <cfRule type="expression" dxfId="262" priority="491">
      <formula>_xlfn.ISFORMULA(BF20)</formula>
    </cfRule>
  </conditionalFormatting>
  <conditionalFormatting sqref="BI20">
    <cfRule type="expression" dxfId="261" priority="489">
      <formula>_xlfn.ISFORMULA(BI20)</formula>
    </cfRule>
  </conditionalFormatting>
  <conditionalFormatting sqref="BJ20">
    <cfRule type="expression" dxfId="260" priority="487">
      <formula>_xlfn.ISFORMULA(BJ20)</formula>
    </cfRule>
  </conditionalFormatting>
  <conditionalFormatting sqref="BL20">
    <cfRule type="expression" dxfId="259" priority="486">
      <formula>_xlfn.ISFORMULA(BL20)</formula>
    </cfRule>
  </conditionalFormatting>
  <conditionalFormatting sqref="BM20">
    <cfRule type="expression" dxfId="258" priority="485">
      <formula>_xlfn.ISFORMULA(BM20)</formula>
    </cfRule>
  </conditionalFormatting>
  <conditionalFormatting sqref="BN20">
    <cfRule type="expression" dxfId="257" priority="483">
      <formula>_xlfn.ISFORMULA(BN20)</formula>
    </cfRule>
  </conditionalFormatting>
  <conditionalFormatting sqref="BQ20">
    <cfRule type="expression" dxfId="256" priority="481">
      <formula>_xlfn.ISFORMULA(BQ20)</formula>
    </cfRule>
  </conditionalFormatting>
  <conditionalFormatting sqref="BR20">
    <cfRule type="expression" dxfId="255" priority="480">
      <formula>_xlfn.ISFORMULA(BR20)</formula>
    </cfRule>
  </conditionalFormatting>
  <conditionalFormatting sqref="BS35">
    <cfRule type="expression" dxfId="254" priority="477">
      <formula>_xlfn.ISFORMULA(BS35)</formula>
    </cfRule>
  </conditionalFormatting>
  <conditionalFormatting sqref="BT20">
    <cfRule type="expression" dxfId="253" priority="476">
      <formula>_xlfn.ISFORMULA(BT20)</formula>
    </cfRule>
  </conditionalFormatting>
  <conditionalFormatting sqref="BZ20">
    <cfRule type="expression" dxfId="252" priority="475">
      <formula>_xlfn.ISFORMULA(BZ20)</formula>
    </cfRule>
  </conditionalFormatting>
  <conditionalFormatting sqref="CB20">
    <cfRule type="expression" dxfId="251" priority="469">
      <formula>_xlfn.ISFORMULA(CB20)</formula>
    </cfRule>
  </conditionalFormatting>
  <conditionalFormatting sqref="CD20">
    <cfRule type="expression" dxfId="250" priority="467">
      <formula>_xlfn.ISFORMULA(CD20)</formula>
    </cfRule>
  </conditionalFormatting>
  <conditionalFormatting sqref="CA20">
    <cfRule type="expression" dxfId="249" priority="466">
      <formula>_xlfn.ISFORMULA(CA20)</formula>
    </cfRule>
  </conditionalFormatting>
  <conditionalFormatting sqref="CC20">
    <cfRule type="expression" dxfId="248" priority="465">
      <formula>_xlfn.ISFORMULA(CC20)</formula>
    </cfRule>
  </conditionalFormatting>
  <conditionalFormatting sqref="CH20">
    <cfRule type="expression" dxfId="247" priority="462">
      <formula>_xlfn.ISFORMULA(CH20)</formula>
    </cfRule>
  </conditionalFormatting>
  <conditionalFormatting sqref="CJ20">
    <cfRule type="expression" dxfId="246" priority="460">
      <formula>_xlfn.ISFORMULA(CJ20)</formula>
    </cfRule>
  </conditionalFormatting>
  <conditionalFormatting sqref="CK20">
    <cfRule type="expression" dxfId="245" priority="459">
      <formula>_xlfn.ISFORMULA(CK20)</formula>
    </cfRule>
  </conditionalFormatting>
  <conditionalFormatting sqref="CO20">
    <cfRule type="expression" dxfId="244" priority="458">
      <formula>_xlfn.ISFORMULA(CO20)</formula>
    </cfRule>
  </conditionalFormatting>
  <conditionalFormatting sqref="CT20">
    <cfRule type="expression" dxfId="243" priority="456">
      <formula>_xlfn.ISFORMULA(CT20)</formula>
    </cfRule>
  </conditionalFormatting>
  <conditionalFormatting sqref="CW20">
    <cfRule type="expression" dxfId="242" priority="455">
      <formula>_xlfn.ISFORMULA(CW20)</formula>
    </cfRule>
  </conditionalFormatting>
  <conditionalFormatting sqref="CX20">
    <cfRule type="expression" dxfId="241" priority="454">
      <formula>_xlfn.ISFORMULA(CX20)</formula>
    </cfRule>
  </conditionalFormatting>
  <conditionalFormatting sqref="CY20">
    <cfRule type="expression" dxfId="240" priority="453">
      <formula>_xlfn.ISFORMULA(CY20)</formula>
    </cfRule>
  </conditionalFormatting>
  <conditionalFormatting sqref="DB20">
    <cfRule type="expression" dxfId="239" priority="452">
      <formula>_xlfn.ISFORMULA(DB20)</formula>
    </cfRule>
  </conditionalFormatting>
  <conditionalFormatting sqref="DE20">
    <cfRule type="expression" dxfId="238" priority="451">
      <formula>_xlfn.ISFORMULA(DE20)</formula>
    </cfRule>
  </conditionalFormatting>
  <conditionalFormatting sqref="DF20">
    <cfRule type="expression" dxfId="237" priority="449">
      <formula>_xlfn.ISFORMULA(DF20)</formula>
    </cfRule>
  </conditionalFormatting>
  <conditionalFormatting sqref="DF37">
    <cfRule type="expression" dxfId="236" priority="448">
      <formula>_xlfn.ISFORMULA(DF37)</formula>
    </cfRule>
  </conditionalFormatting>
  <conditionalFormatting sqref="DG20">
    <cfRule type="expression" dxfId="235" priority="447">
      <formula>_xlfn.ISFORMULA(DG20)</formula>
    </cfRule>
  </conditionalFormatting>
  <conditionalFormatting sqref="DI39">
    <cfRule type="expression" dxfId="234" priority="446">
      <formula>_xlfn.ISFORMULA(DI39)</formula>
    </cfRule>
  </conditionalFormatting>
  <conditionalFormatting sqref="DI41">
    <cfRule type="expression" dxfId="233" priority="445">
      <formula>_xlfn.ISFORMULA(DI41)</formula>
    </cfRule>
  </conditionalFormatting>
  <conditionalFormatting sqref="DW20">
    <cfRule type="expression" dxfId="232" priority="444">
      <formula>_xlfn.ISFORMULA(DW20)</formula>
    </cfRule>
  </conditionalFormatting>
  <conditionalFormatting sqref="DX20">
    <cfRule type="expression" dxfId="231" priority="443">
      <formula>_xlfn.ISFORMULA(DX20)</formula>
    </cfRule>
  </conditionalFormatting>
  <conditionalFormatting sqref="DY14">
    <cfRule type="expression" dxfId="230" priority="440">
      <formula>_xlfn.ISFORMULA(DY14)</formula>
    </cfRule>
  </conditionalFormatting>
  <conditionalFormatting sqref="DY20">
    <cfRule type="expression" dxfId="229" priority="436">
      <formula>_xlfn.ISFORMULA(DY20)</formula>
    </cfRule>
  </conditionalFormatting>
  <conditionalFormatting sqref="DZ20">
    <cfRule type="expression" dxfId="228" priority="435">
      <formula>_xlfn.ISFORMULA(DZ20)</formula>
    </cfRule>
  </conditionalFormatting>
  <conditionalFormatting sqref="EC20">
    <cfRule type="expression" dxfId="227" priority="433">
      <formula>_xlfn.ISFORMULA(EC20)</formula>
    </cfRule>
  </conditionalFormatting>
  <conditionalFormatting sqref="EE20">
    <cfRule type="expression" dxfId="226" priority="430">
      <formula>_xlfn.ISFORMULA(EE20)</formula>
    </cfRule>
  </conditionalFormatting>
  <conditionalFormatting sqref="ED20">
    <cfRule type="expression" dxfId="225" priority="429">
      <formula>_xlfn.ISFORMULA(ED20)</formula>
    </cfRule>
  </conditionalFormatting>
  <conditionalFormatting sqref="EG20">
    <cfRule type="expression" dxfId="224" priority="428">
      <formula>_xlfn.ISFORMULA(EG20)</formula>
    </cfRule>
  </conditionalFormatting>
  <conditionalFormatting sqref="EH20">
    <cfRule type="expression" dxfId="223" priority="426">
      <formula>_xlfn.ISFORMULA(EH20)</formula>
    </cfRule>
  </conditionalFormatting>
  <conditionalFormatting sqref="EL20">
    <cfRule type="expression" dxfId="222" priority="425">
      <formula>_xlfn.ISFORMULA(EL20)</formula>
    </cfRule>
  </conditionalFormatting>
  <conditionalFormatting sqref="EM20">
    <cfRule type="expression" dxfId="221" priority="424">
      <formula>_xlfn.ISFORMULA(EM20)</formula>
    </cfRule>
  </conditionalFormatting>
  <conditionalFormatting sqref="FC20">
    <cfRule type="expression" dxfId="220" priority="423">
      <formula>_xlfn.ISFORMULA(FC20)</formula>
    </cfRule>
  </conditionalFormatting>
  <conditionalFormatting sqref="FB20">
    <cfRule type="expression" dxfId="219" priority="422">
      <formula>_xlfn.ISFORMULA(FB20)</formula>
    </cfRule>
  </conditionalFormatting>
  <conditionalFormatting sqref="FF20">
    <cfRule type="expression" dxfId="218" priority="421">
      <formula>_xlfn.ISFORMULA(FF20)</formula>
    </cfRule>
  </conditionalFormatting>
  <conditionalFormatting sqref="FE20">
    <cfRule type="expression" dxfId="217" priority="420">
      <formula>_xlfn.ISFORMULA(FE20)</formula>
    </cfRule>
  </conditionalFormatting>
  <conditionalFormatting sqref="FY35:GD35">
    <cfRule type="expression" dxfId="216" priority="419">
      <formula>_xlfn.ISFORMULA(FY35)</formula>
    </cfRule>
  </conditionalFormatting>
  <conditionalFormatting sqref="FY37:GD37">
    <cfRule type="expression" dxfId="215" priority="418">
      <formula>_xlfn.ISFORMULA(FY37)</formula>
    </cfRule>
  </conditionalFormatting>
  <conditionalFormatting sqref="FY39:GD39">
    <cfRule type="expression" dxfId="214" priority="417">
      <formula>_xlfn.ISFORMULA(FY39)</formula>
    </cfRule>
  </conditionalFormatting>
  <conditionalFormatting sqref="FY41:GD41">
    <cfRule type="expression" dxfId="213" priority="416">
      <formula>_xlfn.ISFORMULA(FY41)</formula>
    </cfRule>
  </conditionalFormatting>
  <conditionalFormatting sqref="FK35">
    <cfRule type="expression" dxfId="212" priority="415">
      <formula>_xlfn.ISFORMULA(FK35)</formula>
    </cfRule>
  </conditionalFormatting>
  <conditionalFormatting sqref="FM20">
    <cfRule type="expression" dxfId="211" priority="413">
      <formula>_xlfn.ISFORMULA(FM20)</formula>
    </cfRule>
  </conditionalFormatting>
  <conditionalFormatting sqref="FN20">
    <cfRule type="expression" dxfId="210" priority="412">
      <formula>_xlfn.ISFORMULA(FN20)</formula>
    </cfRule>
  </conditionalFormatting>
  <conditionalFormatting sqref="FS20">
    <cfRule type="expression" dxfId="209" priority="411">
      <formula>_xlfn.ISFORMULA(FS20)</formula>
    </cfRule>
  </conditionalFormatting>
  <conditionalFormatting sqref="FT20">
    <cfRule type="expression" dxfId="208" priority="409">
      <formula>_xlfn.ISFORMULA(FT20)</formula>
    </cfRule>
  </conditionalFormatting>
  <conditionalFormatting sqref="FU20">
    <cfRule type="expression" dxfId="207" priority="407">
      <formula>_xlfn.ISFORMULA(FU20)</formula>
    </cfRule>
  </conditionalFormatting>
  <conditionalFormatting sqref="FV20">
    <cfRule type="expression" dxfId="206" priority="403">
      <formula>_xlfn.ISFORMULA(FV20)</formula>
    </cfRule>
  </conditionalFormatting>
  <conditionalFormatting sqref="FZ20">
    <cfRule type="expression" dxfId="205" priority="400">
      <formula>_xlfn.ISFORMULA(FZ20)</formula>
    </cfRule>
  </conditionalFormatting>
  <conditionalFormatting sqref="GB20">
    <cfRule type="expression" dxfId="204" priority="397">
      <formula>_xlfn.ISFORMULA(GB20)</formula>
    </cfRule>
  </conditionalFormatting>
  <conditionalFormatting sqref="GA20">
    <cfRule type="expression" dxfId="203" priority="396">
      <formula>_xlfn.ISFORMULA(GA20)</formula>
    </cfRule>
  </conditionalFormatting>
  <conditionalFormatting sqref="GC20">
    <cfRule type="expression" dxfId="202" priority="394">
      <formula>_xlfn.ISFORMULA(GC20)</formula>
    </cfRule>
  </conditionalFormatting>
  <conditionalFormatting sqref="GO35:GT35">
    <cfRule type="expression" dxfId="201" priority="393">
      <formula>_xlfn.ISFORMULA(GO35)</formula>
    </cfRule>
  </conditionalFormatting>
  <conditionalFormatting sqref="GO37:GT37">
    <cfRule type="expression" dxfId="200" priority="392">
      <formula>_xlfn.ISFORMULA(GO37)</formula>
    </cfRule>
  </conditionalFormatting>
  <conditionalFormatting sqref="GO39:GT39">
    <cfRule type="expression" dxfId="199" priority="391">
      <formula>_xlfn.ISFORMULA(GO39)</formula>
    </cfRule>
  </conditionalFormatting>
  <conditionalFormatting sqref="GO41:GT41">
    <cfRule type="expression" dxfId="198" priority="390">
      <formula>_xlfn.ISFORMULA(GO41)</formula>
    </cfRule>
  </conditionalFormatting>
  <conditionalFormatting sqref="GO43:GT43">
    <cfRule type="expression" dxfId="197" priority="389">
      <formula>_xlfn.ISFORMULA(GO43)</formula>
    </cfRule>
  </conditionalFormatting>
  <conditionalFormatting sqref="GJ20">
    <cfRule type="expression" dxfId="196" priority="386">
      <formula>_xlfn.ISFORMULA(GJ20)</formula>
    </cfRule>
  </conditionalFormatting>
  <conditionalFormatting sqref="GI20">
    <cfRule type="expression" dxfId="195" priority="385">
      <formula>_xlfn.ISFORMULA(GI20)</formula>
    </cfRule>
  </conditionalFormatting>
  <conditionalFormatting sqref="GO31">
    <cfRule type="cellIs" dxfId="194" priority="384" operator="greaterThan">
      <formula>GO$26</formula>
    </cfRule>
  </conditionalFormatting>
  <conditionalFormatting sqref="GO31">
    <cfRule type="cellIs" dxfId="193" priority="383" operator="lessThanOrEqual">
      <formula>GO$26</formula>
    </cfRule>
  </conditionalFormatting>
  <conditionalFormatting sqref="GO20">
    <cfRule type="expression" dxfId="192" priority="382">
      <formula>_xlfn.ISFORMULA(GO20)</formula>
    </cfRule>
  </conditionalFormatting>
  <conditionalFormatting sqref="GW35:HB35">
    <cfRule type="expression" dxfId="191" priority="381">
      <formula>_xlfn.ISFORMULA(GW35)</formula>
    </cfRule>
  </conditionalFormatting>
  <conditionalFormatting sqref="GW37:HB37">
    <cfRule type="expression" dxfId="190" priority="380">
      <formula>_xlfn.ISFORMULA(GW37)</formula>
    </cfRule>
  </conditionalFormatting>
  <conditionalFormatting sqref="GW39:HB39">
    <cfRule type="expression" dxfId="189" priority="379">
      <formula>_xlfn.ISFORMULA(GW39)</formula>
    </cfRule>
  </conditionalFormatting>
  <conditionalFormatting sqref="GW41:HB41">
    <cfRule type="expression" dxfId="188" priority="378">
      <formula>_xlfn.ISFORMULA(GW41)</formula>
    </cfRule>
  </conditionalFormatting>
  <conditionalFormatting sqref="GW43:HB43">
    <cfRule type="expression" dxfId="187" priority="377">
      <formula>_xlfn.ISFORMULA(GW43)</formula>
    </cfRule>
  </conditionalFormatting>
  <conditionalFormatting sqref="HE35:HJ35">
    <cfRule type="expression" dxfId="186" priority="376">
      <formula>_xlfn.ISFORMULA(HE35)</formula>
    </cfRule>
  </conditionalFormatting>
  <conditionalFormatting sqref="HE37:HJ37">
    <cfRule type="expression" dxfId="185" priority="375">
      <formula>_xlfn.ISFORMULA(HE37)</formula>
    </cfRule>
  </conditionalFormatting>
  <conditionalFormatting sqref="HE39:HJ39">
    <cfRule type="expression" dxfId="184" priority="374">
      <formula>_xlfn.ISFORMULA(HE39)</formula>
    </cfRule>
  </conditionalFormatting>
  <conditionalFormatting sqref="HE41:HJ41">
    <cfRule type="expression" dxfId="183" priority="373">
      <formula>_xlfn.ISFORMULA(HE41)</formula>
    </cfRule>
  </conditionalFormatting>
  <conditionalFormatting sqref="HE43:HJ43">
    <cfRule type="expression" dxfId="182" priority="372">
      <formula>_xlfn.ISFORMULA(HE43)</formula>
    </cfRule>
  </conditionalFormatting>
  <conditionalFormatting sqref="HM35:HR35">
    <cfRule type="expression" dxfId="181" priority="371">
      <formula>_xlfn.ISFORMULA(HM35)</formula>
    </cfRule>
  </conditionalFormatting>
  <conditionalFormatting sqref="HM37:HR37">
    <cfRule type="expression" dxfId="180" priority="370">
      <formula>_xlfn.ISFORMULA(HM37)</formula>
    </cfRule>
  </conditionalFormatting>
  <conditionalFormatting sqref="HM39:HR39">
    <cfRule type="expression" dxfId="179" priority="369">
      <formula>_xlfn.ISFORMULA(HM39)</formula>
    </cfRule>
  </conditionalFormatting>
  <conditionalFormatting sqref="HM41:HR41">
    <cfRule type="expression" dxfId="178" priority="368">
      <formula>_xlfn.ISFORMULA(HM41)</formula>
    </cfRule>
  </conditionalFormatting>
  <conditionalFormatting sqref="HM43:HR43">
    <cfRule type="expression" dxfId="177" priority="367">
      <formula>_xlfn.ISFORMULA(HM43)</formula>
    </cfRule>
  </conditionalFormatting>
  <conditionalFormatting sqref="HU35:HZ35">
    <cfRule type="expression" dxfId="176" priority="366">
      <formula>_xlfn.ISFORMULA(HU35)</formula>
    </cfRule>
  </conditionalFormatting>
  <conditionalFormatting sqref="HU37:IA37 IC37:LC37 LE37:LK37 LM37:LQ37">
    <cfRule type="expression" dxfId="175" priority="365">
      <formula>_xlfn.ISFORMULA(HU37)</formula>
    </cfRule>
  </conditionalFormatting>
  <conditionalFormatting sqref="HU39:LC39 LE39:LK39 LM39:LQ39">
    <cfRule type="expression" dxfId="174" priority="364">
      <formula>_xlfn.ISFORMULA(HU39)</formula>
    </cfRule>
  </conditionalFormatting>
  <conditionalFormatting sqref="HU41:LC41 LE41:LK41 LM41:LQ41">
    <cfRule type="expression" dxfId="173" priority="363">
      <formula>_xlfn.ISFORMULA(HU41)</formula>
    </cfRule>
  </conditionalFormatting>
  <conditionalFormatting sqref="HU43:LC43 LE43:LK43 LM43:LS43">
    <cfRule type="expression" dxfId="172" priority="362">
      <formula>_xlfn.ISFORMULA(HU43)</formula>
    </cfRule>
  </conditionalFormatting>
  <conditionalFormatting sqref="GP20">
    <cfRule type="expression" dxfId="171" priority="361">
      <formula>_xlfn.ISFORMULA(GP20)</formula>
    </cfRule>
  </conditionalFormatting>
  <conditionalFormatting sqref="GQ20">
    <cfRule type="expression" dxfId="170" priority="360">
      <formula>_xlfn.ISFORMULA(GQ20)</formula>
    </cfRule>
  </conditionalFormatting>
  <conditionalFormatting sqref="HH20">
    <cfRule type="expression" dxfId="169" priority="359">
      <formula>_xlfn.ISFORMULA(HH20)</formula>
    </cfRule>
  </conditionalFormatting>
  <conditionalFormatting sqref="HI20">
    <cfRule type="expression" dxfId="168" priority="358">
      <formula>_xlfn.ISFORMULA(HI20)</formula>
    </cfRule>
  </conditionalFormatting>
  <conditionalFormatting sqref="HN20">
    <cfRule type="expression" dxfId="167" priority="356">
      <formula>_xlfn.ISFORMULA(HN20)</formula>
    </cfRule>
  </conditionalFormatting>
  <conditionalFormatting sqref="HO20">
    <cfRule type="expression" dxfId="166" priority="355">
      <formula>_xlfn.ISFORMULA(HO20)</formula>
    </cfRule>
  </conditionalFormatting>
  <conditionalFormatting sqref="HP20">
    <cfRule type="expression" dxfId="165" priority="351">
      <formula>_xlfn.ISFORMULA(HP20)</formula>
    </cfRule>
  </conditionalFormatting>
  <conditionalFormatting sqref="HR20">
    <cfRule type="expression" dxfId="164" priority="350">
      <formula>_xlfn.ISFORMULA(HR20)</formula>
    </cfRule>
  </conditionalFormatting>
  <conditionalFormatting sqref="HQ20">
    <cfRule type="expression" dxfId="163" priority="348">
      <formula>_xlfn.ISFORMULA(HQ20)</formula>
    </cfRule>
  </conditionalFormatting>
  <conditionalFormatting sqref="IO20">
    <cfRule type="expression" dxfId="162" priority="346">
      <formula>_xlfn.ISFORMULA(IO20)</formula>
    </cfRule>
  </conditionalFormatting>
  <conditionalFormatting sqref="IP20">
    <cfRule type="expression" dxfId="161" priority="345">
      <formula>_xlfn.ISFORMULA(IP20)</formula>
    </cfRule>
  </conditionalFormatting>
  <conditionalFormatting sqref="IS20">
    <cfRule type="expression" dxfId="160" priority="343">
      <formula>_xlfn.ISFORMULA(IS20)</formula>
    </cfRule>
  </conditionalFormatting>
  <conditionalFormatting sqref="JB20">
    <cfRule type="expression" dxfId="159" priority="342">
      <formula>_xlfn.ISFORMULA(JB20)</formula>
    </cfRule>
  </conditionalFormatting>
  <conditionalFormatting sqref="JC20">
    <cfRule type="expression" dxfId="158" priority="341">
      <formula>_xlfn.ISFORMULA(JC20)</formula>
    </cfRule>
  </conditionalFormatting>
  <conditionalFormatting sqref="JE20">
    <cfRule type="expression" dxfId="157" priority="340">
      <formula>_xlfn.ISFORMULA(JE20)</formula>
    </cfRule>
  </conditionalFormatting>
  <conditionalFormatting sqref="JQ20">
    <cfRule type="expression" dxfId="156" priority="337">
      <formula>_xlfn.ISFORMULA(JQ20)</formula>
    </cfRule>
  </conditionalFormatting>
  <conditionalFormatting sqref="JR20">
    <cfRule type="expression" dxfId="155" priority="332">
      <formula>_xlfn.ISFORMULA(JR20)</formula>
    </cfRule>
  </conditionalFormatting>
  <conditionalFormatting sqref="JS20">
    <cfRule type="expression" dxfId="154" priority="331">
      <formula>_xlfn.ISFORMULA(JS20)</formula>
    </cfRule>
  </conditionalFormatting>
  <conditionalFormatting sqref="JT20">
    <cfRule type="expression" dxfId="153" priority="328">
      <formula>_xlfn.ISFORMULA(JT20)</formula>
    </cfRule>
  </conditionalFormatting>
  <conditionalFormatting sqref="JU20">
    <cfRule type="expression" dxfId="152" priority="318">
      <formula>_xlfn.ISFORMULA(JU20)</formula>
    </cfRule>
  </conditionalFormatting>
  <conditionalFormatting sqref="JV20">
    <cfRule type="expression" dxfId="151" priority="311">
      <formula>_xlfn.ISFORMULA(JV20)</formula>
    </cfRule>
  </conditionalFormatting>
  <conditionalFormatting sqref="JY20">
    <cfRule type="expression" dxfId="150" priority="309">
      <formula>_xlfn.ISFORMULA(JY20)</formula>
    </cfRule>
  </conditionalFormatting>
  <conditionalFormatting sqref="JZ20">
    <cfRule type="expression" dxfId="149" priority="293">
      <formula>_xlfn.ISFORMULA(JZ20)</formula>
    </cfRule>
  </conditionalFormatting>
  <conditionalFormatting sqref="KA20">
    <cfRule type="expression" dxfId="148" priority="285">
      <formula>_xlfn.ISFORMULA(KA20)</formula>
    </cfRule>
  </conditionalFormatting>
  <conditionalFormatting sqref="KB20">
    <cfRule type="expression" dxfId="147" priority="268">
      <formula>_xlfn.ISFORMULA(KB20)</formula>
    </cfRule>
  </conditionalFormatting>
  <conditionalFormatting sqref="KD14">
    <cfRule type="expression" dxfId="146" priority="265">
      <formula>_xlfn.ISFORMULA(KD14)</formula>
    </cfRule>
  </conditionalFormatting>
  <conditionalFormatting sqref="KC20">
    <cfRule type="expression" dxfId="145" priority="259">
      <formula>_xlfn.ISFORMULA(KC20)</formula>
    </cfRule>
  </conditionalFormatting>
  <conditionalFormatting sqref="KD20">
    <cfRule type="expression" dxfId="144" priority="250">
      <formula>_xlfn.ISFORMULA(KD20)</formula>
    </cfRule>
  </conditionalFormatting>
  <conditionalFormatting sqref="KG20">
    <cfRule type="expression" dxfId="143" priority="247">
      <formula>_xlfn.ISFORMULA(KG20)</formula>
    </cfRule>
  </conditionalFormatting>
  <conditionalFormatting sqref="KG31">
    <cfRule type="cellIs" dxfId="142" priority="245" operator="greaterThan">
      <formula>KG$26</formula>
    </cfRule>
  </conditionalFormatting>
  <conditionalFormatting sqref="KG31">
    <cfRule type="cellIs" dxfId="141" priority="244" operator="lessThanOrEqual">
      <formula>KG$26</formula>
    </cfRule>
  </conditionalFormatting>
  <conditionalFormatting sqref="KH20">
    <cfRule type="expression" dxfId="140" priority="242">
      <formula>_xlfn.ISFORMULA(KH20)</formula>
    </cfRule>
  </conditionalFormatting>
  <conditionalFormatting sqref="KI20">
    <cfRule type="expression" dxfId="139" priority="232">
      <formula>_xlfn.ISFORMULA(KI20)</formula>
    </cfRule>
  </conditionalFormatting>
  <conditionalFormatting sqref="KJ20">
    <cfRule type="expression" dxfId="138" priority="226">
      <formula>_xlfn.ISFORMULA(KJ20)</formula>
    </cfRule>
  </conditionalFormatting>
  <conditionalFormatting sqref="KK20">
    <cfRule type="expression" dxfId="137" priority="221">
      <formula>_xlfn.ISFORMULA(KK20)</formula>
    </cfRule>
  </conditionalFormatting>
  <conditionalFormatting sqref="KL20">
    <cfRule type="expression" dxfId="136" priority="220">
      <formula>_xlfn.ISFORMULA(KL20)</formula>
    </cfRule>
  </conditionalFormatting>
  <conditionalFormatting sqref="LI20">
    <cfRule type="expression" dxfId="135" priority="219">
      <formula>_xlfn.ISFORMULA(LI20)</formula>
    </cfRule>
  </conditionalFormatting>
  <conditionalFormatting sqref="LJ20">
    <cfRule type="expression" dxfId="134" priority="218">
      <formula>_xlfn.ISFORMULA(LJ20)</formula>
    </cfRule>
  </conditionalFormatting>
  <conditionalFormatting sqref="LM20">
    <cfRule type="expression" dxfId="133" priority="216">
      <formula>_xlfn.ISFORMULA(LM20)</formula>
    </cfRule>
  </conditionalFormatting>
  <conditionalFormatting sqref="LO20">
    <cfRule type="expression" dxfId="132" priority="215">
      <formula>_xlfn.ISFORMULA(LO20)</formula>
    </cfRule>
  </conditionalFormatting>
  <conditionalFormatting sqref="LD37">
    <cfRule type="expression" dxfId="131" priority="214">
      <formula>_xlfn.ISFORMULA(LD37)</formula>
    </cfRule>
  </conditionalFormatting>
  <conditionalFormatting sqref="LD39">
    <cfRule type="expression" dxfId="130" priority="213">
      <formula>_xlfn.ISFORMULA(LD39)</formula>
    </cfRule>
  </conditionalFormatting>
  <conditionalFormatting sqref="LD41">
    <cfRule type="expression" dxfId="129" priority="212">
      <formula>_xlfn.ISFORMULA(LD41)</formula>
    </cfRule>
  </conditionalFormatting>
  <conditionalFormatting sqref="LD43">
    <cfRule type="expression" dxfId="128" priority="211">
      <formula>_xlfn.ISFORMULA(LD43)</formula>
    </cfRule>
  </conditionalFormatting>
  <conditionalFormatting sqref="LL37">
    <cfRule type="expression" dxfId="127" priority="210">
      <formula>_xlfn.ISFORMULA(LL37)</formula>
    </cfRule>
  </conditionalFormatting>
  <conditionalFormatting sqref="LL39">
    <cfRule type="expression" dxfId="126" priority="209">
      <formula>_xlfn.ISFORMULA(LL39)</formula>
    </cfRule>
  </conditionalFormatting>
  <conditionalFormatting sqref="LL41">
    <cfRule type="expression" dxfId="125" priority="208">
      <formula>_xlfn.ISFORMULA(LL41)</formula>
    </cfRule>
  </conditionalFormatting>
  <conditionalFormatting sqref="LL43">
    <cfRule type="expression" dxfId="124" priority="207">
      <formula>_xlfn.ISFORMULA(LL43)</formula>
    </cfRule>
  </conditionalFormatting>
  <conditionalFormatting sqref="LT37">
    <cfRule type="expression" dxfId="123" priority="206">
      <formula>_xlfn.ISFORMULA(LT37)</formula>
    </cfRule>
  </conditionalFormatting>
  <conditionalFormatting sqref="LT39">
    <cfRule type="expression" dxfId="122" priority="205">
      <formula>_xlfn.ISFORMULA(LT39)</formula>
    </cfRule>
  </conditionalFormatting>
  <conditionalFormatting sqref="LT41">
    <cfRule type="expression" dxfId="121" priority="204">
      <formula>_xlfn.ISFORMULA(LT41)</formula>
    </cfRule>
  </conditionalFormatting>
  <conditionalFormatting sqref="LT43">
    <cfRule type="expression" dxfId="120" priority="203">
      <formula>_xlfn.ISFORMULA(LT43)</formula>
    </cfRule>
  </conditionalFormatting>
  <conditionalFormatting sqref="MB37">
    <cfRule type="expression" dxfId="119" priority="202">
      <formula>_xlfn.ISFORMULA(MB37)</formula>
    </cfRule>
  </conditionalFormatting>
  <conditionalFormatting sqref="MB39">
    <cfRule type="expression" dxfId="118" priority="201">
      <formula>_xlfn.ISFORMULA(MB39)</formula>
    </cfRule>
  </conditionalFormatting>
  <conditionalFormatting sqref="MB41">
    <cfRule type="expression" dxfId="117" priority="200">
      <formula>_xlfn.ISFORMULA(MB41)</formula>
    </cfRule>
  </conditionalFormatting>
  <conditionalFormatting sqref="MB43">
    <cfRule type="expression" dxfId="116" priority="199">
      <formula>_xlfn.ISFORMULA(MB43)</formula>
    </cfRule>
  </conditionalFormatting>
  <conditionalFormatting sqref="MJ37">
    <cfRule type="expression" dxfId="115" priority="198">
      <formula>_xlfn.ISFORMULA(MJ37)</formula>
    </cfRule>
  </conditionalFormatting>
  <conditionalFormatting sqref="MJ39">
    <cfRule type="expression" dxfId="114" priority="197">
      <formula>_xlfn.ISFORMULA(MJ39)</formula>
    </cfRule>
  </conditionalFormatting>
  <conditionalFormatting sqref="MJ41">
    <cfRule type="expression" dxfId="113" priority="196">
      <formula>_xlfn.ISFORMULA(MJ41)</formula>
    </cfRule>
  </conditionalFormatting>
  <conditionalFormatting sqref="MJ43">
    <cfRule type="expression" dxfId="112" priority="195">
      <formula>_xlfn.ISFORMULA(MJ43)</formula>
    </cfRule>
  </conditionalFormatting>
  <conditionalFormatting sqref="MR37">
    <cfRule type="expression" dxfId="111" priority="194">
      <formula>_xlfn.ISFORMULA(MR37)</formula>
    </cfRule>
  </conditionalFormatting>
  <conditionalFormatting sqref="MR39">
    <cfRule type="expression" dxfId="110" priority="193">
      <formula>_xlfn.ISFORMULA(MR39)</formula>
    </cfRule>
  </conditionalFormatting>
  <conditionalFormatting sqref="MR41">
    <cfRule type="expression" dxfId="109" priority="192">
      <formula>_xlfn.ISFORMULA(MR41)</formula>
    </cfRule>
  </conditionalFormatting>
  <conditionalFormatting sqref="MC20">
    <cfRule type="expression" dxfId="108" priority="189">
      <formula>_xlfn.ISFORMULA(MC20)</formula>
    </cfRule>
  </conditionalFormatting>
  <conditionalFormatting sqref="MD20">
    <cfRule type="expression" dxfId="107" priority="181">
      <formula>_xlfn.ISFORMULA(MD20)</formula>
    </cfRule>
  </conditionalFormatting>
  <conditionalFormatting sqref="ME20">
    <cfRule type="expression" dxfId="106" priority="177">
      <formula>_xlfn.ISFORMULA(ME20)</formula>
    </cfRule>
  </conditionalFormatting>
  <conditionalFormatting sqref="MF20">
    <cfRule type="expression" dxfId="105" priority="174">
      <formula>_xlfn.ISFORMULA(MF20)</formula>
    </cfRule>
  </conditionalFormatting>
  <conditionalFormatting sqref="MG20">
    <cfRule type="expression" dxfId="104" priority="168">
      <formula>_xlfn.ISFORMULA(MG20)</formula>
    </cfRule>
  </conditionalFormatting>
  <conditionalFormatting sqref="MH20">
    <cfRule type="expression" dxfId="103" priority="159">
      <formula>_xlfn.ISFORMULA(MH20)</formula>
    </cfRule>
  </conditionalFormatting>
  <conditionalFormatting sqref="MK20">
    <cfRule type="expression" dxfId="102" priority="158">
      <formula>_xlfn.ISFORMULA(MK20)</formula>
    </cfRule>
  </conditionalFormatting>
  <conditionalFormatting sqref="MM20">
    <cfRule type="expression" dxfId="101" priority="157">
      <formula>_xlfn.ISFORMULA(MM20)</formula>
    </cfRule>
  </conditionalFormatting>
  <conditionalFormatting sqref="MN20">
    <cfRule type="expression" dxfId="100" priority="154">
      <formula>_xlfn.ISFORMULA(MN20)</formula>
    </cfRule>
  </conditionalFormatting>
  <conditionalFormatting sqref="MO20">
    <cfRule type="expression" dxfId="99" priority="153">
      <formula>_xlfn.ISFORMULA(MO20)</formula>
    </cfRule>
  </conditionalFormatting>
  <conditionalFormatting sqref="MP20">
    <cfRule type="expression" dxfId="98" priority="152">
      <formula>_xlfn.ISFORMULA(MP20)</formula>
    </cfRule>
  </conditionalFormatting>
  <conditionalFormatting sqref="MS20">
    <cfRule type="expression" dxfId="97" priority="151">
      <formula>_xlfn.ISFORMULA(MS20)</formula>
    </cfRule>
  </conditionalFormatting>
  <conditionalFormatting sqref="MT20">
    <cfRule type="expression" dxfId="96" priority="149">
      <formula>_xlfn.ISFORMULA(MT20)</formula>
    </cfRule>
  </conditionalFormatting>
  <conditionalFormatting sqref="MU20">
    <cfRule type="expression" dxfId="95" priority="145">
      <formula>_xlfn.ISFORMULA(MU20)</formula>
    </cfRule>
  </conditionalFormatting>
  <conditionalFormatting sqref="MV20">
    <cfRule type="expression" dxfId="94" priority="139">
      <formula>_xlfn.ISFORMULA(MV20)</formula>
    </cfRule>
  </conditionalFormatting>
  <conditionalFormatting sqref="MX20">
    <cfRule type="expression" dxfId="93" priority="138">
      <formula>_xlfn.ISFORMULA(MX20)</formula>
    </cfRule>
  </conditionalFormatting>
  <conditionalFormatting sqref="NB20">
    <cfRule type="expression" dxfId="92" priority="137">
      <formula>_xlfn.ISFORMULA(NB20)</formula>
    </cfRule>
  </conditionalFormatting>
  <conditionalFormatting sqref="NE20">
    <cfRule type="expression" dxfId="91" priority="135">
      <formula>_xlfn.ISFORMULA(NE20)</formula>
    </cfRule>
  </conditionalFormatting>
  <conditionalFormatting sqref="NF20">
    <cfRule type="expression" dxfId="90" priority="134">
      <formula>_xlfn.ISFORMULA(NF20)</formula>
    </cfRule>
  </conditionalFormatting>
  <conditionalFormatting sqref="NI20">
    <cfRule type="expression" dxfId="89" priority="133">
      <formula>_xlfn.ISFORMULA(NI20)</formula>
    </cfRule>
  </conditionalFormatting>
  <conditionalFormatting sqref="NJ20">
    <cfRule type="expression" dxfId="88" priority="130">
      <formula>_xlfn.ISFORMULA(NJ20)</formula>
    </cfRule>
  </conditionalFormatting>
  <conditionalFormatting sqref="NK20">
    <cfRule type="expression" dxfId="87" priority="129">
      <formula>_xlfn.ISFORMULA(NK20)</formula>
    </cfRule>
  </conditionalFormatting>
  <conditionalFormatting sqref="NL20">
    <cfRule type="expression" dxfId="86" priority="127">
      <formula>_xlfn.ISFORMULA(NL20)</formula>
    </cfRule>
  </conditionalFormatting>
  <conditionalFormatting sqref="NM20">
    <cfRule type="expression" dxfId="85" priority="125">
      <formula>_xlfn.ISFORMULA(NM20)</formula>
    </cfRule>
  </conditionalFormatting>
  <conditionalFormatting sqref="NN20">
    <cfRule type="expression" dxfId="84" priority="123">
      <formula>_xlfn.ISFORMULA(NN20)</formula>
    </cfRule>
  </conditionalFormatting>
  <conditionalFormatting sqref="NQ20">
    <cfRule type="expression" dxfId="83" priority="117">
      <formula>_xlfn.ISFORMULA(NQ20)</formula>
    </cfRule>
  </conditionalFormatting>
  <conditionalFormatting sqref="NR20">
    <cfRule type="expression" dxfId="82" priority="113">
      <formula>_xlfn.ISFORMULA(NR20)</formula>
    </cfRule>
  </conditionalFormatting>
  <conditionalFormatting sqref="NS20">
    <cfRule type="expression" dxfId="81" priority="106">
      <formula>_xlfn.ISFORMULA(NS20)</formula>
    </cfRule>
  </conditionalFormatting>
  <conditionalFormatting sqref="NT20">
    <cfRule type="expression" dxfId="80" priority="99">
      <formula>_xlfn.ISFORMULA(NT20)</formula>
    </cfRule>
  </conditionalFormatting>
  <conditionalFormatting sqref="NU20">
    <cfRule type="expression" dxfId="79" priority="92">
      <formula>_xlfn.ISFORMULA(NU20)</formula>
    </cfRule>
  </conditionalFormatting>
  <conditionalFormatting sqref="NV20">
    <cfRule type="expression" dxfId="78" priority="82">
      <formula>_xlfn.ISFORMULA(NV20)</formula>
    </cfRule>
  </conditionalFormatting>
  <conditionalFormatting sqref="NY20">
    <cfRule type="expression" dxfId="77" priority="76">
      <formula>_xlfn.ISFORMULA(NY20)</formula>
    </cfRule>
  </conditionalFormatting>
  <conditionalFormatting sqref="NZ20">
    <cfRule type="expression" dxfId="76" priority="68">
      <formula>_xlfn.ISFORMULA(NZ20)</formula>
    </cfRule>
  </conditionalFormatting>
  <conditionalFormatting sqref="OA20">
    <cfRule type="expression" dxfId="75" priority="63">
      <formula>_xlfn.ISFORMULA(OA20)</formula>
    </cfRule>
  </conditionalFormatting>
  <conditionalFormatting sqref="OB20">
    <cfRule type="expression" dxfId="74" priority="58">
      <formula>_xlfn.ISFORMULA(OB20)</formula>
    </cfRule>
  </conditionalFormatting>
  <conditionalFormatting sqref="OC20">
    <cfRule type="expression" dxfId="73" priority="54">
      <formula>_xlfn.ISFORMULA(OC20)</formula>
    </cfRule>
  </conditionalFormatting>
  <conditionalFormatting sqref="OD20">
    <cfRule type="expression" dxfId="72" priority="50">
      <formula>_xlfn.ISFORMULA(OD20)</formula>
    </cfRule>
  </conditionalFormatting>
  <conditionalFormatting sqref="OG20">
    <cfRule type="expression" dxfId="71" priority="48">
      <formula>_xlfn.ISFORMULA(OG20)</formula>
    </cfRule>
  </conditionalFormatting>
  <conditionalFormatting sqref="OH20">
    <cfRule type="expression" dxfId="70" priority="44">
      <formula>_xlfn.ISFORMULA(OH20)</formula>
    </cfRule>
  </conditionalFormatting>
  <conditionalFormatting sqref="OI20">
    <cfRule type="expression" dxfId="69" priority="36">
      <formula>_xlfn.ISFORMULA(OI20)</formula>
    </cfRule>
  </conditionalFormatting>
  <conditionalFormatting sqref="OK14">
    <cfRule type="expression" dxfId="68" priority="29">
      <formula>_xlfn.ISFORMULA(OK14)</formula>
    </cfRule>
  </conditionalFormatting>
  <conditionalFormatting sqref="OJ20">
    <cfRule type="expression" dxfId="67" priority="28">
      <formula>_xlfn.ISFORMULA(OJ20)</formula>
    </cfRule>
  </conditionalFormatting>
  <conditionalFormatting sqref="OK20">
    <cfRule type="expression" dxfId="66" priority="27">
      <formula>_xlfn.ISFORMULA(OK20)</formula>
    </cfRule>
  </conditionalFormatting>
  <conditionalFormatting sqref="OL20">
    <cfRule type="expression" dxfId="65" priority="25">
      <formula>_xlfn.ISFORMULA(OL20)</formula>
    </cfRule>
  </conditionalFormatting>
  <conditionalFormatting sqref="OQ20">
    <cfRule type="expression" dxfId="64" priority="20">
      <formula>_xlfn.ISFORMULA(OQ20)</formula>
    </cfRule>
  </conditionalFormatting>
  <conditionalFormatting sqref="OR20">
    <cfRule type="expression" dxfId="63" priority="12">
      <formula>_xlfn.ISFORMULA(OR20)</formula>
    </cfRule>
  </conditionalFormatting>
  <conditionalFormatting sqref="OS20">
    <cfRule type="expression" dxfId="62" priority="6">
      <formula>_xlfn.ISFORMULA(OS20)</formula>
    </cfRule>
  </conditionalFormatting>
  <conditionalFormatting sqref="OW20">
    <cfRule type="expression" dxfId="61" priority="5">
      <formula>_xlfn.ISFORMULA(OW20)</formula>
    </cfRule>
  </conditionalFormatting>
  <conditionalFormatting sqref="OW14">
    <cfRule type="expression" dxfId="60" priority="4">
      <formula>_xlfn.ISFORMULA(OW14)</formula>
    </cfRule>
  </conditionalFormatting>
  <conditionalFormatting sqref="PA20">
    <cfRule type="expression" dxfId="59" priority="2">
      <formula>_xlfn.ISFORMULA(PA20)</formula>
    </cfRule>
  </conditionalFormatting>
  <conditionalFormatting sqref="OZ20">
    <cfRule type="expression" dxfId="58" priority="1">
      <formula>_xlfn.ISFORMULA(OZ20)</formula>
    </cfRule>
  </conditionalFormatting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ignoredErrors>
    <ignoredError sqref="T24 T25 AB24 AB25" formula="1"/>
  </ignoredErrors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39B7-F19A-4C0E-B976-9BE8235FC3DE}">
  <sheetPr codeName="Sheet13"/>
  <dimension ref="A1:XFD63"/>
  <sheetViews>
    <sheetView topLeftCell="A39" workbookViewId="0">
      <pane xSplit="1" topLeftCell="AH1" activePane="topRight" state="frozen"/>
      <selection activeCell="A34" sqref="A34"/>
      <selection pane="topRight" activeCell="AH58" sqref="AH58"/>
    </sheetView>
  </sheetViews>
  <sheetFormatPr defaultColWidth="8.5546875" defaultRowHeight="14.4" x14ac:dyDescent="0.3"/>
  <cols>
    <col min="2" max="2" width="13.44140625" customWidth="1"/>
    <col min="3" max="3" width="10" bestFit="1" customWidth="1"/>
    <col min="9" max="9" width="8.5546875" bestFit="1" customWidth="1"/>
    <col min="10" max="10" width="13.44140625" customWidth="1"/>
    <col min="11" max="11" width="10" bestFit="1" customWidth="1"/>
    <col min="18" max="18" width="13.44140625" customWidth="1"/>
    <col min="26" max="26" width="13.44140625" customWidth="1"/>
    <col min="34" max="34" width="13.44140625" customWidth="1"/>
  </cols>
  <sheetData>
    <row r="1" spans="1:16384" ht="14.85" customHeight="1" x14ac:dyDescent="0.3">
      <c r="B1" s="984" t="s">
        <v>277</v>
      </c>
      <c r="C1" s="986" t="s">
        <v>278</v>
      </c>
      <c r="D1" s="987"/>
      <c r="E1" s="987"/>
      <c r="F1" s="987"/>
      <c r="G1" s="987"/>
      <c r="H1" s="987"/>
      <c r="I1" s="988"/>
      <c r="J1" s="984" t="s">
        <v>279</v>
      </c>
      <c r="K1" s="989" t="s">
        <v>280</v>
      </c>
      <c r="L1" s="990"/>
      <c r="M1" s="990"/>
      <c r="N1" s="990"/>
      <c r="O1" s="990"/>
      <c r="P1" s="990"/>
      <c r="Q1" s="991"/>
      <c r="R1" s="984" t="s">
        <v>281</v>
      </c>
      <c r="S1" s="992" t="s">
        <v>282</v>
      </c>
      <c r="T1" s="993"/>
      <c r="U1" s="993"/>
      <c r="V1" s="993"/>
      <c r="W1" s="993"/>
      <c r="X1" s="993"/>
      <c r="Y1" s="994"/>
      <c r="Z1" s="984" t="s">
        <v>283</v>
      </c>
      <c r="AA1" s="992" t="s">
        <v>284</v>
      </c>
      <c r="AB1" s="993"/>
      <c r="AC1" s="993"/>
      <c r="AD1" s="993"/>
      <c r="AE1" s="993"/>
      <c r="AF1" s="993"/>
      <c r="AG1" s="994"/>
      <c r="AH1" s="984" t="s">
        <v>285</v>
      </c>
      <c r="AI1" s="992" t="s">
        <v>286</v>
      </c>
      <c r="AJ1" s="993"/>
      <c r="AK1" s="993"/>
      <c r="AL1" s="993"/>
      <c r="AM1" s="993"/>
      <c r="AN1" s="993"/>
      <c r="AO1" s="994"/>
    </row>
    <row r="2" spans="1:16384" ht="15" thickBot="1" x14ac:dyDescent="0.35">
      <c r="B2" s="985"/>
      <c r="C2" s="226" t="s">
        <v>116</v>
      </c>
      <c r="D2" s="220" t="s">
        <v>117</v>
      </c>
      <c r="E2" s="220" t="s">
        <v>118</v>
      </c>
      <c r="F2" s="220" t="s">
        <v>119</v>
      </c>
      <c r="G2" s="220" t="s">
        <v>113</v>
      </c>
      <c r="H2" s="220" t="s">
        <v>114</v>
      </c>
      <c r="I2" s="221" t="s">
        <v>115</v>
      </c>
      <c r="J2" s="985"/>
      <c r="K2" s="222" t="s">
        <v>116</v>
      </c>
      <c r="L2" s="223" t="s">
        <v>117</v>
      </c>
      <c r="M2" s="223" t="s">
        <v>118</v>
      </c>
      <c r="N2" s="223" t="s">
        <v>119</v>
      </c>
      <c r="O2" s="223" t="s">
        <v>113</v>
      </c>
      <c r="P2" s="223" t="s">
        <v>114</v>
      </c>
      <c r="Q2" s="224" t="s">
        <v>115</v>
      </c>
      <c r="R2" s="985"/>
      <c r="S2" s="228" t="s">
        <v>116</v>
      </c>
      <c r="T2" s="229" t="s">
        <v>117</v>
      </c>
      <c r="U2" s="229" t="s">
        <v>118</v>
      </c>
      <c r="V2" s="229" t="s">
        <v>119</v>
      </c>
      <c r="W2" s="229" t="s">
        <v>113</v>
      </c>
      <c r="X2" s="229" t="s">
        <v>114</v>
      </c>
      <c r="Y2" s="230" t="s">
        <v>115</v>
      </c>
      <c r="Z2" s="985"/>
      <c r="AA2" s="228" t="s">
        <v>116</v>
      </c>
      <c r="AB2" s="229" t="s">
        <v>117</v>
      </c>
      <c r="AC2" s="229" t="s">
        <v>118</v>
      </c>
      <c r="AD2" s="229" t="s">
        <v>119</v>
      </c>
      <c r="AE2" s="229" t="s">
        <v>113</v>
      </c>
      <c r="AF2" s="229" t="s">
        <v>114</v>
      </c>
      <c r="AG2" s="230" t="s">
        <v>115</v>
      </c>
      <c r="AH2" s="985"/>
      <c r="AI2" s="228" t="s">
        <v>116</v>
      </c>
      <c r="AJ2" s="229" t="s">
        <v>117</v>
      </c>
      <c r="AK2" s="229" t="s">
        <v>118</v>
      </c>
      <c r="AL2" s="229" t="s">
        <v>119</v>
      </c>
      <c r="AM2" s="229" t="s">
        <v>113</v>
      </c>
      <c r="AN2" s="229" t="s">
        <v>114</v>
      </c>
      <c r="AO2" s="230" t="s">
        <v>115</v>
      </c>
    </row>
    <row r="3" spans="1:16384" ht="15.6" x14ac:dyDescent="0.3">
      <c r="A3" s="225" t="s">
        <v>287</v>
      </c>
      <c r="B3" s="801">
        <v>1282186.0603454432</v>
      </c>
      <c r="C3" s="802">
        <v>356669.62693647447</v>
      </c>
      <c r="D3" s="803">
        <v>173409.64079282319</v>
      </c>
      <c r="E3" s="803">
        <v>0</v>
      </c>
      <c r="F3" s="803">
        <v>0</v>
      </c>
      <c r="G3" s="803">
        <v>132801.51677625789</v>
      </c>
      <c r="H3" s="803">
        <v>311886.0255071359</v>
      </c>
      <c r="I3" s="804">
        <v>307419.25033275172</v>
      </c>
      <c r="J3" s="805">
        <v>8430</v>
      </c>
      <c r="K3" s="806">
        <v>2230</v>
      </c>
      <c r="L3" s="807">
        <v>1100</v>
      </c>
      <c r="M3" s="807">
        <v>0</v>
      </c>
      <c r="N3" s="807">
        <v>0</v>
      </c>
      <c r="O3" s="807">
        <v>900</v>
      </c>
      <c r="P3" s="807">
        <v>2100</v>
      </c>
      <c r="Q3" s="808">
        <v>2100</v>
      </c>
      <c r="R3" s="809">
        <v>152.09799055106089</v>
      </c>
      <c r="S3" s="810">
        <v>159.94153674281367</v>
      </c>
      <c r="T3" s="811">
        <v>157.64512799347563</v>
      </c>
      <c r="U3" s="811" t="s">
        <v>288</v>
      </c>
      <c r="V3" s="811" t="s">
        <v>288</v>
      </c>
      <c r="W3" s="811">
        <v>147.55724086250876</v>
      </c>
      <c r="X3" s="811">
        <v>148.51715500339805</v>
      </c>
      <c r="Y3" s="812">
        <v>146.39011920607226</v>
      </c>
      <c r="Z3" s="809">
        <v>49.167488967134403</v>
      </c>
      <c r="AA3" s="810">
        <v>48.84073491210124</v>
      </c>
      <c r="AB3" s="811">
        <v>48.100130363385375</v>
      </c>
      <c r="AC3" s="811">
        <v>0</v>
      </c>
      <c r="AD3" s="811">
        <v>0</v>
      </c>
      <c r="AE3" s="811">
        <v>49.512369851021816</v>
      </c>
      <c r="AF3" s="811">
        <v>49.145396519071276</v>
      </c>
      <c r="AG3" s="812">
        <v>49.947849611078091</v>
      </c>
      <c r="AH3" s="813">
        <v>414481.93199294305</v>
      </c>
      <c r="AI3" s="814">
        <v>108914.83885398577</v>
      </c>
      <c r="AJ3" s="815">
        <v>52910.143399723915</v>
      </c>
      <c r="AK3" s="815">
        <v>0</v>
      </c>
      <c r="AL3" s="815">
        <v>0</v>
      </c>
      <c r="AM3" s="815">
        <v>44561.132865919637</v>
      </c>
      <c r="AN3" s="815">
        <v>103205.33269004968</v>
      </c>
      <c r="AO3" s="816">
        <v>104890.48418326399</v>
      </c>
      <c r="AP3" s="225"/>
      <c r="AQ3" s="716"/>
      <c r="AR3" s="717"/>
      <c r="AS3" s="718"/>
      <c r="AT3" s="718"/>
      <c r="AU3" s="718"/>
      <c r="AV3" s="718"/>
      <c r="AW3" s="718"/>
      <c r="AX3" s="719"/>
      <c r="AY3" s="720"/>
      <c r="AZ3" s="721"/>
      <c r="BA3" s="722"/>
      <c r="BB3" s="722"/>
      <c r="BC3" s="722"/>
      <c r="BD3" s="722"/>
      <c r="BE3" s="722"/>
      <c r="BF3" s="723"/>
      <c r="BG3" s="724"/>
      <c r="BH3" s="725"/>
      <c r="BI3" s="726"/>
      <c r="BJ3" s="726"/>
      <c r="BK3" s="726"/>
      <c r="BL3" s="726"/>
      <c r="BM3" s="726"/>
      <c r="BN3" s="727"/>
      <c r="BO3" s="724"/>
      <c r="BP3" s="725"/>
      <c r="BQ3" s="726"/>
      <c r="BR3" s="726"/>
      <c r="BS3" s="726"/>
      <c r="BT3" s="726"/>
      <c r="BU3" s="726"/>
      <c r="BV3" s="727"/>
      <c r="BW3" s="728"/>
      <c r="BX3" s="729"/>
      <c r="BY3" s="730"/>
      <c r="BZ3" s="731"/>
      <c r="CA3" s="731"/>
      <c r="CB3" s="731"/>
      <c r="CC3" s="731"/>
      <c r="CD3" s="732"/>
      <c r="CE3" s="225"/>
      <c r="CF3" s="716"/>
      <c r="CG3" s="717"/>
      <c r="CH3" s="718"/>
      <c r="CI3" s="718"/>
      <c r="CJ3" s="718"/>
      <c r="CK3" s="718"/>
      <c r="CL3" s="718"/>
      <c r="CM3" s="719"/>
      <c r="CN3" s="720"/>
      <c r="CO3" s="721"/>
      <c r="CP3" s="722"/>
      <c r="CQ3" s="722"/>
      <c r="CR3" s="722"/>
      <c r="CS3" s="722"/>
      <c r="CT3" s="722"/>
      <c r="CU3" s="723"/>
      <c r="CV3" s="724"/>
      <c r="CW3" s="725"/>
      <c r="CX3" s="726"/>
      <c r="CY3" s="726"/>
      <c r="CZ3" s="726"/>
      <c r="DA3" s="726"/>
      <c r="DB3" s="726"/>
      <c r="DC3" s="727"/>
      <c r="DD3" s="724"/>
      <c r="DE3" s="725"/>
      <c r="DF3" s="726"/>
      <c r="DG3" s="726"/>
      <c r="DH3" s="726"/>
      <c r="DI3" s="726"/>
      <c r="DJ3" s="726"/>
      <c r="DK3" s="727"/>
      <c r="DL3" s="728"/>
      <c r="DM3" s="729"/>
      <c r="DN3" s="730"/>
      <c r="DO3" s="731"/>
      <c r="DP3" s="731"/>
      <c r="DQ3" s="731"/>
      <c r="DR3" s="731"/>
      <c r="DS3" s="732"/>
      <c r="DT3" s="225"/>
      <c r="DU3" s="716"/>
      <c r="DV3" s="717"/>
      <c r="DW3" s="718"/>
      <c r="DX3" s="718"/>
      <c r="DY3" s="718"/>
      <c r="DZ3" s="718"/>
      <c r="EA3" s="718"/>
      <c r="EB3" s="719"/>
      <c r="EC3" s="720"/>
      <c r="ED3" s="721"/>
      <c r="EE3" s="722"/>
      <c r="EF3" s="722"/>
      <c r="EG3" s="722"/>
      <c r="EH3" s="722"/>
      <c r="EI3" s="722"/>
      <c r="EJ3" s="723"/>
      <c r="EK3" s="724"/>
      <c r="EL3" s="725"/>
      <c r="EM3" s="726"/>
      <c r="EN3" s="726"/>
      <c r="EO3" s="726"/>
      <c r="EP3" s="726"/>
      <c r="EQ3" s="726"/>
      <c r="ER3" s="727"/>
      <c r="ES3" s="724"/>
      <c r="ET3" s="725"/>
      <c r="EU3" s="726"/>
      <c r="EV3" s="726"/>
      <c r="EW3" s="726"/>
      <c r="EX3" s="726"/>
      <c r="EY3" s="726"/>
      <c r="EZ3" s="727"/>
      <c r="FA3" s="728"/>
      <c r="FB3" s="729"/>
      <c r="FC3" s="730"/>
      <c r="FD3" s="731"/>
      <c r="FE3" s="731"/>
      <c r="FF3" s="731"/>
      <c r="FG3" s="731"/>
      <c r="FH3" s="732"/>
      <c r="FI3" s="225"/>
      <c r="FJ3" s="716"/>
      <c r="FK3" s="717"/>
      <c r="FL3" s="718"/>
      <c r="FM3" s="718"/>
      <c r="FN3" s="718"/>
      <c r="FO3" s="718"/>
      <c r="FP3" s="718"/>
      <c r="FQ3" s="719"/>
      <c r="FR3" s="720"/>
      <c r="FS3" s="721"/>
      <c r="FT3" s="722"/>
      <c r="FU3" s="722"/>
      <c r="FV3" s="722"/>
      <c r="FW3" s="722"/>
      <c r="FX3" s="722"/>
      <c r="FY3" s="723"/>
      <c r="FZ3" s="724"/>
      <c r="GA3" s="725"/>
      <c r="GB3" s="726"/>
      <c r="GC3" s="726"/>
      <c r="GD3" s="726"/>
      <c r="GE3" s="726"/>
      <c r="GF3" s="726"/>
      <c r="GG3" s="727"/>
      <c r="GH3" s="724"/>
      <c r="GI3" s="725"/>
      <c r="GJ3" s="726"/>
      <c r="GK3" s="726"/>
      <c r="GL3" s="726"/>
      <c r="GM3" s="726"/>
      <c r="GN3" s="726"/>
      <c r="GO3" s="727"/>
      <c r="GP3" s="728"/>
      <c r="GQ3" s="729"/>
      <c r="GR3" s="730"/>
      <c r="GS3" s="731"/>
      <c r="GT3" s="731"/>
      <c r="GU3" s="731"/>
      <c r="GV3" s="731"/>
      <c r="GW3" s="732"/>
      <c r="GX3" s="225"/>
      <c r="GY3" s="716"/>
      <c r="GZ3" s="717"/>
      <c r="HA3" s="718"/>
      <c r="HB3" s="718"/>
      <c r="HC3" s="718"/>
      <c r="HD3" s="718"/>
      <c r="HE3" s="718"/>
      <c r="HF3" s="719"/>
      <c r="HG3" s="720"/>
      <c r="HH3" s="721"/>
      <c r="HI3" s="722"/>
      <c r="HJ3" s="722"/>
      <c r="HK3" s="722"/>
      <c r="HL3" s="722"/>
      <c r="HM3" s="722"/>
      <c r="HN3" s="723"/>
      <c r="HO3" s="724"/>
      <c r="HP3" s="725"/>
      <c r="HQ3" s="726"/>
      <c r="HR3" s="726"/>
      <c r="HS3" s="726"/>
      <c r="HT3" s="726"/>
      <c r="HU3" s="726"/>
      <c r="HV3" s="727"/>
      <c r="HW3" s="724"/>
      <c r="HX3" s="725"/>
      <c r="HY3" s="726"/>
      <c r="HZ3" s="726"/>
      <c r="IA3" s="726"/>
      <c r="IB3" s="726"/>
      <c r="IC3" s="726"/>
      <c r="ID3" s="727"/>
      <c r="IE3" s="728"/>
      <c r="IF3" s="729"/>
      <c r="IG3" s="730"/>
      <c r="IH3" s="731"/>
      <c r="II3" s="731"/>
      <c r="IJ3" s="731"/>
      <c r="IK3" s="731"/>
      <c r="IL3" s="732"/>
      <c r="IM3" s="225"/>
      <c r="IN3" s="716"/>
      <c r="IO3" s="717"/>
      <c r="IP3" s="718"/>
      <c r="IQ3" s="718"/>
      <c r="IR3" s="718"/>
      <c r="IS3" s="718"/>
      <c r="IT3" s="718"/>
      <c r="IU3" s="719"/>
      <c r="IV3" s="720"/>
      <c r="IW3" s="721"/>
      <c r="IX3" s="722"/>
      <c r="IY3" s="722"/>
      <c r="IZ3" s="722"/>
      <c r="JA3" s="722"/>
      <c r="JB3" s="722"/>
      <c r="JC3" s="723"/>
      <c r="JD3" s="724"/>
      <c r="JE3" s="725"/>
      <c r="JF3" s="726"/>
      <c r="JG3" s="726"/>
      <c r="JH3" s="726"/>
      <c r="JI3" s="726"/>
      <c r="JJ3" s="726"/>
      <c r="JK3" s="727"/>
      <c r="JL3" s="724"/>
      <c r="JM3" s="725"/>
      <c r="JN3" s="726"/>
      <c r="JO3" s="726"/>
      <c r="JP3" s="726"/>
      <c r="JQ3" s="726"/>
      <c r="JR3" s="726"/>
      <c r="JS3" s="727"/>
      <c r="JT3" s="728"/>
      <c r="JU3" s="729"/>
      <c r="JV3" s="730"/>
      <c r="JW3" s="731"/>
      <c r="JX3" s="731"/>
      <c r="JY3" s="731"/>
      <c r="JZ3" s="731"/>
      <c r="KA3" s="732"/>
      <c r="KB3" s="225"/>
      <c r="KC3" s="716"/>
      <c r="KD3" s="717"/>
      <c r="KE3" s="718"/>
      <c r="KF3" s="718"/>
      <c r="KG3" s="718"/>
      <c r="KH3" s="718"/>
      <c r="KI3" s="718"/>
      <c r="KJ3" s="719"/>
      <c r="KK3" s="720"/>
      <c r="KL3" s="721"/>
      <c r="KM3" s="722"/>
      <c r="KN3" s="722"/>
      <c r="KO3" s="722"/>
      <c r="KP3" s="722"/>
      <c r="KQ3" s="722"/>
      <c r="KR3" s="723"/>
      <c r="KS3" s="724"/>
      <c r="KT3" s="725"/>
      <c r="KU3" s="726"/>
      <c r="KV3" s="726"/>
      <c r="KW3" s="726"/>
      <c r="KX3" s="726"/>
      <c r="KY3" s="726"/>
      <c r="KZ3" s="727"/>
      <c r="LA3" s="724"/>
      <c r="LB3" s="725"/>
      <c r="LC3" s="726"/>
      <c r="LD3" s="726"/>
      <c r="LE3" s="726"/>
      <c r="LF3" s="726"/>
      <c r="LG3" s="726"/>
      <c r="LH3" s="727"/>
      <c r="LI3" s="728"/>
      <c r="LJ3" s="729"/>
      <c r="LK3" s="730"/>
      <c r="LL3" s="731"/>
      <c r="LM3" s="731"/>
      <c r="LN3" s="731"/>
      <c r="LO3" s="731"/>
      <c r="LP3" s="732"/>
      <c r="LQ3" s="225"/>
      <c r="LR3" s="716"/>
      <c r="LS3" s="717"/>
      <c r="LT3" s="718"/>
      <c r="LU3" s="718"/>
      <c r="LV3" s="718"/>
      <c r="LW3" s="718"/>
      <c r="LX3" s="718"/>
      <c r="LY3" s="719"/>
      <c r="LZ3" s="720"/>
      <c r="MA3" s="721"/>
      <c r="MB3" s="722"/>
      <c r="MC3" s="722"/>
      <c r="MD3" s="722"/>
      <c r="ME3" s="722"/>
      <c r="MF3" s="722"/>
      <c r="MG3" s="723"/>
      <c r="MH3" s="724"/>
      <c r="MI3" s="725"/>
      <c r="MJ3" s="726"/>
      <c r="MK3" s="726"/>
      <c r="ML3" s="726"/>
      <c r="MM3" s="726"/>
      <c r="MN3" s="726"/>
      <c r="MO3" s="727"/>
      <c r="MP3" s="724"/>
      <c r="MQ3" s="725"/>
      <c r="MR3" s="726"/>
      <c r="MS3" s="726"/>
      <c r="MT3" s="726"/>
      <c r="MU3" s="726"/>
      <c r="MV3" s="726"/>
      <c r="MW3" s="727"/>
      <c r="MX3" s="728"/>
      <c r="MY3" s="729"/>
      <c r="MZ3" s="730"/>
      <c r="NA3" s="731"/>
      <c r="NB3" s="731"/>
      <c r="NC3" s="731"/>
      <c r="ND3" s="731"/>
      <c r="NE3" s="732"/>
      <c r="NF3" s="225"/>
      <c r="NG3" s="716"/>
      <c r="NH3" s="717"/>
      <c r="NI3" s="718"/>
      <c r="NJ3" s="718"/>
      <c r="NK3" s="718"/>
      <c r="NL3" s="718"/>
      <c r="NM3" s="718"/>
      <c r="NN3" s="719"/>
      <c r="NO3" s="720"/>
      <c r="NP3" s="721"/>
      <c r="NQ3" s="722"/>
      <c r="NR3" s="722"/>
      <c r="NS3" s="722"/>
      <c r="NT3" s="722"/>
      <c r="NU3" s="722"/>
      <c r="NV3" s="723"/>
      <c r="NW3" s="724"/>
      <c r="NX3" s="725"/>
      <c r="NY3" s="726"/>
      <c r="NZ3" s="726"/>
      <c r="OA3" s="726"/>
      <c r="OB3" s="726"/>
      <c r="OC3" s="726"/>
      <c r="OD3" s="727"/>
      <c r="OE3" s="724"/>
      <c r="OF3" s="725"/>
      <c r="OG3" s="726"/>
      <c r="OH3" s="726"/>
      <c r="OI3" s="726"/>
      <c r="OJ3" s="726"/>
      <c r="OK3" s="726"/>
      <c r="OL3" s="727"/>
      <c r="OM3" s="728"/>
      <c r="ON3" s="729"/>
      <c r="OO3" s="730"/>
      <c r="OP3" s="731"/>
      <c r="OQ3" s="731"/>
      <c r="OR3" s="731"/>
      <c r="OS3" s="731"/>
      <c r="OT3" s="732"/>
      <c r="OU3" s="225"/>
      <c r="OV3" s="716"/>
      <c r="OW3" s="717"/>
      <c r="OX3" s="718"/>
      <c r="OY3" s="718"/>
      <c r="OZ3" s="718"/>
      <c r="PA3" s="718"/>
      <c r="PB3" s="718"/>
      <c r="PC3" s="719"/>
      <c r="PD3" s="720"/>
      <c r="PE3" s="721"/>
      <c r="PF3" s="722"/>
      <c r="PG3" s="722"/>
      <c r="PH3" s="722"/>
      <c r="PI3" s="722"/>
      <c r="PJ3" s="722"/>
      <c r="PK3" s="723"/>
      <c r="PL3" s="724"/>
      <c r="PM3" s="725"/>
      <c r="PN3" s="726"/>
      <c r="PO3" s="726"/>
      <c r="PP3" s="726"/>
      <c r="PQ3" s="726"/>
      <c r="PR3" s="726"/>
      <c r="PS3" s="727"/>
      <c r="PT3" s="724"/>
      <c r="PU3" s="725"/>
      <c r="PV3" s="726"/>
      <c r="PW3" s="726"/>
      <c r="PX3" s="726"/>
      <c r="PY3" s="726"/>
      <c r="PZ3" s="726"/>
      <c r="QA3" s="727"/>
      <c r="QB3" s="728"/>
      <c r="QC3" s="729"/>
      <c r="QD3" s="730"/>
      <c r="QE3" s="731"/>
      <c r="QF3" s="731"/>
      <c r="QG3" s="731"/>
      <c r="QH3" s="731"/>
      <c r="QI3" s="732"/>
      <c r="QJ3" s="225"/>
      <c r="QK3" s="716"/>
      <c r="QL3" s="717"/>
      <c r="QM3" s="718"/>
      <c r="QN3" s="718"/>
      <c r="QO3" s="718"/>
      <c r="QP3" s="718"/>
      <c r="QQ3" s="718"/>
      <c r="QR3" s="719"/>
      <c r="QS3" s="720"/>
      <c r="QT3" s="721"/>
      <c r="QU3" s="722"/>
      <c r="QV3" s="722"/>
      <c r="QW3" s="722"/>
      <c r="QX3" s="722"/>
      <c r="QY3" s="722"/>
      <c r="QZ3" s="723"/>
      <c r="RA3" s="724"/>
      <c r="RB3" s="725"/>
      <c r="RC3" s="726"/>
      <c r="RD3" s="726"/>
      <c r="RE3" s="726"/>
      <c r="RF3" s="726"/>
      <c r="RG3" s="726"/>
      <c r="RH3" s="727"/>
      <c r="RI3" s="724"/>
      <c r="RJ3" s="725"/>
      <c r="RK3" s="726"/>
      <c r="RL3" s="726"/>
      <c r="RM3" s="726"/>
      <c r="RN3" s="726"/>
      <c r="RO3" s="726"/>
      <c r="RP3" s="727"/>
      <c r="RQ3" s="728"/>
      <c r="RR3" s="729"/>
      <c r="RS3" s="730"/>
      <c r="RT3" s="731"/>
      <c r="RU3" s="731"/>
      <c r="RV3" s="731"/>
      <c r="RW3" s="731"/>
      <c r="RX3" s="732"/>
      <c r="RY3" s="225"/>
      <c r="RZ3" s="716"/>
      <c r="SA3" s="717"/>
      <c r="SB3" s="718"/>
      <c r="SC3" s="718"/>
      <c r="SD3" s="718"/>
      <c r="SE3" s="718"/>
      <c r="SF3" s="718"/>
      <c r="SG3" s="719"/>
      <c r="SH3" s="720"/>
      <c r="SI3" s="721"/>
      <c r="SJ3" s="722"/>
      <c r="SK3" s="722"/>
      <c r="SL3" s="722"/>
      <c r="SM3" s="722"/>
      <c r="SN3" s="722"/>
      <c r="SO3" s="723"/>
      <c r="SP3" s="724"/>
      <c r="SQ3" s="725"/>
      <c r="SR3" s="726"/>
      <c r="SS3" s="726"/>
      <c r="ST3" s="726"/>
      <c r="SU3" s="726"/>
      <c r="SV3" s="726"/>
      <c r="SW3" s="727"/>
      <c r="SX3" s="724"/>
      <c r="SY3" s="725"/>
      <c r="SZ3" s="726"/>
      <c r="TA3" s="726"/>
      <c r="TB3" s="726"/>
      <c r="TC3" s="726"/>
      <c r="TD3" s="726"/>
      <c r="TE3" s="727"/>
      <c r="TF3" s="728"/>
      <c r="TG3" s="729"/>
      <c r="TH3" s="730"/>
      <c r="TI3" s="731"/>
      <c r="TJ3" s="731"/>
      <c r="TK3" s="731"/>
      <c r="TL3" s="731"/>
      <c r="TM3" s="732"/>
      <c r="TN3" s="225"/>
      <c r="TO3" s="716"/>
      <c r="TP3" s="717"/>
      <c r="TQ3" s="718"/>
      <c r="TR3" s="718"/>
      <c r="TS3" s="718"/>
      <c r="TT3" s="718"/>
      <c r="TU3" s="718"/>
      <c r="TV3" s="719"/>
      <c r="TW3" s="720"/>
      <c r="TX3" s="721"/>
      <c r="TY3" s="722"/>
      <c r="TZ3" s="722"/>
      <c r="UA3" s="722"/>
      <c r="UB3" s="722"/>
      <c r="UC3" s="722"/>
      <c r="UD3" s="723"/>
      <c r="UE3" s="724"/>
      <c r="UF3" s="725"/>
      <c r="UG3" s="726"/>
      <c r="UH3" s="726"/>
      <c r="UI3" s="726"/>
      <c r="UJ3" s="726"/>
      <c r="UK3" s="726"/>
      <c r="UL3" s="727"/>
      <c r="UM3" s="724"/>
      <c r="UN3" s="725"/>
      <c r="UO3" s="726"/>
      <c r="UP3" s="726"/>
      <c r="UQ3" s="726"/>
      <c r="UR3" s="726"/>
      <c r="US3" s="726"/>
      <c r="UT3" s="727"/>
      <c r="UU3" s="728"/>
      <c r="UV3" s="729"/>
      <c r="UW3" s="730"/>
      <c r="UX3" s="731"/>
      <c r="UY3" s="731"/>
      <c r="UZ3" s="731"/>
      <c r="VA3" s="731"/>
      <c r="VB3" s="732"/>
      <c r="VC3" s="225"/>
      <c r="VD3" s="716"/>
      <c r="VE3" s="717"/>
      <c r="VF3" s="718"/>
      <c r="VG3" s="718"/>
      <c r="VH3" s="718"/>
      <c r="VI3" s="718"/>
      <c r="VJ3" s="718"/>
      <c r="VK3" s="719"/>
      <c r="VL3" s="720"/>
      <c r="VM3" s="721"/>
      <c r="VN3" s="722"/>
      <c r="VO3" s="722"/>
      <c r="VP3" s="722"/>
      <c r="VQ3" s="722"/>
      <c r="VR3" s="722"/>
      <c r="VS3" s="723"/>
      <c r="VT3" s="724"/>
      <c r="VU3" s="725"/>
      <c r="VV3" s="726"/>
      <c r="VW3" s="726"/>
      <c r="VX3" s="726"/>
      <c r="VY3" s="726"/>
      <c r="VZ3" s="726"/>
      <c r="WA3" s="727"/>
      <c r="WB3" s="724"/>
      <c r="WC3" s="725"/>
      <c r="WD3" s="726"/>
      <c r="WE3" s="726"/>
      <c r="WF3" s="726"/>
      <c r="WG3" s="726"/>
      <c r="WH3" s="726"/>
      <c r="WI3" s="727"/>
      <c r="WJ3" s="728"/>
      <c r="WK3" s="729"/>
      <c r="WL3" s="730"/>
      <c r="WM3" s="731"/>
      <c r="WN3" s="731"/>
      <c r="WO3" s="731"/>
      <c r="WP3" s="731"/>
      <c r="WQ3" s="732"/>
      <c r="WR3" s="225"/>
      <c r="WS3" s="716"/>
      <c r="WT3" s="717"/>
      <c r="WU3" s="718"/>
      <c r="WV3" s="718"/>
      <c r="WW3" s="718"/>
      <c r="WX3" s="718"/>
      <c r="WY3" s="718"/>
      <c r="WZ3" s="719"/>
      <c r="XA3" s="720"/>
      <c r="XB3" s="721"/>
      <c r="XC3" s="722"/>
      <c r="XD3" s="722"/>
      <c r="XE3" s="722"/>
      <c r="XF3" s="722"/>
      <c r="XG3" s="722"/>
      <c r="XH3" s="723"/>
      <c r="XI3" s="724"/>
      <c r="XJ3" s="725"/>
      <c r="XK3" s="726"/>
      <c r="XL3" s="726"/>
      <c r="XM3" s="726"/>
      <c r="XN3" s="726"/>
      <c r="XO3" s="726"/>
      <c r="XP3" s="727"/>
      <c r="XQ3" s="724"/>
      <c r="XR3" s="725"/>
      <c r="XS3" s="726"/>
      <c r="XT3" s="726"/>
      <c r="XU3" s="726"/>
      <c r="XV3" s="726"/>
      <c r="XW3" s="726"/>
      <c r="XX3" s="727"/>
      <c r="XY3" s="728"/>
      <c r="XZ3" s="729"/>
      <c r="YA3" s="730"/>
      <c r="YB3" s="731"/>
      <c r="YC3" s="731"/>
      <c r="YD3" s="731"/>
      <c r="YE3" s="731"/>
      <c r="YF3" s="732"/>
      <c r="YG3" s="225"/>
      <c r="YH3" s="716"/>
      <c r="YI3" s="717"/>
      <c r="YJ3" s="718"/>
      <c r="YK3" s="718"/>
      <c r="YL3" s="718"/>
      <c r="YM3" s="718"/>
      <c r="YN3" s="718"/>
      <c r="YO3" s="719"/>
      <c r="YP3" s="720"/>
      <c r="YQ3" s="721"/>
      <c r="YR3" s="722"/>
      <c r="YS3" s="722"/>
      <c r="YT3" s="722"/>
      <c r="YU3" s="722"/>
      <c r="YV3" s="722"/>
      <c r="YW3" s="723"/>
      <c r="YX3" s="724"/>
      <c r="YY3" s="725"/>
      <c r="YZ3" s="726"/>
      <c r="ZA3" s="726"/>
      <c r="ZB3" s="726"/>
      <c r="ZC3" s="726"/>
      <c r="ZD3" s="726"/>
      <c r="ZE3" s="727"/>
      <c r="ZF3" s="724"/>
      <c r="ZG3" s="725"/>
      <c r="ZH3" s="726"/>
      <c r="ZI3" s="726"/>
      <c r="ZJ3" s="726"/>
      <c r="ZK3" s="726"/>
      <c r="ZL3" s="726"/>
      <c r="ZM3" s="727"/>
      <c r="ZN3" s="728"/>
      <c r="ZO3" s="729"/>
      <c r="ZP3" s="730"/>
      <c r="ZQ3" s="731"/>
      <c r="ZR3" s="731"/>
      <c r="ZS3" s="731"/>
      <c r="ZT3" s="731"/>
      <c r="ZU3" s="732"/>
      <c r="ZV3" s="225"/>
      <c r="ZW3" s="716"/>
      <c r="ZX3" s="717"/>
      <c r="ZY3" s="718"/>
      <c r="ZZ3" s="718"/>
      <c r="AAA3" s="718"/>
      <c r="AAB3" s="718"/>
      <c r="AAC3" s="718"/>
      <c r="AAD3" s="719"/>
      <c r="AAE3" s="720"/>
      <c r="AAF3" s="721"/>
      <c r="AAG3" s="722"/>
      <c r="AAH3" s="722"/>
      <c r="AAI3" s="722"/>
      <c r="AAJ3" s="722"/>
      <c r="AAK3" s="722"/>
      <c r="AAL3" s="723"/>
      <c r="AAM3" s="724"/>
      <c r="AAN3" s="725"/>
      <c r="AAO3" s="726"/>
      <c r="AAP3" s="726"/>
      <c r="AAQ3" s="726"/>
      <c r="AAR3" s="726"/>
      <c r="AAS3" s="726"/>
      <c r="AAT3" s="727"/>
      <c r="AAU3" s="724"/>
      <c r="AAV3" s="725"/>
      <c r="AAW3" s="726"/>
      <c r="AAX3" s="726"/>
      <c r="AAY3" s="726"/>
      <c r="AAZ3" s="726"/>
      <c r="ABA3" s="726"/>
      <c r="ABB3" s="727"/>
      <c r="ABC3" s="728"/>
      <c r="ABD3" s="729"/>
      <c r="ABE3" s="730"/>
      <c r="ABF3" s="731"/>
      <c r="ABG3" s="731"/>
      <c r="ABH3" s="731"/>
      <c r="ABI3" s="731"/>
      <c r="ABJ3" s="732"/>
      <c r="ABK3" s="225"/>
      <c r="ABL3" s="716"/>
      <c r="ABM3" s="717"/>
      <c r="ABN3" s="718"/>
      <c r="ABO3" s="718"/>
      <c r="ABP3" s="718"/>
      <c r="ABQ3" s="718"/>
      <c r="ABR3" s="718"/>
      <c r="ABS3" s="719"/>
      <c r="ABT3" s="720"/>
      <c r="ABU3" s="721"/>
      <c r="ABV3" s="722"/>
      <c r="ABW3" s="722"/>
      <c r="ABX3" s="722"/>
      <c r="ABY3" s="722"/>
      <c r="ABZ3" s="722"/>
      <c r="ACA3" s="723"/>
      <c r="ACB3" s="724"/>
      <c r="ACC3" s="725"/>
      <c r="ACD3" s="726"/>
      <c r="ACE3" s="726"/>
      <c r="ACF3" s="726"/>
      <c r="ACG3" s="726"/>
      <c r="ACH3" s="726"/>
      <c r="ACI3" s="727"/>
      <c r="ACJ3" s="724"/>
      <c r="ACK3" s="725"/>
      <c r="ACL3" s="726"/>
      <c r="ACM3" s="726"/>
      <c r="ACN3" s="726"/>
      <c r="ACO3" s="726"/>
      <c r="ACP3" s="726"/>
      <c r="ACQ3" s="727"/>
      <c r="ACR3" s="728"/>
      <c r="ACS3" s="729"/>
      <c r="ACT3" s="730"/>
      <c r="ACU3" s="731"/>
      <c r="ACV3" s="731"/>
      <c r="ACW3" s="731"/>
      <c r="ACX3" s="731"/>
      <c r="ACY3" s="732"/>
      <c r="ACZ3" s="225"/>
      <c r="ADA3" s="716"/>
      <c r="ADB3" s="717"/>
      <c r="ADC3" s="718"/>
      <c r="ADD3" s="718"/>
      <c r="ADE3" s="718"/>
      <c r="ADF3" s="718"/>
      <c r="ADG3" s="718"/>
      <c r="ADH3" s="719"/>
      <c r="ADI3" s="720"/>
      <c r="ADJ3" s="721"/>
      <c r="ADK3" s="722"/>
      <c r="ADL3" s="722"/>
      <c r="ADM3" s="722"/>
      <c r="ADN3" s="722"/>
      <c r="ADO3" s="722"/>
      <c r="ADP3" s="723"/>
      <c r="ADQ3" s="724"/>
      <c r="ADR3" s="725"/>
      <c r="ADS3" s="726"/>
      <c r="ADT3" s="726"/>
      <c r="ADU3" s="726"/>
      <c r="ADV3" s="726"/>
      <c r="ADW3" s="726"/>
      <c r="ADX3" s="727"/>
      <c r="ADY3" s="724"/>
      <c r="ADZ3" s="725"/>
      <c r="AEA3" s="726"/>
      <c r="AEB3" s="726"/>
      <c r="AEC3" s="726"/>
      <c r="AED3" s="726"/>
      <c r="AEE3" s="726"/>
      <c r="AEF3" s="727"/>
      <c r="AEG3" s="728"/>
      <c r="AEH3" s="729"/>
      <c r="AEI3" s="730"/>
      <c r="AEJ3" s="731"/>
      <c r="AEK3" s="731"/>
      <c r="AEL3" s="731"/>
      <c r="AEM3" s="731"/>
      <c r="AEN3" s="732"/>
      <c r="AEO3" s="225"/>
      <c r="AEP3" s="716"/>
      <c r="AEQ3" s="717"/>
      <c r="AER3" s="718"/>
      <c r="AES3" s="718"/>
      <c r="AET3" s="718"/>
      <c r="AEU3" s="718"/>
      <c r="AEV3" s="718"/>
      <c r="AEW3" s="719"/>
      <c r="AEX3" s="720"/>
      <c r="AEY3" s="721"/>
      <c r="AEZ3" s="722"/>
      <c r="AFA3" s="722"/>
      <c r="AFB3" s="722"/>
      <c r="AFC3" s="722"/>
      <c r="AFD3" s="722"/>
      <c r="AFE3" s="723"/>
      <c r="AFF3" s="724"/>
      <c r="AFG3" s="725"/>
      <c r="AFH3" s="726"/>
      <c r="AFI3" s="726"/>
      <c r="AFJ3" s="726"/>
      <c r="AFK3" s="726"/>
      <c r="AFL3" s="726"/>
      <c r="AFM3" s="727"/>
      <c r="AFN3" s="724"/>
      <c r="AFO3" s="725"/>
      <c r="AFP3" s="726"/>
      <c r="AFQ3" s="726"/>
      <c r="AFR3" s="726"/>
      <c r="AFS3" s="726"/>
      <c r="AFT3" s="726"/>
      <c r="AFU3" s="727"/>
      <c r="AFV3" s="728"/>
      <c r="AFW3" s="729"/>
      <c r="AFX3" s="730"/>
      <c r="AFY3" s="731"/>
      <c r="AFZ3" s="731"/>
      <c r="AGA3" s="731"/>
      <c r="AGB3" s="731"/>
      <c r="AGC3" s="732"/>
      <c r="AGD3" s="225"/>
      <c r="AGE3" s="716"/>
      <c r="AGF3" s="717"/>
      <c r="AGG3" s="718"/>
      <c r="AGH3" s="718"/>
      <c r="AGI3" s="718"/>
      <c r="AGJ3" s="718"/>
      <c r="AGK3" s="718"/>
      <c r="AGL3" s="719"/>
      <c r="AGM3" s="720"/>
      <c r="AGN3" s="721"/>
      <c r="AGO3" s="722"/>
      <c r="AGP3" s="722"/>
      <c r="AGQ3" s="722"/>
      <c r="AGR3" s="722"/>
      <c r="AGS3" s="722"/>
      <c r="AGT3" s="723"/>
      <c r="AGU3" s="724"/>
      <c r="AGV3" s="725"/>
      <c r="AGW3" s="726"/>
      <c r="AGX3" s="726"/>
      <c r="AGY3" s="726"/>
      <c r="AGZ3" s="726"/>
      <c r="AHA3" s="726"/>
      <c r="AHB3" s="727"/>
      <c r="AHC3" s="724"/>
      <c r="AHD3" s="725"/>
      <c r="AHE3" s="726"/>
      <c r="AHF3" s="726"/>
      <c r="AHG3" s="726"/>
      <c r="AHH3" s="726"/>
      <c r="AHI3" s="726"/>
      <c r="AHJ3" s="727"/>
      <c r="AHK3" s="728"/>
      <c r="AHL3" s="729"/>
      <c r="AHM3" s="730"/>
      <c r="AHN3" s="731"/>
      <c r="AHO3" s="731"/>
      <c r="AHP3" s="731"/>
      <c r="AHQ3" s="731"/>
      <c r="AHR3" s="732"/>
      <c r="AHS3" s="225"/>
      <c r="AHT3" s="716"/>
      <c r="AHU3" s="717"/>
      <c r="AHV3" s="718"/>
      <c r="AHW3" s="718"/>
      <c r="AHX3" s="718"/>
      <c r="AHY3" s="718"/>
      <c r="AHZ3" s="718"/>
      <c r="AIA3" s="719"/>
      <c r="AIB3" s="720"/>
      <c r="AIC3" s="721"/>
      <c r="AID3" s="722"/>
      <c r="AIE3" s="722"/>
      <c r="AIF3" s="722"/>
      <c r="AIG3" s="722"/>
      <c r="AIH3" s="722"/>
      <c r="AII3" s="723"/>
      <c r="AIJ3" s="724"/>
      <c r="AIK3" s="725"/>
      <c r="AIL3" s="726"/>
      <c r="AIM3" s="726"/>
      <c r="AIN3" s="726"/>
      <c r="AIO3" s="726"/>
      <c r="AIP3" s="726"/>
      <c r="AIQ3" s="727"/>
      <c r="AIR3" s="724"/>
      <c r="AIS3" s="725"/>
      <c r="AIT3" s="726"/>
      <c r="AIU3" s="726"/>
      <c r="AIV3" s="726"/>
      <c r="AIW3" s="726"/>
      <c r="AIX3" s="726"/>
      <c r="AIY3" s="727"/>
      <c r="AIZ3" s="728"/>
      <c r="AJA3" s="729"/>
      <c r="AJB3" s="730"/>
      <c r="AJC3" s="731"/>
      <c r="AJD3" s="731"/>
      <c r="AJE3" s="731"/>
      <c r="AJF3" s="731"/>
      <c r="AJG3" s="732"/>
      <c r="AJH3" s="225"/>
      <c r="AJI3" s="716"/>
      <c r="AJJ3" s="717"/>
      <c r="AJK3" s="718"/>
      <c r="AJL3" s="718"/>
      <c r="AJM3" s="718"/>
      <c r="AJN3" s="718"/>
      <c r="AJO3" s="718"/>
      <c r="AJP3" s="719"/>
      <c r="AJQ3" s="720"/>
      <c r="AJR3" s="721"/>
      <c r="AJS3" s="722"/>
      <c r="AJT3" s="722"/>
      <c r="AJU3" s="722"/>
      <c r="AJV3" s="722"/>
      <c r="AJW3" s="722"/>
      <c r="AJX3" s="723"/>
      <c r="AJY3" s="724"/>
      <c r="AJZ3" s="725"/>
      <c r="AKA3" s="726"/>
      <c r="AKB3" s="726"/>
      <c r="AKC3" s="726"/>
      <c r="AKD3" s="726"/>
      <c r="AKE3" s="726"/>
      <c r="AKF3" s="727"/>
      <c r="AKG3" s="724"/>
      <c r="AKH3" s="725"/>
      <c r="AKI3" s="726"/>
      <c r="AKJ3" s="726"/>
      <c r="AKK3" s="726"/>
      <c r="AKL3" s="726"/>
      <c r="AKM3" s="726"/>
      <c r="AKN3" s="727"/>
      <c r="AKO3" s="728"/>
      <c r="AKP3" s="729"/>
      <c r="AKQ3" s="730"/>
      <c r="AKR3" s="731"/>
      <c r="AKS3" s="731"/>
      <c r="AKT3" s="731"/>
      <c r="AKU3" s="731"/>
      <c r="AKV3" s="732"/>
      <c r="AKW3" s="225"/>
      <c r="AKX3" s="716"/>
      <c r="AKY3" s="717"/>
      <c r="AKZ3" s="718"/>
      <c r="ALA3" s="718"/>
      <c r="ALB3" s="718"/>
      <c r="ALC3" s="718"/>
      <c r="ALD3" s="718"/>
      <c r="ALE3" s="719"/>
      <c r="ALF3" s="720"/>
      <c r="ALG3" s="721"/>
      <c r="ALH3" s="722"/>
      <c r="ALI3" s="722"/>
      <c r="ALJ3" s="722"/>
      <c r="ALK3" s="722"/>
      <c r="ALL3" s="722"/>
      <c r="ALM3" s="723"/>
      <c r="ALN3" s="724"/>
      <c r="ALO3" s="725"/>
      <c r="ALP3" s="726"/>
      <c r="ALQ3" s="726"/>
      <c r="ALR3" s="726"/>
      <c r="ALS3" s="726"/>
      <c r="ALT3" s="726"/>
      <c r="ALU3" s="727"/>
      <c r="ALV3" s="724"/>
      <c r="ALW3" s="725"/>
      <c r="ALX3" s="726"/>
      <c r="ALY3" s="726"/>
      <c r="ALZ3" s="726"/>
      <c r="AMA3" s="726"/>
      <c r="AMB3" s="726"/>
      <c r="AMC3" s="727"/>
      <c r="AMD3" s="728"/>
      <c r="AME3" s="729"/>
      <c r="AMF3" s="730"/>
      <c r="AMG3" s="731"/>
      <c r="AMH3" s="731"/>
      <c r="AMI3" s="731"/>
      <c r="AMJ3" s="731"/>
      <c r="AMK3" s="732"/>
      <c r="AML3" s="225"/>
      <c r="AMM3" s="716"/>
      <c r="AMN3" s="717"/>
      <c r="AMO3" s="718"/>
      <c r="AMP3" s="718"/>
      <c r="AMQ3" s="718"/>
      <c r="AMR3" s="718"/>
      <c r="AMS3" s="718"/>
      <c r="AMT3" s="719"/>
      <c r="AMU3" s="720"/>
      <c r="AMV3" s="721"/>
      <c r="AMW3" s="722"/>
      <c r="AMX3" s="722"/>
      <c r="AMY3" s="722"/>
      <c r="AMZ3" s="722"/>
      <c r="ANA3" s="722"/>
      <c r="ANB3" s="723"/>
      <c r="ANC3" s="724"/>
      <c r="AND3" s="725"/>
      <c r="ANE3" s="726"/>
      <c r="ANF3" s="726"/>
      <c r="ANG3" s="726"/>
      <c r="ANH3" s="726"/>
      <c r="ANI3" s="726"/>
      <c r="ANJ3" s="727"/>
      <c r="ANK3" s="724"/>
      <c r="ANL3" s="725"/>
      <c r="ANM3" s="726"/>
      <c r="ANN3" s="726"/>
      <c r="ANO3" s="726"/>
      <c r="ANP3" s="726"/>
      <c r="ANQ3" s="726"/>
      <c r="ANR3" s="727"/>
      <c r="ANS3" s="728"/>
      <c r="ANT3" s="729"/>
      <c r="ANU3" s="730"/>
      <c r="ANV3" s="731"/>
      <c r="ANW3" s="731"/>
      <c r="ANX3" s="731"/>
      <c r="ANY3" s="731"/>
      <c r="ANZ3" s="732"/>
      <c r="AOA3" s="225"/>
      <c r="AOB3" s="716"/>
      <c r="AOC3" s="717"/>
      <c r="AOD3" s="718"/>
      <c r="AOE3" s="718"/>
      <c r="AOF3" s="718"/>
      <c r="AOG3" s="718"/>
      <c r="AOH3" s="718"/>
      <c r="AOI3" s="719"/>
      <c r="AOJ3" s="720"/>
      <c r="AOK3" s="721"/>
      <c r="AOL3" s="722"/>
      <c r="AOM3" s="722"/>
      <c r="AON3" s="722"/>
      <c r="AOO3" s="722"/>
      <c r="AOP3" s="722"/>
      <c r="AOQ3" s="723"/>
      <c r="AOR3" s="724"/>
      <c r="AOS3" s="725"/>
      <c r="AOT3" s="726"/>
      <c r="AOU3" s="726"/>
      <c r="AOV3" s="726"/>
      <c r="AOW3" s="726"/>
      <c r="AOX3" s="726"/>
      <c r="AOY3" s="727"/>
      <c r="AOZ3" s="724"/>
      <c r="APA3" s="725"/>
      <c r="APB3" s="726"/>
      <c r="APC3" s="726"/>
      <c r="APD3" s="726"/>
      <c r="APE3" s="726"/>
      <c r="APF3" s="726"/>
      <c r="APG3" s="727"/>
      <c r="APH3" s="728"/>
      <c r="API3" s="729"/>
      <c r="APJ3" s="730"/>
      <c r="APK3" s="731"/>
      <c r="APL3" s="731"/>
      <c r="APM3" s="731"/>
      <c r="APN3" s="731"/>
      <c r="APO3" s="732"/>
      <c r="APP3" s="225"/>
      <c r="APQ3" s="716"/>
      <c r="APR3" s="717"/>
      <c r="APS3" s="718"/>
      <c r="APT3" s="718"/>
      <c r="APU3" s="718"/>
      <c r="APV3" s="718"/>
      <c r="APW3" s="718"/>
      <c r="APX3" s="719"/>
      <c r="APY3" s="720"/>
      <c r="APZ3" s="721"/>
      <c r="AQA3" s="722"/>
      <c r="AQB3" s="722"/>
      <c r="AQC3" s="722"/>
      <c r="AQD3" s="722"/>
      <c r="AQE3" s="722"/>
      <c r="AQF3" s="723"/>
      <c r="AQG3" s="724"/>
      <c r="AQH3" s="725"/>
      <c r="AQI3" s="726"/>
      <c r="AQJ3" s="726"/>
      <c r="AQK3" s="726"/>
      <c r="AQL3" s="726"/>
      <c r="AQM3" s="726"/>
      <c r="AQN3" s="727"/>
      <c r="AQO3" s="724"/>
      <c r="AQP3" s="725"/>
      <c r="AQQ3" s="726"/>
      <c r="AQR3" s="726"/>
      <c r="AQS3" s="726"/>
      <c r="AQT3" s="726"/>
      <c r="AQU3" s="726"/>
      <c r="AQV3" s="727"/>
      <c r="AQW3" s="728"/>
      <c r="AQX3" s="729"/>
      <c r="AQY3" s="730"/>
      <c r="AQZ3" s="731"/>
      <c r="ARA3" s="731"/>
      <c r="ARB3" s="731"/>
      <c r="ARC3" s="731"/>
      <c r="ARD3" s="732"/>
      <c r="ARE3" s="225"/>
      <c r="ARF3" s="716"/>
      <c r="ARG3" s="717"/>
      <c r="ARH3" s="718"/>
      <c r="ARI3" s="718"/>
      <c r="ARJ3" s="718"/>
      <c r="ARK3" s="718"/>
      <c r="ARL3" s="718"/>
      <c r="ARM3" s="719"/>
      <c r="ARN3" s="720"/>
      <c r="ARO3" s="721"/>
      <c r="ARP3" s="722"/>
      <c r="ARQ3" s="722"/>
      <c r="ARR3" s="722"/>
      <c r="ARS3" s="722"/>
      <c r="ART3" s="722"/>
      <c r="ARU3" s="723"/>
      <c r="ARV3" s="724"/>
      <c r="ARW3" s="725"/>
      <c r="ARX3" s="726"/>
      <c r="ARY3" s="726"/>
      <c r="ARZ3" s="726"/>
      <c r="ASA3" s="726"/>
      <c r="ASB3" s="726"/>
      <c r="ASC3" s="727"/>
      <c r="ASD3" s="724"/>
      <c r="ASE3" s="725"/>
      <c r="ASF3" s="726"/>
      <c r="ASG3" s="726"/>
      <c r="ASH3" s="726"/>
      <c r="ASI3" s="726"/>
      <c r="ASJ3" s="726"/>
      <c r="ASK3" s="727"/>
      <c r="ASL3" s="728"/>
      <c r="ASM3" s="729"/>
      <c r="ASN3" s="730"/>
      <c r="ASO3" s="731"/>
      <c r="ASP3" s="731"/>
      <c r="ASQ3" s="731"/>
      <c r="ASR3" s="731"/>
      <c r="ASS3" s="732"/>
      <c r="AST3" s="225"/>
      <c r="ASU3" s="716"/>
      <c r="ASV3" s="717"/>
      <c r="ASW3" s="718"/>
      <c r="ASX3" s="718"/>
      <c r="ASY3" s="718"/>
      <c r="ASZ3" s="718"/>
      <c r="ATA3" s="718"/>
      <c r="ATB3" s="719"/>
      <c r="ATC3" s="720"/>
      <c r="ATD3" s="721"/>
      <c r="ATE3" s="722"/>
      <c r="ATF3" s="722"/>
      <c r="ATG3" s="722"/>
      <c r="ATH3" s="722"/>
      <c r="ATI3" s="722"/>
      <c r="ATJ3" s="723"/>
      <c r="ATK3" s="724"/>
      <c r="ATL3" s="725"/>
      <c r="ATM3" s="726"/>
      <c r="ATN3" s="726"/>
      <c r="ATO3" s="726"/>
      <c r="ATP3" s="726"/>
      <c r="ATQ3" s="726"/>
      <c r="ATR3" s="727"/>
      <c r="ATS3" s="724"/>
      <c r="ATT3" s="725"/>
      <c r="ATU3" s="726"/>
      <c r="ATV3" s="726"/>
      <c r="ATW3" s="726"/>
      <c r="ATX3" s="726"/>
      <c r="ATY3" s="726"/>
      <c r="ATZ3" s="727"/>
      <c r="AUA3" s="728"/>
      <c r="AUB3" s="729"/>
      <c r="AUC3" s="730"/>
      <c r="AUD3" s="731"/>
      <c r="AUE3" s="731"/>
      <c r="AUF3" s="731"/>
      <c r="AUG3" s="731"/>
      <c r="AUH3" s="732"/>
      <c r="AUI3" s="225"/>
      <c r="AUJ3" s="716"/>
      <c r="AUK3" s="717"/>
      <c r="AUL3" s="718"/>
      <c r="AUM3" s="718"/>
      <c r="AUN3" s="718"/>
      <c r="AUO3" s="718"/>
      <c r="AUP3" s="718"/>
      <c r="AUQ3" s="719"/>
      <c r="AUR3" s="720"/>
      <c r="AUS3" s="721"/>
      <c r="AUT3" s="722"/>
      <c r="AUU3" s="722"/>
      <c r="AUV3" s="722"/>
      <c r="AUW3" s="722"/>
      <c r="AUX3" s="722"/>
      <c r="AUY3" s="723"/>
      <c r="AUZ3" s="724"/>
      <c r="AVA3" s="725"/>
      <c r="AVB3" s="726"/>
      <c r="AVC3" s="726"/>
      <c r="AVD3" s="726"/>
      <c r="AVE3" s="726"/>
      <c r="AVF3" s="726"/>
      <c r="AVG3" s="727"/>
      <c r="AVH3" s="724"/>
      <c r="AVI3" s="725"/>
      <c r="AVJ3" s="726"/>
      <c r="AVK3" s="726"/>
      <c r="AVL3" s="726"/>
      <c r="AVM3" s="726"/>
      <c r="AVN3" s="726"/>
      <c r="AVO3" s="727"/>
      <c r="AVP3" s="728"/>
      <c r="AVQ3" s="729"/>
      <c r="AVR3" s="730"/>
      <c r="AVS3" s="731"/>
      <c r="AVT3" s="731"/>
      <c r="AVU3" s="731"/>
      <c r="AVV3" s="731"/>
      <c r="AVW3" s="732"/>
      <c r="AVX3" s="225"/>
      <c r="AVY3" s="716"/>
      <c r="AVZ3" s="717"/>
      <c r="AWA3" s="718"/>
      <c r="AWB3" s="718"/>
      <c r="AWC3" s="718"/>
      <c r="AWD3" s="718"/>
      <c r="AWE3" s="718"/>
      <c r="AWF3" s="719"/>
      <c r="AWG3" s="720"/>
      <c r="AWH3" s="721"/>
      <c r="AWI3" s="722"/>
      <c r="AWJ3" s="722"/>
      <c r="AWK3" s="722"/>
      <c r="AWL3" s="722"/>
      <c r="AWM3" s="722"/>
      <c r="AWN3" s="723"/>
      <c r="AWO3" s="724"/>
      <c r="AWP3" s="725"/>
      <c r="AWQ3" s="726"/>
      <c r="AWR3" s="726"/>
      <c r="AWS3" s="726"/>
      <c r="AWT3" s="726"/>
      <c r="AWU3" s="726"/>
      <c r="AWV3" s="727"/>
      <c r="AWW3" s="724"/>
      <c r="AWX3" s="725"/>
      <c r="AWY3" s="726"/>
      <c r="AWZ3" s="726"/>
      <c r="AXA3" s="726"/>
      <c r="AXB3" s="726"/>
      <c r="AXC3" s="726"/>
      <c r="AXD3" s="727"/>
      <c r="AXE3" s="728"/>
      <c r="AXF3" s="729"/>
      <c r="AXG3" s="730"/>
      <c r="AXH3" s="731"/>
      <c r="AXI3" s="731"/>
      <c r="AXJ3" s="731"/>
      <c r="AXK3" s="731"/>
      <c r="AXL3" s="732"/>
      <c r="AXM3" s="225"/>
      <c r="AXN3" s="716"/>
      <c r="AXO3" s="717"/>
      <c r="AXP3" s="718"/>
      <c r="AXQ3" s="718"/>
      <c r="AXR3" s="718"/>
      <c r="AXS3" s="718"/>
      <c r="AXT3" s="718"/>
      <c r="AXU3" s="719"/>
      <c r="AXV3" s="720"/>
      <c r="AXW3" s="721"/>
      <c r="AXX3" s="722"/>
      <c r="AXY3" s="722"/>
      <c r="AXZ3" s="722"/>
      <c r="AYA3" s="722"/>
      <c r="AYB3" s="722"/>
      <c r="AYC3" s="723"/>
      <c r="AYD3" s="724"/>
      <c r="AYE3" s="725"/>
      <c r="AYF3" s="726"/>
      <c r="AYG3" s="726"/>
      <c r="AYH3" s="726"/>
      <c r="AYI3" s="726"/>
      <c r="AYJ3" s="726"/>
      <c r="AYK3" s="727"/>
      <c r="AYL3" s="724"/>
      <c r="AYM3" s="725"/>
      <c r="AYN3" s="726"/>
      <c r="AYO3" s="726"/>
      <c r="AYP3" s="726"/>
      <c r="AYQ3" s="726"/>
      <c r="AYR3" s="726"/>
      <c r="AYS3" s="727"/>
      <c r="AYT3" s="728"/>
      <c r="AYU3" s="729"/>
      <c r="AYV3" s="730"/>
      <c r="AYW3" s="731"/>
      <c r="AYX3" s="731"/>
      <c r="AYY3" s="731"/>
      <c r="AYZ3" s="731"/>
      <c r="AZA3" s="732"/>
      <c r="AZB3" s="225"/>
      <c r="AZC3" s="716"/>
      <c r="AZD3" s="717"/>
      <c r="AZE3" s="718"/>
      <c r="AZF3" s="718"/>
      <c r="AZG3" s="718"/>
      <c r="AZH3" s="718"/>
      <c r="AZI3" s="718"/>
      <c r="AZJ3" s="719"/>
      <c r="AZK3" s="720"/>
      <c r="AZL3" s="721"/>
      <c r="AZM3" s="722"/>
      <c r="AZN3" s="722"/>
      <c r="AZO3" s="722"/>
      <c r="AZP3" s="722"/>
      <c r="AZQ3" s="722"/>
      <c r="AZR3" s="723"/>
      <c r="AZS3" s="724"/>
      <c r="AZT3" s="725"/>
      <c r="AZU3" s="726"/>
      <c r="AZV3" s="726"/>
      <c r="AZW3" s="726"/>
      <c r="AZX3" s="726"/>
      <c r="AZY3" s="726"/>
      <c r="AZZ3" s="727"/>
      <c r="BAA3" s="724"/>
      <c r="BAB3" s="725"/>
      <c r="BAC3" s="726"/>
      <c r="BAD3" s="726"/>
      <c r="BAE3" s="726"/>
      <c r="BAF3" s="726"/>
      <c r="BAG3" s="726"/>
      <c r="BAH3" s="727"/>
      <c r="BAI3" s="728"/>
      <c r="BAJ3" s="729"/>
      <c r="BAK3" s="730"/>
      <c r="BAL3" s="731"/>
      <c r="BAM3" s="731"/>
      <c r="BAN3" s="731"/>
      <c r="BAO3" s="731"/>
      <c r="BAP3" s="732"/>
      <c r="BAQ3" s="225"/>
      <c r="BAR3" s="716"/>
      <c r="BAS3" s="717"/>
      <c r="BAT3" s="718"/>
      <c r="BAU3" s="718"/>
      <c r="BAV3" s="718"/>
      <c r="BAW3" s="718"/>
      <c r="BAX3" s="718"/>
      <c r="BAY3" s="719"/>
      <c r="BAZ3" s="720"/>
      <c r="BBA3" s="721"/>
      <c r="BBB3" s="722"/>
      <c r="BBC3" s="722"/>
      <c r="BBD3" s="722"/>
      <c r="BBE3" s="722"/>
      <c r="BBF3" s="722"/>
      <c r="BBG3" s="723"/>
      <c r="BBH3" s="724"/>
      <c r="BBI3" s="725"/>
      <c r="BBJ3" s="726"/>
      <c r="BBK3" s="726"/>
      <c r="BBL3" s="726"/>
      <c r="BBM3" s="726"/>
      <c r="BBN3" s="726"/>
      <c r="BBO3" s="727"/>
      <c r="BBP3" s="724"/>
      <c r="BBQ3" s="725"/>
      <c r="BBR3" s="726"/>
      <c r="BBS3" s="726"/>
      <c r="BBT3" s="726"/>
      <c r="BBU3" s="726"/>
      <c r="BBV3" s="726"/>
      <c r="BBW3" s="727"/>
      <c r="BBX3" s="728"/>
      <c r="BBY3" s="729"/>
      <c r="BBZ3" s="730"/>
      <c r="BCA3" s="731"/>
      <c r="BCB3" s="731"/>
      <c r="BCC3" s="731"/>
      <c r="BCD3" s="731"/>
      <c r="BCE3" s="732"/>
      <c r="BCF3" s="225"/>
      <c r="BCG3" s="716"/>
      <c r="BCH3" s="717"/>
      <c r="BCI3" s="718"/>
      <c r="BCJ3" s="718"/>
      <c r="BCK3" s="718"/>
      <c r="BCL3" s="718"/>
      <c r="BCM3" s="718"/>
      <c r="BCN3" s="719"/>
      <c r="BCO3" s="720"/>
      <c r="BCP3" s="721"/>
      <c r="BCQ3" s="722"/>
      <c r="BCR3" s="722"/>
      <c r="BCS3" s="722"/>
      <c r="BCT3" s="722"/>
      <c r="BCU3" s="722"/>
      <c r="BCV3" s="723"/>
      <c r="BCW3" s="724"/>
      <c r="BCX3" s="725"/>
      <c r="BCY3" s="726"/>
      <c r="BCZ3" s="726"/>
      <c r="BDA3" s="726"/>
      <c r="BDB3" s="726"/>
      <c r="BDC3" s="726"/>
      <c r="BDD3" s="727"/>
      <c r="BDE3" s="724"/>
      <c r="BDF3" s="725"/>
      <c r="BDG3" s="726"/>
      <c r="BDH3" s="726"/>
      <c r="BDI3" s="726"/>
      <c r="BDJ3" s="726"/>
      <c r="BDK3" s="726"/>
      <c r="BDL3" s="727"/>
      <c r="BDM3" s="728"/>
      <c r="BDN3" s="729"/>
      <c r="BDO3" s="730"/>
      <c r="BDP3" s="731"/>
      <c r="BDQ3" s="731"/>
      <c r="BDR3" s="731"/>
      <c r="BDS3" s="731"/>
      <c r="BDT3" s="732"/>
      <c r="BDU3" s="225"/>
      <c r="BDV3" s="716"/>
      <c r="BDW3" s="717"/>
      <c r="BDX3" s="718"/>
      <c r="BDY3" s="718"/>
      <c r="BDZ3" s="718"/>
      <c r="BEA3" s="718"/>
      <c r="BEB3" s="718"/>
      <c r="BEC3" s="719"/>
      <c r="BED3" s="720"/>
      <c r="BEE3" s="721"/>
      <c r="BEF3" s="722"/>
      <c r="BEG3" s="722"/>
      <c r="BEH3" s="722"/>
      <c r="BEI3" s="722"/>
      <c r="BEJ3" s="722"/>
      <c r="BEK3" s="723"/>
      <c r="BEL3" s="724"/>
      <c r="BEM3" s="725"/>
      <c r="BEN3" s="726"/>
      <c r="BEO3" s="726"/>
      <c r="BEP3" s="726"/>
      <c r="BEQ3" s="726"/>
      <c r="BER3" s="726"/>
      <c r="BES3" s="727"/>
      <c r="BET3" s="724"/>
      <c r="BEU3" s="725"/>
      <c r="BEV3" s="726"/>
      <c r="BEW3" s="726"/>
      <c r="BEX3" s="726"/>
      <c r="BEY3" s="726"/>
      <c r="BEZ3" s="726"/>
      <c r="BFA3" s="727"/>
      <c r="BFB3" s="728"/>
      <c r="BFC3" s="729"/>
      <c r="BFD3" s="730"/>
      <c r="BFE3" s="731"/>
      <c r="BFF3" s="731"/>
      <c r="BFG3" s="731"/>
      <c r="BFH3" s="731"/>
      <c r="BFI3" s="732"/>
      <c r="BFJ3" s="225"/>
      <c r="BFK3" s="716"/>
      <c r="BFL3" s="717"/>
      <c r="BFM3" s="718"/>
      <c r="BFN3" s="718"/>
      <c r="BFO3" s="718"/>
      <c r="BFP3" s="718"/>
      <c r="BFQ3" s="718"/>
      <c r="BFR3" s="719"/>
      <c r="BFS3" s="720"/>
      <c r="BFT3" s="721"/>
      <c r="BFU3" s="722"/>
      <c r="BFV3" s="722"/>
      <c r="BFW3" s="722"/>
      <c r="BFX3" s="722"/>
      <c r="BFY3" s="722"/>
      <c r="BFZ3" s="723"/>
      <c r="BGA3" s="724"/>
      <c r="BGB3" s="725"/>
      <c r="BGC3" s="726"/>
      <c r="BGD3" s="726"/>
      <c r="BGE3" s="726"/>
      <c r="BGF3" s="726"/>
      <c r="BGG3" s="726"/>
      <c r="BGH3" s="727"/>
      <c r="BGI3" s="724"/>
      <c r="BGJ3" s="725"/>
      <c r="BGK3" s="726"/>
      <c r="BGL3" s="726"/>
      <c r="BGM3" s="726"/>
      <c r="BGN3" s="726"/>
      <c r="BGO3" s="726"/>
      <c r="BGP3" s="727"/>
      <c r="BGQ3" s="728"/>
      <c r="BGR3" s="729"/>
      <c r="BGS3" s="730"/>
      <c r="BGT3" s="731"/>
      <c r="BGU3" s="731"/>
      <c r="BGV3" s="731"/>
      <c r="BGW3" s="731"/>
      <c r="BGX3" s="732"/>
      <c r="BGY3" s="225"/>
      <c r="BGZ3" s="716"/>
      <c r="BHA3" s="717"/>
      <c r="BHB3" s="718"/>
      <c r="BHC3" s="718"/>
      <c r="BHD3" s="718"/>
      <c r="BHE3" s="718"/>
      <c r="BHF3" s="718"/>
      <c r="BHG3" s="719"/>
      <c r="BHH3" s="720"/>
      <c r="BHI3" s="721"/>
      <c r="BHJ3" s="722"/>
      <c r="BHK3" s="722"/>
      <c r="BHL3" s="722"/>
      <c r="BHM3" s="722"/>
      <c r="BHN3" s="722"/>
      <c r="BHO3" s="723"/>
      <c r="BHP3" s="724"/>
      <c r="BHQ3" s="725"/>
      <c r="BHR3" s="726"/>
      <c r="BHS3" s="726"/>
      <c r="BHT3" s="726"/>
      <c r="BHU3" s="726"/>
      <c r="BHV3" s="726"/>
      <c r="BHW3" s="727"/>
      <c r="BHX3" s="724"/>
      <c r="BHY3" s="725"/>
      <c r="BHZ3" s="726"/>
      <c r="BIA3" s="726"/>
      <c r="BIB3" s="726"/>
      <c r="BIC3" s="726"/>
      <c r="BID3" s="726"/>
      <c r="BIE3" s="727"/>
      <c r="BIF3" s="728"/>
      <c r="BIG3" s="729"/>
      <c r="BIH3" s="730"/>
      <c r="BII3" s="731"/>
      <c r="BIJ3" s="731"/>
      <c r="BIK3" s="731"/>
      <c r="BIL3" s="731"/>
      <c r="BIM3" s="732"/>
      <c r="BIN3" s="225"/>
      <c r="BIO3" s="716"/>
      <c r="BIP3" s="717"/>
      <c r="BIQ3" s="718"/>
      <c r="BIR3" s="718"/>
      <c r="BIS3" s="718"/>
      <c r="BIT3" s="718"/>
      <c r="BIU3" s="718"/>
      <c r="BIV3" s="719"/>
      <c r="BIW3" s="720"/>
      <c r="BIX3" s="721"/>
      <c r="BIY3" s="722"/>
      <c r="BIZ3" s="722"/>
      <c r="BJA3" s="722"/>
      <c r="BJB3" s="722"/>
      <c r="BJC3" s="722"/>
      <c r="BJD3" s="723"/>
      <c r="BJE3" s="724"/>
      <c r="BJF3" s="725"/>
      <c r="BJG3" s="726"/>
      <c r="BJH3" s="726"/>
      <c r="BJI3" s="726"/>
      <c r="BJJ3" s="726"/>
      <c r="BJK3" s="726"/>
      <c r="BJL3" s="727"/>
      <c r="BJM3" s="724"/>
      <c r="BJN3" s="725"/>
      <c r="BJO3" s="726"/>
      <c r="BJP3" s="726"/>
      <c r="BJQ3" s="726"/>
      <c r="BJR3" s="726"/>
      <c r="BJS3" s="726"/>
      <c r="BJT3" s="727"/>
      <c r="BJU3" s="728"/>
      <c r="BJV3" s="729"/>
      <c r="BJW3" s="730"/>
      <c r="BJX3" s="731"/>
      <c r="BJY3" s="731"/>
      <c r="BJZ3" s="731"/>
      <c r="BKA3" s="731"/>
      <c r="BKB3" s="732"/>
      <c r="BKC3" s="225"/>
      <c r="BKD3" s="716"/>
      <c r="BKE3" s="717"/>
      <c r="BKF3" s="718"/>
      <c r="BKG3" s="718"/>
      <c r="BKH3" s="718"/>
      <c r="BKI3" s="718"/>
      <c r="BKJ3" s="718"/>
      <c r="BKK3" s="719"/>
      <c r="BKL3" s="720"/>
      <c r="BKM3" s="721"/>
      <c r="BKN3" s="722"/>
      <c r="BKO3" s="722"/>
      <c r="BKP3" s="722"/>
      <c r="BKQ3" s="722"/>
      <c r="BKR3" s="722"/>
      <c r="BKS3" s="723"/>
      <c r="BKT3" s="724"/>
      <c r="BKU3" s="725"/>
      <c r="BKV3" s="726"/>
      <c r="BKW3" s="726"/>
      <c r="BKX3" s="726"/>
      <c r="BKY3" s="726"/>
      <c r="BKZ3" s="726"/>
      <c r="BLA3" s="727"/>
      <c r="BLB3" s="724"/>
      <c r="BLC3" s="725"/>
      <c r="BLD3" s="726"/>
      <c r="BLE3" s="726"/>
      <c r="BLF3" s="726"/>
      <c r="BLG3" s="726"/>
      <c r="BLH3" s="726"/>
      <c r="BLI3" s="727"/>
      <c r="BLJ3" s="728"/>
      <c r="BLK3" s="729"/>
      <c r="BLL3" s="730"/>
      <c r="BLM3" s="731"/>
      <c r="BLN3" s="731"/>
      <c r="BLO3" s="731"/>
      <c r="BLP3" s="731"/>
      <c r="BLQ3" s="732"/>
      <c r="BLR3" s="225"/>
      <c r="BLS3" s="716"/>
      <c r="BLT3" s="717"/>
      <c r="BLU3" s="718"/>
      <c r="BLV3" s="718"/>
      <c r="BLW3" s="718"/>
      <c r="BLX3" s="718"/>
      <c r="BLY3" s="718"/>
      <c r="BLZ3" s="719"/>
      <c r="BMA3" s="720"/>
      <c r="BMB3" s="721"/>
      <c r="BMC3" s="722"/>
      <c r="BMD3" s="722"/>
      <c r="BME3" s="722"/>
      <c r="BMF3" s="722"/>
      <c r="BMG3" s="722"/>
      <c r="BMH3" s="723"/>
      <c r="BMI3" s="724"/>
      <c r="BMJ3" s="725"/>
      <c r="BMK3" s="726"/>
      <c r="BML3" s="726"/>
      <c r="BMM3" s="726"/>
      <c r="BMN3" s="726"/>
      <c r="BMO3" s="726"/>
      <c r="BMP3" s="727"/>
      <c r="BMQ3" s="724"/>
      <c r="BMR3" s="725"/>
      <c r="BMS3" s="726"/>
      <c r="BMT3" s="726"/>
      <c r="BMU3" s="726"/>
      <c r="BMV3" s="726"/>
      <c r="BMW3" s="726"/>
      <c r="BMX3" s="727"/>
      <c r="BMY3" s="728"/>
      <c r="BMZ3" s="729"/>
      <c r="BNA3" s="730"/>
      <c r="BNB3" s="731"/>
      <c r="BNC3" s="731"/>
      <c r="BND3" s="731"/>
      <c r="BNE3" s="731"/>
      <c r="BNF3" s="732"/>
      <c r="BNG3" s="225"/>
      <c r="BNH3" s="716"/>
      <c r="BNI3" s="717"/>
      <c r="BNJ3" s="718"/>
      <c r="BNK3" s="718"/>
      <c r="BNL3" s="718"/>
      <c r="BNM3" s="718"/>
      <c r="BNN3" s="718"/>
      <c r="BNO3" s="719"/>
      <c r="BNP3" s="720"/>
      <c r="BNQ3" s="721"/>
      <c r="BNR3" s="722"/>
      <c r="BNS3" s="722"/>
      <c r="BNT3" s="722"/>
      <c r="BNU3" s="722"/>
      <c r="BNV3" s="722"/>
      <c r="BNW3" s="723"/>
      <c r="BNX3" s="724"/>
      <c r="BNY3" s="725"/>
      <c r="BNZ3" s="726"/>
      <c r="BOA3" s="726"/>
      <c r="BOB3" s="726"/>
      <c r="BOC3" s="726"/>
      <c r="BOD3" s="726"/>
      <c r="BOE3" s="727"/>
      <c r="BOF3" s="724"/>
      <c r="BOG3" s="725"/>
      <c r="BOH3" s="726"/>
      <c r="BOI3" s="726"/>
      <c r="BOJ3" s="726"/>
      <c r="BOK3" s="726"/>
      <c r="BOL3" s="726"/>
      <c r="BOM3" s="727"/>
      <c r="BON3" s="728"/>
      <c r="BOO3" s="729"/>
      <c r="BOP3" s="730"/>
      <c r="BOQ3" s="731"/>
      <c r="BOR3" s="731"/>
      <c r="BOS3" s="731"/>
      <c r="BOT3" s="731"/>
      <c r="BOU3" s="732"/>
      <c r="BOV3" s="225"/>
      <c r="BOW3" s="716"/>
      <c r="BOX3" s="717"/>
      <c r="BOY3" s="718"/>
      <c r="BOZ3" s="718"/>
      <c r="BPA3" s="718"/>
      <c r="BPB3" s="718"/>
      <c r="BPC3" s="718"/>
      <c r="BPD3" s="719"/>
      <c r="BPE3" s="720"/>
      <c r="BPF3" s="721"/>
      <c r="BPG3" s="722"/>
      <c r="BPH3" s="722"/>
      <c r="BPI3" s="722"/>
      <c r="BPJ3" s="722"/>
      <c r="BPK3" s="722"/>
      <c r="BPL3" s="723"/>
      <c r="BPM3" s="724"/>
      <c r="BPN3" s="725"/>
      <c r="BPO3" s="726"/>
      <c r="BPP3" s="726"/>
      <c r="BPQ3" s="726"/>
      <c r="BPR3" s="726"/>
      <c r="BPS3" s="726"/>
      <c r="BPT3" s="727"/>
      <c r="BPU3" s="724"/>
      <c r="BPV3" s="725"/>
      <c r="BPW3" s="726"/>
      <c r="BPX3" s="726"/>
      <c r="BPY3" s="726"/>
      <c r="BPZ3" s="726"/>
      <c r="BQA3" s="726"/>
      <c r="BQB3" s="727"/>
      <c r="BQC3" s="728"/>
      <c r="BQD3" s="729"/>
      <c r="BQE3" s="730"/>
      <c r="BQF3" s="731"/>
      <c r="BQG3" s="731"/>
      <c r="BQH3" s="731"/>
      <c r="BQI3" s="731"/>
      <c r="BQJ3" s="732"/>
      <c r="BQK3" s="225"/>
      <c r="BQL3" s="716"/>
      <c r="BQM3" s="717"/>
      <c r="BQN3" s="718"/>
      <c r="BQO3" s="718"/>
      <c r="BQP3" s="718"/>
      <c r="BQQ3" s="718"/>
      <c r="BQR3" s="718"/>
      <c r="BQS3" s="719"/>
      <c r="BQT3" s="720"/>
      <c r="BQU3" s="721"/>
      <c r="BQV3" s="722"/>
      <c r="BQW3" s="722"/>
      <c r="BQX3" s="722"/>
      <c r="BQY3" s="722"/>
      <c r="BQZ3" s="722"/>
      <c r="BRA3" s="723"/>
      <c r="BRB3" s="724"/>
      <c r="BRC3" s="725"/>
      <c r="BRD3" s="726"/>
      <c r="BRE3" s="726"/>
      <c r="BRF3" s="726"/>
      <c r="BRG3" s="726"/>
      <c r="BRH3" s="726"/>
      <c r="BRI3" s="727"/>
      <c r="BRJ3" s="724"/>
      <c r="BRK3" s="725"/>
      <c r="BRL3" s="726"/>
      <c r="BRM3" s="726"/>
      <c r="BRN3" s="726"/>
      <c r="BRO3" s="726"/>
      <c r="BRP3" s="726"/>
      <c r="BRQ3" s="727"/>
      <c r="BRR3" s="728"/>
      <c r="BRS3" s="729"/>
      <c r="BRT3" s="730"/>
      <c r="BRU3" s="731"/>
      <c r="BRV3" s="731"/>
      <c r="BRW3" s="731"/>
      <c r="BRX3" s="731"/>
      <c r="BRY3" s="732"/>
      <c r="BRZ3" s="225"/>
      <c r="BSA3" s="716"/>
      <c r="BSB3" s="717"/>
      <c r="BSC3" s="718"/>
      <c r="BSD3" s="718"/>
      <c r="BSE3" s="718"/>
      <c r="BSF3" s="718"/>
      <c r="BSG3" s="718"/>
      <c r="BSH3" s="719"/>
      <c r="BSI3" s="720"/>
      <c r="BSJ3" s="721"/>
      <c r="BSK3" s="722"/>
      <c r="BSL3" s="722"/>
      <c r="BSM3" s="722"/>
      <c r="BSN3" s="722"/>
      <c r="BSO3" s="722"/>
      <c r="BSP3" s="723"/>
      <c r="BSQ3" s="724"/>
      <c r="BSR3" s="725"/>
      <c r="BSS3" s="726"/>
      <c r="BST3" s="726"/>
      <c r="BSU3" s="726"/>
      <c r="BSV3" s="726"/>
      <c r="BSW3" s="726"/>
      <c r="BSX3" s="727"/>
      <c r="BSY3" s="724"/>
      <c r="BSZ3" s="725"/>
      <c r="BTA3" s="726"/>
      <c r="BTB3" s="726"/>
      <c r="BTC3" s="726"/>
      <c r="BTD3" s="726"/>
      <c r="BTE3" s="726"/>
      <c r="BTF3" s="727"/>
      <c r="BTG3" s="728"/>
      <c r="BTH3" s="729"/>
      <c r="BTI3" s="730"/>
      <c r="BTJ3" s="731"/>
      <c r="BTK3" s="731"/>
      <c r="BTL3" s="731"/>
      <c r="BTM3" s="731"/>
      <c r="BTN3" s="732"/>
      <c r="BTO3" s="225"/>
      <c r="BTP3" s="716"/>
      <c r="BTQ3" s="717"/>
      <c r="BTR3" s="718"/>
      <c r="BTS3" s="718"/>
      <c r="BTT3" s="718"/>
      <c r="BTU3" s="718"/>
      <c r="BTV3" s="718"/>
      <c r="BTW3" s="719"/>
      <c r="BTX3" s="720"/>
      <c r="BTY3" s="721"/>
      <c r="BTZ3" s="722"/>
      <c r="BUA3" s="722"/>
      <c r="BUB3" s="722"/>
      <c r="BUC3" s="722"/>
      <c r="BUD3" s="722"/>
      <c r="BUE3" s="723"/>
      <c r="BUF3" s="724"/>
      <c r="BUG3" s="725"/>
      <c r="BUH3" s="726"/>
      <c r="BUI3" s="726"/>
      <c r="BUJ3" s="726"/>
      <c r="BUK3" s="726"/>
      <c r="BUL3" s="726"/>
      <c r="BUM3" s="727"/>
      <c r="BUN3" s="724"/>
      <c r="BUO3" s="725"/>
      <c r="BUP3" s="726"/>
      <c r="BUQ3" s="726"/>
      <c r="BUR3" s="726"/>
      <c r="BUS3" s="726"/>
      <c r="BUT3" s="726"/>
      <c r="BUU3" s="727"/>
      <c r="BUV3" s="728"/>
      <c r="BUW3" s="729"/>
      <c r="BUX3" s="730"/>
      <c r="BUY3" s="731"/>
      <c r="BUZ3" s="731"/>
      <c r="BVA3" s="731"/>
      <c r="BVB3" s="731"/>
      <c r="BVC3" s="732"/>
      <c r="BVD3" s="225"/>
      <c r="BVE3" s="716"/>
      <c r="BVF3" s="717"/>
      <c r="BVG3" s="718"/>
      <c r="BVH3" s="718"/>
      <c r="BVI3" s="718"/>
      <c r="BVJ3" s="718"/>
      <c r="BVK3" s="718"/>
      <c r="BVL3" s="719"/>
      <c r="BVM3" s="720"/>
      <c r="BVN3" s="721"/>
      <c r="BVO3" s="722"/>
      <c r="BVP3" s="722"/>
      <c r="BVQ3" s="722"/>
      <c r="BVR3" s="722"/>
      <c r="BVS3" s="722"/>
      <c r="BVT3" s="723"/>
      <c r="BVU3" s="724"/>
      <c r="BVV3" s="725"/>
      <c r="BVW3" s="726"/>
      <c r="BVX3" s="726"/>
      <c r="BVY3" s="726"/>
      <c r="BVZ3" s="726"/>
      <c r="BWA3" s="726"/>
      <c r="BWB3" s="727"/>
      <c r="BWC3" s="724"/>
      <c r="BWD3" s="725"/>
      <c r="BWE3" s="726"/>
      <c r="BWF3" s="726"/>
      <c r="BWG3" s="726"/>
      <c r="BWH3" s="726"/>
      <c r="BWI3" s="726"/>
      <c r="BWJ3" s="727"/>
      <c r="BWK3" s="728"/>
      <c r="BWL3" s="729"/>
      <c r="BWM3" s="730"/>
      <c r="BWN3" s="731"/>
      <c r="BWO3" s="731"/>
      <c r="BWP3" s="731"/>
      <c r="BWQ3" s="731"/>
      <c r="BWR3" s="732"/>
      <c r="BWS3" s="225"/>
      <c r="BWT3" s="716"/>
      <c r="BWU3" s="717"/>
      <c r="BWV3" s="718"/>
      <c r="BWW3" s="718"/>
      <c r="BWX3" s="718"/>
      <c r="BWY3" s="718"/>
      <c r="BWZ3" s="718"/>
      <c r="BXA3" s="719"/>
      <c r="BXB3" s="720"/>
      <c r="BXC3" s="721"/>
      <c r="BXD3" s="722"/>
      <c r="BXE3" s="722"/>
      <c r="BXF3" s="722"/>
      <c r="BXG3" s="722"/>
      <c r="BXH3" s="722"/>
      <c r="BXI3" s="723"/>
      <c r="BXJ3" s="724"/>
      <c r="BXK3" s="725"/>
      <c r="BXL3" s="726"/>
      <c r="BXM3" s="726"/>
      <c r="BXN3" s="726"/>
      <c r="BXO3" s="726"/>
      <c r="BXP3" s="726"/>
      <c r="BXQ3" s="727"/>
      <c r="BXR3" s="724"/>
      <c r="BXS3" s="725"/>
      <c r="BXT3" s="726"/>
      <c r="BXU3" s="726"/>
      <c r="BXV3" s="726"/>
      <c r="BXW3" s="726"/>
      <c r="BXX3" s="726"/>
      <c r="BXY3" s="727"/>
      <c r="BXZ3" s="728"/>
      <c r="BYA3" s="729"/>
      <c r="BYB3" s="730"/>
      <c r="BYC3" s="731"/>
      <c r="BYD3" s="731"/>
      <c r="BYE3" s="731"/>
      <c r="BYF3" s="731"/>
      <c r="BYG3" s="732"/>
      <c r="BYH3" s="225"/>
      <c r="BYI3" s="716"/>
      <c r="BYJ3" s="717"/>
      <c r="BYK3" s="718"/>
      <c r="BYL3" s="718"/>
      <c r="BYM3" s="718"/>
      <c r="BYN3" s="718"/>
      <c r="BYO3" s="718"/>
      <c r="BYP3" s="719"/>
      <c r="BYQ3" s="720"/>
      <c r="BYR3" s="721"/>
      <c r="BYS3" s="722"/>
      <c r="BYT3" s="722"/>
      <c r="BYU3" s="722"/>
      <c r="BYV3" s="722"/>
      <c r="BYW3" s="722"/>
      <c r="BYX3" s="723"/>
      <c r="BYY3" s="724"/>
      <c r="BYZ3" s="725"/>
      <c r="BZA3" s="726"/>
      <c r="BZB3" s="726"/>
      <c r="BZC3" s="726"/>
      <c r="BZD3" s="726"/>
      <c r="BZE3" s="726"/>
      <c r="BZF3" s="727"/>
      <c r="BZG3" s="724"/>
      <c r="BZH3" s="725"/>
      <c r="BZI3" s="726"/>
      <c r="BZJ3" s="726"/>
      <c r="BZK3" s="726"/>
      <c r="BZL3" s="726"/>
      <c r="BZM3" s="726"/>
      <c r="BZN3" s="727"/>
      <c r="BZO3" s="728"/>
      <c r="BZP3" s="729"/>
      <c r="BZQ3" s="730"/>
      <c r="BZR3" s="731"/>
      <c r="BZS3" s="731"/>
      <c r="BZT3" s="731"/>
      <c r="BZU3" s="731"/>
      <c r="BZV3" s="732"/>
      <c r="BZW3" s="225"/>
      <c r="BZX3" s="716"/>
      <c r="BZY3" s="717"/>
      <c r="BZZ3" s="718"/>
      <c r="CAA3" s="718"/>
      <c r="CAB3" s="718"/>
      <c r="CAC3" s="718"/>
      <c r="CAD3" s="718"/>
      <c r="CAE3" s="719"/>
      <c r="CAF3" s="720"/>
      <c r="CAG3" s="721"/>
      <c r="CAH3" s="722"/>
      <c r="CAI3" s="722"/>
      <c r="CAJ3" s="722"/>
      <c r="CAK3" s="722"/>
      <c r="CAL3" s="722"/>
      <c r="CAM3" s="723"/>
      <c r="CAN3" s="724"/>
      <c r="CAO3" s="725"/>
      <c r="CAP3" s="726"/>
      <c r="CAQ3" s="726"/>
      <c r="CAR3" s="726"/>
      <c r="CAS3" s="726"/>
      <c r="CAT3" s="726"/>
      <c r="CAU3" s="727"/>
      <c r="CAV3" s="724"/>
      <c r="CAW3" s="725"/>
      <c r="CAX3" s="726"/>
      <c r="CAY3" s="726"/>
      <c r="CAZ3" s="726"/>
      <c r="CBA3" s="726"/>
      <c r="CBB3" s="726"/>
      <c r="CBC3" s="727"/>
      <c r="CBD3" s="728"/>
      <c r="CBE3" s="729"/>
      <c r="CBF3" s="730"/>
      <c r="CBG3" s="731"/>
      <c r="CBH3" s="731"/>
      <c r="CBI3" s="731"/>
      <c r="CBJ3" s="731"/>
      <c r="CBK3" s="732"/>
      <c r="CBL3" s="225"/>
      <c r="CBM3" s="716"/>
      <c r="CBN3" s="717"/>
      <c r="CBO3" s="718"/>
      <c r="CBP3" s="718"/>
      <c r="CBQ3" s="718"/>
      <c r="CBR3" s="718"/>
      <c r="CBS3" s="718"/>
      <c r="CBT3" s="719"/>
      <c r="CBU3" s="720"/>
      <c r="CBV3" s="721"/>
      <c r="CBW3" s="722"/>
      <c r="CBX3" s="722"/>
      <c r="CBY3" s="722"/>
      <c r="CBZ3" s="722"/>
      <c r="CCA3" s="722"/>
      <c r="CCB3" s="723"/>
      <c r="CCC3" s="724"/>
      <c r="CCD3" s="725"/>
      <c r="CCE3" s="726"/>
      <c r="CCF3" s="726"/>
      <c r="CCG3" s="726"/>
      <c r="CCH3" s="726"/>
      <c r="CCI3" s="726"/>
      <c r="CCJ3" s="727"/>
      <c r="CCK3" s="724"/>
      <c r="CCL3" s="725"/>
      <c r="CCM3" s="726"/>
      <c r="CCN3" s="726"/>
      <c r="CCO3" s="726"/>
      <c r="CCP3" s="726"/>
      <c r="CCQ3" s="726"/>
      <c r="CCR3" s="727"/>
      <c r="CCS3" s="728"/>
      <c r="CCT3" s="729"/>
      <c r="CCU3" s="730"/>
      <c r="CCV3" s="731"/>
      <c r="CCW3" s="731"/>
      <c r="CCX3" s="731"/>
      <c r="CCY3" s="731"/>
      <c r="CCZ3" s="732"/>
      <c r="CDA3" s="225"/>
      <c r="CDB3" s="716"/>
      <c r="CDC3" s="717"/>
      <c r="CDD3" s="718"/>
      <c r="CDE3" s="718"/>
      <c r="CDF3" s="718"/>
      <c r="CDG3" s="718"/>
      <c r="CDH3" s="718"/>
      <c r="CDI3" s="719"/>
      <c r="CDJ3" s="720"/>
      <c r="CDK3" s="721"/>
      <c r="CDL3" s="722"/>
      <c r="CDM3" s="722"/>
      <c r="CDN3" s="722"/>
      <c r="CDO3" s="722"/>
      <c r="CDP3" s="722"/>
      <c r="CDQ3" s="723"/>
      <c r="CDR3" s="724"/>
      <c r="CDS3" s="725"/>
      <c r="CDT3" s="726"/>
      <c r="CDU3" s="726"/>
      <c r="CDV3" s="726"/>
      <c r="CDW3" s="726"/>
      <c r="CDX3" s="726"/>
      <c r="CDY3" s="727"/>
      <c r="CDZ3" s="724"/>
      <c r="CEA3" s="725"/>
      <c r="CEB3" s="726"/>
      <c r="CEC3" s="726"/>
      <c r="CED3" s="726"/>
      <c r="CEE3" s="726"/>
      <c r="CEF3" s="726"/>
      <c r="CEG3" s="727"/>
      <c r="CEH3" s="728"/>
      <c r="CEI3" s="729"/>
      <c r="CEJ3" s="730"/>
      <c r="CEK3" s="731"/>
      <c r="CEL3" s="731"/>
      <c r="CEM3" s="731"/>
      <c r="CEN3" s="731"/>
      <c r="CEO3" s="732"/>
      <c r="CEP3" s="225"/>
      <c r="CEQ3" s="716"/>
      <c r="CER3" s="717"/>
      <c r="CES3" s="718"/>
      <c r="CET3" s="718"/>
      <c r="CEU3" s="718"/>
      <c r="CEV3" s="718"/>
      <c r="CEW3" s="718"/>
      <c r="CEX3" s="719"/>
      <c r="CEY3" s="720"/>
      <c r="CEZ3" s="721"/>
      <c r="CFA3" s="722"/>
      <c r="CFB3" s="722"/>
      <c r="CFC3" s="722"/>
      <c r="CFD3" s="722"/>
      <c r="CFE3" s="722"/>
      <c r="CFF3" s="723"/>
      <c r="CFG3" s="724"/>
      <c r="CFH3" s="725"/>
      <c r="CFI3" s="726"/>
      <c r="CFJ3" s="726"/>
      <c r="CFK3" s="726"/>
      <c r="CFL3" s="726"/>
      <c r="CFM3" s="726"/>
      <c r="CFN3" s="727"/>
      <c r="CFO3" s="724"/>
      <c r="CFP3" s="725"/>
      <c r="CFQ3" s="726"/>
      <c r="CFR3" s="726"/>
      <c r="CFS3" s="726"/>
      <c r="CFT3" s="726"/>
      <c r="CFU3" s="726"/>
      <c r="CFV3" s="727"/>
      <c r="CFW3" s="728"/>
      <c r="CFX3" s="729"/>
      <c r="CFY3" s="730"/>
      <c r="CFZ3" s="731"/>
      <c r="CGA3" s="731"/>
      <c r="CGB3" s="731"/>
      <c r="CGC3" s="731"/>
      <c r="CGD3" s="732"/>
      <c r="CGE3" s="225"/>
      <c r="CGF3" s="716"/>
      <c r="CGG3" s="717"/>
      <c r="CGH3" s="718"/>
      <c r="CGI3" s="718"/>
      <c r="CGJ3" s="718"/>
      <c r="CGK3" s="718"/>
      <c r="CGL3" s="718"/>
      <c r="CGM3" s="719"/>
      <c r="CGN3" s="720"/>
      <c r="CGO3" s="721"/>
      <c r="CGP3" s="722"/>
      <c r="CGQ3" s="722"/>
      <c r="CGR3" s="722"/>
      <c r="CGS3" s="722"/>
      <c r="CGT3" s="722"/>
      <c r="CGU3" s="723"/>
      <c r="CGV3" s="724"/>
      <c r="CGW3" s="725"/>
      <c r="CGX3" s="726"/>
      <c r="CGY3" s="726"/>
      <c r="CGZ3" s="726"/>
      <c r="CHA3" s="726"/>
      <c r="CHB3" s="726"/>
      <c r="CHC3" s="727"/>
      <c r="CHD3" s="724"/>
      <c r="CHE3" s="725"/>
      <c r="CHF3" s="726"/>
      <c r="CHG3" s="726"/>
      <c r="CHH3" s="726"/>
      <c r="CHI3" s="726"/>
      <c r="CHJ3" s="726"/>
      <c r="CHK3" s="727"/>
      <c r="CHL3" s="728"/>
      <c r="CHM3" s="729"/>
      <c r="CHN3" s="730"/>
      <c r="CHO3" s="731"/>
      <c r="CHP3" s="731"/>
      <c r="CHQ3" s="731"/>
      <c r="CHR3" s="731"/>
      <c r="CHS3" s="732"/>
      <c r="CHT3" s="225"/>
      <c r="CHU3" s="716"/>
      <c r="CHV3" s="717"/>
      <c r="CHW3" s="718"/>
      <c r="CHX3" s="718"/>
      <c r="CHY3" s="718"/>
      <c r="CHZ3" s="718"/>
      <c r="CIA3" s="718"/>
      <c r="CIB3" s="719"/>
      <c r="CIC3" s="720"/>
      <c r="CID3" s="721"/>
      <c r="CIE3" s="722"/>
      <c r="CIF3" s="722"/>
      <c r="CIG3" s="722"/>
      <c r="CIH3" s="722"/>
      <c r="CII3" s="722"/>
      <c r="CIJ3" s="723"/>
      <c r="CIK3" s="724"/>
      <c r="CIL3" s="725"/>
      <c r="CIM3" s="726"/>
      <c r="CIN3" s="726"/>
      <c r="CIO3" s="726"/>
      <c r="CIP3" s="726"/>
      <c r="CIQ3" s="726"/>
      <c r="CIR3" s="727"/>
      <c r="CIS3" s="724"/>
      <c r="CIT3" s="725"/>
      <c r="CIU3" s="726"/>
      <c r="CIV3" s="726"/>
      <c r="CIW3" s="726"/>
      <c r="CIX3" s="726"/>
      <c r="CIY3" s="726"/>
      <c r="CIZ3" s="727"/>
      <c r="CJA3" s="728"/>
      <c r="CJB3" s="729"/>
      <c r="CJC3" s="730"/>
      <c r="CJD3" s="731"/>
      <c r="CJE3" s="731"/>
      <c r="CJF3" s="731"/>
      <c r="CJG3" s="731"/>
      <c r="CJH3" s="732"/>
      <c r="CJI3" s="225"/>
      <c r="CJJ3" s="716"/>
      <c r="CJK3" s="717"/>
      <c r="CJL3" s="718"/>
      <c r="CJM3" s="718"/>
      <c r="CJN3" s="718"/>
      <c r="CJO3" s="718"/>
      <c r="CJP3" s="718"/>
      <c r="CJQ3" s="719"/>
      <c r="CJR3" s="720"/>
      <c r="CJS3" s="721"/>
      <c r="CJT3" s="722"/>
      <c r="CJU3" s="722"/>
      <c r="CJV3" s="722"/>
      <c r="CJW3" s="722"/>
      <c r="CJX3" s="722"/>
      <c r="CJY3" s="723"/>
      <c r="CJZ3" s="724"/>
      <c r="CKA3" s="725"/>
      <c r="CKB3" s="726"/>
      <c r="CKC3" s="726"/>
      <c r="CKD3" s="726"/>
      <c r="CKE3" s="726"/>
      <c r="CKF3" s="726"/>
      <c r="CKG3" s="727"/>
      <c r="CKH3" s="724"/>
      <c r="CKI3" s="725"/>
      <c r="CKJ3" s="726"/>
      <c r="CKK3" s="726"/>
      <c r="CKL3" s="726"/>
      <c r="CKM3" s="726"/>
      <c r="CKN3" s="726"/>
      <c r="CKO3" s="727"/>
      <c r="CKP3" s="728"/>
      <c r="CKQ3" s="729"/>
      <c r="CKR3" s="730"/>
      <c r="CKS3" s="731"/>
      <c r="CKT3" s="731"/>
      <c r="CKU3" s="731"/>
      <c r="CKV3" s="731"/>
      <c r="CKW3" s="732"/>
      <c r="CKX3" s="225"/>
      <c r="CKY3" s="716"/>
      <c r="CKZ3" s="717"/>
      <c r="CLA3" s="718"/>
      <c r="CLB3" s="718"/>
      <c r="CLC3" s="718"/>
      <c r="CLD3" s="718"/>
      <c r="CLE3" s="718"/>
      <c r="CLF3" s="719"/>
      <c r="CLG3" s="720"/>
      <c r="CLH3" s="721"/>
      <c r="CLI3" s="722"/>
      <c r="CLJ3" s="722"/>
      <c r="CLK3" s="722"/>
      <c r="CLL3" s="722"/>
      <c r="CLM3" s="722"/>
      <c r="CLN3" s="723"/>
      <c r="CLO3" s="724"/>
      <c r="CLP3" s="725"/>
      <c r="CLQ3" s="726"/>
      <c r="CLR3" s="726"/>
      <c r="CLS3" s="726"/>
      <c r="CLT3" s="726"/>
      <c r="CLU3" s="726"/>
      <c r="CLV3" s="727"/>
      <c r="CLW3" s="724"/>
      <c r="CLX3" s="725"/>
      <c r="CLY3" s="726"/>
      <c r="CLZ3" s="726"/>
      <c r="CMA3" s="726"/>
      <c r="CMB3" s="726"/>
      <c r="CMC3" s="726"/>
      <c r="CMD3" s="727"/>
      <c r="CME3" s="728"/>
      <c r="CMF3" s="729"/>
      <c r="CMG3" s="730"/>
      <c r="CMH3" s="731"/>
      <c r="CMI3" s="731"/>
      <c r="CMJ3" s="731"/>
      <c r="CMK3" s="731"/>
      <c r="CML3" s="732"/>
      <c r="CMM3" s="225"/>
      <c r="CMN3" s="716"/>
      <c r="CMO3" s="717"/>
      <c r="CMP3" s="718"/>
      <c r="CMQ3" s="718"/>
      <c r="CMR3" s="718"/>
      <c r="CMS3" s="718"/>
      <c r="CMT3" s="718"/>
      <c r="CMU3" s="719"/>
      <c r="CMV3" s="720"/>
      <c r="CMW3" s="721"/>
      <c r="CMX3" s="722"/>
      <c r="CMY3" s="722"/>
      <c r="CMZ3" s="722"/>
      <c r="CNA3" s="722"/>
      <c r="CNB3" s="722"/>
      <c r="CNC3" s="723"/>
      <c r="CND3" s="724"/>
      <c r="CNE3" s="725"/>
      <c r="CNF3" s="726"/>
      <c r="CNG3" s="726"/>
      <c r="CNH3" s="726"/>
      <c r="CNI3" s="726"/>
      <c r="CNJ3" s="726"/>
      <c r="CNK3" s="727"/>
      <c r="CNL3" s="724"/>
      <c r="CNM3" s="725"/>
      <c r="CNN3" s="726"/>
      <c r="CNO3" s="726"/>
      <c r="CNP3" s="726"/>
      <c r="CNQ3" s="726"/>
      <c r="CNR3" s="726"/>
      <c r="CNS3" s="727"/>
      <c r="CNT3" s="728"/>
      <c r="CNU3" s="729"/>
      <c r="CNV3" s="730"/>
      <c r="CNW3" s="731"/>
      <c r="CNX3" s="731"/>
      <c r="CNY3" s="731"/>
      <c r="CNZ3" s="731"/>
      <c r="COA3" s="732"/>
      <c r="COB3" s="225"/>
      <c r="COC3" s="716"/>
      <c r="COD3" s="717"/>
      <c r="COE3" s="718"/>
      <c r="COF3" s="718"/>
      <c r="COG3" s="718"/>
      <c r="COH3" s="718"/>
      <c r="COI3" s="718"/>
      <c r="COJ3" s="719"/>
      <c r="COK3" s="720"/>
      <c r="COL3" s="721"/>
      <c r="COM3" s="722"/>
      <c r="CON3" s="722"/>
      <c r="COO3" s="722"/>
      <c r="COP3" s="722"/>
      <c r="COQ3" s="722"/>
      <c r="COR3" s="723"/>
      <c r="COS3" s="724"/>
      <c r="COT3" s="725"/>
      <c r="COU3" s="726"/>
      <c r="COV3" s="726"/>
      <c r="COW3" s="726"/>
      <c r="COX3" s="726"/>
      <c r="COY3" s="726"/>
      <c r="COZ3" s="727"/>
      <c r="CPA3" s="724"/>
      <c r="CPB3" s="725"/>
      <c r="CPC3" s="726"/>
      <c r="CPD3" s="726"/>
      <c r="CPE3" s="726"/>
      <c r="CPF3" s="726"/>
      <c r="CPG3" s="726"/>
      <c r="CPH3" s="727"/>
      <c r="CPI3" s="728"/>
      <c r="CPJ3" s="729"/>
      <c r="CPK3" s="730"/>
      <c r="CPL3" s="731"/>
      <c r="CPM3" s="731"/>
      <c r="CPN3" s="731"/>
      <c r="CPO3" s="731"/>
      <c r="CPP3" s="732"/>
      <c r="CPQ3" s="225"/>
      <c r="CPR3" s="716"/>
      <c r="CPS3" s="717"/>
      <c r="CPT3" s="718"/>
      <c r="CPU3" s="718"/>
      <c r="CPV3" s="718"/>
      <c r="CPW3" s="718"/>
      <c r="CPX3" s="718"/>
      <c r="CPY3" s="719"/>
      <c r="CPZ3" s="720"/>
      <c r="CQA3" s="721"/>
      <c r="CQB3" s="722"/>
      <c r="CQC3" s="722"/>
      <c r="CQD3" s="722"/>
      <c r="CQE3" s="722"/>
      <c r="CQF3" s="722"/>
      <c r="CQG3" s="723"/>
      <c r="CQH3" s="724"/>
      <c r="CQI3" s="725"/>
      <c r="CQJ3" s="726"/>
      <c r="CQK3" s="726"/>
      <c r="CQL3" s="726"/>
      <c r="CQM3" s="726"/>
      <c r="CQN3" s="726"/>
      <c r="CQO3" s="727"/>
      <c r="CQP3" s="724"/>
      <c r="CQQ3" s="725"/>
      <c r="CQR3" s="726"/>
      <c r="CQS3" s="726"/>
      <c r="CQT3" s="726"/>
      <c r="CQU3" s="726"/>
      <c r="CQV3" s="726"/>
      <c r="CQW3" s="727"/>
      <c r="CQX3" s="728"/>
      <c r="CQY3" s="729"/>
      <c r="CQZ3" s="730"/>
      <c r="CRA3" s="731"/>
      <c r="CRB3" s="731"/>
      <c r="CRC3" s="731"/>
      <c r="CRD3" s="731"/>
      <c r="CRE3" s="732"/>
      <c r="CRF3" s="225"/>
      <c r="CRG3" s="716"/>
      <c r="CRH3" s="717"/>
      <c r="CRI3" s="718"/>
      <c r="CRJ3" s="718"/>
      <c r="CRK3" s="718"/>
      <c r="CRL3" s="718"/>
      <c r="CRM3" s="718"/>
      <c r="CRN3" s="719"/>
      <c r="CRO3" s="720"/>
      <c r="CRP3" s="721"/>
      <c r="CRQ3" s="722"/>
      <c r="CRR3" s="722"/>
      <c r="CRS3" s="722"/>
      <c r="CRT3" s="722"/>
      <c r="CRU3" s="722"/>
      <c r="CRV3" s="723"/>
      <c r="CRW3" s="724"/>
      <c r="CRX3" s="725"/>
      <c r="CRY3" s="726"/>
      <c r="CRZ3" s="726"/>
      <c r="CSA3" s="726"/>
      <c r="CSB3" s="726"/>
      <c r="CSC3" s="726"/>
      <c r="CSD3" s="727"/>
      <c r="CSE3" s="724"/>
      <c r="CSF3" s="725"/>
      <c r="CSG3" s="726"/>
      <c r="CSH3" s="726"/>
      <c r="CSI3" s="726"/>
      <c r="CSJ3" s="726"/>
      <c r="CSK3" s="726"/>
      <c r="CSL3" s="727"/>
      <c r="CSM3" s="728"/>
      <c r="CSN3" s="729"/>
      <c r="CSO3" s="730"/>
      <c r="CSP3" s="731"/>
      <c r="CSQ3" s="731"/>
      <c r="CSR3" s="731"/>
      <c r="CSS3" s="731"/>
      <c r="CST3" s="732"/>
      <c r="CSU3" s="225"/>
      <c r="CSV3" s="716"/>
      <c r="CSW3" s="717"/>
      <c r="CSX3" s="718"/>
      <c r="CSY3" s="718"/>
      <c r="CSZ3" s="718"/>
      <c r="CTA3" s="718"/>
      <c r="CTB3" s="718"/>
      <c r="CTC3" s="719"/>
      <c r="CTD3" s="720"/>
      <c r="CTE3" s="721"/>
      <c r="CTF3" s="722"/>
      <c r="CTG3" s="722"/>
      <c r="CTH3" s="722"/>
      <c r="CTI3" s="722"/>
      <c r="CTJ3" s="722"/>
      <c r="CTK3" s="723"/>
      <c r="CTL3" s="724"/>
      <c r="CTM3" s="725"/>
      <c r="CTN3" s="726"/>
      <c r="CTO3" s="726"/>
      <c r="CTP3" s="726"/>
      <c r="CTQ3" s="726"/>
      <c r="CTR3" s="726"/>
      <c r="CTS3" s="727"/>
      <c r="CTT3" s="724"/>
      <c r="CTU3" s="725"/>
      <c r="CTV3" s="726"/>
      <c r="CTW3" s="726"/>
      <c r="CTX3" s="726"/>
      <c r="CTY3" s="726"/>
      <c r="CTZ3" s="726"/>
      <c r="CUA3" s="727"/>
      <c r="CUB3" s="728"/>
      <c r="CUC3" s="729"/>
      <c r="CUD3" s="730"/>
      <c r="CUE3" s="731"/>
      <c r="CUF3" s="731"/>
      <c r="CUG3" s="731"/>
      <c r="CUH3" s="731"/>
      <c r="CUI3" s="732"/>
      <c r="CUJ3" s="225"/>
      <c r="CUK3" s="716"/>
      <c r="CUL3" s="717"/>
      <c r="CUM3" s="718"/>
      <c r="CUN3" s="718"/>
      <c r="CUO3" s="718"/>
      <c r="CUP3" s="718"/>
      <c r="CUQ3" s="718"/>
      <c r="CUR3" s="719"/>
      <c r="CUS3" s="720"/>
      <c r="CUT3" s="721"/>
      <c r="CUU3" s="722"/>
      <c r="CUV3" s="722"/>
      <c r="CUW3" s="722"/>
      <c r="CUX3" s="722"/>
      <c r="CUY3" s="722"/>
      <c r="CUZ3" s="723"/>
      <c r="CVA3" s="724"/>
      <c r="CVB3" s="725"/>
      <c r="CVC3" s="726"/>
      <c r="CVD3" s="726"/>
      <c r="CVE3" s="726"/>
      <c r="CVF3" s="726"/>
      <c r="CVG3" s="726"/>
      <c r="CVH3" s="727"/>
      <c r="CVI3" s="724"/>
      <c r="CVJ3" s="725"/>
      <c r="CVK3" s="726"/>
      <c r="CVL3" s="726"/>
      <c r="CVM3" s="726"/>
      <c r="CVN3" s="726"/>
      <c r="CVO3" s="726"/>
      <c r="CVP3" s="727"/>
      <c r="CVQ3" s="728"/>
      <c r="CVR3" s="729"/>
      <c r="CVS3" s="730"/>
      <c r="CVT3" s="731"/>
      <c r="CVU3" s="731"/>
      <c r="CVV3" s="731"/>
      <c r="CVW3" s="731"/>
      <c r="CVX3" s="732"/>
      <c r="CVY3" s="225"/>
      <c r="CVZ3" s="716"/>
      <c r="CWA3" s="717"/>
      <c r="CWB3" s="718"/>
      <c r="CWC3" s="718"/>
      <c r="CWD3" s="718"/>
      <c r="CWE3" s="718"/>
      <c r="CWF3" s="718"/>
      <c r="CWG3" s="719"/>
      <c r="CWH3" s="720"/>
      <c r="CWI3" s="721"/>
      <c r="CWJ3" s="722"/>
      <c r="CWK3" s="722"/>
      <c r="CWL3" s="722"/>
      <c r="CWM3" s="722"/>
      <c r="CWN3" s="722"/>
      <c r="CWO3" s="723"/>
      <c r="CWP3" s="724"/>
      <c r="CWQ3" s="725"/>
      <c r="CWR3" s="726"/>
      <c r="CWS3" s="726"/>
      <c r="CWT3" s="726"/>
      <c r="CWU3" s="726"/>
      <c r="CWV3" s="726"/>
      <c r="CWW3" s="727"/>
      <c r="CWX3" s="724"/>
      <c r="CWY3" s="725"/>
      <c r="CWZ3" s="726"/>
      <c r="CXA3" s="726"/>
      <c r="CXB3" s="726"/>
      <c r="CXC3" s="726"/>
      <c r="CXD3" s="726"/>
      <c r="CXE3" s="727"/>
      <c r="CXF3" s="728"/>
      <c r="CXG3" s="729"/>
      <c r="CXH3" s="730"/>
      <c r="CXI3" s="731"/>
      <c r="CXJ3" s="731"/>
      <c r="CXK3" s="731"/>
      <c r="CXL3" s="731"/>
      <c r="CXM3" s="732"/>
      <c r="CXN3" s="225"/>
      <c r="CXO3" s="716"/>
      <c r="CXP3" s="717"/>
      <c r="CXQ3" s="718"/>
      <c r="CXR3" s="718"/>
      <c r="CXS3" s="718"/>
      <c r="CXT3" s="718"/>
      <c r="CXU3" s="718"/>
      <c r="CXV3" s="719"/>
      <c r="CXW3" s="720"/>
      <c r="CXX3" s="721"/>
      <c r="CXY3" s="722"/>
      <c r="CXZ3" s="722"/>
      <c r="CYA3" s="722"/>
      <c r="CYB3" s="722"/>
      <c r="CYC3" s="722"/>
      <c r="CYD3" s="723"/>
      <c r="CYE3" s="724"/>
      <c r="CYF3" s="725"/>
      <c r="CYG3" s="726"/>
      <c r="CYH3" s="726"/>
      <c r="CYI3" s="726"/>
      <c r="CYJ3" s="726"/>
      <c r="CYK3" s="726"/>
      <c r="CYL3" s="727"/>
      <c r="CYM3" s="724"/>
      <c r="CYN3" s="725"/>
      <c r="CYO3" s="726"/>
      <c r="CYP3" s="726"/>
      <c r="CYQ3" s="726"/>
      <c r="CYR3" s="726"/>
      <c r="CYS3" s="726"/>
      <c r="CYT3" s="727"/>
      <c r="CYU3" s="728"/>
      <c r="CYV3" s="729"/>
      <c r="CYW3" s="730"/>
      <c r="CYX3" s="731"/>
      <c r="CYY3" s="731"/>
      <c r="CYZ3" s="731"/>
      <c r="CZA3" s="731"/>
      <c r="CZB3" s="732"/>
      <c r="CZC3" s="225"/>
      <c r="CZD3" s="716"/>
      <c r="CZE3" s="717"/>
      <c r="CZF3" s="718"/>
      <c r="CZG3" s="718"/>
      <c r="CZH3" s="718"/>
      <c r="CZI3" s="718"/>
      <c r="CZJ3" s="718"/>
      <c r="CZK3" s="719"/>
      <c r="CZL3" s="720"/>
      <c r="CZM3" s="721"/>
      <c r="CZN3" s="722"/>
      <c r="CZO3" s="722"/>
      <c r="CZP3" s="722"/>
      <c r="CZQ3" s="722"/>
      <c r="CZR3" s="722"/>
      <c r="CZS3" s="723"/>
      <c r="CZT3" s="724"/>
      <c r="CZU3" s="725"/>
      <c r="CZV3" s="726"/>
      <c r="CZW3" s="726"/>
      <c r="CZX3" s="726"/>
      <c r="CZY3" s="726"/>
      <c r="CZZ3" s="726"/>
      <c r="DAA3" s="727"/>
      <c r="DAB3" s="724"/>
      <c r="DAC3" s="725"/>
      <c r="DAD3" s="726"/>
      <c r="DAE3" s="726"/>
      <c r="DAF3" s="726"/>
      <c r="DAG3" s="726"/>
      <c r="DAH3" s="726"/>
      <c r="DAI3" s="727"/>
      <c r="DAJ3" s="728"/>
      <c r="DAK3" s="729"/>
      <c r="DAL3" s="730"/>
      <c r="DAM3" s="731"/>
      <c r="DAN3" s="731"/>
      <c r="DAO3" s="731"/>
      <c r="DAP3" s="731"/>
      <c r="DAQ3" s="732"/>
      <c r="DAR3" s="225"/>
      <c r="DAS3" s="716"/>
      <c r="DAT3" s="717"/>
      <c r="DAU3" s="718"/>
      <c r="DAV3" s="718"/>
      <c r="DAW3" s="718"/>
      <c r="DAX3" s="718"/>
      <c r="DAY3" s="718"/>
      <c r="DAZ3" s="719"/>
      <c r="DBA3" s="720"/>
      <c r="DBB3" s="721"/>
      <c r="DBC3" s="722"/>
      <c r="DBD3" s="722"/>
      <c r="DBE3" s="722"/>
      <c r="DBF3" s="722"/>
      <c r="DBG3" s="722"/>
      <c r="DBH3" s="723"/>
      <c r="DBI3" s="724"/>
      <c r="DBJ3" s="725"/>
      <c r="DBK3" s="726"/>
      <c r="DBL3" s="726"/>
      <c r="DBM3" s="726"/>
      <c r="DBN3" s="726"/>
      <c r="DBO3" s="726"/>
      <c r="DBP3" s="727"/>
      <c r="DBQ3" s="724"/>
      <c r="DBR3" s="725"/>
      <c r="DBS3" s="726"/>
      <c r="DBT3" s="726"/>
      <c r="DBU3" s="726"/>
      <c r="DBV3" s="726"/>
      <c r="DBW3" s="726"/>
      <c r="DBX3" s="727"/>
      <c r="DBY3" s="728"/>
      <c r="DBZ3" s="729"/>
      <c r="DCA3" s="730"/>
      <c r="DCB3" s="731"/>
      <c r="DCC3" s="731"/>
      <c r="DCD3" s="731"/>
      <c r="DCE3" s="731"/>
      <c r="DCF3" s="732"/>
      <c r="DCG3" s="225"/>
      <c r="DCH3" s="716"/>
      <c r="DCI3" s="717"/>
      <c r="DCJ3" s="718"/>
      <c r="DCK3" s="718"/>
      <c r="DCL3" s="718"/>
      <c r="DCM3" s="718"/>
      <c r="DCN3" s="718"/>
      <c r="DCO3" s="719"/>
      <c r="DCP3" s="720"/>
      <c r="DCQ3" s="721"/>
      <c r="DCR3" s="722"/>
      <c r="DCS3" s="722"/>
      <c r="DCT3" s="722"/>
      <c r="DCU3" s="722"/>
      <c r="DCV3" s="722"/>
      <c r="DCW3" s="723"/>
      <c r="DCX3" s="724"/>
      <c r="DCY3" s="725"/>
      <c r="DCZ3" s="726"/>
      <c r="DDA3" s="726"/>
      <c r="DDB3" s="726"/>
      <c r="DDC3" s="726"/>
      <c r="DDD3" s="726"/>
      <c r="DDE3" s="727"/>
      <c r="DDF3" s="724"/>
      <c r="DDG3" s="725"/>
      <c r="DDH3" s="726"/>
      <c r="DDI3" s="726"/>
      <c r="DDJ3" s="726"/>
      <c r="DDK3" s="726"/>
      <c r="DDL3" s="726"/>
      <c r="DDM3" s="727"/>
      <c r="DDN3" s="728"/>
      <c r="DDO3" s="729"/>
      <c r="DDP3" s="730"/>
      <c r="DDQ3" s="731"/>
      <c r="DDR3" s="731"/>
      <c r="DDS3" s="731"/>
      <c r="DDT3" s="731"/>
      <c r="DDU3" s="732"/>
      <c r="DDV3" s="225"/>
      <c r="DDW3" s="716"/>
      <c r="DDX3" s="717"/>
      <c r="DDY3" s="718"/>
      <c r="DDZ3" s="718"/>
      <c r="DEA3" s="718"/>
      <c r="DEB3" s="718"/>
      <c r="DEC3" s="718"/>
      <c r="DED3" s="719"/>
      <c r="DEE3" s="720"/>
      <c r="DEF3" s="721"/>
      <c r="DEG3" s="722"/>
      <c r="DEH3" s="722"/>
      <c r="DEI3" s="722"/>
      <c r="DEJ3" s="722"/>
      <c r="DEK3" s="722"/>
      <c r="DEL3" s="723"/>
      <c r="DEM3" s="724"/>
      <c r="DEN3" s="725"/>
      <c r="DEO3" s="726"/>
      <c r="DEP3" s="726"/>
      <c r="DEQ3" s="726"/>
      <c r="DER3" s="726"/>
      <c r="DES3" s="726"/>
      <c r="DET3" s="727"/>
      <c r="DEU3" s="724"/>
      <c r="DEV3" s="725"/>
      <c r="DEW3" s="726"/>
      <c r="DEX3" s="726"/>
      <c r="DEY3" s="726"/>
      <c r="DEZ3" s="726"/>
      <c r="DFA3" s="726"/>
      <c r="DFB3" s="727"/>
      <c r="DFC3" s="728"/>
      <c r="DFD3" s="729"/>
      <c r="DFE3" s="730"/>
      <c r="DFF3" s="731"/>
      <c r="DFG3" s="731"/>
      <c r="DFH3" s="731"/>
      <c r="DFI3" s="731"/>
      <c r="DFJ3" s="732"/>
      <c r="DFK3" s="225"/>
      <c r="DFL3" s="716"/>
      <c r="DFM3" s="717"/>
      <c r="DFN3" s="718"/>
      <c r="DFO3" s="718"/>
      <c r="DFP3" s="718"/>
      <c r="DFQ3" s="718"/>
      <c r="DFR3" s="718"/>
      <c r="DFS3" s="719"/>
      <c r="DFT3" s="720"/>
      <c r="DFU3" s="721"/>
      <c r="DFV3" s="722"/>
      <c r="DFW3" s="722"/>
      <c r="DFX3" s="722"/>
      <c r="DFY3" s="722"/>
      <c r="DFZ3" s="722"/>
      <c r="DGA3" s="723"/>
      <c r="DGB3" s="724"/>
      <c r="DGC3" s="725"/>
      <c r="DGD3" s="726"/>
      <c r="DGE3" s="726"/>
      <c r="DGF3" s="726"/>
      <c r="DGG3" s="726"/>
      <c r="DGH3" s="726"/>
      <c r="DGI3" s="727"/>
      <c r="DGJ3" s="724"/>
      <c r="DGK3" s="725"/>
      <c r="DGL3" s="726"/>
      <c r="DGM3" s="726"/>
      <c r="DGN3" s="726"/>
      <c r="DGO3" s="726"/>
      <c r="DGP3" s="726"/>
      <c r="DGQ3" s="727"/>
      <c r="DGR3" s="728"/>
      <c r="DGS3" s="729"/>
      <c r="DGT3" s="730"/>
      <c r="DGU3" s="731"/>
      <c r="DGV3" s="731"/>
      <c r="DGW3" s="731"/>
      <c r="DGX3" s="731"/>
      <c r="DGY3" s="732"/>
      <c r="DGZ3" s="225"/>
      <c r="DHA3" s="716"/>
      <c r="DHB3" s="717"/>
      <c r="DHC3" s="718"/>
      <c r="DHD3" s="718"/>
      <c r="DHE3" s="718"/>
      <c r="DHF3" s="718"/>
      <c r="DHG3" s="718"/>
      <c r="DHH3" s="719"/>
      <c r="DHI3" s="720"/>
      <c r="DHJ3" s="721"/>
      <c r="DHK3" s="722"/>
      <c r="DHL3" s="722"/>
      <c r="DHM3" s="722"/>
      <c r="DHN3" s="722"/>
      <c r="DHO3" s="722"/>
      <c r="DHP3" s="723"/>
      <c r="DHQ3" s="724"/>
      <c r="DHR3" s="725"/>
      <c r="DHS3" s="726"/>
      <c r="DHT3" s="726"/>
      <c r="DHU3" s="726"/>
      <c r="DHV3" s="726"/>
      <c r="DHW3" s="726"/>
      <c r="DHX3" s="727"/>
      <c r="DHY3" s="724"/>
      <c r="DHZ3" s="725"/>
      <c r="DIA3" s="726"/>
      <c r="DIB3" s="726"/>
      <c r="DIC3" s="726"/>
      <c r="DID3" s="726"/>
      <c r="DIE3" s="726"/>
      <c r="DIF3" s="727"/>
      <c r="DIG3" s="728"/>
      <c r="DIH3" s="729"/>
      <c r="DII3" s="730"/>
      <c r="DIJ3" s="731"/>
      <c r="DIK3" s="731"/>
      <c r="DIL3" s="731"/>
      <c r="DIM3" s="731"/>
      <c r="DIN3" s="732"/>
      <c r="DIO3" s="225"/>
      <c r="DIP3" s="716"/>
      <c r="DIQ3" s="717"/>
      <c r="DIR3" s="718"/>
      <c r="DIS3" s="718"/>
      <c r="DIT3" s="718"/>
      <c r="DIU3" s="718"/>
      <c r="DIV3" s="718"/>
      <c r="DIW3" s="719"/>
      <c r="DIX3" s="720"/>
      <c r="DIY3" s="721"/>
      <c r="DIZ3" s="722"/>
      <c r="DJA3" s="722"/>
      <c r="DJB3" s="722"/>
      <c r="DJC3" s="722"/>
      <c r="DJD3" s="722"/>
      <c r="DJE3" s="723"/>
      <c r="DJF3" s="724"/>
      <c r="DJG3" s="725"/>
      <c r="DJH3" s="726"/>
      <c r="DJI3" s="726"/>
      <c r="DJJ3" s="726"/>
      <c r="DJK3" s="726"/>
      <c r="DJL3" s="726"/>
      <c r="DJM3" s="727"/>
      <c r="DJN3" s="724"/>
      <c r="DJO3" s="725"/>
      <c r="DJP3" s="726"/>
      <c r="DJQ3" s="726"/>
      <c r="DJR3" s="726"/>
      <c r="DJS3" s="726"/>
      <c r="DJT3" s="726"/>
      <c r="DJU3" s="727"/>
      <c r="DJV3" s="728"/>
      <c r="DJW3" s="729"/>
      <c r="DJX3" s="730"/>
      <c r="DJY3" s="731"/>
      <c r="DJZ3" s="731"/>
      <c r="DKA3" s="731"/>
      <c r="DKB3" s="731"/>
      <c r="DKC3" s="732"/>
      <c r="DKD3" s="225"/>
      <c r="DKE3" s="716"/>
      <c r="DKF3" s="717"/>
      <c r="DKG3" s="718"/>
      <c r="DKH3" s="718"/>
      <c r="DKI3" s="718"/>
      <c r="DKJ3" s="718"/>
      <c r="DKK3" s="718"/>
      <c r="DKL3" s="719"/>
      <c r="DKM3" s="720"/>
      <c r="DKN3" s="721"/>
      <c r="DKO3" s="722"/>
      <c r="DKP3" s="722"/>
      <c r="DKQ3" s="722"/>
      <c r="DKR3" s="722"/>
      <c r="DKS3" s="722"/>
      <c r="DKT3" s="723"/>
      <c r="DKU3" s="724"/>
      <c r="DKV3" s="725"/>
      <c r="DKW3" s="726"/>
      <c r="DKX3" s="726"/>
      <c r="DKY3" s="726"/>
      <c r="DKZ3" s="726"/>
      <c r="DLA3" s="726"/>
      <c r="DLB3" s="727"/>
      <c r="DLC3" s="724"/>
      <c r="DLD3" s="725"/>
      <c r="DLE3" s="726"/>
      <c r="DLF3" s="726"/>
      <c r="DLG3" s="726"/>
      <c r="DLH3" s="726"/>
      <c r="DLI3" s="726"/>
      <c r="DLJ3" s="727"/>
      <c r="DLK3" s="728"/>
      <c r="DLL3" s="729"/>
      <c r="DLM3" s="730"/>
      <c r="DLN3" s="731"/>
      <c r="DLO3" s="731"/>
      <c r="DLP3" s="731"/>
      <c r="DLQ3" s="731"/>
      <c r="DLR3" s="732"/>
      <c r="DLS3" s="225"/>
      <c r="DLT3" s="716"/>
      <c r="DLU3" s="717"/>
      <c r="DLV3" s="718"/>
      <c r="DLW3" s="718"/>
      <c r="DLX3" s="718"/>
      <c r="DLY3" s="718"/>
      <c r="DLZ3" s="718"/>
      <c r="DMA3" s="719"/>
      <c r="DMB3" s="720"/>
      <c r="DMC3" s="721"/>
      <c r="DMD3" s="722"/>
      <c r="DME3" s="722"/>
      <c r="DMF3" s="722"/>
      <c r="DMG3" s="722"/>
      <c r="DMH3" s="722"/>
      <c r="DMI3" s="723"/>
      <c r="DMJ3" s="724"/>
      <c r="DMK3" s="725"/>
      <c r="DML3" s="726"/>
      <c r="DMM3" s="726"/>
      <c r="DMN3" s="726"/>
      <c r="DMO3" s="726"/>
      <c r="DMP3" s="726"/>
      <c r="DMQ3" s="727"/>
      <c r="DMR3" s="724"/>
      <c r="DMS3" s="725"/>
      <c r="DMT3" s="726"/>
      <c r="DMU3" s="726"/>
      <c r="DMV3" s="726"/>
      <c r="DMW3" s="726"/>
      <c r="DMX3" s="726"/>
      <c r="DMY3" s="727"/>
      <c r="DMZ3" s="728"/>
      <c r="DNA3" s="729"/>
      <c r="DNB3" s="730"/>
      <c r="DNC3" s="731"/>
      <c r="DND3" s="731"/>
      <c r="DNE3" s="731"/>
      <c r="DNF3" s="731"/>
      <c r="DNG3" s="732"/>
      <c r="DNH3" s="225"/>
      <c r="DNI3" s="716"/>
      <c r="DNJ3" s="717"/>
      <c r="DNK3" s="718"/>
      <c r="DNL3" s="718"/>
      <c r="DNM3" s="718"/>
      <c r="DNN3" s="718"/>
      <c r="DNO3" s="718"/>
      <c r="DNP3" s="719"/>
      <c r="DNQ3" s="720"/>
      <c r="DNR3" s="721"/>
      <c r="DNS3" s="722"/>
      <c r="DNT3" s="722"/>
      <c r="DNU3" s="722"/>
      <c r="DNV3" s="722"/>
      <c r="DNW3" s="722"/>
      <c r="DNX3" s="723"/>
      <c r="DNY3" s="724"/>
      <c r="DNZ3" s="725"/>
      <c r="DOA3" s="726"/>
      <c r="DOB3" s="726"/>
      <c r="DOC3" s="726"/>
      <c r="DOD3" s="726"/>
      <c r="DOE3" s="726"/>
      <c r="DOF3" s="727"/>
      <c r="DOG3" s="724"/>
      <c r="DOH3" s="725"/>
      <c r="DOI3" s="726"/>
      <c r="DOJ3" s="726"/>
      <c r="DOK3" s="726"/>
      <c r="DOL3" s="726"/>
      <c r="DOM3" s="726"/>
      <c r="DON3" s="727"/>
      <c r="DOO3" s="728"/>
      <c r="DOP3" s="729"/>
      <c r="DOQ3" s="730"/>
      <c r="DOR3" s="731"/>
      <c r="DOS3" s="731"/>
      <c r="DOT3" s="731"/>
      <c r="DOU3" s="731"/>
      <c r="DOV3" s="732"/>
      <c r="DOW3" s="225"/>
      <c r="DOX3" s="716"/>
      <c r="DOY3" s="717"/>
      <c r="DOZ3" s="718"/>
      <c r="DPA3" s="718"/>
      <c r="DPB3" s="718"/>
      <c r="DPC3" s="718"/>
      <c r="DPD3" s="718"/>
      <c r="DPE3" s="719"/>
      <c r="DPF3" s="720"/>
      <c r="DPG3" s="721"/>
      <c r="DPH3" s="722"/>
      <c r="DPI3" s="722"/>
      <c r="DPJ3" s="722"/>
      <c r="DPK3" s="722"/>
      <c r="DPL3" s="722"/>
      <c r="DPM3" s="723"/>
      <c r="DPN3" s="724"/>
      <c r="DPO3" s="725"/>
      <c r="DPP3" s="726"/>
      <c r="DPQ3" s="726"/>
      <c r="DPR3" s="726"/>
      <c r="DPS3" s="726"/>
      <c r="DPT3" s="726"/>
      <c r="DPU3" s="727"/>
      <c r="DPV3" s="724"/>
      <c r="DPW3" s="725"/>
      <c r="DPX3" s="726"/>
      <c r="DPY3" s="726"/>
      <c r="DPZ3" s="726"/>
      <c r="DQA3" s="726"/>
      <c r="DQB3" s="726"/>
      <c r="DQC3" s="727"/>
      <c r="DQD3" s="728"/>
      <c r="DQE3" s="729"/>
      <c r="DQF3" s="730"/>
      <c r="DQG3" s="731"/>
      <c r="DQH3" s="731"/>
      <c r="DQI3" s="731"/>
      <c r="DQJ3" s="731"/>
      <c r="DQK3" s="732"/>
      <c r="DQL3" s="225"/>
      <c r="DQM3" s="716"/>
      <c r="DQN3" s="717"/>
      <c r="DQO3" s="718"/>
      <c r="DQP3" s="718"/>
      <c r="DQQ3" s="718"/>
      <c r="DQR3" s="718"/>
      <c r="DQS3" s="718"/>
      <c r="DQT3" s="719"/>
      <c r="DQU3" s="720"/>
      <c r="DQV3" s="721"/>
      <c r="DQW3" s="722"/>
      <c r="DQX3" s="722"/>
      <c r="DQY3" s="722"/>
      <c r="DQZ3" s="722"/>
      <c r="DRA3" s="722"/>
      <c r="DRB3" s="723"/>
      <c r="DRC3" s="724"/>
      <c r="DRD3" s="725"/>
      <c r="DRE3" s="726"/>
      <c r="DRF3" s="726"/>
      <c r="DRG3" s="726"/>
      <c r="DRH3" s="726"/>
      <c r="DRI3" s="726"/>
      <c r="DRJ3" s="727"/>
      <c r="DRK3" s="724"/>
      <c r="DRL3" s="725"/>
      <c r="DRM3" s="726"/>
      <c r="DRN3" s="726"/>
      <c r="DRO3" s="726"/>
      <c r="DRP3" s="726"/>
      <c r="DRQ3" s="726"/>
      <c r="DRR3" s="727"/>
      <c r="DRS3" s="728"/>
      <c r="DRT3" s="729"/>
      <c r="DRU3" s="730"/>
      <c r="DRV3" s="731"/>
      <c r="DRW3" s="731"/>
      <c r="DRX3" s="731"/>
      <c r="DRY3" s="731"/>
      <c r="DRZ3" s="732"/>
      <c r="DSA3" s="225"/>
      <c r="DSB3" s="716"/>
      <c r="DSC3" s="717"/>
      <c r="DSD3" s="718"/>
      <c r="DSE3" s="718"/>
      <c r="DSF3" s="718"/>
      <c r="DSG3" s="718"/>
      <c r="DSH3" s="718"/>
      <c r="DSI3" s="719"/>
      <c r="DSJ3" s="720"/>
      <c r="DSK3" s="721"/>
      <c r="DSL3" s="722"/>
      <c r="DSM3" s="722"/>
      <c r="DSN3" s="722"/>
      <c r="DSO3" s="722"/>
      <c r="DSP3" s="722"/>
      <c r="DSQ3" s="723"/>
      <c r="DSR3" s="724"/>
      <c r="DSS3" s="725"/>
      <c r="DST3" s="726"/>
      <c r="DSU3" s="726"/>
      <c r="DSV3" s="726"/>
      <c r="DSW3" s="726"/>
      <c r="DSX3" s="726"/>
      <c r="DSY3" s="727"/>
      <c r="DSZ3" s="724"/>
      <c r="DTA3" s="725"/>
      <c r="DTB3" s="726"/>
      <c r="DTC3" s="726"/>
      <c r="DTD3" s="726"/>
      <c r="DTE3" s="726"/>
      <c r="DTF3" s="726"/>
      <c r="DTG3" s="727"/>
      <c r="DTH3" s="728"/>
      <c r="DTI3" s="729"/>
      <c r="DTJ3" s="730"/>
      <c r="DTK3" s="731"/>
      <c r="DTL3" s="731"/>
      <c r="DTM3" s="731"/>
      <c r="DTN3" s="731"/>
      <c r="DTO3" s="732"/>
      <c r="DTP3" s="225"/>
      <c r="DTQ3" s="716"/>
      <c r="DTR3" s="717"/>
      <c r="DTS3" s="718"/>
      <c r="DTT3" s="718"/>
      <c r="DTU3" s="718"/>
      <c r="DTV3" s="718"/>
      <c r="DTW3" s="718"/>
      <c r="DTX3" s="719"/>
      <c r="DTY3" s="720"/>
      <c r="DTZ3" s="721"/>
      <c r="DUA3" s="722"/>
      <c r="DUB3" s="722"/>
      <c r="DUC3" s="722"/>
      <c r="DUD3" s="722"/>
      <c r="DUE3" s="722"/>
      <c r="DUF3" s="723"/>
      <c r="DUG3" s="724"/>
      <c r="DUH3" s="725"/>
      <c r="DUI3" s="726"/>
      <c r="DUJ3" s="726"/>
      <c r="DUK3" s="726"/>
      <c r="DUL3" s="726"/>
      <c r="DUM3" s="726"/>
      <c r="DUN3" s="727"/>
      <c r="DUO3" s="724"/>
      <c r="DUP3" s="725"/>
      <c r="DUQ3" s="726"/>
      <c r="DUR3" s="726"/>
      <c r="DUS3" s="726"/>
      <c r="DUT3" s="726"/>
      <c r="DUU3" s="726"/>
      <c r="DUV3" s="727"/>
      <c r="DUW3" s="728"/>
      <c r="DUX3" s="729"/>
      <c r="DUY3" s="730"/>
      <c r="DUZ3" s="731"/>
      <c r="DVA3" s="731"/>
      <c r="DVB3" s="731"/>
      <c r="DVC3" s="731"/>
      <c r="DVD3" s="732"/>
      <c r="DVE3" s="225"/>
      <c r="DVF3" s="716"/>
      <c r="DVG3" s="717"/>
      <c r="DVH3" s="718"/>
      <c r="DVI3" s="718"/>
      <c r="DVJ3" s="718"/>
      <c r="DVK3" s="718"/>
      <c r="DVL3" s="718"/>
      <c r="DVM3" s="719"/>
      <c r="DVN3" s="720"/>
      <c r="DVO3" s="721"/>
      <c r="DVP3" s="722"/>
      <c r="DVQ3" s="722"/>
      <c r="DVR3" s="722"/>
      <c r="DVS3" s="722"/>
      <c r="DVT3" s="722"/>
      <c r="DVU3" s="723"/>
      <c r="DVV3" s="724"/>
      <c r="DVW3" s="725"/>
      <c r="DVX3" s="726"/>
      <c r="DVY3" s="726"/>
      <c r="DVZ3" s="726"/>
      <c r="DWA3" s="726"/>
      <c r="DWB3" s="726"/>
      <c r="DWC3" s="727"/>
      <c r="DWD3" s="724"/>
      <c r="DWE3" s="725"/>
      <c r="DWF3" s="726"/>
      <c r="DWG3" s="726"/>
      <c r="DWH3" s="726"/>
      <c r="DWI3" s="726"/>
      <c r="DWJ3" s="726"/>
      <c r="DWK3" s="727"/>
      <c r="DWL3" s="728"/>
      <c r="DWM3" s="729"/>
      <c r="DWN3" s="730"/>
      <c r="DWO3" s="731"/>
      <c r="DWP3" s="731"/>
      <c r="DWQ3" s="731"/>
      <c r="DWR3" s="731"/>
      <c r="DWS3" s="732"/>
      <c r="DWT3" s="225"/>
      <c r="DWU3" s="716"/>
      <c r="DWV3" s="717"/>
      <c r="DWW3" s="718"/>
      <c r="DWX3" s="718"/>
      <c r="DWY3" s="718"/>
      <c r="DWZ3" s="718"/>
      <c r="DXA3" s="718"/>
      <c r="DXB3" s="719"/>
      <c r="DXC3" s="720"/>
      <c r="DXD3" s="721"/>
      <c r="DXE3" s="722"/>
      <c r="DXF3" s="722"/>
      <c r="DXG3" s="722"/>
      <c r="DXH3" s="722"/>
      <c r="DXI3" s="722"/>
      <c r="DXJ3" s="723"/>
      <c r="DXK3" s="724"/>
      <c r="DXL3" s="725"/>
      <c r="DXM3" s="726"/>
      <c r="DXN3" s="726"/>
      <c r="DXO3" s="726"/>
      <c r="DXP3" s="726"/>
      <c r="DXQ3" s="726"/>
      <c r="DXR3" s="727"/>
      <c r="DXS3" s="724"/>
      <c r="DXT3" s="725"/>
      <c r="DXU3" s="726"/>
      <c r="DXV3" s="726"/>
      <c r="DXW3" s="726"/>
      <c r="DXX3" s="726"/>
      <c r="DXY3" s="726"/>
      <c r="DXZ3" s="727"/>
      <c r="DYA3" s="728"/>
      <c r="DYB3" s="729"/>
      <c r="DYC3" s="730"/>
      <c r="DYD3" s="731"/>
      <c r="DYE3" s="731"/>
      <c r="DYF3" s="731"/>
      <c r="DYG3" s="731"/>
      <c r="DYH3" s="732"/>
      <c r="DYI3" s="225"/>
      <c r="DYJ3" s="716"/>
      <c r="DYK3" s="717"/>
      <c r="DYL3" s="718"/>
      <c r="DYM3" s="718"/>
      <c r="DYN3" s="718"/>
      <c r="DYO3" s="718"/>
      <c r="DYP3" s="718"/>
      <c r="DYQ3" s="719"/>
      <c r="DYR3" s="720"/>
      <c r="DYS3" s="721"/>
      <c r="DYT3" s="722"/>
      <c r="DYU3" s="722"/>
      <c r="DYV3" s="722"/>
      <c r="DYW3" s="722"/>
      <c r="DYX3" s="722"/>
      <c r="DYY3" s="723"/>
      <c r="DYZ3" s="724"/>
      <c r="DZA3" s="725"/>
      <c r="DZB3" s="726"/>
      <c r="DZC3" s="726"/>
      <c r="DZD3" s="726"/>
      <c r="DZE3" s="726"/>
      <c r="DZF3" s="726"/>
      <c r="DZG3" s="727"/>
      <c r="DZH3" s="724"/>
      <c r="DZI3" s="725"/>
      <c r="DZJ3" s="726"/>
      <c r="DZK3" s="726"/>
      <c r="DZL3" s="726"/>
      <c r="DZM3" s="726"/>
      <c r="DZN3" s="726"/>
      <c r="DZO3" s="727"/>
      <c r="DZP3" s="728"/>
      <c r="DZQ3" s="729"/>
      <c r="DZR3" s="730"/>
      <c r="DZS3" s="731"/>
      <c r="DZT3" s="731"/>
      <c r="DZU3" s="731"/>
      <c r="DZV3" s="731"/>
      <c r="DZW3" s="732"/>
      <c r="DZX3" s="225"/>
      <c r="DZY3" s="716"/>
      <c r="DZZ3" s="717"/>
      <c r="EAA3" s="718"/>
      <c r="EAB3" s="718"/>
      <c r="EAC3" s="718"/>
      <c r="EAD3" s="718"/>
      <c r="EAE3" s="718"/>
      <c r="EAF3" s="719"/>
      <c r="EAG3" s="720"/>
      <c r="EAH3" s="721"/>
      <c r="EAI3" s="722"/>
      <c r="EAJ3" s="722"/>
      <c r="EAK3" s="722"/>
      <c r="EAL3" s="722"/>
      <c r="EAM3" s="722"/>
      <c r="EAN3" s="723"/>
      <c r="EAO3" s="724"/>
      <c r="EAP3" s="725"/>
      <c r="EAQ3" s="726"/>
      <c r="EAR3" s="726"/>
      <c r="EAS3" s="726"/>
      <c r="EAT3" s="726"/>
      <c r="EAU3" s="726"/>
      <c r="EAV3" s="727"/>
      <c r="EAW3" s="724"/>
      <c r="EAX3" s="725"/>
      <c r="EAY3" s="726"/>
      <c r="EAZ3" s="726"/>
      <c r="EBA3" s="726"/>
      <c r="EBB3" s="726"/>
      <c r="EBC3" s="726"/>
      <c r="EBD3" s="727"/>
      <c r="EBE3" s="728"/>
      <c r="EBF3" s="729"/>
      <c r="EBG3" s="730"/>
      <c r="EBH3" s="731"/>
      <c r="EBI3" s="731"/>
      <c r="EBJ3" s="731"/>
      <c r="EBK3" s="731"/>
      <c r="EBL3" s="732"/>
      <c r="EBM3" s="225"/>
      <c r="EBN3" s="716"/>
      <c r="EBO3" s="717"/>
      <c r="EBP3" s="718"/>
      <c r="EBQ3" s="718"/>
      <c r="EBR3" s="718"/>
      <c r="EBS3" s="718"/>
      <c r="EBT3" s="718"/>
      <c r="EBU3" s="719"/>
      <c r="EBV3" s="720"/>
      <c r="EBW3" s="721"/>
      <c r="EBX3" s="722"/>
      <c r="EBY3" s="722"/>
      <c r="EBZ3" s="722"/>
      <c r="ECA3" s="722"/>
      <c r="ECB3" s="722"/>
      <c r="ECC3" s="723"/>
      <c r="ECD3" s="724"/>
      <c r="ECE3" s="725"/>
      <c r="ECF3" s="726"/>
      <c r="ECG3" s="726"/>
      <c r="ECH3" s="726"/>
      <c r="ECI3" s="726"/>
      <c r="ECJ3" s="726"/>
      <c r="ECK3" s="727"/>
      <c r="ECL3" s="724"/>
      <c r="ECM3" s="725"/>
      <c r="ECN3" s="726"/>
      <c r="ECO3" s="726"/>
      <c r="ECP3" s="726"/>
      <c r="ECQ3" s="726"/>
      <c r="ECR3" s="726"/>
      <c r="ECS3" s="727"/>
      <c r="ECT3" s="728"/>
      <c r="ECU3" s="729"/>
      <c r="ECV3" s="730"/>
      <c r="ECW3" s="731"/>
      <c r="ECX3" s="731"/>
      <c r="ECY3" s="731"/>
      <c r="ECZ3" s="731"/>
      <c r="EDA3" s="732"/>
      <c r="EDB3" s="225"/>
      <c r="EDC3" s="716"/>
      <c r="EDD3" s="717"/>
      <c r="EDE3" s="718"/>
      <c r="EDF3" s="718"/>
      <c r="EDG3" s="718"/>
      <c r="EDH3" s="718"/>
      <c r="EDI3" s="718"/>
      <c r="EDJ3" s="719"/>
      <c r="EDK3" s="720"/>
      <c r="EDL3" s="721"/>
      <c r="EDM3" s="722"/>
      <c r="EDN3" s="722"/>
      <c r="EDO3" s="722"/>
      <c r="EDP3" s="722"/>
      <c r="EDQ3" s="722"/>
      <c r="EDR3" s="723"/>
      <c r="EDS3" s="724"/>
      <c r="EDT3" s="725"/>
      <c r="EDU3" s="726"/>
      <c r="EDV3" s="726"/>
      <c r="EDW3" s="726"/>
      <c r="EDX3" s="726"/>
      <c r="EDY3" s="726"/>
      <c r="EDZ3" s="727"/>
      <c r="EEA3" s="724"/>
      <c r="EEB3" s="725"/>
      <c r="EEC3" s="726"/>
      <c r="EED3" s="726"/>
      <c r="EEE3" s="726"/>
      <c r="EEF3" s="726"/>
      <c r="EEG3" s="726"/>
      <c r="EEH3" s="727"/>
      <c r="EEI3" s="728"/>
      <c r="EEJ3" s="729"/>
      <c r="EEK3" s="730"/>
      <c r="EEL3" s="731"/>
      <c r="EEM3" s="731"/>
      <c r="EEN3" s="731"/>
      <c r="EEO3" s="731"/>
      <c r="EEP3" s="732"/>
      <c r="EEQ3" s="225"/>
      <c r="EER3" s="716"/>
      <c r="EES3" s="717"/>
      <c r="EET3" s="718"/>
      <c r="EEU3" s="718"/>
      <c r="EEV3" s="718"/>
      <c r="EEW3" s="718"/>
      <c r="EEX3" s="718"/>
      <c r="EEY3" s="719"/>
      <c r="EEZ3" s="720"/>
      <c r="EFA3" s="721"/>
      <c r="EFB3" s="722"/>
      <c r="EFC3" s="722"/>
      <c r="EFD3" s="722"/>
      <c r="EFE3" s="722"/>
      <c r="EFF3" s="722"/>
      <c r="EFG3" s="723"/>
      <c r="EFH3" s="724"/>
      <c r="EFI3" s="725"/>
      <c r="EFJ3" s="726"/>
      <c r="EFK3" s="726"/>
      <c r="EFL3" s="726"/>
      <c r="EFM3" s="726"/>
      <c r="EFN3" s="726"/>
      <c r="EFO3" s="727"/>
      <c r="EFP3" s="724"/>
      <c r="EFQ3" s="725"/>
      <c r="EFR3" s="726"/>
      <c r="EFS3" s="726"/>
      <c r="EFT3" s="726"/>
      <c r="EFU3" s="726"/>
      <c r="EFV3" s="726"/>
      <c r="EFW3" s="727"/>
      <c r="EFX3" s="728"/>
      <c r="EFY3" s="729"/>
      <c r="EFZ3" s="730"/>
      <c r="EGA3" s="731"/>
      <c r="EGB3" s="731"/>
      <c r="EGC3" s="731"/>
      <c r="EGD3" s="731"/>
      <c r="EGE3" s="732"/>
      <c r="EGF3" s="225"/>
      <c r="EGG3" s="716"/>
      <c r="EGH3" s="717"/>
      <c r="EGI3" s="718"/>
      <c r="EGJ3" s="718"/>
      <c r="EGK3" s="718"/>
      <c r="EGL3" s="718"/>
      <c r="EGM3" s="718"/>
      <c r="EGN3" s="719"/>
      <c r="EGO3" s="720"/>
      <c r="EGP3" s="721"/>
      <c r="EGQ3" s="722"/>
      <c r="EGR3" s="722"/>
      <c r="EGS3" s="722"/>
      <c r="EGT3" s="722"/>
      <c r="EGU3" s="722"/>
      <c r="EGV3" s="723"/>
      <c r="EGW3" s="724"/>
      <c r="EGX3" s="725"/>
      <c r="EGY3" s="726"/>
      <c r="EGZ3" s="726"/>
      <c r="EHA3" s="726"/>
      <c r="EHB3" s="726"/>
      <c r="EHC3" s="726"/>
      <c r="EHD3" s="727"/>
      <c r="EHE3" s="724"/>
      <c r="EHF3" s="725"/>
      <c r="EHG3" s="726"/>
      <c r="EHH3" s="726"/>
      <c r="EHI3" s="726"/>
      <c r="EHJ3" s="726"/>
      <c r="EHK3" s="726"/>
      <c r="EHL3" s="727"/>
      <c r="EHM3" s="728"/>
      <c r="EHN3" s="729"/>
      <c r="EHO3" s="730"/>
      <c r="EHP3" s="731"/>
      <c r="EHQ3" s="731"/>
      <c r="EHR3" s="731"/>
      <c r="EHS3" s="731"/>
      <c r="EHT3" s="732"/>
      <c r="EHU3" s="225"/>
      <c r="EHV3" s="716"/>
      <c r="EHW3" s="717"/>
      <c r="EHX3" s="718"/>
      <c r="EHY3" s="718"/>
      <c r="EHZ3" s="718"/>
      <c r="EIA3" s="718"/>
      <c r="EIB3" s="718"/>
      <c r="EIC3" s="719"/>
      <c r="EID3" s="720"/>
      <c r="EIE3" s="721"/>
      <c r="EIF3" s="722"/>
      <c r="EIG3" s="722"/>
      <c r="EIH3" s="722"/>
      <c r="EII3" s="722"/>
      <c r="EIJ3" s="722"/>
      <c r="EIK3" s="723"/>
      <c r="EIL3" s="724"/>
      <c r="EIM3" s="725"/>
      <c r="EIN3" s="726"/>
      <c r="EIO3" s="726"/>
      <c r="EIP3" s="726"/>
      <c r="EIQ3" s="726"/>
      <c r="EIR3" s="726"/>
      <c r="EIS3" s="727"/>
      <c r="EIT3" s="724"/>
      <c r="EIU3" s="725"/>
      <c r="EIV3" s="726"/>
      <c r="EIW3" s="726"/>
      <c r="EIX3" s="726"/>
      <c r="EIY3" s="726"/>
      <c r="EIZ3" s="726"/>
      <c r="EJA3" s="727"/>
      <c r="EJB3" s="728"/>
      <c r="EJC3" s="729"/>
      <c r="EJD3" s="730"/>
      <c r="EJE3" s="731"/>
      <c r="EJF3" s="731"/>
      <c r="EJG3" s="731"/>
      <c r="EJH3" s="731"/>
      <c r="EJI3" s="732"/>
      <c r="EJJ3" s="225"/>
      <c r="EJK3" s="716"/>
      <c r="EJL3" s="717"/>
      <c r="EJM3" s="718"/>
      <c r="EJN3" s="718"/>
      <c r="EJO3" s="718"/>
      <c r="EJP3" s="718"/>
      <c r="EJQ3" s="718"/>
      <c r="EJR3" s="719"/>
      <c r="EJS3" s="720"/>
      <c r="EJT3" s="721"/>
      <c r="EJU3" s="722"/>
      <c r="EJV3" s="722"/>
      <c r="EJW3" s="722"/>
      <c r="EJX3" s="722"/>
      <c r="EJY3" s="722"/>
      <c r="EJZ3" s="723"/>
      <c r="EKA3" s="724"/>
      <c r="EKB3" s="725"/>
      <c r="EKC3" s="726"/>
      <c r="EKD3" s="726"/>
      <c r="EKE3" s="726"/>
      <c r="EKF3" s="726"/>
      <c r="EKG3" s="726"/>
      <c r="EKH3" s="727"/>
      <c r="EKI3" s="724"/>
      <c r="EKJ3" s="725"/>
      <c r="EKK3" s="726"/>
      <c r="EKL3" s="726"/>
      <c r="EKM3" s="726"/>
      <c r="EKN3" s="726"/>
      <c r="EKO3" s="726"/>
      <c r="EKP3" s="727"/>
      <c r="EKQ3" s="728"/>
      <c r="EKR3" s="729"/>
      <c r="EKS3" s="730"/>
      <c r="EKT3" s="731"/>
      <c r="EKU3" s="731"/>
      <c r="EKV3" s="731"/>
      <c r="EKW3" s="731"/>
      <c r="EKX3" s="732"/>
      <c r="EKY3" s="225"/>
      <c r="EKZ3" s="716"/>
      <c r="ELA3" s="717"/>
      <c r="ELB3" s="718"/>
      <c r="ELC3" s="718"/>
      <c r="ELD3" s="718"/>
      <c r="ELE3" s="718"/>
      <c r="ELF3" s="718"/>
      <c r="ELG3" s="719"/>
      <c r="ELH3" s="720"/>
      <c r="ELI3" s="721"/>
      <c r="ELJ3" s="722"/>
      <c r="ELK3" s="722"/>
      <c r="ELL3" s="722"/>
      <c r="ELM3" s="722"/>
      <c r="ELN3" s="722"/>
      <c r="ELO3" s="723"/>
      <c r="ELP3" s="724"/>
      <c r="ELQ3" s="725"/>
      <c r="ELR3" s="726"/>
      <c r="ELS3" s="726"/>
      <c r="ELT3" s="726"/>
      <c r="ELU3" s="726"/>
      <c r="ELV3" s="726"/>
      <c r="ELW3" s="727"/>
      <c r="ELX3" s="724"/>
      <c r="ELY3" s="725"/>
      <c r="ELZ3" s="726"/>
      <c r="EMA3" s="726"/>
      <c r="EMB3" s="726"/>
      <c r="EMC3" s="726"/>
      <c r="EMD3" s="726"/>
      <c r="EME3" s="727"/>
      <c r="EMF3" s="728"/>
      <c r="EMG3" s="729"/>
      <c r="EMH3" s="730"/>
      <c r="EMI3" s="731"/>
      <c r="EMJ3" s="731"/>
      <c r="EMK3" s="731"/>
      <c r="EML3" s="731"/>
      <c r="EMM3" s="732"/>
      <c r="EMN3" s="225"/>
      <c r="EMO3" s="716"/>
      <c r="EMP3" s="717"/>
      <c r="EMQ3" s="718"/>
      <c r="EMR3" s="718"/>
      <c r="EMS3" s="718"/>
      <c r="EMT3" s="718"/>
      <c r="EMU3" s="718"/>
      <c r="EMV3" s="719"/>
      <c r="EMW3" s="720"/>
      <c r="EMX3" s="721"/>
      <c r="EMY3" s="722"/>
      <c r="EMZ3" s="722"/>
      <c r="ENA3" s="722"/>
      <c r="ENB3" s="722"/>
      <c r="ENC3" s="722"/>
      <c r="END3" s="723"/>
      <c r="ENE3" s="724"/>
      <c r="ENF3" s="725"/>
      <c r="ENG3" s="726"/>
      <c r="ENH3" s="726"/>
      <c r="ENI3" s="726"/>
      <c r="ENJ3" s="726"/>
      <c r="ENK3" s="726"/>
      <c r="ENL3" s="727"/>
      <c r="ENM3" s="724"/>
      <c r="ENN3" s="725"/>
      <c r="ENO3" s="726"/>
      <c r="ENP3" s="726"/>
      <c r="ENQ3" s="726"/>
      <c r="ENR3" s="726"/>
      <c r="ENS3" s="726"/>
      <c r="ENT3" s="727"/>
      <c r="ENU3" s="728"/>
      <c r="ENV3" s="729"/>
      <c r="ENW3" s="730"/>
      <c r="ENX3" s="731"/>
      <c r="ENY3" s="731"/>
      <c r="ENZ3" s="731"/>
      <c r="EOA3" s="731"/>
      <c r="EOB3" s="732"/>
      <c r="EOC3" s="225"/>
      <c r="EOD3" s="716"/>
      <c r="EOE3" s="717"/>
      <c r="EOF3" s="718"/>
      <c r="EOG3" s="718"/>
      <c r="EOH3" s="718"/>
      <c r="EOI3" s="718"/>
      <c r="EOJ3" s="718"/>
      <c r="EOK3" s="719"/>
      <c r="EOL3" s="720"/>
      <c r="EOM3" s="721"/>
      <c r="EON3" s="722"/>
      <c r="EOO3" s="722"/>
      <c r="EOP3" s="722"/>
      <c r="EOQ3" s="722"/>
      <c r="EOR3" s="722"/>
      <c r="EOS3" s="723"/>
      <c r="EOT3" s="724"/>
      <c r="EOU3" s="725"/>
      <c r="EOV3" s="726"/>
      <c r="EOW3" s="726"/>
      <c r="EOX3" s="726"/>
      <c r="EOY3" s="726"/>
      <c r="EOZ3" s="726"/>
      <c r="EPA3" s="727"/>
      <c r="EPB3" s="724"/>
      <c r="EPC3" s="725"/>
      <c r="EPD3" s="726"/>
      <c r="EPE3" s="726"/>
      <c r="EPF3" s="726"/>
      <c r="EPG3" s="726"/>
      <c r="EPH3" s="726"/>
      <c r="EPI3" s="727"/>
      <c r="EPJ3" s="728"/>
      <c r="EPK3" s="729"/>
      <c r="EPL3" s="730"/>
      <c r="EPM3" s="731"/>
      <c r="EPN3" s="731"/>
      <c r="EPO3" s="731"/>
      <c r="EPP3" s="731"/>
      <c r="EPQ3" s="732"/>
      <c r="EPR3" s="225"/>
      <c r="EPS3" s="716"/>
      <c r="EPT3" s="717"/>
      <c r="EPU3" s="718"/>
      <c r="EPV3" s="718"/>
      <c r="EPW3" s="718"/>
      <c r="EPX3" s="718"/>
      <c r="EPY3" s="718"/>
      <c r="EPZ3" s="719"/>
      <c r="EQA3" s="720"/>
      <c r="EQB3" s="721"/>
      <c r="EQC3" s="722"/>
      <c r="EQD3" s="722"/>
      <c r="EQE3" s="722"/>
      <c r="EQF3" s="722"/>
      <c r="EQG3" s="722"/>
      <c r="EQH3" s="723"/>
      <c r="EQI3" s="724"/>
      <c r="EQJ3" s="725"/>
      <c r="EQK3" s="726"/>
      <c r="EQL3" s="726"/>
      <c r="EQM3" s="726"/>
      <c r="EQN3" s="726"/>
      <c r="EQO3" s="726"/>
      <c r="EQP3" s="727"/>
      <c r="EQQ3" s="724"/>
      <c r="EQR3" s="725"/>
      <c r="EQS3" s="726"/>
      <c r="EQT3" s="726"/>
      <c r="EQU3" s="726"/>
      <c r="EQV3" s="726"/>
      <c r="EQW3" s="726"/>
      <c r="EQX3" s="727"/>
      <c r="EQY3" s="728"/>
      <c r="EQZ3" s="729"/>
      <c r="ERA3" s="730"/>
      <c r="ERB3" s="731"/>
      <c r="ERC3" s="731"/>
      <c r="ERD3" s="731"/>
      <c r="ERE3" s="731"/>
      <c r="ERF3" s="732"/>
      <c r="ERG3" s="225"/>
      <c r="ERH3" s="716"/>
      <c r="ERI3" s="717"/>
      <c r="ERJ3" s="718"/>
      <c r="ERK3" s="718"/>
      <c r="ERL3" s="718"/>
      <c r="ERM3" s="718"/>
      <c r="ERN3" s="718"/>
      <c r="ERO3" s="719"/>
      <c r="ERP3" s="720"/>
      <c r="ERQ3" s="721"/>
      <c r="ERR3" s="722"/>
      <c r="ERS3" s="722"/>
      <c r="ERT3" s="722"/>
      <c r="ERU3" s="722"/>
      <c r="ERV3" s="722"/>
      <c r="ERW3" s="723"/>
      <c r="ERX3" s="724"/>
      <c r="ERY3" s="725"/>
      <c r="ERZ3" s="726"/>
      <c r="ESA3" s="726"/>
      <c r="ESB3" s="726"/>
      <c r="ESC3" s="726"/>
      <c r="ESD3" s="726"/>
      <c r="ESE3" s="727"/>
      <c r="ESF3" s="724"/>
      <c r="ESG3" s="725"/>
      <c r="ESH3" s="726"/>
      <c r="ESI3" s="726"/>
      <c r="ESJ3" s="726"/>
      <c r="ESK3" s="726"/>
      <c r="ESL3" s="726"/>
      <c r="ESM3" s="727"/>
      <c r="ESN3" s="728"/>
      <c r="ESO3" s="729"/>
      <c r="ESP3" s="730"/>
      <c r="ESQ3" s="731"/>
      <c r="ESR3" s="731"/>
      <c r="ESS3" s="731"/>
      <c r="EST3" s="731"/>
      <c r="ESU3" s="732"/>
      <c r="ESV3" s="225"/>
      <c r="ESW3" s="716"/>
      <c r="ESX3" s="717"/>
      <c r="ESY3" s="718"/>
      <c r="ESZ3" s="718"/>
      <c r="ETA3" s="718"/>
      <c r="ETB3" s="718"/>
      <c r="ETC3" s="718"/>
      <c r="ETD3" s="719"/>
      <c r="ETE3" s="720"/>
      <c r="ETF3" s="721"/>
      <c r="ETG3" s="722"/>
      <c r="ETH3" s="722"/>
      <c r="ETI3" s="722"/>
      <c r="ETJ3" s="722"/>
      <c r="ETK3" s="722"/>
      <c r="ETL3" s="723"/>
      <c r="ETM3" s="724"/>
      <c r="ETN3" s="725"/>
      <c r="ETO3" s="726"/>
      <c r="ETP3" s="726"/>
      <c r="ETQ3" s="726"/>
      <c r="ETR3" s="726"/>
      <c r="ETS3" s="726"/>
      <c r="ETT3" s="727"/>
      <c r="ETU3" s="724"/>
      <c r="ETV3" s="725"/>
      <c r="ETW3" s="726"/>
      <c r="ETX3" s="726"/>
      <c r="ETY3" s="726"/>
      <c r="ETZ3" s="726"/>
      <c r="EUA3" s="726"/>
      <c r="EUB3" s="727"/>
      <c r="EUC3" s="728"/>
      <c r="EUD3" s="729"/>
      <c r="EUE3" s="730"/>
      <c r="EUF3" s="731"/>
      <c r="EUG3" s="731"/>
      <c r="EUH3" s="731"/>
      <c r="EUI3" s="731"/>
      <c r="EUJ3" s="732"/>
      <c r="EUK3" s="225"/>
      <c r="EUL3" s="716"/>
      <c r="EUM3" s="717"/>
      <c r="EUN3" s="718"/>
      <c r="EUO3" s="718"/>
      <c r="EUP3" s="718"/>
      <c r="EUQ3" s="718"/>
      <c r="EUR3" s="718"/>
      <c r="EUS3" s="719"/>
      <c r="EUT3" s="720"/>
      <c r="EUU3" s="721"/>
      <c r="EUV3" s="722"/>
      <c r="EUW3" s="722"/>
      <c r="EUX3" s="722"/>
      <c r="EUY3" s="722"/>
      <c r="EUZ3" s="722"/>
      <c r="EVA3" s="723"/>
      <c r="EVB3" s="724"/>
      <c r="EVC3" s="725"/>
      <c r="EVD3" s="726"/>
      <c r="EVE3" s="726"/>
      <c r="EVF3" s="726"/>
      <c r="EVG3" s="726"/>
      <c r="EVH3" s="726"/>
      <c r="EVI3" s="727"/>
      <c r="EVJ3" s="724"/>
      <c r="EVK3" s="725"/>
      <c r="EVL3" s="726"/>
      <c r="EVM3" s="726"/>
      <c r="EVN3" s="726"/>
      <c r="EVO3" s="726"/>
      <c r="EVP3" s="726"/>
      <c r="EVQ3" s="727"/>
      <c r="EVR3" s="728"/>
      <c r="EVS3" s="729"/>
      <c r="EVT3" s="730"/>
      <c r="EVU3" s="731"/>
      <c r="EVV3" s="731"/>
      <c r="EVW3" s="731"/>
      <c r="EVX3" s="731"/>
      <c r="EVY3" s="732"/>
      <c r="EVZ3" s="225"/>
      <c r="EWA3" s="716"/>
      <c r="EWB3" s="717"/>
      <c r="EWC3" s="718"/>
      <c r="EWD3" s="718"/>
      <c r="EWE3" s="718"/>
      <c r="EWF3" s="718"/>
      <c r="EWG3" s="718"/>
      <c r="EWH3" s="719"/>
      <c r="EWI3" s="720"/>
      <c r="EWJ3" s="721"/>
      <c r="EWK3" s="722"/>
      <c r="EWL3" s="722"/>
      <c r="EWM3" s="722"/>
      <c r="EWN3" s="722"/>
      <c r="EWO3" s="722"/>
      <c r="EWP3" s="723"/>
      <c r="EWQ3" s="724"/>
      <c r="EWR3" s="725"/>
      <c r="EWS3" s="726"/>
      <c r="EWT3" s="726"/>
      <c r="EWU3" s="726"/>
      <c r="EWV3" s="726"/>
      <c r="EWW3" s="726"/>
      <c r="EWX3" s="727"/>
      <c r="EWY3" s="724"/>
      <c r="EWZ3" s="725"/>
      <c r="EXA3" s="726"/>
      <c r="EXB3" s="726"/>
      <c r="EXC3" s="726"/>
      <c r="EXD3" s="726"/>
      <c r="EXE3" s="726"/>
      <c r="EXF3" s="727"/>
      <c r="EXG3" s="728"/>
      <c r="EXH3" s="729"/>
      <c r="EXI3" s="730"/>
      <c r="EXJ3" s="731"/>
      <c r="EXK3" s="731"/>
      <c r="EXL3" s="731"/>
      <c r="EXM3" s="731"/>
      <c r="EXN3" s="732"/>
      <c r="EXO3" s="225"/>
      <c r="EXP3" s="716"/>
      <c r="EXQ3" s="717"/>
      <c r="EXR3" s="718"/>
      <c r="EXS3" s="718"/>
      <c r="EXT3" s="718"/>
      <c r="EXU3" s="718"/>
      <c r="EXV3" s="718"/>
      <c r="EXW3" s="719"/>
      <c r="EXX3" s="720"/>
      <c r="EXY3" s="721"/>
      <c r="EXZ3" s="722"/>
      <c r="EYA3" s="722"/>
      <c r="EYB3" s="722"/>
      <c r="EYC3" s="722"/>
      <c r="EYD3" s="722"/>
      <c r="EYE3" s="723"/>
      <c r="EYF3" s="724"/>
      <c r="EYG3" s="725"/>
      <c r="EYH3" s="726"/>
      <c r="EYI3" s="726"/>
      <c r="EYJ3" s="726"/>
      <c r="EYK3" s="726"/>
      <c r="EYL3" s="726"/>
      <c r="EYM3" s="727"/>
      <c r="EYN3" s="724"/>
      <c r="EYO3" s="725"/>
      <c r="EYP3" s="726"/>
      <c r="EYQ3" s="726"/>
      <c r="EYR3" s="726"/>
      <c r="EYS3" s="726"/>
      <c r="EYT3" s="726"/>
      <c r="EYU3" s="727"/>
      <c r="EYV3" s="728"/>
      <c r="EYW3" s="729"/>
      <c r="EYX3" s="730"/>
      <c r="EYY3" s="731"/>
      <c r="EYZ3" s="731"/>
      <c r="EZA3" s="731"/>
      <c r="EZB3" s="731"/>
      <c r="EZC3" s="732"/>
      <c r="EZD3" s="225"/>
      <c r="EZE3" s="716"/>
      <c r="EZF3" s="717"/>
      <c r="EZG3" s="718"/>
      <c r="EZH3" s="718"/>
      <c r="EZI3" s="718"/>
      <c r="EZJ3" s="718"/>
      <c r="EZK3" s="718"/>
      <c r="EZL3" s="719"/>
      <c r="EZM3" s="720"/>
      <c r="EZN3" s="721"/>
      <c r="EZO3" s="722"/>
      <c r="EZP3" s="722"/>
      <c r="EZQ3" s="722"/>
      <c r="EZR3" s="722"/>
      <c r="EZS3" s="722"/>
      <c r="EZT3" s="723"/>
      <c r="EZU3" s="724"/>
      <c r="EZV3" s="725"/>
      <c r="EZW3" s="726"/>
      <c r="EZX3" s="726"/>
      <c r="EZY3" s="726"/>
      <c r="EZZ3" s="726"/>
      <c r="FAA3" s="726"/>
      <c r="FAB3" s="727"/>
      <c r="FAC3" s="724"/>
      <c r="FAD3" s="725"/>
      <c r="FAE3" s="726"/>
      <c r="FAF3" s="726"/>
      <c r="FAG3" s="726"/>
      <c r="FAH3" s="726"/>
      <c r="FAI3" s="726"/>
      <c r="FAJ3" s="727"/>
      <c r="FAK3" s="728"/>
      <c r="FAL3" s="729"/>
      <c r="FAM3" s="730"/>
      <c r="FAN3" s="731"/>
      <c r="FAO3" s="731"/>
      <c r="FAP3" s="731"/>
      <c r="FAQ3" s="731"/>
      <c r="FAR3" s="732"/>
      <c r="FAS3" s="225"/>
      <c r="FAT3" s="716"/>
      <c r="FAU3" s="717"/>
      <c r="FAV3" s="718"/>
      <c r="FAW3" s="718"/>
      <c r="FAX3" s="718"/>
      <c r="FAY3" s="718"/>
      <c r="FAZ3" s="718"/>
      <c r="FBA3" s="719"/>
      <c r="FBB3" s="720"/>
      <c r="FBC3" s="721"/>
      <c r="FBD3" s="722"/>
      <c r="FBE3" s="722"/>
      <c r="FBF3" s="722"/>
      <c r="FBG3" s="722"/>
      <c r="FBH3" s="722"/>
      <c r="FBI3" s="723"/>
      <c r="FBJ3" s="724"/>
      <c r="FBK3" s="725"/>
      <c r="FBL3" s="726"/>
      <c r="FBM3" s="726"/>
      <c r="FBN3" s="726"/>
      <c r="FBO3" s="726"/>
      <c r="FBP3" s="726"/>
      <c r="FBQ3" s="727"/>
      <c r="FBR3" s="724"/>
      <c r="FBS3" s="725"/>
      <c r="FBT3" s="726"/>
      <c r="FBU3" s="726"/>
      <c r="FBV3" s="726"/>
      <c r="FBW3" s="726"/>
      <c r="FBX3" s="726"/>
      <c r="FBY3" s="727"/>
      <c r="FBZ3" s="728"/>
      <c r="FCA3" s="729"/>
      <c r="FCB3" s="730"/>
      <c r="FCC3" s="731"/>
      <c r="FCD3" s="731"/>
      <c r="FCE3" s="731"/>
      <c r="FCF3" s="731"/>
      <c r="FCG3" s="732"/>
      <c r="FCH3" s="225"/>
      <c r="FCI3" s="716"/>
      <c r="FCJ3" s="717"/>
      <c r="FCK3" s="718"/>
      <c r="FCL3" s="718"/>
      <c r="FCM3" s="718"/>
      <c r="FCN3" s="718"/>
      <c r="FCO3" s="718"/>
      <c r="FCP3" s="719"/>
      <c r="FCQ3" s="720"/>
      <c r="FCR3" s="721"/>
      <c r="FCS3" s="722"/>
      <c r="FCT3" s="722"/>
      <c r="FCU3" s="722"/>
      <c r="FCV3" s="722"/>
      <c r="FCW3" s="722"/>
      <c r="FCX3" s="723"/>
      <c r="FCY3" s="724"/>
      <c r="FCZ3" s="725"/>
      <c r="FDA3" s="726"/>
      <c r="FDB3" s="726"/>
      <c r="FDC3" s="726"/>
      <c r="FDD3" s="726"/>
      <c r="FDE3" s="726"/>
      <c r="FDF3" s="727"/>
      <c r="FDG3" s="724"/>
      <c r="FDH3" s="725"/>
      <c r="FDI3" s="726"/>
      <c r="FDJ3" s="726"/>
      <c r="FDK3" s="726"/>
      <c r="FDL3" s="726"/>
      <c r="FDM3" s="726"/>
      <c r="FDN3" s="727"/>
      <c r="FDO3" s="728"/>
      <c r="FDP3" s="729"/>
      <c r="FDQ3" s="730"/>
      <c r="FDR3" s="731"/>
      <c r="FDS3" s="731"/>
      <c r="FDT3" s="731"/>
      <c r="FDU3" s="731"/>
      <c r="FDV3" s="732"/>
      <c r="FDW3" s="225"/>
      <c r="FDX3" s="716"/>
      <c r="FDY3" s="717"/>
      <c r="FDZ3" s="718"/>
      <c r="FEA3" s="718"/>
      <c r="FEB3" s="718"/>
      <c r="FEC3" s="718"/>
      <c r="FED3" s="718"/>
      <c r="FEE3" s="719"/>
      <c r="FEF3" s="720"/>
      <c r="FEG3" s="721"/>
      <c r="FEH3" s="722"/>
      <c r="FEI3" s="722"/>
      <c r="FEJ3" s="722"/>
      <c r="FEK3" s="722"/>
      <c r="FEL3" s="722"/>
      <c r="FEM3" s="723"/>
      <c r="FEN3" s="724"/>
      <c r="FEO3" s="725"/>
      <c r="FEP3" s="726"/>
      <c r="FEQ3" s="726"/>
      <c r="FER3" s="726"/>
      <c r="FES3" s="726"/>
      <c r="FET3" s="726"/>
      <c r="FEU3" s="727"/>
      <c r="FEV3" s="724"/>
      <c r="FEW3" s="725"/>
      <c r="FEX3" s="726"/>
      <c r="FEY3" s="726"/>
      <c r="FEZ3" s="726"/>
      <c r="FFA3" s="726"/>
      <c r="FFB3" s="726"/>
      <c r="FFC3" s="727"/>
      <c r="FFD3" s="728"/>
      <c r="FFE3" s="729"/>
      <c r="FFF3" s="730"/>
      <c r="FFG3" s="731"/>
      <c r="FFH3" s="731"/>
      <c r="FFI3" s="731"/>
      <c r="FFJ3" s="731"/>
      <c r="FFK3" s="732"/>
      <c r="FFL3" s="225"/>
      <c r="FFM3" s="716"/>
      <c r="FFN3" s="717"/>
      <c r="FFO3" s="718"/>
      <c r="FFP3" s="718"/>
      <c r="FFQ3" s="718"/>
      <c r="FFR3" s="718"/>
      <c r="FFS3" s="718"/>
      <c r="FFT3" s="719"/>
      <c r="FFU3" s="720"/>
      <c r="FFV3" s="721"/>
      <c r="FFW3" s="722"/>
      <c r="FFX3" s="722"/>
      <c r="FFY3" s="722"/>
      <c r="FFZ3" s="722"/>
      <c r="FGA3" s="722"/>
      <c r="FGB3" s="723"/>
      <c r="FGC3" s="724"/>
      <c r="FGD3" s="725"/>
      <c r="FGE3" s="726"/>
      <c r="FGF3" s="726"/>
      <c r="FGG3" s="726"/>
      <c r="FGH3" s="726"/>
      <c r="FGI3" s="726"/>
      <c r="FGJ3" s="727"/>
      <c r="FGK3" s="724"/>
      <c r="FGL3" s="725"/>
      <c r="FGM3" s="726"/>
      <c r="FGN3" s="726"/>
      <c r="FGO3" s="726"/>
      <c r="FGP3" s="726"/>
      <c r="FGQ3" s="726"/>
      <c r="FGR3" s="727"/>
      <c r="FGS3" s="728"/>
      <c r="FGT3" s="729"/>
      <c r="FGU3" s="730"/>
      <c r="FGV3" s="731"/>
      <c r="FGW3" s="731"/>
      <c r="FGX3" s="731"/>
      <c r="FGY3" s="731"/>
      <c r="FGZ3" s="732"/>
      <c r="FHA3" s="225"/>
      <c r="FHB3" s="716"/>
      <c r="FHC3" s="717"/>
      <c r="FHD3" s="718"/>
      <c r="FHE3" s="718"/>
      <c r="FHF3" s="718"/>
      <c r="FHG3" s="718"/>
      <c r="FHH3" s="718"/>
      <c r="FHI3" s="719"/>
      <c r="FHJ3" s="720"/>
      <c r="FHK3" s="721"/>
      <c r="FHL3" s="722"/>
      <c r="FHM3" s="722"/>
      <c r="FHN3" s="722"/>
      <c r="FHO3" s="722"/>
      <c r="FHP3" s="722"/>
      <c r="FHQ3" s="723"/>
      <c r="FHR3" s="724"/>
      <c r="FHS3" s="725"/>
      <c r="FHT3" s="726"/>
      <c r="FHU3" s="726"/>
      <c r="FHV3" s="726"/>
      <c r="FHW3" s="726"/>
      <c r="FHX3" s="726"/>
      <c r="FHY3" s="727"/>
      <c r="FHZ3" s="724"/>
      <c r="FIA3" s="725"/>
      <c r="FIB3" s="726"/>
      <c r="FIC3" s="726"/>
      <c r="FID3" s="726"/>
      <c r="FIE3" s="726"/>
      <c r="FIF3" s="726"/>
      <c r="FIG3" s="727"/>
      <c r="FIH3" s="728"/>
      <c r="FII3" s="729"/>
      <c r="FIJ3" s="730"/>
      <c r="FIK3" s="731"/>
      <c r="FIL3" s="731"/>
      <c r="FIM3" s="731"/>
      <c r="FIN3" s="731"/>
      <c r="FIO3" s="732"/>
      <c r="FIP3" s="225"/>
      <c r="FIQ3" s="716"/>
      <c r="FIR3" s="717"/>
      <c r="FIS3" s="718"/>
      <c r="FIT3" s="718"/>
      <c r="FIU3" s="718"/>
      <c r="FIV3" s="718"/>
      <c r="FIW3" s="718"/>
      <c r="FIX3" s="719"/>
      <c r="FIY3" s="720"/>
      <c r="FIZ3" s="721"/>
      <c r="FJA3" s="722"/>
      <c r="FJB3" s="722"/>
      <c r="FJC3" s="722"/>
      <c r="FJD3" s="722"/>
      <c r="FJE3" s="722"/>
      <c r="FJF3" s="723"/>
      <c r="FJG3" s="724"/>
      <c r="FJH3" s="725"/>
      <c r="FJI3" s="726"/>
      <c r="FJJ3" s="726"/>
      <c r="FJK3" s="726"/>
      <c r="FJL3" s="726"/>
      <c r="FJM3" s="726"/>
      <c r="FJN3" s="727"/>
      <c r="FJO3" s="724"/>
      <c r="FJP3" s="725"/>
      <c r="FJQ3" s="726"/>
      <c r="FJR3" s="726"/>
      <c r="FJS3" s="726"/>
      <c r="FJT3" s="726"/>
      <c r="FJU3" s="726"/>
      <c r="FJV3" s="727"/>
      <c r="FJW3" s="728"/>
      <c r="FJX3" s="729"/>
      <c r="FJY3" s="730"/>
      <c r="FJZ3" s="731"/>
      <c r="FKA3" s="731"/>
      <c r="FKB3" s="731"/>
      <c r="FKC3" s="731"/>
      <c r="FKD3" s="732"/>
      <c r="FKE3" s="225"/>
      <c r="FKF3" s="716"/>
      <c r="FKG3" s="717"/>
      <c r="FKH3" s="718"/>
      <c r="FKI3" s="718"/>
      <c r="FKJ3" s="718"/>
      <c r="FKK3" s="718"/>
      <c r="FKL3" s="718"/>
      <c r="FKM3" s="719"/>
      <c r="FKN3" s="720"/>
      <c r="FKO3" s="721"/>
      <c r="FKP3" s="722"/>
      <c r="FKQ3" s="722"/>
      <c r="FKR3" s="722"/>
      <c r="FKS3" s="722"/>
      <c r="FKT3" s="722"/>
      <c r="FKU3" s="723"/>
      <c r="FKV3" s="724"/>
      <c r="FKW3" s="725"/>
      <c r="FKX3" s="726"/>
      <c r="FKY3" s="726"/>
      <c r="FKZ3" s="726"/>
      <c r="FLA3" s="726"/>
      <c r="FLB3" s="726"/>
      <c r="FLC3" s="727"/>
      <c r="FLD3" s="724"/>
      <c r="FLE3" s="725"/>
      <c r="FLF3" s="726"/>
      <c r="FLG3" s="726"/>
      <c r="FLH3" s="726"/>
      <c r="FLI3" s="726"/>
      <c r="FLJ3" s="726"/>
      <c r="FLK3" s="727"/>
      <c r="FLL3" s="728"/>
      <c r="FLM3" s="729"/>
      <c r="FLN3" s="730"/>
      <c r="FLO3" s="731"/>
      <c r="FLP3" s="731"/>
      <c r="FLQ3" s="731"/>
      <c r="FLR3" s="731"/>
      <c r="FLS3" s="732"/>
      <c r="FLT3" s="225"/>
      <c r="FLU3" s="716"/>
      <c r="FLV3" s="717"/>
      <c r="FLW3" s="718"/>
      <c r="FLX3" s="718"/>
      <c r="FLY3" s="718"/>
      <c r="FLZ3" s="718"/>
      <c r="FMA3" s="718"/>
      <c r="FMB3" s="719"/>
      <c r="FMC3" s="720"/>
      <c r="FMD3" s="721"/>
      <c r="FME3" s="722"/>
      <c r="FMF3" s="722"/>
      <c r="FMG3" s="722"/>
      <c r="FMH3" s="722"/>
      <c r="FMI3" s="722"/>
      <c r="FMJ3" s="723"/>
      <c r="FMK3" s="724"/>
      <c r="FML3" s="725"/>
      <c r="FMM3" s="726"/>
      <c r="FMN3" s="726"/>
      <c r="FMO3" s="726"/>
      <c r="FMP3" s="726"/>
      <c r="FMQ3" s="726"/>
      <c r="FMR3" s="727"/>
      <c r="FMS3" s="724"/>
      <c r="FMT3" s="725"/>
      <c r="FMU3" s="726"/>
      <c r="FMV3" s="726"/>
      <c r="FMW3" s="726"/>
      <c r="FMX3" s="726"/>
      <c r="FMY3" s="726"/>
      <c r="FMZ3" s="727"/>
      <c r="FNA3" s="728"/>
      <c r="FNB3" s="729"/>
      <c r="FNC3" s="730"/>
      <c r="FND3" s="731"/>
      <c r="FNE3" s="731"/>
      <c r="FNF3" s="731"/>
      <c r="FNG3" s="731"/>
      <c r="FNH3" s="732"/>
      <c r="FNI3" s="225"/>
      <c r="FNJ3" s="716"/>
      <c r="FNK3" s="717"/>
      <c r="FNL3" s="718"/>
      <c r="FNM3" s="718"/>
      <c r="FNN3" s="718"/>
      <c r="FNO3" s="718"/>
      <c r="FNP3" s="718"/>
      <c r="FNQ3" s="719"/>
      <c r="FNR3" s="720"/>
      <c r="FNS3" s="721"/>
      <c r="FNT3" s="722"/>
      <c r="FNU3" s="722"/>
      <c r="FNV3" s="722"/>
      <c r="FNW3" s="722"/>
      <c r="FNX3" s="722"/>
      <c r="FNY3" s="723"/>
      <c r="FNZ3" s="724"/>
      <c r="FOA3" s="725"/>
      <c r="FOB3" s="726"/>
      <c r="FOC3" s="726"/>
      <c r="FOD3" s="726"/>
      <c r="FOE3" s="726"/>
      <c r="FOF3" s="726"/>
      <c r="FOG3" s="727"/>
      <c r="FOH3" s="724"/>
      <c r="FOI3" s="725"/>
      <c r="FOJ3" s="726"/>
      <c r="FOK3" s="726"/>
      <c r="FOL3" s="726"/>
      <c r="FOM3" s="726"/>
      <c r="FON3" s="726"/>
      <c r="FOO3" s="727"/>
      <c r="FOP3" s="728"/>
      <c r="FOQ3" s="729"/>
      <c r="FOR3" s="730"/>
      <c r="FOS3" s="731"/>
      <c r="FOT3" s="731"/>
      <c r="FOU3" s="731"/>
      <c r="FOV3" s="731"/>
      <c r="FOW3" s="732"/>
      <c r="FOX3" s="225"/>
      <c r="FOY3" s="716"/>
      <c r="FOZ3" s="717"/>
      <c r="FPA3" s="718"/>
      <c r="FPB3" s="718"/>
      <c r="FPC3" s="718"/>
      <c r="FPD3" s="718"/>
      <c r="FPE3" s="718"/>
      <c r="FPF3" s="719"/>
      <c r="FPG3" s="720"/>
      <c r="FPH3" s="721"/>
      <c r="FPI3" s="722"/>
      <c r="FPJ3" s="722"/>
      <c r="FPK3" s="722"/>
      <c r="FPL3" s="722"/>
      <c r="FPM3" s="722"/>
      <c r="FPN3" s="723"/>
      <c r="FPO3" s="724"/>
      <c r="FPP3" s="725"/>
      <c r="FPQ3" s="726"/>
      <c r="FPR3" s="726"/>
      <c r="FPS3" s="726"/>
      <c r="FPT3" s="726"/>
      <c r="FPU3" s="726"/>
      <c r="FPV3" s="727"/>
      <c r="FPW3" s="724"/>
      <c r="FPX3" s="725"/>
      <c r="FPY3" s="726"/>
      <c r="FPZ3" s="726"/>
      <c r="FQA3" s="726"/>
      <c r="FQB3" s="726"/>
      <c r="FQC3" s="726"/>
      <c r="FQD3" s="727"/>
      <c r="FQE3" s="728"/>
      <c r="FQF3" s="729"/>
      <c r="FQG3" s="730"/>
      <c r="FQH3" s="731"/>
      <c r="FQI3" s="731"/>
      <c r="FQJ3" s="731"/>
      <c r="FQK3" s="731"/>
      <c r="FQL3" s="732"/>
      <c r="FQM3" s="225"/>
      <c r="FQN3" s="716"/>
      <c r="FQO3" s="717"/>
      <c r="FQP3" s="718"/>
      <c r="FQQ3" s="718"/>
      <c r="FQR3" s="718"/>
      <c r="FQS3" s="718"/>
      <c r="FQT3" s="718"/>
      <c r="FQU3" s="719"/>
      <c r="FQV3" s="720"/>
      <c r="FQW3" s="721"/>
      <c r="FQX3" s="722"/>
      <c r="FQY3" s="722"/>
      <c r="FQZ3" s="722"/>
      <c r="FRA3" s="722"/>
      <c r="FRB3" s="722"/>
      <c r="FRC3" s="723"/>
      <c r="FRD3" s="724"/>
      <c r="FRE3" s="725"/>
      <c r="FRF3" s="726"/>
      <c r="FRG3" s="726"/>
      <c r="FRH3" s="726"/>
      <c r="FRI3" s="726"/>
      <c r="FRJ3" s="726"/>
      <c r="FRK3" s="727"/>
      <c r="FRL3" s="724"/>
      <c r="FRM3" s="725"/>
      <c r="FRN3" s="726"/>
      <c r="FRO3" s="726"/>
      <c r="FRP3" s="726"/>
      <c r="FRQ3" s="726"/>
      <c r="FRR3" s="726"/>
      <c r="FRS3" s="727"/>
      <c r="FRT3" s="728"/>
      <c r="FRU3" s="729"/>
      <c r="FRV3" s="730"/>
      <c r="FRW3" s="731"/>
      <c r="FRX3" s="731"/>
      <c r="FRY3" s="731"/>
      <c r="FRZ3" s="731"/>
      <c r="FSA3" s="732"/>
      <c r="FSB3" s="225"/>
      <c r="FSC3" s="716"/>
      <c r="FSD3" s="717"/>
      <c r="FSE3" s="718"/>
      <c r="FSF3" s="718"/>
      <c r="FSG3" s="718"/>
      <c r="FSH3" s="718"/>
      <c r="FSI3" s="718"/>
      <c r="FSJ3" s="719"/>
      <c r="FSK3" s="720"/>
      <c r="FSL3" s="721"/>
      <c r="FSM3" s="722"/>
      <c r="FSN3" s="722"/>
      <c r="FSO3" s="722"/>
      <c r="FSP3" s="722"/>
      <c r="FSQ3" s="722"/>
      <c r="FSR3" s="723"/>
      <c r="FSS3" s="724"/>
      <c r="FST3" s="725"/>
      <c r="FSU3" s="726"/>
      <c r="FSV3" s="726"/>
      <c r="FSW3" s="726"/>
      <c r="FSX3" s="726"/>
      <c r="FSY3" s="726"/>
      <c r="FSZ3" s="727"/>
      <c r="FTA3" s="724"/>
      <c r="FTB3" s="725"/>
      <c r="FTC3" s="726"/>
      <c r="FTD3" s="726"/>
      <c r="FTE3" s="726"/>
      <c r="FTF3" s="726"/>
      <c r="FTG3" s="726"/>
      <c r="FTH3" s="727"/>
      <c r="FTI3" s="728"/>
      <c r="FTJ3" s="729"/>
      <c r="FTK3" s="730"/>
      <c r="FTL3" s="731"/>
      <c r="FTM3" s="731"/>
      <c r="FTN3" s="731"/>
      <c r="FTO3" s="731"/>
      <c r="FTP3" s="732"/>
      <c r="FTQ3" s="225"/>
      <c r="FTR3" s="716"/>
      <c r="FTS3" s="717"/>
      <c r="FTT3" s="718"/>
      <c r="FTU3" s="718"/>
      <c r="FTV3" s="718"/>
      <c r="FTW3" s="718"/>
      <c r="FTX3" s="718"/>
      <c r="FTY3" s="719"/>
      <c r="FTZ3" s="720"/>
      <c r="FUA3" s="721"/>
      <c r="FUB3" s="722"/>
      <c r="FUC3" s="722"/>
      <c r="FUD3" s="722"/>
      <c r="FUE3" s="722"/>
      <c r="FUF3" s="722"/>
      <c r="FUG3" s="723"/>
      <c r="FUH3" s="724"/>
      <c r="FUI3" s="725"/>
      <c r="FUJ3" s="726"/>
      <c r="FUK3" s="726"/>
      <c r="FUL3" s="726"/>
      <c r="FUM3" s="726"/>
      <c r="FUN3" s="726"/>
      <c r="FUO3" s="727"/>
      <c r="FUP3" s="724"/>
      <c r="FUQ3" s="725"/>
      <c r="FUR3" s="726"/>
      <c r="FUS3" s="726"/>
      <c r="FUT3" s="726"/>
      <c r="FUU3" s="726"/>
      <c r="FUV3" s="726"/>
      <c r="FUW3" s="727"/>
      <c r="FUX3" s="728"/>
      <c r="FUY3" s="729"/>
      <c r="FUZ3" s="730"/>
      <c r="FVA3" s="731"/>
      <c r="FVB3" s="731"/>
      <c r="FVC3" s="731"/>
      <c r="FVD3" s="731"/>
      <c r="FVE3" s="732"/>
      <c r="FVF3" s="225"/>
      <c r="FVG3" s="716"/>
      <c r="FVH3" s="717"/>
      <c r="FVI3" s="718"/>
      <c r="FVJ3" s="718"/>
      <c r="FVK3" s="718"/>
      <c r="FVL3" s="718"/>
      <c r="FVM3" s="718"/>
      <c r="FVN3" s="719"/>
      <c r="FVO3" s="720"/>
      <c r="FVP3" s="721"/>
      <c r="FVQ3" s="722"/>
      <c r="FVR3" s="722"/>
      <c r="FVS3" s="722"/>
      <c r="FVT3" s="722"/>
      <c r="FVU3" s="722"/>
      <c r="FVV3" s="723"/>
      <c r="FVW3" s="724"/>
      <c r="FVX3" s="725"/>
      <c r="FVY3" s="726"/>
      <c r="FVZ3" s="726"/>
      <c r="FWA3" s="726"/>
      <c r="FWB3" s="726"/>
      <c r="FWC3" s="726"/>
      <c r="FWD3" s="727"/>
      <c r="FWE3" s="724"/>
      <c r="FWF3" s="725"/>
      <c r="FWG3" s="726"/>
      <c r="FWH3" s="726"/>
      <c r="FWI3" s="726"/>
      <c r="FWJ3" s="726"/>
      <c r="FWK3" s="726"/>
      <c r="FWL3" s="727"/>
      <c r="FWM3" s="728"/>
      <c r="FWN3" s="729"/>
      <c r="FWO3" s="730"/>
      <c r="FWP3" s="731"/>
      <c r="FWQ3" s="731"/>
      <c r="FWR3" s="731"/>
      <c r="FWS3" s="731"/>
      <c r="FWT3" s="732"/>
      <c r="FWU3" s="225"/>
      <c r="FWV3" s="716"/>
      <c r="FWW3" s="717"/>
      <c r="FWX3" s="718"/>
      <c r="FWY3" s="718"/>
      <c r="FWZ3" s="718"/>
      <c r="FXA3" s="718"/>
      <c r="FXB3" s="718"/>
      <c r="FXC3" s="719"/>
      <c r="FXD3" s="720"/>
      <c r="FXE3" s="721"/>
      <c r="FXF3" s="722"/>
      <c r="FXG3" s="722"/>
      <c r="FXH3" s="722"/>
      <c r="FXI3" s="722"/>
      <c r="FXJ3" s="722"/>
      <c r="FXK3" s="723"/>
      <c r="FXL3" s="724"/>
      <c r="FXM3" s="725"/>
      <c r="FXN3" s="726"/>
      <c r="FXO3" s="726"/>
      <c r="FXP3" s="726"/>
      <c r="FXQ3" s="726"/>
      <c r="FXR3" s="726"/>
      <c r="FXS3" s="727"/>
      <c r="FXT3" s="724"/>
      <c r="FXU3" s="725"/>
      <c r="FXV3" s="726"/>
      <c r="FXW3" s="726"/>
      <c r="FXX3" s="726"/>
      <c r="FXY3" s="726"/>
      <c r="FXZ3" s="726"/>
      <c r="FYA3" s="727"/>
      <c r="FYB3" s="728"/>
      <c r="FYC3" s="729"/>
      <c r="FYD3" s="730"/>
      <c r="FYE3" s="731"/>
      <c r="FYF3" s="731"/>
      <c r="FYG3" s="731"/>
      <c r="FYH3" s="731"/>
      <c r="FYI3" s="732"/>
      <c r="FYJ3" s="225"/>
      <c r="FYK3" s="716"/>
      <c r="FYL3" s="717"/>
      <c r="FYM3" s="718"/>
      <c r="FYN3" s="718"/>
      <c r="FYO3" s="718"/>
      <c r="FYP3" s="718"/>
      <c r="FYQ3" s="718"/>
      <c r="FYR3" s="719"/>
      <c r="FYS3" s="720"/>
      <c r="FYT3" s="721"/>
      <c r="FYU3" s="722"/>
      <c r="FYV3" s="722"/>
      <c r="FYW3" s="722"/>
      <c r="FYX3" s="722"/>
      <c r="FYY3" s="722"/>
      <c r="FYZ3" s="723"/>
      <c r="FZA3" s="724"/>
      <c r="FZB3" s="725"/>
      <c r="FZC3" s="726"/>
      <c r="FZD3" s="726"/>
      <c r="FZE3" s="726"/>
      <c r="FZF3" s="726"/>
      <c r="FZG3" s="726"/>
      <c r="FZH3" s="727"/>
      <c r="FZI3" s="724"/>
      <c r="FZJ3" s="725"/>
      <c r="FZK3" s="726"/>
      <c r="FZL3" s="726"/>
      <c r="FZM3" s="726"/>
      <c r="FZN3" s="726"/>
      <c r="FZO3" s="726"/>
      <c r="FZP3" s="727"/>
      <c r="FZQ3" s="728"/>
      <c r="FZR3" s="729"/>
      <c r="FZS3" s="730"/>
      <c r="FZT3" s="731"/>
      <c r="FZU3" s="731"/>
      <c r="FZV3" s="731"/>
      <c r="FZW3" s="731"/>
      <c r="FZX3" s="732"/>
      <c r="FZY3" s="225"/>
      <c r="FZZ3" s="716"/>
      <c r="GAA3" s="717"/>
      <c r="GAB3" s="718"/>
      <c r="GAC3" s="718"/>
      <c r="GAD3" s="718"/>
      <c r="GAE3" s="718"/>
      <c r="GAF3" s="718"/>
      <c r="GAG3" s="719"/>
      <c r="GAH3" s="720"/>
      <c r="GAI3" s="721"/>
      <c r="GAJ3" s="722"/>
      <c r="GAK3" s="722"/>
      <c r="GAL3" s="722"/>
      <c r="GAM3" s="722"/>
      <c r="GAN3" s="722"/>
      <c r="GAO3" s="723"/>
      <c r="GAP3" s="724"/>
      <c r="GAQ3" s="725"/>
      <c r="GAR3" s="726"/>
      <c r="GAS3" s="726"/>
      <c r="GAT3" s="726"/>
      <c r="GAU3" s="726"/>
      <c r="GAV3" s="726"/>
      <c r="GAW3" s="727"/>
      <c r="GAX3" s="724"/>
      <c r="GAY3" s="725"/>
      <c r="GAZ3" s="726"/>
      <c r="GBA3" s="726"/>
      <c r="GBB3" s="726"/>
      <c r="GBC3" s="726"/>
      <c r="GBD3" s="726"/>
      <c r="GBE3" s="727"/>
      <c r="GBF3" s="728"/>
      <c r="GBG3" s="729"/>
      <c r="GBH3" s="730"/>
      <c r="GBI3" s="731"/>
      <c r="GBJ3" s="731"/>
      <c r="GBK3" s="731"/>
      <c r="GBL3" s="731"/>
      <c r="GBM3" s="732"/>
      <c r="GBN3" s="225"/>
      <c r="GBO3" s="716"/>
      <c r="GBP3" s="717"/>
      <c r="GBQ3" s="718"/>
      <c r="GBR3" s="718"/>
      <c r="GBS3" s="718"/>
      <c r="GBT3" s="718"/>
      <c r="GBU3" s="718"/>
      <c r="GBV3" s="719"/>
      <c r="GBW3" s="720"/>
      <c r="GBX3" s="721"/>
      <c r="GBY3" s="722"/>
      <c r="GBZ3" s="722"/>
      <c r="GCA3" s="722"/>
      <c r="GCB3" s="722"/>
      <c r="GCC3" s="722"/>
      <c r="GCD3" s="723"/>
      <c r="GCE3" s="724"/>
      <c r="GCF3" s="725"/>
      <c r="GCG3" s="726"/>
      <c r="GCH3" s="726"/>
      <c r="GCI3" s="726"/>
      <c r="GCJ3" s="726"/>
      <c r="GCK3" s="726"/>
      <c r="GCL3" s="727"/>
      <c r="GCM3" s="724"/>
      <c r="GCN3" s="725"/>
      <c r="GCO3" s="726"/>
      <c r="GCP3" s="726"/>
      <c r="GCQ3" s="726"/>
      <c r="GCR3" s="726"/>
      <c r="GCS3" s="726"/>
      <c r="GCT3" s="727"/>
      <c r="GCU3" s="728"/>
      <c r="GCV3" s="729"/>
      <c r="GCW3" s="730"/>
      <c r="GCX3" s="731"/>
      <c r="GCY3" s="731"/>
      <c r="GCZ3" s="731"/>
      <c r="GDA3" s="731"/>
      <c r="GDB3" s="732"/>
      <c r="GDC3" s="225"/>
      <c r="GDD3" s="716"/>
      <c r="GDE3" s="717"/>
      <c r="GDF3" s="718"/>
      <c r="GDG3" s="718"/>
      <c r="GDH3" s="718"/>
      <c r="GDI3" s="718"/>
      <c r="GDJ3" s="718"/>
      <c r="GDK3" s="719"/>
      <c r="GDL3" s="720"/>
      <c r="GDM3" s="721"/>
      <c r="GDN3" s="722"/>
      <c r="GDO3" s="722"/>
      <c r="GDP3" s="722"/>
      <c r="GDQ3" s="722"/>
      <c r="GDR3" s="722"/>
      <c r="GDS3" s="723"/>
      <c r="GDT3" s="724"/>
      <c r="GDU3" s="725"/>
      <c r="GDV3" s="726"/>
      <c r="GDW3" s="726"/>
      <c r="GDX3" s="726"/>
      <c r="GDY3" s="726"/>
      <c r="GDZ3" s="726"/>
      <c r="GEA3" s="727"/>
      <c r="GEB3" s="724"/>
      <c r="GEC3" s="725"/>
      <c r="GED3" s="726"/>
      <c r="GEE3" s="726"/>
      <c r="GEF3" s="726"/>
      <c r="GEG3" s="726"/>
      <c r="GEH3" s="726"/>
      <c r="GEI3" s="727"/>
      <c r="GEJ3" s="728"/>
      <c r="GEK3" s="729"/>
      <c r="GEL3" s="730"/>
      <c r="GEM3" s="731"/>
      <c r="GEN3" s="731"/>
      <c r="GEO3" s="731"/>
      <c r="GEP3" s="731"/>
      <c r="GEQ3" s="732"/>
      <c r="GER3" s="225"/>
      <c r="GES3" s="716"/>
      <c r="GET3" s="717"/>
      <c r="GEU3" s="718"/>
      <c r="GEV3" s="718"/>
      <c r="GEW3" s="718"/>
      <c r="GEX3" s="718"/>
      <c r="GEY3" s="718"/>
      <c r="GEZ3" s="719"/>
      <c r="GFA3" s="720"/>
      <c r="GFB3" s="721"/>
      <c r="GFC3" s="722"/>
      <c r="GFD3" s="722"/>
      <c r="GFE3" s="722"/>
      <c r="GFF3" s="722"/>
      <c r="GFG3" s="722"/>
      <c r="GFH3" s="723"/>
      <c r="GFI3" s="724"/>
      <c r="GFJ3" s="725"/>
      <c r="GFK3" s="726"/>
      <c r="GFL3" s="726"/>
      <c r="GFM3" s="726"/>
      <c r="GFN3" s="726"/>
      <c r="GFO3" s="726"/>
      <c r="GFP3" s="727"/>
      <c r="GFQ3" s="724"/>
      <c r="GFR3" s="725"/>
      <c r="GFS3" s="726"/>
      <c r="GFT3" s="726"/>
      <c r="GFU3" s="726"/>
      <c r="GFV3" s="726"/>
      <c r="GFW3" s="726"/>
      <c r="GFX3" s="727"/>
      <c r="GFY3" s="728"/>
      <c r="GFZ3" s="729"/>
      <c r="GGA3" s="730"/>
      <c r="GGB3" s="731"/>
      <c r="GGC3" s="731"/>
      <c r="GGD3" s="731"/>
      <c r="GGE3" s="731"/>
      <c r="GGF3" s="732"/>
      <c r="GGG3" s="225"/>
      <c r="GGH3" s="716"/>
      <c r="GGI3" s="717"/>
      <c r="GGJ3" s="718"/>
      <c r="GGK3" s="718"/>
      <c r="GGL3" s="718"/>
      <c r="GGM3" s="718"/>
      <c r="GGN3" s="718"/>
      <c r="GGO3" s="719"/>
      <c r="GGP3" s="720"/>
      <c r="GGQ3" s="721"/>
      <c r="GGR3" s="722"/>
      <c r="GGS3" s="722"/>
      <c r="GGT3" s="722"/>
      <c r="GGU3" s="722"/>
      <c r="GGV3" s="722"/>
      <c r="GGW3" s="723"/>
      <c r="GGX3" s="724"/>
      <c r="GGY3" s="725"/>
      <c r="GGZ3" s="726"/>
      <c r="GHA3" s="726"/>
      <c r="GHB3" s="726"/>
      <c r="GHC3" s="726"/>
      <c r="GHD3" s="726"/>
      <c r="GHE3" s="727"/>
      <c r="GHF3" s="724"/>
      <c r="GHG3" s="725"/>
      <c r="GHH3" s="726"/>
      <c r="GHI3" s="726"/>
      <c r="GHJ3" s="726"/>
      <c r="GHK3" s="726"/>
      <c r="GHL3" s="726"/>
      <c r="GHM3" s="727"/>
      <c r="GHN3" s="728"/>
      <c r="GHO3" s="729"/>
      <c r="GHP3" s="730"/>
      <c r="GHQ3" s="731"/>
      <c r="GHR3" s="731"/>
      <c r="GHS3" s="731"/>
      <c r="GHT3" s="731"/>
      <c r="GHU3" s="732"/>
      <c r="GHV3" s="225"/>
      <c r="GHW3" s="716"/>
      <c r="GHX3" s="717"/>
      <c r="GHY3" s="718"/>
      <c r="GHZ3" s="718"/>
      <c r="GIA3" s="718"/>
      <c r="GIB3" s="718"/>
      <c r="GIC3" s="718"/>
      <c r="GID3" s="719"/>
      <c r="GIE3" s="720"/>
      <c r="GIF3" s="721"/>
      <c r="GIG3" s="722"/>
      <c r="GIH3" s="722"/>
      <c r="GII3" s="722"/>
      <c r="GIJ3" s="722"/>
      <c r="GIK3" s="722"/>
      <c r="GIL3" s="723"/>
      <c r="GIM3" s="724"/>
      <c r="GIN3" s="725"/>
      <c r="GIO3" s="726"/>
      <c r="GIP3" s="726"/>
      <c r="GIQ3" s="726"/>
      <c r="GIR3" s="726"/>
      <c r="GIS3" s="726"/>
      <c r="GIT3" s="727"/>
      <c r="GIU3" s="724"/>
      <c r="GIV3" s="725"/>
      <c r="GIW3" s="726"/>
      <c r="GIX3" s="726"/>
      <c r="GIY3" s="726"/>
      <c r="GIZ3" s="726"/>
      <c r="GJA3" s="726"/>
      <c r="GJB3" s="727"/>
      <c r="GJC3" s="728"/>
      <c r="GJD3" s="729"/>
      <c r="GJE3" s="730"/>
      <c r="GJF3" s="731"/>
      <c r="GJG3" s="731"/>
      <c r="GJH3" s="731"/>
      <c r="GJI3" s="731"/>
      <c r="GJJ3" s="732"/>
      <c r="GJK3" s="225"/>
      <c r="GJL3" s="716"/>
      <c r="GJM3" s="717"/>
      <c r="GJN3" s="718"/>
      <c r="GJO3" s="718"/>
      <c r="GJP3" s="718"/>
      <c r="GJQ3" s="718"/>
      <c r="GJR3" s="718"/>
      <c r="GJS3" s="719"/>
      <c r="GJT3" s="720"/>
      <c r="GJU3" s="721"/>
      <c r="GJV3" s="722"/>
      <c r="GJW3" s="722"/>
      <c r="GJX3" s="722"/>
      <c r="GJY3" s="722"/>
      <c r="GJZ3" s="722"/>
      <c r="GKA3" s="723"/>
      <c r="GKB3" s="724"/>
      <c r="GKC3" s="725"/>
      <c r="GKD3" s="726"/>
      <c r="GKE3" s="726"/>
      <c r="GKF3" s="726"/>
      <c r="GKG3" s="726"/>
      <c r="GKH3" s="726"/>
      <c r="GKI3" s="727"/>
      <c r="GKJ3" s="724"/>
      <c r="GKK3" s="725"/>
      <c r="GKL3" s="726"/>
      <c r="GKM3" s="726"/>
      <c r="GKN3" s="726"/>
      <c r="GKO3" s="726"/>
      <c r="GKP3" s="726"/>
      <c r="GKQ3" s="727"/>
      <c r="GKR3" s="728"/>
      <c r="GKS3" s="729"/>
      <c r="GKT3" s="730"/>
      <c r="GKU3" s="731"/>
      <c r="GKV3" s="731"/>
      <c r="GKW3" s="731"/>
      <c r="GKX3" s="731"/>
      <c r="GKY3" s="732"/>
      <c r="GKZ3" s="225"/>
      <c r="GLA3" s="716"/>
      <c r="GLB3" s="717"/>
      <c r="GLC3" s="718"/>
      <c r="GLD3" s="718"/>
      <c r="GLE3" s="718"/>
      <c r="GLF3" s="718"/>
      <c r="GLG3" s="718"/>
      <c r="GLH3" s="719"/>
      <c r="GLI3" s="720"/>
      <c r="GLJ3" s="721"/>
      <c r="GLK3" s="722"/>
      <c r="GLL3" s="722"/>
      <c r="GLM3" s="722"/>
      <c r="GLN3" s="722"/>
      <c r="GLO3" s="722"/>
      <c r="GLP3" s="723"/>
      <c r="GLQ3" s="724"/>
      <c r="GLR3" s="725"/>
      <c r="GLS3" s="726"/>
      <c r="GLT3" s="726"/>
      <c r="GLU3" s="726"/>
      <c r="GLV3" s="726"/>
      <c r="GLW3" s="726"/>
      <c r="GLX3" s="727"/>
      <c r="GLY3" s="724"/>
      <c r="GLZ3" s="725"/>
      <c r="GMA3" s="726"/>
      <c r="GMB3" s="726"/>
      <c r="GMC3" s="726"/>
      <c r="GMD3" s="726"/>
      <c r="GME3" s="726"/>
      <c r="GMF3" s="727"/>
      <c r="GMG3" s="728"/>
      <c r="GMH3" s="729"/>
      <c r="GMI3" s="730"/>
      <c r="GMJ3" s="731"/>
      <c r="GMK3" s="731"/>
      <c r="GML3" s="731"/>
      <c r="GMM3" s="731"/>
      <c r="GMN3" s="732"/>
      <c r="GMO3" s="225"/>
      <c r="GMP3" s="716"/>
      <c r="GMQ3" s="717"/>
      <c r="GMR3" s="718"/>
      <c r="GMS3" s="718"/>
      <c r="GMT3" s="718"/>
      <c r="GMU3" s="718"/>
      <c r="GMV3" s="718"/>
      <c r="GMW3" s="719"/>
      <c r="GMX3" s="720"/>
      <c r="GMY3" s="721"/>
      <c r="GMZ3" s="722"/>
      <c r="GNA3" s="722"/>
      <c r="GNB3" s="722"/>
      <c r="GNC3" s="722"/>
      <c r="GND3" s="722"/>
      <c r="GNE3" s="723"/>
      <c r="GNF3" s="724"/>
      <c r="GNG3" s="725"/>
      <c r="GNH3" s="726"/>
      <c r="GNI3" s="726"/>
      <c r="GNJ3" s="726"/>
      <c r="GNK3" s="726"/>
      <c r="GNL3" s="726"/>
      <c r="GNM3" s="727"/>
      <c r="GNN3" s="724"/>
      <c r="GNO3" s="725"/>
      <c r="GNP3" s="726"/>
      <c r="GNQ3" s="726"/>
      <c r="GNR3" s="726"/>
      <c r="GNS3" s="726"/>
      <c r="GNT3" s="726"/>
      <c r="GNU3" s="727"/>
      <c r="GNV3" s="728"/>
      <c r="GNW3" s="729"/>
      <c r="GNX3" s="730"/>
      <c r="GNY3" s="731"/>
      <c r="GNZ3" s="731"/>
      <c r="GOA3" s="731"/>
      <c r="GOB3" s="731"/>
      <c r="GOC3" s="732"/>
      <c r="GOD3" s="225"/>
      <c r="GOE3" s="716"/>
      <c r="GOF3" s="717"/>
      <c r="GOG3" s="718"/>
      <c r="GOH3" s="718"/>
      <c r="GOI3" s="718"/>
      <c r="GOJ3" s="718"/>
      <c r="GOK3" s="718"/>
      <c r="GOL3" s="719"/>
      <c r="GOM3" s="720"/>
      <c r="GON3" s="721"/>
      <c r="GOO3" s="722"/>
      <c r="GOP3" s="722"/>
      <c r="GOQ3" s="722"/>
      <c r="GOR3" s="722"/>
      <c r="GOS3" s="722"/>
      <c r="GOT3" s="723"/>
      <c r="GOU3" s="724"/>
      <c r="GOV3" s="725"/>
      <c r="GOW3" s="726"/>
      <c r="GOX3" s="726"/>
      <c r="GOY3" s="726"/>
      <c r="GOZ3" s="726"/>
      <c r="GPA3" s="726"/>
      <c r="GPB3" s="727"/>
      <c r="GPC3" s="724"/>
      <c r="GPD3" s="725"/>
      <c r="GPE3" s="726"/>
      <c r="GPF3" s="726"/>
      <c r="GPG3" s="726"/>
      <c r="GPH3" s="726"/>
      <c r="GPI3" s="726"/>
      <c r="GPJ3" s="727"/>
      <c r="GPK3" s="728"/>
      <c r="GPL3" s="729"/>
      <c r="GPM3" s="730"/>
      <c r="GPN3" s="731"/>
      <c r="GPO3" s="731"/>
      <c r="GPP3" s="731"/>
      <c r="GPQ3" s="731"/>
      <c r="GPR3" s="732"/>
      <c r="GPS3" s="225"/>
      <c r="GPT3" s="716"/>
      <c r="GPU3" s="717"/>
      <c r="GPV3" s="718"/>
      <c r="GPW3" s="718"/>
      <c r="GPX3" s="718"/>
      <c r="GPY3" s="718"/>
      <c r="GPZ3" s="718"/>
      <c r="GQA3" s="719"/>
      <c r="GQB3" s="720"/>
      <c r="GQC3" s="721"/>
      <c r="GQD3" s="722"/>
      <c r="GQE3" s="722"/>
      <c r="GQF3" s="722"/>
      <c r="GQG3" s="722"/>
      <c r="GQH3" s="722"/>
      <c r="GQI3" s="723"/>
      <c r="GQJ3" s="724"/>
      <c r="GQK3" s="725"/>
      <c r="GQL3" s="726"/>
      <c r="GQM3" s="726"/>
      <c r="GQN3" s="726"/>
      <c r="GQO3" s="726"/>
      <c r="GQP3" s="726"/>
      <c r="GQQ3" s="727"/>
      <c r="GQR3" s="724"/>
      <c r="GQS3" s="725"/>
      <c r="GQT3" s="726"/>
      <c r="GQU3" s="726"/>
      <c r="GQV3" s="726"/>
      <c r="GQW3" s="726"/>
      <c r="GQX3" s="726"/>
      <c r="GQY3" s="727"/>
      <c r="GQZ3" s="728"/>
      <c r="GRA3" s="729"/>
      <c r="GRB3" s="730"/>
      <c r="GRC3" s="731"/>
      <c r="GRD3" s="731"/>
      <c r="GRE3" s="731"/>
      <c r="GRF3" s="731"/>
      <c r="GRG3" s="732"/>
      <c r="GRH3" s="225"/>
      <c r="GRI3" s="716"/>
      <c r="GRJ3" s="717"/>
      <c r="GRK3" s="718"/>
      <c r="GRL3" s="718"/>
      <c r="GRM3" s="718"/>
      <c r="GRN3" s="718"/>
      <c r="GRO3" s="718"/>
      <c r="GRP3" s="719"/>
      <c r="GRQ3" s="720"/>
      <c r="GRR3" s="721"/>
      <c r="GRS3" s="722"/>
      <c r="GRT3" s="722"/>
      <c r="GRU3" s="722"/>
      <c r="GRV3" s="722"/>
      <c r="GRW3" s="722"/>
      <c r="GRX3" s="723"/>
      <c r="GRY3" s="724"/>
      <c r="GRZ3" s="725"/>
      <c r="GSA3" s="726"/>
      <c r="GSB3" s="726"/>
      <c r="GSC3" s="726"/>
      <c r="GSD3" s="726"/>
      <c r="GSE3" s="726"/>
      <c r="GSF3" s="727"/>
      <c r="GSG3" s="724"/>
      <c r="GSH3" s="725"/>
      <c r="GSI3" s="726"/>
      <c r="GSJ3" s="726"/>
      <c r="GSK3" s="726"/>
      <c r="GSL3" s="726"/>
      <c r="GSM3" s="726"/>
      <c r="GSN3" s="727"/>
      <c r="GSO3" s="728"/>
      <c r="GSP3" s="729"/>
      <c r="GSQ3" s="730"/>
      <c r="GSR3" s="731"/>
      <c r="GSS3" s="731"/>
      <c r="GST3" s="731"/>
      <c r="GSU3" s="731"/>
      <c r="GSV3" s="732"/>
      <c r="GSW3" s="225"/>
      <c r="GSX3" s="716"/>
      <c r="GSY3" s="717"/>
      <c r="GSZ3" s="718"/>
      <c r="GTA3" s="718"/>
      <c r="GTB3" s="718"/>
      <c r="GTC3" s="718"/>
      <c r="GTD3" s="718"/>
      <c r="GTE3" s="719"/>
      <c r="GTF3" s="720"/>
      <c r="GTG3" s="721"/>
      <c r="GTH3" s="722"/>
      <c r="GTI3" s="722"/>
      <c r="GTJ3" s="722"/>
      <c r="GTK3" s="722"/>
      <c r="GTL3" s="722"/>
      <c r="GTM3" s="723"/>
      <c r="GTN3" s="724"/>
      <c r="GTO3" s="725"/>
      <c r="GTP3" s="726"/>
      <c r="GTQ3" s="726"/>
      <c r="GTR3" s="726"/>
      <c r="GTS3" s="726"/>
      <c r="GTT3" s="726"/>
      <c r="GTU3" s="727"/>
      <c r="GTV3" s="724"/>
      <c r="GTW3" s="725"/>
      <c r="GTX3" s="726"/>
      <c r="GTY3" s="726"/>
      <c r="GTZ3" s="726"/>
      <c r="GUA3" s="726"/>
      <c r="GUB3" s="726"/>
      <c r="GUC3" s="727"/>
      <c r="GUD3" s="728"/>
      <c r="GUE3" s="729"/>
      <c r="GUF3" s="730"/>
      <c r="GUG3" s="731"/>
      <c r="GUH3" s="731"/>
      <c r="GUI3" s="731"/>
      <c r="GUJ3" s="731"/>
      <c r="GUK3" s="732"/>
      <c r="GUL3" s="225"/>
      <c r="GUM3" s="716"/>
      <c r="GUN3" s="717"/>
      <c r="GUO3" s="718"/>
      <c r="GUP3" s="718"/>
      <c r="GUQ3" s="718"/>
      <c r="GUR3" s="718"/>
      <c r="GUS3" s="718"/>
      <c r="GUT3" s="719"/>
      <c r="GUU3" s="720"/>
      <c r="GUV3" s="721"/>
      <c r="GUW3" s="722"/>
      <c r="GUX3" s="722"/>
      <c r="GUY3" s="722"/>
      <c r="GUZ3" s="722"/>
      <c r="GVA3" s="722"/>
      <c r="GVB3" s="723"/>
      <c r="GVC3" s="724"/>
      <c r="GVD3" s="725"/>
      <c r="GVE3" s="726"/>
      <c r="GVF3" s="726"/>
      <c r="GVG3" s="726"/>
      <c r="GVH3" s="726"/>
      <c r="GVI3" s="726"/>
      <c r="GVJ3" s="727"/>
      <c r="GVK3" s="724"/>
      <c r="GVL3" s="725"/>
      <c r="GVM3" s="726"/>
      <c r="GVN3" s="726"/>
      <c r="GVO3" s="726"/>
      <c r="GVP3" s="726"/>
      <c r="GVQ3" s="726"/>
      <c r="GVR3" s="727"/>
      <c r="GVS3" s="728"/>
      <c r="GVT3" s="729"/>
      <c r="GVU3" s="730"/>
      <c r="GVV3" s="731"/>
      <c r="GVW3" s="731"/>
      <c r="GVX3" s="731"/>
      <c r="GVY3" s="731"/>
      <c r="GVZ3" s="732"/>
      <c r="GWA3" s="225"/>
      <c r="GWB3" s="716"/>
      <c r="GWC3" s="717"/>
      <c r="GWD3" s="718"/>
      <c r="GWE3" s="718"/>
      <c r="GWF3" s="718"/>
      <c r="GWG3" s="718"/>
      <c r="GWH3" s="718"/>
      <c r="GWI3" s="719"/>
      <c r="GWJ3" s="720"/>
      <c r="GWK3" s="721"/>
      <c r="GWL3" s="722"/>
      <c r="GWM3" s="722"/>
      <c r="GWN3" s="722"/>
      <c r="GWO3" s="722"/>
      <c r="GWP3" s="722"/>
      <c r="GWQ3" s="723"/>
      <c r="GWR3" s="724"/>
      <c r="GWS3" s="725"/>
      <c r="GWT3" s="726"/>
      <c r="GWU3" s="726"/>
      <c r="GWV3" s="726"/>
      <c r="GWW3" s="726"/>
      <c r="GWX3" s="726"/>
      <c r="GWY3" s="727"/>
      <c r="GWZ3" s="724"/>
      <c r="GXA3" s="725"/>
      <c r="GXB3" s="726"/>
      <c r="GXC3" s="726"/>
      <c r="GXD3" s="726"/>
      <c r="GXE3" s="726"/>
      <c r="GXF3" s="726"/>
      <c r="GXG3" s="727"/>
      <c r="GXH3" s="728"/>
      <c r="GXI3" s="729"/>
      <c r="GXJ3" s="730"/>
      <c r="GXK3" s="731"/>
      <c r="GXL3" s="731"/>
      <c r="GXM3" s="731"/>
      <c r="GXN3" s="731"/>
      <c r="GXO3" s="732"/>
      <c r="GXP3" s="225"/>
      <c r="GXQ3" s="716"/>
      <c r="GXR3" s="717"/>
      <c r="GXS3" s="718"/>
      <c r="GXT3" s="718"/>
      <c r="GXU3" s="718"/>
      <c r="GXV3" s="718"/>
      <c r="GXW3" s="718"/>
      <c r="GXX3" s="719"/>
      <c r="GXY3" s="720"/>
      <c r="GXZ3" s="721"/>
      <c r="GYA3" s="722"/>
      <c r="GYB3" s="722"/>
      <c r="GYC3" s="722"/>
      <c r="GYD3" s="722"/>
      <c r="GYE3" s="722"/>
      <c r="GYF3" s="723"/>
      <c r="GYG3" s="724"/>
      <c r="GYH3" s="725"/>
      <c r="GYI3" s="726"/>
      <c r="GYJ3" s="726"/>
      <c r="GYK3" s="726"/>
      <c r="GYL3" s="726"/>
      <c r="GYM3" s="726"/>
      <c r="GYN3" s="727"/>
      <c r="GYO3" s="724"/>
      <c r="GYP3" s="725"/>
      <c r="GYQ3" s="726"/>
      <c r="GYR3" s="726"/>
      <c r="GYS3" s="726"/>
      <c r="GYT3" s="726"/>
      <c r="GYU3" s="726"/>
      <c r="GYV3" s="727"/>
      <c r="GYW3" s="728"/>
      <c r="GYX3" s="729"/>
      <c r="GYY3" s="730"/>
      <c r="GYZ3" s="731"/>
      <c r="GZA3" s="731"/>
      <c r="GZB3" s="731"/>
      <c r="GZC3" s="731"/>
      <c r="GZD3" s="732"/>
      <c r="GZE3" s="225"/>
      <c r="GZF3" s="716"/>
      <c r="GZG3" s="717"/>
      <c r="GZH3" s="718"/>
      <c r="GZI3" s="718"/>
      <c r="GZJ3" s="718"/>
      <c r="GZK3" s="718"/>
      <c r="GZL3" s="718"/>
      <c r="GZM3" s="719"/>
      <c r="GZN3" s="720"/>
      <c r="GZO3" s="721"/>
      <c r="GZP3" s="722"/>
      <c r="GZQ3" s="722"/>
      <c r="GZR3" s="722"/>
      <c r="GZS3" s="722"/>
      <c r="GZT3" s="722"/>
      <c r="GZU3" s="723"/>
      <c r="GZV3" s="724"/>
      <c r="GZW3" s="725"/>
      <c r="GZX3" s="726"/>
      <c r="GZY3" s="726"/>
      <c r="GZZ3" s="726"/>
      <c r="HAA3" s="726"/>
      <c r="HAB3" s="726"/>
      <c r="HAC3" s="727"/>
      <c r="HAD3" s="724"/>
      <c r="HAE3" s="725"/>
      <c r="HAF3" s="726"/>
      <c r="HAG3" s="726"/>
      <c r="HAH3" s="726"/>
      <c r="HAI3" s="726"/>
      <c r="HAJ3" s="726"/>
      <c r="HAK3" s="727"/>
      <c r="HAL3" s="728"/>
      <c r="HAM3" s="729"/>
      <c r="HAN3" s="730"/>
      <c r="HAO3" s="731"/>
      <c r="HAP3" s="731"/>
      <c r="HAQ3" s="731"/>
      <c r="HAR3" s="731"/>
      <c r="HAS3" s="732"/>
      <c r="HAT3" s="225"/>
      <c r="HAU3" s="716"/>
      <c r="HAV3" s="717"/>
      <c r="HAW3" s="718"/>
      <c r="HAX3" s="718"/>
      <c r="HAY3" s="718"/>
      <c r="HAZ3" s="718"/>
      <c r="HBA3" s="718"/>
      <c r="HBB3" s="719"/>
      <c r="HBC3" s="720"/>
      <c r="HBD3" s="721"/>
      <c r="HBE3" s="722"/>
      <c r="HBF3" s="722"/>
      <c r="HBG3" s="722"/>
      <c r="HBH3" s="722"/>
      <c r="HBI3" s="722"/>
      <c r="HBJ3" s="723"/>
      <c r="HBK3" s="724"/>
      <c r="HBL3" s="725"/>
      <c r="HBM3" s="726"/>
      <c r="HBN3" s="726"/>
      <c r="HBO3" s="726"/>
      <c r="HBP3" s="726"/>
      <c r="HBQ3" s="726"/>
      <c r="HBR3" s="727"/>
      <c r="HBS3" s="724"/>
      <c r="HBT3" s="725"/>
      <c r="HBU3" s="726"/>
      <c r="HBV3" s="726"/>
      <c r="HBW3" s="726"/>
      <c r="HBX3" s="726"/>
      <c r="HBY3" s="726"/>
      <c r="HBZ3" s="727"/>
      <c r="HCA3" s="728"/>
      <c r="HCB3" s="729"/>
      <c r="HCC3" s="730"/>
      <c r="HCD3" s="731"/>
      <c r="HCE3" s="731"/>
      <c r="HCF3" s="731"/>
      <c r="HCG3" s="731"/>
      <c r="HCH3" s="732"/>
      <c r="HCI3" s="225"/>
      <c r="HCJ3" s="716"/>
      <c r="HCK3" s="717"/>
      <c r="HCL3" s="718"/>
      <c r="HCM3" s="718"/>
      <c r="HCN3" s="718"/>
      <c r="HCO3" s="718"/>
      <c r="HCP3" s="718"/>
      <c r="HCQ3" s="719"/>
      <c r="HCR3" s="720"/>
      <c r="HCS3" s="721"/>
      <c r="HCT3" s="722"/>
      <c r="HCU3" s="722"/>
      <c r="HCV3" s="722"/>
      <c r="HCW3" s="722"/>
      <c r="HCX3" s="722"/>
      <c r="HCY3" s="723"/>
      <c r="HCZ3" s="724"/>
      <c r="HDA3" s="725"/>
      <c r="HDB3" s="726"/>
      <c r="HDC3" s="726"/>
      <c r="HDD3" s="726"/>
      <c r="HDE3" s="726"/>
      <c r="HDF3" s="726"/>
      <c r="HDG3" s="727"/>
      <c r="HDH3" s="724"/>
      <c r="HDI3" s="725"/>
      <c r="HDJ3" s="726"/>
      <c r="HDK3" s="726"/>
      <c r="HDL3" s="726"/>
      <c r="HDM3" s="726"/>
      <c r="HDN3" s="726"/>
      <c r="HDO3" s="727"/>
      <c r="HDP3" s="728"/>
      <c r="HDQ3" s="729"/>
      <c r="HDR3" s="730"/>
      <c r="HDS3" s="731"/>
      <c r="HDT3" s="731"/>
      <c r="HDU3" s="731"/>
      <c r="HDV3" s="731"/>
      <c r="HDW3" s="732"/>
      <c r="HDX3" s="225"/>
      <c r="HDY3" s="716"/>
      <c r="HDZ3" s="717"/>
      <c r="HEA3" s="718"/>
      <c r="HEB3" s="718"/>
      <c r="HEC3" s="718"/>
      <c r="HED3" s="718"/>
      <c r="HEE3" s="718"/>
      <c r="HEF3" s="719"/>
      <c r="HEG3" s="720"/>
      <c r="HEH3" s="721"/>
      <c r="HEI3" s="722"/>
      <c r="HEJ3" s="722"/>
      <c r="HEK3" s="722"/>
      <c r="HEL3" s="722"/>
      <c r="HEM3" s="722"/>
      <c r="HEN3" s="723"/>
      <c r="HEO3" s="724"/>
      <c r="HEP3" s="725"/>
      <c r="HEQ3" s="726"/>
      <c r="HER3" s="726"/>
      <c r="HES3" s="726"/>
      <c r="HET3" s="726"/>
      <c r="HEU3" s="726"/>
      <c r="HEV3" s="727"/>
      <c r="HEW3" s="724"/>
      <c r="HEX3" s="725"/>
      <c r="HEY3" s="726"/>
      <c r="HEZ3" s="726"/>
      <c r="HFA3" s="726"/>
      <c r="HFB3" s="726"/>
      <c r="HFC3" s="726"/>
      <c r="HFD3" s="727"/>
      <c r="HFE3" s="728"/>
      <c r="HFF3" s="729"/>
      <c r="HFG3" s="730"/>
      <c r="HFH3" s="731"/>
      <c r="HFI3" s="731"/>
      <c r="HFJ3" s="731"/>
      <c r="HFK3" s="731"/>
      <c r="HFL3" s="732"/>
      <c r="HFM3" s="225"/>
      <c r="HFN3" s="716"/>
      <c r="HFO3" s="717"/>
      <c r="HFP3" s="718"/>
      <c r="HFQ3" s="718"/>
      <c r="HFR3" s="718"/>
      <c r="HFS3" s="718"/>
      <c r="HFT3" s="718"/>
      <c r="HFU3" s="719"/>
      <c r="HFV3" s="720"/>
      <c r="HFW3" s="721"/>
      <c r="HFX3" s="722"/>
      <c r="HFY3" s="722"/>
      <c r="HFZ3" s="722"/>
      <c r="HGA3" s="722"/>
      <c r="HGB3" s="722"/>
      <c r="HGC3" s="723"/>
      <c r="HGD3" s="724"/>
      <c r="HGE3" s="725"/>
      <c r="HGF3" s="726"/>
      <c r="HGG3" s="726"/>
      <c r="HGH3" s="726"/>
      <c r="HGI3" s="726"/>
      <c r="HGJ3" s="726"/>
      <c r="HGK3" s="727"/>
      <c r="HGL3" s="724"/>
      <c r="HGM3" s="725"/>
      <c r="HGN3" s="726"/>
      <c r="HGO3" s="726"/>
      <c r="HGP3" s="726"/>
      <c r="HGQ3" s="726"/>
      <c r="HGR3" s="726"/>
      <c r="HGS3" s="727"/>
      <c r="HGT3" s="728"/>
      <c r="HGU3" s="729"/>
      <c r="HGV3" s="730"/>
      <c r="HGW3" s="731"/>
      <c r="HGX3" s="731"/>
      <c r="HGY3" s="731"/>
      <c r="HGZ3" s="731"/>
      <c r="HHA3" s="732"/>
      <c r="HHB3" s="225"/>
      <c r="HHC3" s="716"/>
      <c r="HHD3" s="717"/>
      <c r="HHE3" s="718"/>
      <c r="HHF3" s="718"/>
      <c r="HHG3" s="718"/>
      <c r="HHH3" s="718"/>
      <c r="HHI3" s="718"/>
      <c r="HHJ3" s="719"/>
      <c r="HHK3" s="720"/>
      <c r="HHL3" s="721"/>
      <c r="HHM3" s="722"/>
      <c r="HHN3" s="722"/>
      <c r="HHO3" s="722"/>
      <c r="HHP3" s="722"/>
      <c r="HHQ3" s="722"/>
      <c r="HHR3" s="723"/>
      <c r="HHS3" s="724"/>
      <c r="HHT3" s="725"/>
      <c r="HHU3" s="726"/>
      <c r="HHV3" s="726"/>
      <c r="HHW3" s="726"/>
      <c r="HHX3" s="726"/>
      <c r="HHY3" s="726"/>
      <c r="HHZ3" s="727"/>
      <c r="HIA3" s="724"/>
      <c r="HIB3" s="725"/>
      <c r="HIC3" s="726"/>
      <c r="HID3" s="726"/>
      <c r="HIE3" s="726"/>
      <c r="HIF3" s="726"/>
      <c r="HIG3" s="726"/>
      <c r="HIH3" s="727"/>
      <c r="HII3" s="728"/>
      <c r="HIJ3" s="729"/>
      <c r="HIK3" s="730"/>
      <c r="HIL3" s="731"/>
      <c r="HIM3" s="731"/>
      <c r="HIN3" s="731"/>
      <c r="HIO3" s="731"/>
      <c r="HIP3" s="732"/>
      <c r="HIQ3" s="225"/>
      <c r="HIR3" s="716"/>
      <c r="HIS3" s="717"/>
      <c r="HIT3" s="718"/>
      <c r="HIU3" s="718"/>
      <c r="HIV3" s="718"/>
      <c r="HIW3" s="718"/>
      <c r="HIX3" s="718"/>
      <c r="HIY3" s="719"/>
      <c r="HIZ3" s="720"/>
      <c r="HJA3" s="721"/>
      <c r="HJB3" s="722"/>
      <c r="HJC3" s="722"/>
      <c r="HJD3" s="722"/>
      <c r="HJE3" s="722"/>
      <c r="HJF3" s="722"/>
      <c r="HJG3" s="723"/>
      <c r="HJH3" s="724"/>
      <c r="HJI3" s="725"/>
      <c r="HJJ3" s="726"/>
      <c r="HJK3" s="726"/>
      <c r="HJL3" s="726"/>
      <c r="HJM3" s="726"/>
      <c r="HJN3" s="726"/>
      <c r="HJO3" s="727"/>
      <c r="HJP3" s="724"/>
      <c r="HJQ3" s="725"/>
      <c r="HJR3" s="726"/>
      <c r="HJS3" s="726"/>
      <c r="HJT3" s="726"/>
      <c r="HJU3" s="726"/>
      <c r="HJV3" s="726"/>
      <c r="HJW3" s="727"/>
      <c r="HJX3" s="728"/>
      <c r="HJY3" s="729"/>
      <c r="HJZ3" s="730"/>
      <c r="HKA3" s="731"/>
      <c r="HKB3" s="731"/>
      <c r="HKC3" s="731"/>
      <c r="HKD3" s="731"/>
      <c r="HKE3" s="732"/>
      <c r="HKF3" s="225"/>
      <c r="HKG3" s="716"/>
      <c r="HKH3" s="717"/>
      <c r="HKI3" s="718"/>
      <c r="HKJ3" s="718"/>
      <c r="HKK3" s="718"/>
      <c r="HKL3" s="718"/>
      <c r="HKM3" s="718"/>
      <c r="HKN3" s="719"/>
      <c r="HKO3" s="720"/>
      <c r="HKP3" s="721"/>
      <c r="HKQ3" s="722"/>
      <c r="HKR3" s="722"/>
      <c r="HKS3" s="722"/>
      <c r="HKT3" s="722"/>
      <c r="HKU3" s="722"/>
      <c r="HKV3" s="723"/>
      <c r="HKW3" s="724"/>
      <c r="HKX3" s="725"/>
      <c r="HKY3" s="726"/>
      <c r="HKZ3" s="726"/>
      <c r="HLA3" s="726"/>
      <c r="HLB3" s="726"/>
      <c r="HLC3" s="726"/>
      <c r="HLD3" s="727"/>
      <c r="HLE3" s="724"/>
      <c r="HLF3" s="725"/>
      <c r="HLG3" s="726"/>
      <c r="HLH3" s="726"/>
      <c r="HLI3" s="726"/>
      <c r="HLJ3" s="726"/>
      <c r="HLK3" s="726"/>
      <c r="HLL3" s="727"/>
      <c r="HLM3" s="728"/>
      <c r="HLN3" s="729"/>
      <c r="HLO3" s="730"/>
      <c r="HLP3" s="731"/>
      <c r="HLQ3" s="731"/>
      <c r="HLR3" s="731"/>
      <c r="HLS3" s="731"/>
      <c r="HLT3" s="732"/>
      <c r="HLU3" s="225"/>
      <c r="HLV3" s="716"/>
      <c r="HLW3" s="717"/>
      <c r="HLX3" s="718"/>
      <c r="HLY3" s="718"/>
      <c r="HLZ3" s="718"/>
      <c r="HMA3" s="718"/>
      <c r="HMB3" s="718"/>
      <c r="HMC3" s="719"/>
      <c r="HMD3" s="720"/>
      <c r="HME3" s="721"/>
      <c r="HMF3" s="722"/>
      <c r="HMG3" s="722"/>
      <c r="HMH3" s="722"/>
      <c r="HMI3" s="722"/>
      <c r="HMJ3" s="722"/>
      <c r="HMK3" s="723"/>
      <c r="HML3" s="724"/>
      <c r="HMM3" s="725"/>
      <c r="HMN3" s="726"/>
      <c r="HMO3" s="726"/>
      <c r="HMP3" s="726"/>
      <c r="HMQ3" s="726"/>
      <c r="HMR3" s="726"/>
      <c r="HMS3" s="727"/>
      <c r="HMT3" s="724"/>
      <c r="HMU3" s="725"/>
      <c r="HMV3" s="726"/>
      <c r="HMW3" s="726"/>
      <c r="HMX3" s="726"/>
      <c r="HMY3" s="726"/>
      <c r="HMZ3" s="726"/>
      <c r="HNA3" s="727"/>
      <c r="HNB3" s="728"/>
      <c r="HNC3" s="729"/>
      <c r="HND3" s="730"/>
      <c r="HNE3" s="731"/>
      <c r="HNF3" s="731"/>
      <c r="HNG3" s="731"/>
      <c r="HNH3" s="731"/>
      <c r="HNI3" s="732"/>
      <c r="HNJ3" s="225"/>
      <c r="HNK3" s="716"/>
      <c r="HNL3" s="717"/>
      <c r="HNM3" s="718"/>
      <c r="HNN3" s="718"/>
      <c r="HNO3" s="718"/>
      <c r="HNP3" s="718"/>
      <c r="HNQ3" s="718"/>
      <c r="HNR3" s="719"/>
      <c r="HNS3" s="720"/>
      <c r="HNT3" s="721"/>
      <c r="HNU3" s="722"/>
      <c r="HNV3" s="722"/>
      <c r="HNW3" s="722"/>
      <c r="HNX3" s="722"/>
      <c r="HNY3" s="722"/>
      <c r="HNZ3" s="723"/>
      <c r="HOA3" s="724"/>
      <c r="HOB3" s="725"/>
      <c r="HOC3" s="726"/>
      <c r="HOD3" s="726"/>
      <c r="HOE3" s="726"/>
      <c r="HOF3" s="726"/>
      <c r="HOG3" s="726"/>
      <c r="HOH3" s="727"/>
      <c r="HOI3" s="724"/>
      <c r="HOJ3" s="725"/>
      <c r="HOK3" s="726"/>
      <c r="HOL3" s="726"/>
      <c r="HOM3" s="726"/>
      <c r="HON3" s="726"/>
      <c r="HOO3" s="726"/>
      <c r="HOP3" s="727"/>
      <c r="HOQ3" s="728"/>
      <c r="HOR3" s="729"/>
      <c r="HOS3" s="730"/>
      <c r="HOT3" s="731"/>
      <c r="HOU3" s="731"/>
      <c r="HOV3" s="731"/>
      <c r="HOW3" s="731"/>
      <c r="HOX3" s="732"/>
      <c r="HOY3" s="225"/>
      <c r="HOZ3" s="716"/>
      <c r="HPA3" s="717"/>
      <c r="HPB3" s="718"/>
      <c r="HPC3" s="718"/>
      <c r="HPD3" s="718"/>
      <c r="HPE3" s="718"/>
      <c r="HPF3" s="718"/>
      <c r="HPG3" s="719"/>
      <c r="HPH3" s="720"/>
      <c r="HPI3" s="721"/>
      <c r="HPJ3" s="722"/>
      <c r="HPK3" s="722"/>
      <c r="HPL3" s="722"/>
      <c r="HPM3" s="722"/>
      <c r="HPN3" s="722"/>
      <c r="HPO3" s="723"/>
      <c r="HPP3" s="724"/>
      <c r="HPQ3" s="725"/>
      <c r="HPR3" s="726"/>
      <c r="HPS3" s="726"/>
      <c r="HPT3" s="726"/>
      <c r="HPU3" s="726"/>
      <c r="HPV3" s="726"/>
      <c r="HPW3" s="727"/>
      <c r="HPX3" s="724"/>
      <c r="HPY3" s="725"/>
      <c r="HPZ3" s="726"/>
      <c r="HQA3" s="726"/>
      <c r="HQB3" s="726"/>
      <c r="HQC3" s="726"/>
      <c r="HQD3" s="726"/>
      <c r="HQE3" s="727"/>
      <c r="HQF3" s="728"/>
      <c r="HQG3" s="729"/>
      <c r="HQH3" s="730"/>
      <c r="HQI3" s="731"/>
      <c r="HQJ3" s="731"/>
      <c r="HQK3" s="731"/>
      <c r="HQL3" s="731"/>
      <c r="HQM3" s="732"/>
      <c r="HQN3" s="225"/>
      <c r="HQO3" s="716"/>
      <c r="HQP3" s="717"/>
      <c r="HQQ3" s="718"/>
      <c r="HQR3" s="718"/>
      <c r="HQS3" s="718"/>
      <c r="HQT3" s="718"/>
      <c r="HQU3" s="718"/>
      <c r="HQV3" s="719"/>
      <c r="HQW3" s="720"/>
      <c r="HQX3" s="721"/>
      <c r="HQY3" s="722"/>
      <c r="HQZ3" s="722"/>
      <c r="HRA3" s="722"/>
      <c r="HRB3" s="722"/>
      <c r="HRC3" s="722"/>
      <c r="HRD3" s="723"/>
      <c r="HRE3" s="724"/>
      <c r="HRF3" s="725"/>
      <c r="HRG3" s="726"/>
      <c r="HRH3" s="726"/>
      <c r="HRI3" s="726"/>
      <c r="HRJ3" s="726"/>
      <c r="HRK3" s="726"/>
      <c r="HRL3" s="727"/>
      <c r="HRM3" s="724"/>
      <c r="HRN3" s="725"/>
      <c r="HRO3" s="726"/>
      <c r="HRP3" s="726"/>
      <c r="HRQ3" s="726"/>
      <c r="HRR3" s="726"/>
      <c r="HRS3" s="726"/>
      <c r="HRT3" s="727"/>
      <c r="HRU3" s="728"/>
      <c r="HRV3" s="729"/>
      <c r="HRW3" s="730"/>
      <c r="HRX3" s="731"/>
      <c r="HRY3" s="731"/>
      <c r="HRZ3" s="731"/>
      <c r="HSA3" s="731"/>
      <c r="HSB3" s="732"/>
      <c r="HSC3" s="225"/>
      <c r="HSD3" s="716"/>
      <c r="HSE3" s="717"/>
      <c r="HSF3" s="718"/>
      <c r="HSG3" s="718"/>
      <c r="HSH3" s="718"/>
      <c r="HSI3" s="718"/>
      <c r="HSJ3" s="718"/>
      <c r="HSK3" s="719"/>
      <c r="HSL3" s="720"/>
      <c r="HSM3" s="721"/>
      <c r="HSN3" s="722"/>
      <c r="HSO3" s="722"/>
      <c r="HSP3" s="722"/>
      <c r="HSQ3" s="722"/>
      <c r="HSR3" s="722"/>
      <c r="HSS3" s="723"/>
      <c r="HST3" s="724"/>
      <c r="HSU3" s="725"/>
      <c r="HSV3" s="726"/>
      <c r="HSW3" s="726"/>
      <c r="HSX3" s="726"/>
      <c r="HSY3" s="726"/>
      <c r="HSZ3" s="726"/>
      <c r="HTA3" s="727"/>
      <c r="HTB3" s="724"/>
      <c r="HTC3" s="725"/>
      <c r="HTD3" s="726"/>
      <c r="HTE3" s="726"/>
      <c r="HTF3" s="726"/>
      <c r="HTG3" s="726"/>
      <c r="HTH3" s="726"/>
      <c r="HTI3" s="727"/>
      <c r="HTJ3" s="728"/>
      <c r="HTK3" s="729"/>
      <c r="HTL3" s="730"/>
      <c r="HTM3" s="731"/>
      <c r="HTN3" s="731"/>
      <c r="HTO3" s="731"/>
      <c r="HTP3" s="731"/>
      <c r="HTQ3" s="732"/>
      <c r="HTR3" s="225"/>
      <c r="HTS3" s="716"/>
      <c r="HTT3" s="717"/>
      <c r="HTU3" s="718"/>
      <c r="HTV3" s="718"/>
      <c r="HTW3" s="718"/>
      <c r="HTX3" s="718"/>
      <c r="HTY3" s="718"/>
      <c r="HTZ3" s="719"/>
      <c r="HUA3" s="720"/>
      <c r="HUB3" s="721"/>
      <c r="HUC3" s="722"/>
      <c r="HUD3" s="722"/>
      <c r="HUE3" s="722"/>
      <c r="HUF3" s="722"/>
      <c r="HUG3" s="722"/>
      <c r="HUH3" s="723"/>
      <c r="HUI3" s="724"/>
      <c r="HUJ3" s="725"/>
      <c r="HUK3" s="726"/>
      <c r="HUL3" s="726"/>
      <c r="HUM3" s="726"/>
      <c r="HUN3" s="726"/>
      <c r="HUO3" s="726"/>
      <c r="HUP3" s="727"/>
      <c r="HUQ3" s="724"/>
      <c r="HUR3" s="725"/>
      <c r="HUS3" s="726"/>
      <c r="HUT3" s="726"/>
      <c r="HUU3" s="726"/>
      <c r="HUV3" s="726"/>
      <c r="HUW3" s="726"/>
      <c r="HUX3" s="727"/>
      <c r="HUY3" s="728"/>
      <c r="HUZ3" s="729"/>
      <c r="HVA3" s="730"/>
      <c r="HVB3" s="731"/>
      <c r="HVC3" s="731"/>
      <c r="HVD3" s="731"/>
      <c r="HVE3" s="731"/>
      <c r="HVF3" s="732"/>
      <c r="HVG3" s="225"/>
      <c r="HVH3" s="716"/>
      <c r="HVI3" s="717"/>
      <c r="HVJ3" s="718"/>
      <c r="HVK3" s="718"/>
      <c r="HVL3" s="718"/>
      <c r="HVM3" s="718"/>
      <c r="HVN3" s="718"/>
      <c r="HVO3" s="719"/>
      <c r="HVP3" s="720"/>
      <c r="HVQ3" s="721"/>
      <c r="HVR3" s="722"/>
      <c r="HVS3" s="722"/>
      <c r="HVT3" s="722"/>
      <c r="HVU3" s="722"/>
      <c r="HVV3" s="722"/>
      <c r="HVW3" s="723"/>
      <c r="HVX3" s="724"/>
      <c r="HVY3" s="725"/>
      <c r="HVZ3" s="726"/>
      <c r="HWA3" s="726"/>
      <c r="HWB3" s="726"/>
      <c r="HWC3" s="726"/>
      <c r="HWD3" s="726"/>
      <c r="HWE3" s="727"/>
      <c r="HWF3" s="724"/>
      <c r="HWG3" s="725"/>
      <c r="HWH3" s="726"/>
      <c r="HWI3" s="726"/>
      <c r="HWJ3" s="726"/>
      <c r="HWK3" s="726"/>
      <c r="HWL3" s="726"/>
      <c r="HWM3" s="727"/>
      <c r="HWN3" s="728"/>
      <c r="HWO3" s="729"/>
      <c r="HWP3" s="730"/>
      <c r="HWQ3" s="731"/>
      <c r="HWR3" s="731"/>
      <c r="HWS3" s="731"/>
      <c r="HWT3" s="731"/>
      <c r="HWU3" s="732"/>
      <c r="HWV3" s="225"/>
      <c r="HWW3" s="716"/>
      <c r="HWX3" s="717"/>
      <c r="HWY3" s="718"/>
      <c r="HWZ3" s="718"/>
      <c r="HXA3" s="718"/>
      <c r="HXB3" s="718"/>
      <c r="HXC3" s="718"/>
      <c r="HXD3" s="719"/>
      <c r="HXE3" s="720"/>
      <c r="HXF3" s="721"/>
      <c r="HXG3" s="722"/>
      <c r="HXH3" s="722"/>
      <c r="HXI3" s="722"/>
      <c r="HXJ3" s="722"/>
      <c r="HXK3" s="722"/>
      <c r="HXL3" s="723"/>
      <c r="HXM3" s="724"/>
      <c r="HXN3" s="725"/>
      <c r="HXO3" s="726"/>
      <c r="HXP3" s="726"/>
      <c r="HXQ3" s="726"/>
      <c r="HXR3" s="726"/>
      <c r="HXS3" s="726"/>
      <c r="HXT3" s="727"/>
      <c r="HXU3" s="724"/>
      <c r="HXV3" s="725"/>
      <c r="HXW3" s="726"/>
      <c r="HXX3" s="726"/>
      <c r="HXY3" s="726"/>
      <c r="HXZ3" s="726"/>
      <c r="HYA3" s="726"/>
      <c r="HYB3" s="727"/>
      <c r="HYC3" s="728"/>
      <c r="HYD3" s="729"/>
      <c r="HYE3" s="730"/>
      <c r="HYF3" s="731"/>
      <c r="HYG3" s="731"/>
      <c r="HYH3" s="731"/>
      <c r="HYI3" s="731"/>
      <c r="HYJ3" s="732"/>
      <c r="HYK3" s="225"/>
      <c r="HYL3" s="716"/>
      <c r="HYM3" s="717"/>
      <c r="HYN3" s="718"/>
      <c r="HYO3" s="718"/>
      <c r="HYP3" s="718"/>
      <c r="HYQ3" s="718"/>
      <c r="HYR3" s="718"/>
      <c r="HYS3" s="719"/>
      <c r="HYT3" s="720"/>
      <c r="HYU3" s="721"/>
      <c r="HYV3" s="722"/>
      <c r="HYW3" s="722"/>
      <c r="HYX3" s="722"/>
      <c r="HYY3" s="722"/>
      <c r="HYZ3" s="722"/>
      <c r="HZA3" s="723"/>
      <c r="HZB3" s="724"/>
      <c r="HZC3" s="725"/>
      <c r="HZD3" s="726"/>
      <c r="HZE3" s="726"/>
      <c r="HZF3" s="726"/>
      <c r="HZG3" s="726"/>
      <c r="HZH3" s="726"/>
      <c r="HZI3" s="727"/>
      <c r="HZJ3" s="724"/>
      <c r="HZK3" s="725"/>
      <c r="HZL3" s="726"/>
      <c r="HZM3" s="726"/>
      <c r="HZN3" s="726"/>
      <c r="HZO3" s="726"/>
      <c r="HZP3" s="726"/>
      <c r="HZQ3" s="727"/>
      <c r="HZR3" s="728"/>
      <c r="HZS3" s="729"/>
      <c r="HZT3" s="730"/>
      <c r="HZU3" s="731"/>
      <c r="HZV3" s="731"/>
      <c r="HZW3" s="731"/>
      <c r="HZX3" s="731"/>
      <c r="HZY3" s="732"/>
      <c r="HZZ3" s="225"/>
      <c r="IAA3" s="716"/>
      <c r="IAB3" s="717"/>
      <c r="IAC3" s="718"/>
      <c r="IAD3" s="718"/>
      <c r="IAE3" s="718"/>
      <c r="IAF3" s="718"/>
      <c r="IAG3" s="718"/>
      <c r="IAH3" s="719"/>
      <c r="IAI3" s="720"/>
      <c r="IAJ3" s="721"/>
      <c r="IAK3" s="722"/>
      <c r="IAL3" s="722"/>
      <c r="IAM3" s="722"/>
      <c r="IAN3" s="722"/>
      <c r="IAO3" s="722"/>
      <c r="IAP3" s="723"/>
      <c r="IAQ3" s="724"/>
      <c r="IAR3" s="725"/>
      <c r="IAS3" s="726"/>
      <c r="IAT3" s="726"/>
      <c r="IAU3" s="726"/>
      <c r="IAV3" s="726"/>
      <c r="IAW3" s="726"/>
      <c r="IAX3" s="727"/>
      <c r="IAY3" s="724"/>
      <c r="IAZ3" s="725"/>
      <c r="IBA3" s="726"/>
      <c r="IBB3" s="726"/>
      <c r="IBC3" s="726"/>
      <c r="IBD3" s="726"/>
      <c r="IBE3" s="726"/>
      <c r="IBF3" s="727"/>
      <c r="IBG3" s="728"/>
      <c r="IBH3" s="729"/>
      <c r="IBI3" s="730"/>
      <c r="IBJ3" s="731"/>
      <c r="IBK3" s="731"/>
      <c r="IBL3" s="731"/>
      <c r="IBM3" s="731"/>
      <c r="IBN3" s="732"/>
      <c r="IBO3" s="225"/>
      <c r="IBP3" s="716"/>
      <c r="IBQ3" s="717"/>
      <c r="IBR3" s="718"/>
      <c r="IBS3" s="718"/>
      <c r="IBT3" s="718"/>
      <c r="IBU3" s="718"/>
      <c r="IBV3" s="718"/>
      <c r="IBW3" s="719"/>
      <c r="IBX3" s="720"/>
      <c r="IBY3" s="721"/>
      <c r="IBZ3" s="722"/>
      <c r="ICA3" s="722"/>
      <c r="ICB3" s="722"/>
      <c r="ICC3" s="722"/>
      <c r="ICD3" s="722"/>
      <c r="ICE3" s="723"/>
      <c r="ICF3" s="724"/>
      <c r="ICG3" s="725"/>
      <c r="ICH3" s="726"/>
      <c r="ICI3" s="726"/>
      <c r="ICJ3" s="726"/>
      <c r="ICK3" s="726"/>
      <c r="ICL3" s="726"/>
      <c r="ICM3" s="727"/>
      <c r="ICN3" s="724"/>
      <c r="ICO3" s="725"/>
      <c r="ICP3" s="726"/>
      <c r="ICQ3" s="726"/>
      <c r="ICR3" s="726"/>
      <c r="ICS3" s="726"/>
      <c r="ICT3" s="726"/>
      <c r="ICU3" s="727"/>
      <c r="ICV3" s="728"/>
      <c r="ICW3" s="729"/>
      <c r="ICX3" s="730"/>
      <c r="ICY3" s="731"/>
      <c r="ICZ3" s="731"/>
      <c r="IDA3" s="731"/>
      <c r="IDB3" s="731"/>
      <c r="IDC3" s="732"/>
      <c r="IDD3" s="225"/>
      <c r="IDE3" s="716"/>
      <c r="IDF3" s="717"/>
      <c r="IDG3" s="718"/>
      <c r="IDH3" s="718"/>
      <c r="IDI3" s="718"/>
      <c r="IDJ3" s="718"/>
      <c r="IDK3" s="718"/>
      <c r="IDL3" s="719"/>
      <c r="IDM3" s="720"/>
      <c r="IDN3" s="721"/>
      <c r="IDO3" s="722"/>
      <c r="IDP3" s="722"/>
      <c r="IDQ3" s="722"/>
      <c r="IDR3" s="722"/>
      <c r="IDS3" s="722"/>
      <c r="IDT3" s="723"/>
      <c r="IDU3" s="724"/>
      <c r="IDV3" s="725"/>
      <c r="IDW3" s="726"/>
      <c r="IDX3" s="726"/>
      <c r="IDY3" s="726"/>
      <c r="IDZ3" s="726"/>
      <c r="IEA3" s="726"/>
      <c r="IEB3" s="727"/>
      <c r="IEC3" s="724"/>
      <c r="IED3" s="725"/>
      <c r="IEE3" s="726"/>
      <c r="IEF3" s="726"/>
      <c r="IEG3" s="726"/>
      <c r="IEH3" s="726"/>
      <c r="IEI3" s="726"/>
      <c r="IEJ3" s="727"/>
      <c r="IEK3" s="728"/>
      <c r="IEL3" s="729"/>
      <c r="IEM3" s="730"/>
      <c r="IEN3" s="731"/>
      <c r="IEO3" s="731"/>
      <c r="IEP3" s="731"/>
      <c r="IEQ3" s="731"/>
      <c r="IER3" s="732"/>
      <c r="IES3" s="225"/>
      <c r="IET3" s="716"/>
      <c r="IEU3" s="717"/>
      <c r="IEV3" s="718"/>
      <c r="IEW3" s="718"/>
      <c r="IEX3" s="718"/>
      <c r="IEY3" s="718"/>
      <c r="IEZ3" s="718"/>
      <c r="IFA3" s="719"/>
      <c r="IFB3" s="720"/>
      <c r="IFC3" s="721"/>
      <c r="IFD3" s="722"/>
      <c r="IFE3" s="722"/>
      <c r="IFF3" s="722"/>
      <c r="IFG3" s="722"/>
      <c r="IFH3" s="722"/>
      <c r="IFI3" s="723"/>
      <c r="IFJ3" s="724"/>
      <c r="IFK3" s="725"/>
      <c r="IFL3" s="726"/>
      <c r="IFM3" s="726"/>
      <c r="IFN3" s="726"/>
      <c r="IFO3" s="726"/>
      <c r="IFP3" s="726"/>
      <c r="IFQ3" s="727"/>
      <c r="IFR3" s="724"/>
      <c r="IFS3" s="725"/>
      <c r="IFT3" s="726"/>
      <c r="IFU3" s="726"/>
      <c r="IFV3" s="726"/>
      <c r="IFW3" s="726"/>
      <c r="IFX3" s="726"/>
      <c r="IFY3" s="727"/>
      <c r="IFZ3" s="728"/>
      <c r="IGA3" s="729"/>
      <c r="IGB3" s="730"/>
      <c r="IGC3" s="731"/>
      <c r="IGD3" s="731"/>
      <c r="IGE3" s="731"/>
      <c r="IGF3" s="731"/>
      <c r="IGG3" s="732"/>
      <c r="IGH3" s="225"/>
      <c r="IGI3" s="716"/>
      <c r="IGJ3" s="717"/>
      <c r="IGK3" s="718"/>
      <c r="IGL3" s="718"/>
      <c r="IGM3" s="718"/>
      <c r="IGN3" s="718"/>
      <c r="IGO3" s="718"/>
      <c r="IGP3" s="719"/>
      <c r="IGQ3" s="720"/>
      <c r="IGR3" s="721"/>
      <c r="IGS3" s="722"/>
      <c r="IGT3" s="722"/>
      <c r="IGU3" s="722"/>
      <c r="IGV3" s="722"/>
      <c r="IGW3" s="722"/>
      <c r="IGX3" s="723"/>
      <c r="IGY3" s="724"/>
      <c r="IGZ3" s="725"/>
      <c r="IHA3" s="726"/>
      <c r="IHB3" s="726"/>
      <c r="IHC3" s="726"/>
      <c r="IHD3" s="726"/>
      <c r="IHE3" s="726"/>
      <c r="IHF3" s="727"/>
      <c r="IHG3" s="724"/>
      <c r="IHH3" s="725"/>
      <c r="IHI3" s="726"/>
      <c r="IHJ3" s="726"/>
      <c r="IHK3" s="726"/>
      <c r="IHL3" s="726"/>
      <c r="IHM3" s="726"/>
      <c r="IHN3" s="727"/>
      <c r="IHO3" s="728"/>
      <c r="IHP3" s="729"/>
      <c r="IHQ3" s="730"/>
      <c r="IHR3" s="731"/>
      <c r="IHS3" s="731"/>
      <c r="IHT3" s="731"/>
      <c r="IHU3" s="731"/>
      <c r="IHV3" s="732"/>
      <c r="IHW3" s="225"/>
      <c r="IHX3" s="716"/>
      <c r="IHY3" s="717"/>
      <c r="IHZ3" s="718"/>
      <c r="IIA3" s="718"/>
      <c r="IIB3" s="718"/>
      <c r="IIC3" s="718"/>
      <c r="IID3" s="718"/>
      <c r="IIE3" s="719"/>
      <c r="IIF3" s="720"/>
      <c r="IIG3" s="721"/>
      <c r="IIH3" s="722"/>
      <c r="III3" s="722"/>
      <c r="IIJ3" s="722"/>
      <c r="IIK3" s="722"/>
      <c r="IIL3" s="722"/>
      <c r="IIM3" s="723"/>
      <c r="IIN3" s="724"/>
      <c r="IIO3" s="725"/>
      <c r="IIP3" s="726"/>
      <c r="IIQ3" s="726"/>
      <c r="IIR3" s="726"/>
      <c r="IIS3" s="726"/>
      <c r="IIT3" s="726"/>
      <c r="IIU3" s="727"/>
      <c r="IIV3" s="724"/>
      <c r="IIW3" s="725"/>
      <c r="IIX3" s="726"/>
      <c r="IIY3" s="726"/>
      <c r="IIZ3" s="726"/>
      <c r="IJA3" s="726"/>
      <c r="IJB3" s="726"/>
      <c r="IJC3" s="727"/>
      <c r="IJD3" s="728"/>
      <c r="IJE3" s="729"/>
      <c r="IJF3" s="730"/>
      <c r="IJG3" s="731"/>
      <c r="IJH3" s="731"/>
      <c r="IJI3" s="731"/>
      <c r="IJJ3" s="731"/>
      <c r="IJK3" s="732"/>
      <c r="IJL3" s="225"/>
      <c r="IJM3" s="716"/>
      <c r="IJN3" s="717"/>
      <c r="IJO3" s="718"/>
      <c r="IJP3" s="718"/>
      <c r="IJQ3" s="718"/>
      <c r="IJR3" s="718"/>
      <c r="IJS3" s="718"/>
      <c r="IJT3" s="719"/>
      <c r="IJU3" s="720"/>
      <c r="IJV3" s="721"/>
      <c r="IJW3" s="722"/>
      <c r="IJX3" s="722"/>
      <c r="IJY3" s="722"/>
      <c r="IJZ3" s="722"/>
      <c r="IKA3" s="722"/>
      <c r="IKB3" s="723"/>
      <c r="IKC3" s="724"/>
      <c r="IKD3" s="725"/>
      <c r="IKE3" s="726"/>
      <c r="IKF3" s="726"/>
      <c r="IKG3" s="726"/>
      <c r="IKH3" s="726"/>
      <c r="IKI3" s="726"/>
      <c r="IKJ3" s="727"/>
      <c r="IKK3" s="724"/>
      <c r="IKL3" s="725"/>
      <c r="IKM3" s="726"/>
      <c r="IKN3" s="726"/>
      <c r="IKO3" s="726"/>
      <c r="IKP3" s="726"/>
      <c r="IKQ3" s="726"/>
      <c r="IKR3" s="727"/>
      <c r="IKS3" s="728"/>
      <c r="IKT3" s="729"/>
      <c r="IKU3" s="730"/>
      <c r="IKV3" s="731"/>
      <c r="IKW3" s="731"/>
      <c r="IKX3" s="731"/>
      <c r="IKY3" s="731"/>
      <c r="IKZ3" s="732"/>
      <c r="ILA3" s="225"/>
      <c r="ILB3" s="716"/>
      <c r="ILC3" s="717"/>
      <c r="ILD3" s="718"/>
      <c r="ILE3" s="718"/>
      <c r="ILF3" s="718"/>
      <c r="ILG3" s="718"/>
      <c r="ILH3" s="718"/>
      <c r="ILI3" s="719"/>
      <c r="ILJ3" s="720"/>
      <c r="ILK3" s="721"/>
      <c r="ILL3" s="722"/>
      <c r="ILM3" s="722"/>
      <c r="ILN3" s="722"/>
      <c r="ILO3" s="722"/>
      <c r="ILP3" s="722"/>
      <c r="ILQ3" s="723"/>
      <c r="ILR3" s="724"/>
      <c r="ILS3" s="725"/>
      <c r="ILT3" s="726"/>
      <c r="ILU3" s="726"/>
      <c r="ILV3" s="726"/>
      <c r="ILW3" s="726"/>
      <c r="ILX3" s="726"/>
      <c r="ILY3" s="727"/>
      <c r="ILZ3" s="724"/>
      <c r="IMA3" s="725"/>
      <c r="IMB3" s="726"/>
      <c r="IMC3" s="726"/>
      <c r="IMD3" s="726"/>
      <c r="IME3" s="726"/>
      <c r="IMF3" s="726"/>
      <c r="IMG3" s="727"/>
      <c r="IMH3" s="728"/>
      <c r="IMI3" s="729"/>
      <c r="IMJ3" s="730"/>
      <c r="IMK3" s="731"/>
      <c r="IML3" s="731"/>
      <c r="IMM3" s="731"/>
      <c r="IMN3" s="731"/>
      <c r="IMO3" s="732"/>
      <c r="IMP3" s="225"/>
      <c r="IMQ3" s="716"/>
      <c r="IMR3" s="717"/>
      <c r="IMS3" s="718"/>
      <c r="IMT3" s="718"/>
      <c r="IMU3" s="718"/>
      <c r="IMV3" s="718"/>
      <c r="IMW3" s="718"/>
      <c r="IMX3" s="719"/>
      <c r="IMY3" s="720"/>
      <c r="IMZ3" s="721"/>
      <c r="INA3" s="722"/>
      <c r="INB3" s="722"/>
      <c r="INC3" s="722"/>
      <c r="IND3" s="722"/>
      <c r="INE3" s="722"/>
      <c r="INF3" s="723"/>
      <c r="ING3" s="724"/>
      <c r="INH3" s="725"/>
      <c r="INI3" s="726"/>
      <c r="INJ3" s="726"/>
      <c r="INK3" s="726"/>
      <c r="INL3" s="726"/>
      <c r="INM3" s="726"/>
      <c r="INN3" s="727"/>
      <c r="INO3" s="724"/>
      <c r="INP3" s="725"/>
      <c r="INQ3" s="726"/>
      <c r="INR3" s="726"/>
      <c r="INS3" s="726"/>
      <c r="INT3" s="726"/>
      <c r="INU3" s="726"/>
      <c r="INV3" s="727"/>
      <c r="INW3" s="728"/>
      <c r="INX3" s="729"/>
      <c r="INY3" s="730"/>
      <c r="INZ3" s="731"/>
      <c r="IOA3" s="731"/>
      <c r="IOB3" s="731"/>
      <c r="IOC3" s="731"/>
      <c r="IOD3" s="732"/>
      <c r="IOE3" s="225"/>
      <c r="IOF3" s="716"/>
      <c r="IOG3" s="717"/>
      <c r="IOH3" s="718"/>
      <c r="IOI3" s="718"/>
      <c r="IOJ3" s="718"/>
      <c r="IOK3" s="718"/>
      <c r="IOL3" s="718"/>
      <c r="IOM3" s="719"/>
      <c r="ION3" s="720"/>
      <c r="IOO3" s="721"/>
      <c r="IOP3" s="722"/>
      <c r="IOQ3" s="722"/>
      <c r="IOR3" s="722"/>
      <c r="IOS3" s="722"/>
      <c r="IOT3" s="722"/>
      <c r="IOU3" s="723"/>
      <c r="IOV3" s="724"/>
      <c r="IOW3" s="725"/>
      <c r="IOX3" s="726"/>
      <c r="IOY3" s="726"/>
      <c r="IOZ3" s="726"/>
      <c r="IPA3" s="726"/>
      <c r="IPB3" s="726"/>
      <c r="IPC3" s="727"/>
      <c r="IPD3" s="724"/>
      <c r="IPE3" s="725"/>
      <c r="IPF3" s="726"/>
      <c r="IPG3" s="726"/>
      <c r="IPH3" s="726"/>
      <c r="IPI3" s="726"/>
      <c r="IPJ3" s="726"/>
      <c r="IPK3" s="727"/>
      <c r="IPL3" s="728"/>
      <c r="IPM3" s="729"/>
      <c r="IPN3" s="730"/>
      <c r="IPO3" s="731"/>
      <c r="IPP3" s="731"/>
      <c r="IPQ3" s="731"/>
      <c r="IPR3" s="731"/>
      <c r="IPS3" s="732"/>
      <c r="IPT3" s="225"/>
      <c r="IPU3" s="716"/>
      <c r="IPV3" s="717"/>
      <c r="IPW3" s="718"/>
      <c r="IPX3" s="718"/>
      <c r="IPY3" s="718"/>
      <c r="IPZ3" s="718"/>
      <c r="IQA3" s="718"/>
      <c r="IQB3" s="719"/>
      <c r="IQC3" s="720"/>
      <c r="IQD3" s="721"/>
      <c r="IQE3" s="722"/>
      <c r="IQF3" s="722"/>
      <c r="IQG3" s="722"/>
      <c r="IQH3" s="722"/>
      <c r="IQI3" s="722"/>
      <c r="IQJ3" s="723"/>
      <c r="IQK3" s="724"/>
      <c r="IQL3" s="725"/>
      <c r="IQM3" s="726"/>
      <c r="IQN3" s="726"/>
      <c r="IQO3" s="726"/>
      <c r="IQP3" s="726"/>
      <c r="IQQ3" s="726"/>
      <c r="IQR3" s="727"/>
      <c r="IQS3" s="724"/>
      <c r="IQT3" s="725"/>
      <c r="IQU3" s="726"/>
      <c r="IQV3" s="726"/>
      <c r="IQW3" s="726"/>
      <c r="IQX3" s="726"/>
      <c r="IQY3" s="726"/>
      <c r="IQZ3" s="727"/>
      <c r="IRA3" s="728"/>
      <c r="IRB3" s="729"/>
      <c r="IRC3" s="730"/>
      <c r="IRD3" s="731"/>
      <c r="IRE3" s="731"/>
      <c r="IRF3" s="731"/>
      <c r="IRG3" s="731"/>
      <c r="IRH3" s="732"/>
      <c r="IRI3" s="225"/>
      <c r="IRJ3" s="716"/>
      <c r="IRK3" s="717"/>
      <c r="IRL3" s="718"/>
      <c r="IRM3" s="718"/>
      <c r="IRN3" s="718"/>
      <c r="IRO3" s="718"/>
      <c r="IRP3" s="718"/>
      <c r="IRQ3" s="719"/>
      <c r="IRR3" s="720"/>
      <c r="IRS3" s="721"/>
      <c r="IRT3" s="722"/>
      <c r="IRU3" s="722"/>
      <c r="IRV3" s="722"/>
      <c r="IRW3" s="722"/>
      <c r="IRX3" s="722"/>
      <c r="IRY3" s="723"/>
      <c r="IRZ3" s="724"/>
      <c r="ISA3" s="725"/>
      <c r="ISB3" s="726"/>
      <c r="ISC3" s="726"/>
      <c r="ISD3" s="726"/>
      <c r="ISE3" s="726"/>
      <c r="ISF3" s="726"/>
      <c r="ISG3" s="727"/>
      <c r="ISH3" s="724"/>
      <c r="ISI3" s="725"/>
      <c r="ISJ3" s="726"/>
      <c r="ISK3" s="726"/>
      <c r="ISL3" s="726"/>
      <c r="ISM3" s="726"/>
      <c r="ISN3" s="726"/>
      <c r="ISO3" s="727"/>
      <c r="ISP3" s="728"/>
      <c r="ISQ3" s="729"/>
      <c r="ISR3" s="730"/>
      <c r="ISS3" s="731"/>
      <c r="IST3" s="731"/>
      <c r="ISU3" s="731"/>
      <c r="ISV3" s="731"/>
      <c r="ISW3" s="732"/>
      <c r="ISX3" s="225"/>
      <c r="ISY3" s="716"/>
      <c r="ISZ3" s="717"/>
      <c r="ITA3" s="718"/>
      <c r="ITB3" s="718"/>
      <c r="ITC3" s="718"/>
      <c r="ITD3" s="718"/>
      <c r="ITE3" s="718"/>
      <c r="ITF3" s="719"/>
      <c r="ITG3" s="720"/>
      <c r="ITH3" s="721"/>
      <c r="ITI3" s="722"/>
      <c r="ITJ3" s="722"/>
      <c r="ITK3" s="722"/>
      <c r="ITL3" s="722"/>
      <c r="ITM3" s="722"/>
      <c r="ITN3" s="723"/>
      <c r="ITO3" s="724"/>
      <c r="ITP3" s="725"/>
      <c r="ITQ3" s="726"/>
      <c r="ITR3" s="726"/>
      <c r="ITS3" s="726"/>
      <c r="ITT3" s="726"/>
      <c r="ITU3" s="726"/>
      <c r="ITV3" s="727"/>
      <c r="ITW3" s="724"/>
      <c r="ITX3" s="725"/>
      <c r="ITY3" s="726"/>
      <c r="ITZ3" s="726"/>
      <c r="IUA3" s="726"/>
      <c r="IUB3" s="726"/>
      <c r="IUC3" s="726"/>
      <c r="IUD3" s="727"/>
      <c r="IUE3" s="728"/>
      <c r="IUF3" s="729"/>
      <c r="IUG3" s="730"/>
      <c r="IUH3" s="731"/>
      <c r="IUI3" s="731"/>
      <c r="IUJ3" s="731"/>
      <c r="IUK3" s="731"/>
      <c r="IUL3" s="732"/>
      <c r="IUM3" s="225"/>
      <c r="IUN3" s="716"/>
      <c r="IUO3" s="717"/>
      <c r="IUP3" s="718"/>
      <c r="IUQ3" s="718"/>
      <c r="IUR3" s="718"/>
      <c r="IUS3" s="718"/>
      <c r="IUT3" s="718"/>
      <c r="IUU3" s="719"/>
      <c r="IUV3" s="720"/>
      <c r="IUW3" s="721"/>
      <c r="IUX3" s="722"/>
      <c r="IUY3" s="722"/>
      <c r="IUZ3" s="722"/>
      <c r="IVA3" s="722"/>
      <c r="IVB3" s="722"/>
      <c r="IVC3" s="723"/>
      <c r="IVD3" s="724"/>
      <c r="IVE3" s="725"/>
      <c r="IVF3" s="726"/>
      <c r="IVG3" s="726"/>
      <c r="IVH3" s="726"/>
      <c r="IVI3" s="726"/>
      <c r="IVJ3" s="726"/>
      <c r="IVK3" s="727"/>
      <c r="IVL3" s="724"/>
      <c r="IVM3" s="725"/>
      <c r="IVN3" s="726"/>
      <c r="IVO3" s="726"/>
      <c r="IVP3" s="726"/>
      <c r="IVQ3" s="726"/>
      <c r="IVR3" s="726"/>
      <c r="IVS3" s="727"/>
      <c r="IVT3" s="728"/>
      <c r="IVU3" s="729"/>
      <c r="IVV3" s="730"/>
      <c r="IVW3" s="731"/>
      <c r="IVX3" s="731"/>
      <c r="IVY3" s="731"/>
      <c r="IVZ3" s="731"/>
      <c r="IWA3" s="732"/>
      <c r="IWB3" s="225"/>
      <c r="IWC3" s="716"/>
      <c r="IWD3" s="717"/>
      <c r="IWE3" s="718"/>
      <c r="IWF3" s="718"/>
      <c r="IWG3" s="718"/>
      <c r="IWH3" s="718"/>
      <c r="IWI3" s="718"/>
      <c r="IWJ3" s="719"/>
      <c r="IWK3" s="720"/>
      <c r="IWL3" s="721"/>
      <c r="IWM3" s="722"/>
      <c r="IWN3" s="722"/>
      <c r="IWO3" s="722"/>
      <c r="IWP3" s="722"/>
      <c r="IWQ3" s="722"/>
      <c r="IWR3" s="723"/>
      <c r="IWS3" s="724"/>
      <c r="IWT3" s="725"/>
      <c r="IWU3" s="726"/>
      <c r="IWV3" s="726"/>
      <c r="IWW3" s="726"/>
      <c r="IWX3" s="726"/>
      <c r="IWY3" s="726"/>
      <c r="IWZ3" s="727"/>
      <c r="IXA3" s="724"/>
      <c r="IXB3" s="725"/>
      <c r="IXC3" s="726"/>
      <c r="IXD3" s="726"/>
      <c r="IXE3" s="726"/>
      <c r="IXF3" s="726"/>
      <c r="IXG3" s="726"/>
      <c r="IXH3" s="727"/>
      <c r="IXI3" s="728"/>
      <c r="IXJ3" s="729"/>
      <c r="IXK3" s="730"/>
      <c r="IXL3" s="731"/>
      <c r="IXM3" s="731"/>
      <c r="IXN3" s="731"/>
      <c r="IXO3" s="731"/>
      <c r="IXP3" s="732"/>
      <c r="IXQ3" s="225"/>
      <c r="IXR3" s="716"/>
      <c r="IXS3" s="717"/>
      <c r="IXT3" s="718"/>
      <c r="IXU3" s="718"/>
      <c r="IXV3" s="718"/>
      <c r="IXW3" s="718"/>
      <c r="IXX3" s="718"/>
      <c r="IXY3" s="719"/>
      <c r="IXZ3" s="720"/>
      <c r="IYA3" s="721"/>
      <c r="IYB3" s="722"/>
      <c r="IYC3" s="722"/>
      <c r="IYD3" s="722"/>
      <c r="IYE3" s="722"/>
      <c r="IYF3" s="722"/>
      <c r="IYG3" s="723"/>
      <c r="IYH3" s="724"/>
      <c r="IYI3" s="725"/>
      <c r="IYJ3" s="726"/>
      <c r="IYK3" s="726"/>
      <c r="IYL3" s="726"/>
      <c r="IYM3" s="726"/>
      <c r="IYN3" s="726"/>
      <c r="IYO3" s="727"/>
      <c r="IYP3" s="724"/>
      <c r="IYQ3" s="725"/>
      <c r="IYR3" s="726"/>
      <c r="IYS3" s="726"/>
      <c r="IYT3" s="726"/>
      <c r="IYU3" s="726"/>
      <c r="IYV3" s="726"/>
      <c r="IYW3" s="727"/>
      <c r="IYX3" s="728"/>
      <c r="IYY3" s="729"/>
      <c r="IYZ3" s="730"/>
      <c r="IZA3" s="731"/>
      <c r="IZB3" s="731"/>
      <c r="IZC3" s="731"/>
      <c r="IZD3" s="731"/>
      <c r="IZE3" s="732"/>
      <c r="IZF3" s="225"/>
      <c r="IZG3" s="716"/>
      <c r="IZH3" s="717"/>
      <c r="IZI3" s="718"/>
      <c r="IZJ3" s="718"/>
      <c r="IZK3" s="718"/>
      <c r="IZL3" s="718"/>
      <c r="IZM3" s="718"/>
      <c r="IZN3" s="719"/>
      <c r="IZO3" s="720"/>
      <c r="IZP3" s="721"/>
      <c r="IZQ3" s="722"/>
      <c r="IZR3" s="722"/>
      <c r="IZS3" s="722"/>
      <c r="IZT3" s="722"/>
      <c r="IZU3" s="722"/>
      <c r="IZV3" s="723"/>
      <c r="IZW3" s="724"/>
      <c r="IZX3" s="725"/>
      <c r="IZY3" s="726"/>
      <c r="IZZ3" s="726"/>
      <c r="JAA3" s="726"/>
      <c r="JAB3" s="726"/>
      <c r="JAC3" s="726"/>
      <c r="JAD3" s="727"/>
      <c r="JAE3" s="724"/>
      <c r="JAF3" s="725"/>
      <c r="JAG3" s="726"/>
      <c r="JAH3" s="726"/>
      <c r="JAI3" s="726"/>
      <c r="JAJ3" s="726"/>
      <c r="JAK3" s="726"/>
      <c r="JAL3" s="727"/>
      <c r="JAM3" s="728"/>
      <c r="JAN3" s="729"/>
      <c r="JAO3" s="730"/>
      <c r="JAP3" s="731"/>
      <c r="JAQ3" s="731"/>
      <c r="JAR3" s="731"/>
      <c r="JAS3" s="731"/>
      <c r="JAT3" s="732"/>
      <c r="JAU3" s="225"/>
      <c r="JAV3" s="716"/>
      <c r="JAW3" s="717"/>
      <c r="JAX3" s="718"/>
      <c r="JAY3" s="718"/>
      <c r="JAZ3" s="718"/>
      <c r="JBA3" s="718"/>
      <c r="JBB3" s="718"/>
      <c r="JBC3" s="719"/>
      <c r="JBD3" s="720"/>
      <c r="JBE3" s="721"/>
      <c r="JBF3" s="722"/>
      <c r="JBG3" s="722"/>
      <c r="JBH3" s="722"/>
      <c r="JBI3" s="722"/>
      <c r="JBJ3" s="722"/>
      <c r="JBK3" s="723"/>
      <c r="JBL3" s="724"/>
      <c r="JBM3" s="725"/>
      <c r="JBN3" s="726"/>
      <c r="JBO3" s="726"/>
      <c r="JBP3" s="726"/>
      <c r="JBQ3" s="726"/>
      <c r="JBR3" s="726"/>
      <c r="JBS3" s="727"/>
      <c r="JBT3" s="724"/>
      <c r="JBU3" s="725"/>
      <c r="JBV3" s="726"/>
      <c r="JBW3" s="726"/>
      <c r="JBX3" s="726"/>
      <c r="JBY3" s="726"/>
      <c r="JBZ3" s="726"/>
      <c r="JCA3" s="727"/>
      <c r="JCB3" s="728"/>
      <c r="JCC3" s="729"/>
      <c r="JCD3" s="730"/>
      <c r="JCE3" s="731"/>
      <c r="JCF3" s="731"/>
      <c r="JCG3" s="731"/>
      <c r="JCH3" s="731"/>
      <c r="JCI3" s="732"/>
      <c r="JCJ3" s="225"/>
      <c r="JCK3" s="716"/>
      <c r="JCL3" s="717"/>
      <c r="JCM3" s="718"/>
      <c r="JCN3" s="718"/>
      <c r="JCO3" s="718"/>
      <c r="JCP3" s="718"/>
      <c r="JCQ3" s="718"/>
      <c r="JCR3" s="719"/>
      <c r="JCS3" s="720"/>
      <c r="JCT3" s="721"/>
      <c r="JCU3" s="722"/>
      <c r="JCV3" s="722"/>
      <c r="JCW3" s="722"/>
      <c r="JCX3" s="722"/>
      <c r="JCY3" s="722"/>
      <c r="JCZ3" s="723"/>
      <c r="JDA3" s="724"/>
      <c r="JDB3" s="725"/>
      <c r="JDC3" s="726"/>
      <c r="JDD3" s="726"/>
      <c r="JDE3" s="726"/>
      <c r="JDF3" s="726"/>
      <c r="JDG3" s="726"/>
      <c r="JDH3" s="727"/>
      <c r="JDI3" s="724"/>
      <c r="JDJ3" s="725"/>
      <c r="JDK3" s="726"/>
      <c r="JDL3" s="726"/>
      <c r="JDM3" s="726"/>
      <c r="JDN3" s="726"/>
      <c r="JDO3" s="726"/>
      <c r="JDP3" s="727"/>
      <c r="JDQ3" s="728"/>
      <c r="JDR3" s="729"/>
      <c r="JDS3" s="730"/>
      <c r="JDT3" s="731"/>
      <c r="JDU3" s="731"/>
      <c r="JDV3" s="731"/>
      <c r="JDW3" s="731"/>
      <c r="JDX3" s="732"/>
      <c r="JDY3" s="225"/>
      <c r="JDZ3" s="716"/>
      <c r="JEA3" s="717"/>
      <c r="JEB3" s="718"/>
      <c r="JEC3" s="718"/>
      <c r="JED3" s="718"/>
      <c r="JEE3" s="718"/>
      <c r="JEF3" s="718"/>
      <c r="JEG3" s="719"/>
      <c r="JEH3" s="720"/>
      <c r="JEI3" s="721"/>
      <c r="JEJ3" s="722"/>
      <c r="JEK3" s="722"/>
      <c r="JEL3" s="722"/>
      <c r="JEM3" s="722"/>
      <c r="JEN3" s="722"/>
      <c r="JEO3" s="723"/>
      <c r="JEP3" s="724"/>
      <c r="JEQ3" s="725"/>
      <c r="JER3" s="726"/>
      <c r="JES3" s="726"/>
      <c r="JET3" s="726"/>
      <c r="JEU3" s="726"/>
      <c r="JEV3" s="726"/>
      <c r="JEW3" s="727"/>
      <c r="JEX3" s="724"/>
      <c r="JEY3" s="725"/>
      <c r="JEZ3" s="726"/>
      <c r="JFA3" s="726"/>
      <c r="JFB3" s="726"/>
      <c r="JFC3" s="726"/>
      <c r="JFD3" s="726"/>
      <c r="JFE3" s="727"/>
      <c r="JFF3" s="728"/>
      <c r="JFG3" s="729"/>
      <c r="JFH3" s="730"/>
      <c r="JFI3" s="731"/>
      <c r="JFJ3" s="731"/>
      <c r="JFK3" s="731"/>
      <c r="JFL3" s="731"/>
      <c r="JFM3" s="732"/>
      <c r="JFN3" s="225"/>
      <c r="JFO3" s="716"/>
      <c r="JFP3" s="717"/>
      <c r="JFQ3" s="718"/>
      <c r="JFR3" s="718"/>
      <c r="JFS3" s="718"/>
      <c r="JFT3" s="718"/>
      <c r="JFU3" s="718"/>
      <c r="JFV3" s="719"/>
      <c r="JFW3" s="720"/>
      <c r="JFX3" s="721"/>
      <c r="JFY3" s="722"/>
      <c r="JFZ3" s="722"/>
      <c r="JGA3" s="722"/>
      <c r="JGB3" s="722"/>
      <c r="JGC3" s="722"/>
      <c r="JGD3" s="723"/>
      <c r="JGE3" s="724"/>
      <c r="JGF3" s="725"/>
      <c r="JGG3" s="726"/>
      <c r="JGH3" s="726"/>
      <c r="JGI3" s="726"/>
      <c r="JGJ3" s="726"/>
      <c r="JGK3" s="726"/>
      <c r="JGL3" s="727"/>
      <c r="JGM3" s="724"/>
      <c r="JGN3" s="725"/>
      <c r="JGO3" s="726"/>
      <c r="JGP3" s="726"/>
      <c r="JGQ3" s="726"/>
      <c r="JGR3" s="726"/>
      <c r="JGS3" s="726"/>
      <c r="JGT3" s="727"/>
      <c r="JGU3" s="728"/>
      <c r="JGV3" s="729"/>
      <c r="JGW3" s="730"/>
      <c r="JGX3" s="731"/>
      <c r="JGY3" s="731"/>
      <c r="JGZ3" s="731"/>
      <c r="JHA3" s="731"/>
      <c r="JHB3" s="732"/>
      <c r="JHC3" s="225"/>
      <c r="JHD3" s="716"/>
      <c r="JHE3" s="717"/>
      <c r="JHF3" s="718"/>
      <c r="JHG3" s="718"/>
      <c r="JHH3" s="718"/>
      <c r="JHI3" s="718"/>
      <c r="JHJ3" s="718"/>
      <c r="JHK3" s="719"/>
      <c r="JHL3" s="720"/>
      <c r="JHM3" s="721"/>
      <c r="JHN3" s="722"/>
      <c r="JHO3" s="722"/>
      <c r="JHP3" s="722"/>
      <c r="JHQ3" s="722"/>
      <c r="JHR3" s="722"/>
      <c r="JHS3" s="723"/>
      <c r="JHT3" s="724"/>
      <c r="JHU3" s="725"/>
      <c r="JHV3" s="726"/>
      <c r="JHW3" s="726"/>
      <c r="JHX3" s="726"/>
      <c r="JHY3" s="726"/>
      <c r="JHZ3" s="726"/>
      <c r="JIA3" s="727"/>
      <c r="JIB3" s="724"/>
      <c r="JIC3" s="725"/>
      <c r="JID3" s="726"/>
      <c r="JIE3" s="726"/>
      <c r="JIF3" s="726"/>
      <c r="JIG3" s="726"/>
      <c r="JIH3" s="726"/>
      <c r="JII3" s="727"/>
      <c r="JIJ3" s="728"/>
      <c r="JIK3" s="729"/>
      <c r="JIL3" s="730"/>
      <c r="JIM3" s="731"/>
      <c r="JIN3" s="731"/>
      <c r="JIO3" s="731"/>
      <c r="JIP3" s="731"/>
      <c r="JIQ3" s="732"/>
      <c r="JIR3" s="225"/>
      <c r="JIS3" s="716"/>
      <c r="JIT3" s="717"/>
      <c r="JIU3" s="718"/>
      <c r="JIV3" s="718"/>
      <c r="JIW3" s="718"/>
      <c r="JIX3" s="718"/>
      <c r="JIY3" s="718"/>
      <c r="JIZ3" s="719"/>
      <c r="JJA3" s="720"/>
      <c r="JJB3" s="721"/>
      <c r="JJC3" s="722"/>
      <c r="JJD3" s="722"/>
      <c r="JJE3" s="722"/>
      <c r="JJF3" s="722"/>
      <c r="JJG3" s="722"/>
      <c r="JJH3" s="723"/>
      <c r="JJI3" s="724"/>
      <c r="JJJ3" s="725"/>
      <c r="JJK3" s="726"/>
      <c r="JJL3" s="726"/>
      <c r="JJM3" s="726"/>
      <c r="JJN3" s="726"/>
      <c r="JJO3" s="726"/>
      <c r="JJP3" s="727"/>
      <c r="JJQ3" s="724"/>
      <c r="JJR3" s="725"/>
      <c r="JJS3" s="726"/>
      <c r="JJT3" s="726"/>
      <c r="JJU3" s="726"/>
      <c r="JJV3" s="726"/>
      <c r="JJW3" s="726"/>
      <c r="JJX3" s="727"/>
      <c r="JJY3" s="728"/>
      <c r="JJZ3" s="729"/>
      <c r="JKA3" s="730"/>
      <c r="JKB3" s="731"/>
      <c r="JKC3" s="731"/>
      <c r="JKD3" s="731"/>
      <c r="JKE3" s="731"/>
      <c r="JKF3" s="732"/>
      <c r="JKG3" s="225"/>
      <c r="JKH3" s="716"/>
      <c r="JKI3" s="717"/>
      <c r="JKJ3" s="718"/>
      <c r="JKK3" s="718"/>
      <c r="JKL3" s="718"/>
      <c r="JKM3" s="718"/>
      <c r="JKN3" s="718"/>
      <c r="JKO3" s="719"/>
      <c r="JKP3" s="720"/>
      <c r="JKQ3" s="721"/>
      <c r="JKR3" s="722"/>
      <c r="JKS3" s="722"/>
      <c r="JKT3" s="722"/>
      <c r="JKU3" s="722"/>
      <c r="JKV3" s="722"/>
      <c r="JKW3" s="723"/>
      <c r="JKX3" s="724"/>
      <c r="JKY3" s="725"/>
      <c r="JKZ3" s="726"/>
      <c r="JLA3" s="726"/>
      <c r="JLB3" s="726"/>
      <c r="JLC3" s="726"/>
      <c r="JLD3" s="726"/>
      <c r="JLE3" s="727"/>
      <c r="JLF3" s="724"/>
      <c r="JLG3" s="725"/>
      <c r="JLH3" s="726"/>
      <c r="JLI3" s="726"/>
      <c r="JLJ3" s="726"/>
      <c r="JLK3" s="726"/>
      <c r="JLL3" s="726"/>
      <c r="JLM3" s="727"/>
      <c r="JLN3" s="728"/>
      <c r="JLO3" s="729"/>
      <c r="JLP3" s="730"/>
      <c r="JLQ3" s="731"/>
      <c r="JLR3" s="731"/>
      <c r="JLS3" s="731"/>
      <c r="JLT3" s="731"/>
      <c r="JLU3" s="732"/>
      <c r="JLV3" s="225"/>
      <c r="JLW3" s="716"/>
      <c r="JLX3" s="717"/>
      <c r="JLY3" s="718"/>
      <c r="JLZ3" s="718"/>
      <c r="JMA3" s="718"/>
      <c r="JMB3" s="718"/>
      <c r="JMC3" s="718"/>
      <c r="JMD3" s="719"/>
      <c r="JME3" s="720"/>
      <c r="JMF3" s="721"/>
      <c r="JMG3" s="722"/>
      <c r="JMH3" s="722"/>
      <c r="JMI3" s="722"/>
      <c r="JMJ3" s="722"/>
      <c r="JMK3" s="722"/>
      <c r="JML3" s="723"/>
      <c r="JMM3" s="724"/>
      <c r="JMN3" s="725"/>
      <c r="JMO3" s="726"/>
      <c r="JMP3" s="726"/>
      <c r="JMQ3" s="726"/>
      <c r="JMR3" s="726"/>
      <c r="JMS3" s="726"/>
      <c r="JMT3" s="727"/>
      <c r="JMU3" s="724"/>
      <c r="JMV3" s="725"/>
      <c r="JMW3" s="726"/>
      <c r="JMX3" s="726"/>
      <c r="JMY3" s="726"/>
      <c r="JMZ3" s="726"/>
      <c r="JNA3" s="726"/>
      <c r="JNB3" s="727"/>
      <c r="JNC3" s="728"/>
      <c r="JND3" s="729"/>
      <c r="JNE3" s="730"/>
      <c r="JNF3" s="731"/>
      <c r="JNG3" s="731"/>
      <c r="JNH3" s="731"/>
      <c r="JNI3" s="731"/>
      <c r="JNJ3" s="732"/>
      <c r="JNK3" s="225"/>
      <c r="JNL3" s="716"/>
      <c r="JNM3" s="717"/>
      <c r="JNN3" s="718"/>
      <c r="JNO3" s="718"/>
      <c r="JNP3" s="718"/>
      <c r="JNQ3" s="718"/>
      <c r="JNR3" s="718"/>
      <c r="JNS3" s="719"/>
      <c r="JNT3" s="720"/>
      <c r="JNU3" s="721"/>
      <c r="JNV3" s="722"/>
      <c r="JNW3" s="722"/>
      <c r="JNX3" s="722"/>
      <c r="JNY3" s="722"/>
      <c r="JNZ3" s="722"/>
      <c r="JOA3" s="723"/>
      <c r="JOB3" s="724"/>
      <c r="JOC3" s="725"/>
      <c r="JOD3" s="726"/>
      <c r="JOE3" s="726"/>
      <c r="JOF3" s="726"/>
      <c r="JOG3" s="726"/>
      <c r="JOH3" s="726"/>
      <c r="JOI3" s="727"/>
      <c r="JOJ3" s="724"/>
      <c r="JOK3" s="725"/>
      <c r="JOL3" s="726"/>
      <c r="JOM3" s="726"/>
      <c r="JON3" s="726"/>
      <c r="JOO3" s="726"/>
      <c r="JOP3" s="726"/>
      <c r="JOQ3" s="727"/>
      <c r="JOR3" s="728"/>
      <c r="JOS3" s="729"/>
      <c r="JOT3" s="730"/>
      <c r="JOU3" s="731"/>
      <c r="JOV3" s="731"/>
      <c r="JOW3" s="731"/>
      <c r="JOX3" s="731"/>
      <c r="JOY3" s="732"/>
      <c r="JOZ3" s="225"/>
      <c r="JPA3" s="716"/>
      <c r="JPB3" s="717"/>
      <c r="JPC3" s="718"/>
      <c r="JPD3" s="718"/>
      <c r="JPE3" s="718"/>
      <c r="JPF3" s="718"/>
      <c r="JPG3" s="718"/>
      <c r="JPH3" s="719"/>
      <c r="JPI3" s="720"/>
      <c r="JPJ3" s="721"/>
      <c r="JPK3" s="722"/>
      <c r="JPL3" s="722"/>
      <c r="JPM3" s="722"/>
      <c r="JPN3" s="722"/>
      <c r="JPO3" s="722"/>
      <c r="JPP3" s="723"/>
      <c r="JPQ3" s="724"/>
      <c r="JPR3" s="725"/>
      <c r="JPS3" s="726"/>
      <c r="JPT3" s="726"/>
      <c r="JPU3" s="726"/>
      <c r="JPV3" s="726"/>
      <c r="JPW3" s="726"/>
      <c r="JPX3" s="727"/>
      <c r="JPY3" s="724"/>
      <c r="JPZ3" s="725"/>
      <c r="JQA3" s="726"/>
      <c r="JQB3" s="726"/>
      <c r="JQC3" s="726"/>
      <c r="JQD3" s="726"/>
      <c r="JQE3" s="726"/>
      <c r="JQF3" s="727"/>
      <c r="JQG3" s="728"/>
      <c r="JQH3" s="729"/>
      <c r="JQI3" s="730"/>
      <c r="JQJ3" s="731"/>
      <c r="JQK3" s="731"/>
      <c r="JQL3" s="731"/>
      <c r="JQM3" s="731"/>
      <c r="JQN3" s="732"/>
      <c r="JQO3" s="225"/>
      <c r="JQP3" s="716"/>
      <c r="JQQ3" s="717"/>
      <c r="JQR3" s="718"/>
      <c r="JQS3" s="718"/>
      <c r="JQT3" s="718"/>
      <c r="JQU3" s="718"/>
      <c r="JQV3" s="718"/>
      <c r="JQW3" s="719"/>
      <c r="JQX3" s="720"/>
      <c r="JQY3" s="721"/>
      <c r="JQZ3" s="722"/>
      <c r="JRA3" s="722"/>
      <c r="JRB3" s="722"/>
      <c r="JRC3" s="722"/>
      <c r="JRD3" s="722"/>
      <c r="JRE3" s="723"/>
      <c r="JRF3" s="724"/>
      <c r="JRG3" s="725"/>
      <c r="JRH3" s="726"/>
      <c r="JRI3" s="726"/>
      <c r="JRJ3" s="726"/>
      <c r="JRK3" s="726"/>
      <c r="JRL3" s="726"/>
      <c r="JRM3" s="727"/>
      <c r="JRN3" s="724"/>
      <c r="JRO3" s="725"/>
      <c r="JRP3" s="726"/>
      <c r="JRQ3" s="726"/>
      <c r="JRR3" s="726"/>
      <c r="JRS3" s="726"/>
      <c r="JRT3" s="726"/>
      <c r="JRU3" s="727"/>
      <c r="JRV3" s="728"/>
      <c r="JRW3" s="729"/>
      <c r="JRX3" s="730"/>
      <c r="JRY3" s="731"/>
      <c r="JRZ3" s="731"/>
      <c r="JSA3" s="731"/>
      <c r="JSB3" s="731"/>
      <c r="JSC3" s="732"/>
      <c r="JSD3" s="225"/>
      <c r="JSE3" s="716"/>
      <c r="JSF3" s="717"/>
      <c r="JSG3" s="718"/>
      <c r="JSH3" s="718"/>
      <c r="JSI3" s="718"/>
      <c r="JSJ3" s="718"/>
      <c r="JSK3" s="718"/>
      <c r="JSL3" s="719"/>
      <c r="JSM3" s="720"/>
      <c r="JSN3" s="721"/>
      <c r="JSO3" s="722"/>
      <c r="JSP3" s="722"/>
      <c r="JSQ3" s="722"/>
      <c r="JSR3" s="722"/>
      <c r="JSS3" s="722"/>
      <c r="JST3" s="723"/>
      <c r="JSU3" s="724"/>
      <c r="JSV3" s="725"/>
      <c r="JSW3" s="726"/>
      <c r="JSX3" s="726"/>
      <c r="JSY3" s="726"/>
      <c r="JSZ3" s="726"/>
      <c r="JTA3" s="726"/>
      <c r="JTB3" s="727"/>
      <c r="JTC3" s="724"/>
      <c r="JTD3" s="725"/>
      <c r="JTE3" s="726"/>
      <c r="JTF3" s="726"/>
      <c r="JTG3" s="726"/>
      <c r="JTH3" s="726"/>
      <c r="JTI3" s="726"/>
      <c r="JTJ3" s="727"/>
      <c r="JTK3" s="728"/>
      <c r="JTL3" s="729"/>
      <c r="JTM3" s="730"/>
      <c r="JTN3" s="731"/>
      <c r="JTO3" s="731"/>
      <c r="JTP3" s="731"/>
      <c r="JTQ3" s="731"/>
      <c r="JTR3" s="732"/>
      <c r="JTS3" s="225"/>
      <c r="JTT3" s="716"/>
      <c r="JTU3" s="717"/>
      <c r="JTV3" s="718"/>
      <c r="JTW3" s="718"/>
      <c r="JTX3" s="718"/>
      <c r="JTY3" s="718"/>
      <c r="JTZ3" s="718"/>
      <c r="JUA3" s="719"/>
      <c r="JUB3" s="720"/>
      <c r="JUC3" s="721"/>
      <c r="JUD3" s="722"/>
      <c r="JUE3" s="722"/>
      <c r="JUF3" s="722"/>
      <c r="JUG3" s="722"/>
      <c r="JUH3" s="722"/>
      <c r="JUI3" s="723"/>
      <c r="JUJ3" s="724"/>
      <c r="JUK3" s="725"/>
      <c r="JUL3" s="726"/>
      <c r="JUM3" s="726"/>
      <c r="JUN3" s="726"/>
      <c r="JUO3" s="726"/>
      <c r="JUP3" s="726"/>
      <c r="JUQ3" s="727"/>
      <c r="JUR3" s="724"/>
      <c r="JUS3" s="725"/>
      <c r="JUT3" s="726"/>
      <c r="JUU3" s="726"/>
      <c r="JUV3" s="726"/>
      <c r="JUW3" s="726"/>
      <c r="JUX3" s="726"/>
      <c r="JUY3" s="727"/>
      <c r="JUZ3" s="728"/>
      <c r="JVA3" s="729"/>
      <c r="JVB3" s="730"/>
      <c r="JVC3" s="731"/>
      <c r="JVD3" s="731"/>
      <c r="JVE3" s="731"/>
      <c r="JVF3" s="731"/>
      <c r="JVG3" s="732"/>
      <c r="JVH3" s="225"/>
      <c r="JVI3" s="716"/>
      <c r="JVJ3" s="717"/>
      <c r="JVK3" s="718"/>
      <c r="JVL3" s="718"/>
      <c r="JVM3" s="718"/>
      <c r="JVN3" s="718"/>
      <c r="JVO3" s="718"/>
      <c r="JVP3" s="719"/>
      <c r="JVQ3" s="720"/>
      <c r="JVR3" s="721"/>
      <c r="JVS3" s="722"/>
      <c r="JVT3" s="722"/>
      <c r="JVU3" s="722"/>
      <c r="JVV3" s="722"/>
      <c r="JVW3" s="722"/>
      <c r="JVX3" s="723"/>
      <c r="JVY3" s="724"/>
      <c r="JVZ3" s="725"/>
      <c r="JWA3" s="726"/>
      <c r="JWB3" s="726"/>
      <c r="JWC3" s="726"/>
      <c r="JWD3" s="726"/>
      <c r="JWE3" s="726"/>
      <c r="JWF3" s="727"/>
      <c r="JWG3" s="724"/>
      <c r="JWH3" s="725"/>
      <c r="JWI3" s="726"/>
      <c r="JWJ3" s="726"/>
      <c r="JWK3" s="726"/>
      <c r="JWL3" s="726"/>
      <c r="JWM3" s="726"/>
      <c r="JWN3" s="727"/>
      <c r="JWO3" s="728"/>
      <c r="JWP3" s="729"/>
      <c r="JWQ3" s="730"/>
      <c r="JWR3" s="731"/>
      <c r="JWS3" s="731"/>
      <c r="JWT3" s="731"/>
      <c r="JWU3" s="731"/>
      <c r="JWV3" s="732"/>
      <c r="JWW3" s="225"/>
      <c r="JWX3" s="716"/>
      <c r="JWY3" s="717"/>
      <c r="JWZ3" s="718"/>
      <c r="JXA3" s="718"/>
      <c r="JXB3" s="718"/>
      <c r="JXC3" s="718"/>
      <c r="JXD3" s="718"/>
      <c r="JXE3" s="719"/>
      <c r="JXF3" s="720"/>
      <c r="JXG3" s="721"/>
      <c r="JXH3" s="722"/>
      <c r="JXI3" s="722"/>
      <c r="JXJ3" s="722"/>
      <c r="JXK3" s="722"/>
      <c r="JXL3" s="722"/>
      <c r="JXM3" s="723"/>
      <c r="JXN3" s="724"/>
      <c r="JXO3" s="725"/>
      <c r="JXP3" s="726"/>
      <c r="JXQ3" s="726"/>
      <c r="JXR3" s="726"/>
      <c r="JXS3" s="726"/>
      <c r="JXT3" s="726"/>
      <c r="JXU3" s="727"/>
      <c r="JXV3" s="724"/>
      <c r="JXW3" s="725"/>
      <c r="JXX3" s="726"/>
      <c r="JXY3" s="726"/>
      <c r="JXZ3" s="726"/>
      <c r="JYA3" s="726"/>
      <c r="JYB3" s="726"/>
      <c r="JYC3" s="727"/>
      <c r="JYD3" s="728"/>
      <c r="JYE3" s="729"/>
      <c r="JYF3" s="730"/>
      <c r="JYG3" s="731"/>
      <c r="JYH3" s="731"/>
      <c r="JYI3" s="731"/>
      <c r="JYJ3" s="731"/>
      <c r="JYK3" s="732"/>
      <c r="JYL3" s="225"/>
      <c r="JYM3" s="716"/>
      <c r="JYN3" s="717"/>
      <c r="JYO3" s="718"/>
      <c r="JYP3" s="718"/>
      <c r="JYQ3" s="718"/>
      <c r="JYR3" s="718"/>
      <c r="JYS3" s="718"/>
      <c r="JYT3" s="719"/>
      <c r="JYU3" s="720"/>
      <c r="JYV3" s="721"/>
      <c r="JYW3" s="722"/>
      <c r="JYX3" s="722"/>
      <c r="JYY3" s="722"/>
      <c r="JYZ3" s="722"/>
      <c r="JZA3" s="722"/>
      <c r="JZB3" s="723"/>
      <c r="JZC3" s="724"/>
      <c r="JZD3" s="725"/>
      <c r="JZE3" s="726"/>
      <c r="JZF3" s="726"/>
      <c r="JZG3" s="726"/>
      <c r="JZH3" s="726"/>
      <c r="JZI3" s="726"/>
      <c r="JZJ3" s="727"/>
      <c r="JZK3" s="724"/>
      <c r="JZL3" s="725"/>
      <c r="JZM3" s="726"/>
      <c r="JZN3" s="726"/>
      <c r="JZO3" s="726"/>
      <c r="JZP3" s="726"/>
      <c r="JZQ3" s="726"/>
      <c r="JZR3" s="727"/>
      <c r="JZS3" s="728"/>
      <c r="JZT3" s="729"/>
      <c r="JZU3" s="730"/>
      <c r="JZV3" s="731"/>
      <c r="JZW3" s="731"/>
      <c r="JZX3" s="731"/>
      <c r="JZY3" s="731"/>
      <c r="JZZ3" s="732"/>
      <c r="KAA3" s="225"/>
      <c r="KAB3" s="716"/>
      <c r="KAC3" s="717"/>
      <c r="KAD3" s="718"/>
      <c r="KAE3" s="718"/>
      <c r="KAF3" s="718"/>
      <c r="KAG3" s="718"/>
      <c r="KAH3" s="718"/>
      <c r="KAI3" s="719"/>
      <c r="KAJ3" s="720"/>
      <c r="KAK3" s="721"/>
      <c r="KAL3" s="722"/>
      <c r="KAM3" s="722"/>
      <c r="KAN3" s="722"/>
      <c r="KAO3" s="722"/>
      <c r="KAP3" s="722"/>
      <c r="KAQ3" s="723"/>
      <c r="KAR3" s="724"/>
      <c r="KAS3" s="725"/>
      <c r="KAT3" s="726"/>
      <c r="KAU3" s="726"/>
      <c r="KAV3" s="726"/>
      <c r="KAW3" s="726"/>
      <c r="KAX3" s="726"/>
      <c r="KAY3" s="727"/>
      <c r="KAZ3" s="724"/>
      <c r="KBA3" s="725"/>
      <c r="KBB3" s="726"/>
      <c r="KBC3" s="726"/>
      <c r="KBD3" s="726"/>
      <c r="KBE3" s="726"/>
      <c r="KBF3" s="726"/>
      <c r="KBG3" s="727"/>
      <c r="KBH3" s="728"/>
      <c r="KBI3" s="729"/>
      <c r="KBJ3" s="730"/>
      <c r="KBK3" s="731"/>
      <c r="KBL3" s="731"/>
      <c r="KBM3" s="731"/>
      <c r="KBN3" s="731"/>
      <c r="KBO3" s="732"/>
      <c r="KBP3" s="225"/>
      <c r="KBQ3" s="716"/>
      <c r="KBR3" s="717"/>
      <c r="KBS3" s="718"/>
      <c r="KBT3" s="718"/>
      <c r="KBU3" s="718"/>
      <c r="KBV3" s="718"/>
      <c r="KBW3" s="718"/>
      <c r="KBX3" s="719"/>
      <c r="KBY3" s="720"/>
      <c r="KBZ3" s="721"/>
      <c r="KCA3" s="722"/>
      <c r="KCB3" s="722"/>
      <c r="KCC3" s="722"/>
      <c r="KCD3" s="722"/>
      <c r="KCE3" s="722"/>
      <c r="KCF3" s="723"/>
      <c r="KCG3" s="724"/>
      <c r="KCH3" s="725"/>
      <c r="KCI3" s="726"/>
      <c r="KCJ3" s="726"/>
      <c r="KCK3" s="726"/>
      <c r="KCL3" s="726"/>
      <c r="KCM3" s="726"/>
      <c r="KCN3" s="727"/>
      <c r="KCO3" s="724"/>
      <c r="KCP3" s="725"/>
      <c r="KCQ3" s="726"/>
      <c r="KCR3" s="726"/>
      <c r="KCS3" s="726"/>
      <c r="KCT3" s="726"/>
      <c r="KCU3" s="726"/>
      <c r="KCV3" s="727"/>
      <c r="KCW3" s="728"/>
      <c r="KCX3" s="729"/>
      <c r="KCY3" s="730"/>
      <c r="KCZ3" s="731"/>
      <c r="KDA3" s="731"/>
      <c r="KDB3" s="731"/>
      <c r="KDC3" s="731"/>
      <c r="KDD3" s="732"/>
      <c r="KDE3" s="225"/>
      <c r="KDF3" s="716"/>
      <c r="KDG3" s="717"/>
      <c r="KDH3" s="718"/>
      <c r="KDI3" s="718"/>
      <c r="KDJ3" s="718"/>
      <c r="KDK3" s="718"/>
      <c r="KDL3" s="718"/>
      <c r="KDM3" s="719"/>
      <c r="KDN3" s="720"/>
      <c r="KDO3" s="721"/>
      <c r="KDP3" s="722"/>
      <c r="KDQ3" s="722"/>
      <c r="KDR3" s="722"/>
      <c r="KDS3" s="722"/>
      <c r="KDT3" s="722"/>
      <c r="KDU3" s="723"/>
      <c r="KDV3" s="724"/>
      <c r="KDW3" s="725"/>
      <c r="KDX3" s="726"/>
      <c r="KDY3" s="726"/>
      <c r="KDZ3" s="726"/>
      <c r="KEA3" s="726"/>
      <c r="KEB3" s="726"/>
      <c r="KEC3" s="727"/>
      <c r="KED3" s="724"/>
      <c r="KEE3" s="725"/>
      <c r="KEF3" s="726"/>
      <c r="KEG3" s="726"/>
      <c r="KEH3" s="726"/>
      <c r="KEI3" s="726"/>
      <c r="KEJ3" s="726"/>
      <c r="KEK3" s="727"/>
      <c r="KEL3" s="728"/>
      <c r="KEM3" s="729"/>
      <c r="KEN3" s="730"/>
      <c r="KEO3" s="731"/>
      <c r="KEP3" s="731"/>
      <c r="KEQ3" s="731"/>
      <c r="KER3" s="731"/>
      <c r="KES3" s="732"/>
      <c r="KET3" s="225"/>
      <c r="KEU3" s="716"/>
      <c r="KEV3" s="717"/>
      <c r="KEW3" s="718"/>
      <c r="KEX3" s="718"/>
      <c r="KEY3" s="718"/>
      <c r="KEZ3" s="718"/>
      <c r="KFA3" s="718"/>
      <c r="KFB3" s="719"/>
      <c r="KFC3" s="720"/>
      <c r="KFD3" s="721"/>
      <c r="KFE3" s="722"/>
      <c r="KFF3" s="722"/>
      <c r="KFG3" s="722"/>
      <c r="KFH3" s="722"/>
      <c r="KFI3" s="722"/>
      <c r="KFJ3" s="723"/>
      <c r="KFK3" s="724"/>
      <c r="KFL3" s="725"/>
      <c r="KFM3" s="726"/>
      <c r="KFN3" s="726"/>
      <c r="KFO3" s="726"/>
      <c r="KFP3" s="726"/>
      <c r="KFQ3" s="726"/>
      <c r="KFR3" s="727"/>
      <c r="KFS3" s="724"/>
      <c r="KFT3" s="725"/>
      <c r="KFU3" s="726"/>
      <c r="KFV3" s="726"/>
      <c r="KFW3" s="726"/>
      <c r="KFX3" s="726"/>
      <c r="KFY3" s="726"/>
      <c r="KFZ3" s="727"/>
      <c r="KGA3" s="728"/>
      <c r="KGB3" s="729"/>
      <c r="KGC3" s="730"/>
      <c r="KGD3" s="731"/>
      <c r="KGE3" s="731"/>
      <c r="KGF3" s="731"/>
      <c r="KGG3" s="731"/>
      <c r="KGH3" s="732"/>
      <c r="KGI3" s="225"/>
      <c r="KGJ3" s="716"/>
      <c r="KGK3" s="717"/>
      <c r="KGL3" s="718"/>
      <c r="KGM3" s="718"/>
      <c r="KGN3" s="718"/>
      <c r="KGO3" s="718"/>
      <c r="KGP3" s="718"/>
      <c r="KGQ3" s="719"/>
      <c r="KGR3" s="720"/>
      <c r="KGS3" s="721"/>
      <c r="KGT3" s="722"/>
      <c r="KGU3" s="722"/>
      <c r="KGV3" s="722"/>
      <c r="KGW3" s="722"/>
      <c r="KGX3" s="722"/>
      <c r="KGY3" s="723"/>
      <c r="KGZ3" s="724"/>
      <c r="KHA3" s="725"/>
      <c r="KHB3" s="726"/>
      <c r="KHC3" s="726"/>
      <c r="KHD3" s="726"/>
      <c r="KHE3" s="726"/>
      <c r="KHF3" s="726"/>
      <c r="KHG3" s="727"/>
      <c r="KHH3" s="724"/>
      <c r="KHI3" s="725"/>
      <c r="KHJ3" s="726"/>
      <c r="KHK3" s="726"/>
      <c r="KHL3" s="726"/>
      <c r="KHM3" s="726"/>
      <c r="KHN3" s="726"/>
      <c r="KHO3" s="727"/>
      <c r="KHP3" s="728"/>
      <c r="KHQ3" s="729"/>
      <c r="KHR3" s="730"/>
      <c r="KHS3" s="731"/>
      <c r="KHT3" s="731"/>
      <c r="KHU3" s="731"/>
      <c r="KHV3" s="731"/>
      <c r="KHW3" s="732"/>
      <c r="KHX3" s="225"/>
      <c r="KHY3" s="716"/>
      <c r="KHZ3" s="717"/>
      <c r="KIA3" s="718"/>
      <c r="KIB3" s="718"/>
      <c r="KIC3" s="718"/>
      <c r="KID3" s="718"/>
      <c r="KIE3" s="718"/>
      <c r="KIF3" s="719"/>
      <c r="KIG3" s="720"/>
      <c r="KIH3" s="721"/>
      <c r="KII3" s="722"/>
      <c r="KIJ3" s="722"/>
      <c r="KIK3" s="722"/>
      <c r="KIL3" s="722"/>
      <c r="KIM3" s="722"/>
      <c r="KIN3" s="723"/>
      <c r="KIO3" s="724"/>
      <c r="KIP3" s="725"/>
      <c r="KIQ3" s="726"/>
      <c r="KIR3" s="726"/>
      <c r="KIS3" s="726"/>
      <c r="KIT3" s="726"/>
      <c r="KIU3" s="726"/>
      <c r="KIV3" s="727"/>
      <c r="KIW3" s="724"/>
      <c r="KIX3" s="725"/>
      <c r="KIY3" s="726"/>
      <c r="KIZ3" s="726"/>
      <c r="KJA3" s="726"/>
      <c r="KJB3" s="726"/>
      <c r="KJC3" s="726"/>
      <c r="KJD3" s="727"/>
      <c r="KJE3" s="728"/>
      <c r="KJF3" s="729"/>
      <c r="KJG3" s="730"/>
      <c r="KJH3" s="731"/>
      <c r="KJI3" s="731"/>
      <c r="KJJ3" s="731"/>
      <c r="KJK3" s="731"/>
      <c r="KJL3" s="732"/>
      <c r="KJM3" s="225"/>
      <c r="KJN3" s="716"/>
      <c r="KJO3" s="717"/>
      <c r="KJP3" s="718"/>
      <c r="KJQ3" s="718"/>
      <c r="KJR3" s="718"/>
      <c r="KJS3" s="718"/>
      <c r="KJT3" s="718"/>
      <c r="KJU3" s="719"/>
      <c r="KJV3" s="720"/>
      <c r="KJW3" s="721"/>
      <c r="KJX3" s="722"/>
      <c r="KJY3" s="722"/>
      <c r="KJZ3" s="722"/>
      <c r="KKA3" s="722"/>
      <c r="KKB3" s="722"/>
      <c r="KKC3" s="723"/>
      <c r="KKD3" s="724"/>
      <c r="KKE3" s="725"/>
      <c r="KKF3" s="726"/>
      <c r="KKG3" s="726"/>
      <c r="KKH3" s="726"/>
      <c r="KKI3" s="726"/>
      <c r="KKJ3" s="726"/>
      <c r="KKK3" s="727"/>
      <c r="KKL3" s="724"/>
      <c r="KKM3" s="725"/>
      <c r="KKN3" s="726"/>
      <c r="KKO3" s="726"/>
      <c r="KKP3" s="726"/>
      <c r="KKQ3" s="726"/>
      <c r="KKR3" s="726"/>
      <c r="KKS3" s="727"/>
      <c r="KKT3" s="728"/>
      <c r="KKU3" s="729"/>
      <c r="KKV3" s="730"/>
      <c r="KKW3" s="731"/>
      <c r="KKX3" s="731"/>
      <c r="KKY3" s="731"/>
      <c r="KKZ3" s="731"/>
      <c r="KLA3" s="732"/>
      <c r="KLB3" s="225"/>
      <c r="KLC3" s="716"/>
      <c r="KLD3" s="717"/>
      <c r="KLE3" s="718"/>
      <c r="KLF3" s="718"/>
      <c r="KLG3" s="718"/>
      <c r="KLH3" s="718"/>
      <c r="KLI3" s="718"/>
      <c r="KLJ3" s="719"/>
      <c r="KLK3" s="720"/>
      <c r="KLL3" s="721"/>
      <c r="KLM3" s="722"/>
      <c r="KLN3" s="722"/>
      <c r="KLO3" s="722"/>
      <c r="KLP3" s="722"/>
      <c r="KLQ3" s="722"/>
      <c r="KLR3" s="723"/>
      <c r="KLS3" s="724"/>
      <c r="KLT3" s="725"/>
      <c r="KLU3" s="726"/>
      <c r="KLV3" s="726"/>
      <c r="KLW3" s="726"/>
      <c r="KLX3" s="726"/>
      <c r="KLY3" s="726"/>
      <c r="KLZ3" s="727"/>
      <c r="KMA3" s="724"/>
      <c r="KMB3" s="725"/>
      <c r="KMC3" s="726"/>
      <c r="KMD3" s="726"/>
      <c r="KME3" s="726"/>
      <c r="KMF3" s="726"/>
      <c r="KMG3" s="726"/>
      <c r="KMH3" s="727"/>
      <c r="KMI3" s="728"/>
      <c r="KMJ3" s="729"/>
      <c r="KMK3" s="730"/>
      <c r="KML3" s="731"/>
      <c r="KMM3" s="731"/>
      <c r="KMN3" s="731"/>
      <c r="KMO3" s="731"/>
      <c r="KMP3" s="732"/>
      <c r="KMQ3" s="225"/>
      <c r="KMR3" s="716"/>
      <c r="KMS3" s="717"/>
      <c r="KMT3" s="718"/>
      <c r="KMU3" s="718"/>
      <c r="KMV3" s="718"/>
      <c r="KMW3" s="718"/>
      <c r="KMX3" s="718"/>
      <c r="KMY3" s="719"/>
      <c r="KMZ3" s="720"/>
      <c r="KNA3" s="721"/>
      <c r="KNB3" s="722"/>
      <c r="KNC3" s="722"/>
      <c r="KND3" s="722"/>
      <c r="KNE3" s="722"/>
      <c r="KNF3" s="722"/>
      <c r="KNG3" s="723"/>
      <c r="KNH3" s="724"/>
      <c r="KNI3" s="725"/>
      <c r="KNJ3" s="726"/>
      <c r="KNK3" s="726"/>
      <c r="KNL3" s="726"/>
      <c r="KNM3" s="726"/>
      <c r="KNN3" s="726"/>
      <c r="KNO3" s="727"/>
      <c r="KNP3" s="724"/>
      <c r="KNQ3" s="725"/>
      <c r="KNR3" s="726"/>
      <c r="KNS3" s="726"/>
      <c r="KNT3" s="726"/>
      <c r="KNU3" s="726"/>
      <c r="KNV3" s="726"/>
      <c r="KNW3" s="727"/>
      <c r="KNX3" s="728"/>
      <c r="KNY3" s="729"/>
      <c r="KNZ3" s="730"/>
      <c r="KOA3" s="731"/>
      <c r="KOB3" s="731"/>
      <c r="KOC3" s="731"/>
      <c r="KOD3" s="731"/>
      <c r="KOE3" s="732"/>
      <c r="KOF3" s="225"/>
      <c r="KOG3" s="716"/>
      <c r="KOH3" s="717"/>
      <c r="KOI3" s="718"/>
      <c r="KOJ3" s="718"/>
      <c r="KOK3" s="718"/>
      <c r="KOL3" s="718"/>
      <c r="KOM3" s="718"/>
      <c r="KON3" s="719"/>
      <c r="KOO3" s="720"/>
      <c r="KOP3" s="721"/>
      <c r="KOQ3" s="722"/>
      <c r="KOR3" s="722"/>
      <c r="KOS3" s="722"/>
      <c r="KOT3" s="722"/>
      <c r="KOU3" s="722"/>
      <c r="KOV3" s="723"/>
      <c r="KOW3" s="724"/>
      <c r="KOX3" s="725"/>
      <c r="KOY3" s="726"/>
      <c r="KOZ3" s="726"/>
      <c r="KPA3" s="726"/>
      <c r="KPB3" s="726"/>
      <c r="KPC3" s="726"/>
      <c r="KPD3" s="727"/>
      <c r="KPE3" s="724"/>
      <c r="KPF3" s="725"/>
      <c r="KPG3" s="726"/>
      <c r="KPH3" s="726"/>
      <c r="KPI3" s="726"/>
      <c r="KPJ3" s="726"/>
      <c r="KPK3" s="726"/>
      <c r="KPL3" s="727"/>
      <c r="KPM3" s="728"/>
      <c r="KPN3" s="729"/>
      <c r="KPO3" s="730"/>
      <c r="KPP3" s="731"/>
      <c r="KPQ3" s="731"/>
      <c r="KPR3" s="731"/>
      <c r="KPS3" s="731"/>
      <c r="KPT3" s="732"/>
      <c r="KPU3" s="225"/>
      <c r="KPV3" s="716"/>
      <c r="KPW3" s="717"/>
      <c r="KPX3" s="718"/>
      <c r="KPY3" s="718"/>
      <c r="KPZ3" s="718"/>
      <c r="KQA3" s="718"/>
      <c r="KQB3" s="718"/>
      <c r="KQC3" s="719"/>
      <c r="KQD3" s="720"/>
      <c r="KQE3" s="721"/>
      <c r="KQF3" s="722"/>
      <c r="KQG3" s="722"/>
      <c r="KQH3" s="722"/>
      <c r="KQI3" s="722"/>
      <c r="KQJ3" s="722"/>
      <c r="KQK3" s="723"/>
      <c r="KQL3" s="724"/>
      <c r="KQM3" s="725"/>
      <c r="KQN3" s="726"/>
      <c r="KQO3" s="726"/>
      <c r="KQP3" s="726"/>
      <c r="KQQ3" s="726"/>
      <c r="KQR3" s="726"/>
      <c r="KQS3" s="727"/>
      <c r="KQT3" s="724"/>
      <c r="KQU3" s="725"/>
      <c r="KQV3" s="726"/>
      <c r="KQW3" s="726"/>
      <c r="KQX3" s="726"/>
      <c r="KQY3" s="726"/>
      <c r="KQZ3" s="726"/>
      <c r="KRA3" s="727"/>
      <c r="KRB3" s="728"/>
      <c r="KRC3" s="729"/>
      <c r="KRD3" s="730"/>
      <c r="KRE3" s="731"/>
      <c r="KRF3" s="731"/>
      <c r="KRG3" s="731"/>
      <c r="KRH3" s="731"/>
      <c r="KRI3" s="732"/>
      <c r="KRJ3" s="225"/>
      <c r="KRK3" s="716"/>
      <c r="KRL3" s="717"/>
      <c r="KRM3" s="718"/>
      <c r="KRN3" s="718"/>
      <c r="KRO3" s="718"/>
      <c r="KRP3" s="718"/>
      <c r="KRQ3" s="718"/>
      <c r="KRR3" s="719"/>
      <c r="KRS3" s="720"/>
      <c r="KRT3" s="721"/>
      <c r="KRU3" s="722"/>
      <c r="KRV3" s="722"/>
      <c r="KRW3" s="722"/>
      <c r="KRX3" s="722"/>
      <c r="KRY3" s="722"/>
      <c r="KRZ3" s="723"/>
      <c r="KSA3" s="724"/>
      <c r="KSB3" s="725"/>
      <c r="KSC3" s="726"/>
      <c r="KSD3" s="726"/>
      <c r="KSE3" s="726"/>
      <c r="KSF3" s="726"/>
      <c r="KSG3" s="726"/>
      <c r="KSH3" s="727"/>
      <c r="KSI3" s="724"/>
      <c r="KSJ3" s="725"/>
      <c r="KSK3" s="726"/>
      <c r="KSL3" s="726"/>
      <c r="KSM3" s="726"/>
      <c r="KSN3" s="726"/>
      <c r="KSO3" s="726"/>
      <c r="KSP3" s="727"/>
      <c r="KSQ3" s="728"/>
      <c r="KSR3" s="729"/>
      <c r="KSS3" s="730"/>
      <c r="KST3" s="731"/>
      <c r="KSU3" s="731"/>
      <c r="KSV3" s="731"/>
      <c r="KSW3" s="731"/>
      <c r="KSX3" s="732"/>
      <c r="KSY3" s="225"/>
      <c r="KSZ3" s="716"/>
      <c r="KTA3" s="717"/>
      <c r="KTB3" s="718"/>
      <c r="KTC3" s="718"/>
      <c r="KTD3" s="718"/>
      <c r="KTE3" s="718"/>
      <c r="KTF3" s="718"/>
      <c r="KTG3" s="719"/>
      <c r="KTH3" s="720"/>
      <c r="KTI3" s="721"/>
      <c r="KTJ3" s="722"/>
      <c r="KTK3" s="722"/>
      <c r="KTL3" s="722"/>
      <c r="KTM3" s="722"/>
      <c r="KTN3" s="722"/>
      <c r="KTO3" s="723"/>
      <c r="KTP3" s="724"/>
      <c r="KTQ3" s="725"/>
      <c r="KTR3" s="726"/>
      <c r="KTS3" s="726"/>
      <c r="KTT3" s="726"/>
      <c r="KTU3" s="726"/>
      <c r="KTV3" s="726"/>
      <c r="KTW3" s="727"/>
      <c r="KTX3" s="724"/>
      <c r="KTY3" s="725"/>
      <c r="KTZ3" s="726"/>
      <c r="KUA3" s="726"/>
      <c r="KUB3" s="726"/>
      <c r="KUC3" s="726"/>
      <c r="KUD3" s="726"/>
      <c r="KUE3" s="727"/>
      <c r="KUF3" s="728"/>
      <c r="KUG3" s="729"/>
      <c r="KUH3" s="730"/>
      <c r="KUI3" s="731"/>
      <c r="KUJ3" s="731"/>
      <c r="KUK3" s="731"/>
      <c r="KUL3" s="731"/>
      <c r="KUM3" s="732"/>
      <c r="KUN3" s="225"/>
      <c r="KUO3" s="716"/>
      <c r="KUP3" s="717"/>
      <c r="KUQ3" s="718"/>
      <c r="KUR3" s="718"/>
      <c r="KUS3" s="718"/>
      <c r="KUT3" s="718"/>
      <c r="KUU3" s="718"/>
      <c r="KUV3" s="719"/>
      <c r="KUW3" s="720"/>
      <c r="KUX3" s="721"/>
      <c r="KUY3" s="722"/>
      <c r="KUZ3" s="722"/>
      <c r="KVA3" s="722"/>
      <c r="KVB3" s="722"/>
      <c r="KVC3" s="722"/>
      <c r="KVD3" s="723"/>
      <c r="KVE3" s="724"/>
      <c r="KVF3" s="725"/>
      <c r="KVG3" s="726"/>
      <c r="KVH3" s="726"/>
      <c r="KVI3" s="726"/>
      <c r="KVJ3" s="726"/>
      <c r="KVK3" s="726"/>
      <c r="KVL3" s="727"/>
      <c r="KVM3" s="724"/>
      <c r="KVN3" s="725"/>
      <c r="KVO3" s="726"/>
      <c r="KVP3" s="726"/>
      <c r="KVQ3" s="726"/>
      <c r="KVR3" s="726"/>
      <c r="KVS3" s="726"/>
      <c r="KVT3" s="727"/>
      <c r="KVU3" s="728"/>
      <c r="KVV3" s="729"/>
      <c r="KVW3" s="730"/>
      <c r="KVX3" s="731"/>
      <c r="KVY3" s="731"/>
      <c r="KVZ3" s="731"/>
      <c r="KWA3" s="731"/>
      <c r="KWB3" s="732"/>
      <c r="KWC3" s="225"/>
      <c r="KWD3" s="716"/>
      <c r="KWE3" s="717"/>
      <c r="KWF3" s="718"/>
      <c r="KWG3" s="718"/>
      <c r="KWH3" s="718"/>
      <c r="KWI3" s="718"/>
      <c r="KWJ3" s="718"/>
      <c r="KWK3" s="719"/>
      <c r="KWL3" s="720"/>
      <c r="KWM3" s="721"/>
      <c r="KWN3" s="722"/>
      <c r="KWO3" s="722"/>
      <c r="KWP3" s="722"/>
      <c r="KWQ3" s="722"/>
      <c r="KWR3" s="722"/>
      <c r="KWS3" s="723"/>
      <c r="KWT3" s="724"/>
      <c r="KWU3" s="725"/>
      <c r="KWV3" s="726"/>
      <c r="KWW3" s="726"/>
      <c r="KWX3" s="726"/>
      <c r="KWY3" s="726"/>
      <c r="KWZ3" s="726"/>
      <c r="KXA3" s="727"/>
      <c r="KXB3" s="724"/>
      <c r="KXC3" s="725"/>
      <c r="KXD3" s="726"/>
      <c r="KXE3" s="726"/>
      <c r="KXF3" s="726"/>
      <c r="KXG3" s="726"/>
      <c r="KXH3" s="726"/>
      <c r="KXI3" s="727"/>
      <c r="KXJ3" s="728"/>
      <c r="KXK3" s="729"/>
      <c r="KXL3" s="730"/>
      <c r="KXM3" s="731"/>
      <c r="KXN3" s="731"/>
      <c r="KXO3" s="731"/>
      <c r="KXP3" s="731"/>
      <c r="KXQ3" s="732"/>
      <c r="KXR3" s="225"/>
      <c r="KXS3" s="716"/>
      <c r="KXT3" s="717"/>
      <c r="KXU3" s="718"/>
      <c r="KXV3" s="718"/>
      <c r="KXW3" s="718"/>
      <c r="KXX3" s="718"/>
      <c r="KXY3" s="718"/>
      <c r="KXZ3" s="719"/>
      <c r="KYA3" s="720"/>
      <c r="KYB3" s="721"/>
      <c r="KYC3" s="722"/>
      <c r="KYD3" s="722"/>
      <c r="KYE3" s="722"/>
      <c r="KYF3" s="722"/>
      <c r="KYG3" s="722"/>
      <c r="KYH3" s="723"/>
      <c r="KYI3" s="724"/>
      <c r="KYJ3" s="725"/>
      <c r="KYK3" s="726"/>
      <c r="KYL3" s="726"/>
      <c r="KYM3" s="726"/>
      <c r="KYN3" s="726"/>
      <c r="KYO3" s="726"/>
      <c r="KYP3" s="727"/>
      <c r="KYQ3" s="724"/>
      <c r="KYR3" s="725"/>
      <c r="KYS3" s="726"/>
      <c r="KYT3" s="726"/>
      <c r="KYU3" s="726"/>
      <c r="KYV3" s="726"/>
      <c r="KYW3" s="726"/>
      <c r="KYX3" s="727"/>
      <c r="KYY3" s="728"/>
      <c r="KYZ3" s="729"/>
      <c r="KZA3" s="730"/>
      <c r="KZB3" s="731"/>
      <c r="KZC3" s="731"/>
      <c r="KZD3" s="731"/>
      <c r="KZE3" s="731"/>
      <c r="KZF3" s="732"/>
      <c r="KZG3" s="225"/>
      <c r="KZH3" s="716"/>
      <c r="KZI3" s="717"/>
      <c r="KZJ3" s="718"/>
      <c r="KZK3" s="718"/>
      <c r="KZL3" s="718"/>
      <c r="KZM3" s="718"/>
      <c r="KZN3" s="718"/>
      <c r="KZO3" s="719"/>
      <c r="KZP3" s="720"/>
      <c r="KZQ3" s="721"/>
      <c r="KZR3" s="722"/>
      <c r="KZS3" s="722"/>
      <c r="KZT3" s="722"/>
      <c r="KZU3" s="722"/>
      <c r="KZV3" s="722"/>
      <c r="KZW3" s="723"/>
      <c r="KZX3" s="724"/>
      <c r="KZY3" s="725"/>
      <c r="KZZ3" s="726"/>
      <c r="LAA3" s="726"/>
      <c r="LAB3" s="726"/>
      <c r="LAC3" s="726"/>
      <c r="LAD3" s="726"/>
      <c r="LAE3" s="727"/>
      <c r="LAF3" s="724"/>
      <c r="LAG3" s="725"/>
      <c r="LAH3" s="726"/>
      <c r="LAI3" s="726"/>
      <c r="LAJ3" s="726"/>
      <c r="LAK3" s="726"/>
      <c r="LAL3" s="726"/>
      <c r="LAM3" s="727"/>
      <c r="LAN3" s="728"/>
      <c r="LAO3" s="729"/>
      <c r="LAP3" s="730"/>
      <c r="LAQ3" s="731"/>
      <c r="LAR3" s="731"/>
      <c r="LAS3" s="731"/>
      <c r="LAT3" s="731"/>
      <c r="LAU3" s="732"/>
      <c r="LAV3" s="225"/>
      <c r="LAW3" s="716"/>
      <c r="LAX3" s="717"/>
      <c r="LAY3" s="718"/>
      <c r="LAZ3" s="718"/>
      <c r="LBA3" s="718"/>
      <c r="LBB3" s="718"/>
      <c r="LBC3" s="718"/>
      <c r="LBD3" s="719"/>
      <c r="LBE3" s="720"/>
      <c r="LBF3" s="721"/>
      <c r="LBG3" s="722"/>
      <c r="LBH3" s="722"/>
      <c r="LBI3" s="722"/>
      <c r="LBJ3" s="722"/>
      <c r="LBK3" s="722"/>
      <c r="LBL3" s="723"/>
      <c r="LBM3" s="724"/>
      <c r="LBN3" s="725"/>
      <c r="LBO3" s="726"/>
      <c r="LBP3" s="726"/>
      <c r="LBQ3" s="726"/>
      <c r="LBR3" s="726"/>
      <c r="LBS3" s="726"/>
      <c r="LBT3" s="727"/>
      <c r="LBU3" s="724"/>
      <c r="LBV3" s="725"/>
      <c r="LBW3" s="726"/>
      <c r="LBX3" s="726"/>
      <c r="LBY3" s="726"/>
      <c r="LBZ3" s="726"/>
      <c r="LCA3" s="726"/>
      <c r="LCB3" s="727"/>
      <c r="LCC3" s="728"/>
      <c r="LCD3" s="729"/>
      <c r="LCE3" s="730"/>
      <c r="LCF3" s="731"/>
      <c r="LCG3" s="731"/>
      <c r="LCH3" s="731"/>
      <c r="LCI3" s="731"/>
      <c r="LCJ3" s="732"/>
      <c r="LCK3" s="225"/>
      <c r="LCL3" s="716"/>
      <c r="LCM3" s="717"/>
      <c r="LCN3" s="718"/>
      <c r="LCO3" s="718"/>
      <c r="LCP3" s="718"/>
      <c r="LCQ3" s="718"/>
      <c r="LCR3" s="718"/>
      <c r="LCS3" s="719"/>
      <c r="LCT3" s="720"/>
      <c r="LCU3" s="721"/>
      <c r="LCV3" s="722"/>
      <c r="LCW3" s="722"/>
      <c r="LCX3" s="722"/>
      <c r="LCY3" s="722"/>
      <c r="LCZ3" s="722"/>
      <c r="LDA3" s="723"/>
      <c r="LDB3" s="724"/>
      <c r="LDC3" s="725"/>
      <c r="LDD3" s="726"/>
      <c r="LDE3" s="726"/>
      <c r="LDF3" s="726"/>
      <c r="LDG3" s="726"/>
      <c r="LDH3" s="726"/>
      <c r="LDI3" s="727"/>
      <c r="LDJ3" s="724"/>
      <c r="LDK3" s="725"/>
      <c r="LDL3" s="726"/>
      <c r="LDM3" s="726"/>
      <c r="LDN3" s="726"/>
      <c r="LDO3" s="726"/>
      <c r="LDP3" s="726"/>
      <c r="LDQ3" s="727"/>
      <c r="LDR3" s="728"/>
      <c r="LDS3" s="729"/>
      <c r="LDT3" s="730"/>
      <c r="LDU3" s="731"/>
      <c r="LDV3" s="731"/>
      <c r="LDW3" s="731"/>
      <c r="LDX3" s="731"/>
      <c r="LDY3" s="732"/>
      <c r="LDZ3" s="225"/>
      <c r="LEA3" s="716"/>
      <c r="LEB3" s="717"/>
      <c r="LEC3" s="718"/>
      <c r="LED3" s="718"/>
      <c r="LEE3" s="718"/>
      <c r="LEF3" s="718"/>
      <c r="LEG3" s="718"/>
      <c r="LEH3" s="719"/>
      <c r="LEI3" s="720"/>
      <c r="LEJ3" s="721"/>
      <c r="LEK3" s="722"/>
      <c r="LEL3" s="722"/>
      <c r="LEM3" s="722"/>
      <c r="LEN3" s="722"/>
      <c r="LEO3" s="722"/>
      <c r="LEP3" s="723"/>
      <c r="LEQ3" s="724"/>
      <c r="LER3" s="725"/>
      <c r="LES3" s="726"/>
      <c r="LET3" s="726"/>
      <c r="LEU3" s="726"/>
      <c r="LEV3" s="726"/>
      <c r="LEW3" s="726"/>
      <c r="LEX3" s="727"/>
      <c r="LEY3" s="724"/>
      <c r="LEZ3" s="725"/>
      <c r="LFA3" s="726"/>
      <c r="LFB3" s="726"/>
      <c r="LFC3" s="726"/>
      <c r="LFD3" s="726"/>
      <c r="LFE3" s="726"/>
      <c r="LFF3" s="727"/>
      <c r="LFG3" s="728"/>
      <c r="LFH3" s="729"/>
      <c r="LFI3" s="730"/>
      <c r="LFJ3" s="731"/>
      <c r="LFK3" s="731"/>
      <c r="LFL3" s="731"/>
      <c r="LFM3" s="731"/>
      <c r="LFN3" s="732"/>
      <c r="LFO3" s="225"/>
      <c r="LFP3" s="716"/>
      <c r="LFQ3" s="717"/>
      <c r="LFR3" s="718"/>
      <c r="LFS3" s="718"/>
      <c r="LFT3" s="718"/>
      <c r="LFU3" s="718"/>
      <c r="LFV3" s="718"/>
      <c r="LFW3" s="719"/>
      <c r="LFX3" s="720"/>
      <c r="LFY3" s="721"/>
      <c r="LFZ3" s="722"/>
      <c r="LGA3" s="722"/>
      <c r="LGB3" s="722"/>
      <c r="LGC3" s="722"/>
      <c r="LGD3" s="722"/>
      <c r="LGE3" s="723"/>
      <c r="LGF3" s="724"/>
      <c r="LGG3" s="725"/>
      <c r="LGH3" s="726"/>
      <c r="LGI3" s="726"/>
      <c r="LGJ3" s="726"/>
      <c r="LGK3" s="726"/>
      <c r="LGL3" s="726"/>
      <c r="LGM3" s="727"/>
      <c r="LGN3" s="724"/>
      <c r="LGO3" s="725"/>
      <c r="LGP3" s="726"/>
      <c r="LGQ3" s="726"/>
      <c r="LGR3" s="726"/>
      <c r="LGS3" s="726"/>
      <c r="LGT3" s="726"/>
      <c r="LGU3" s="727"/>
      <c r="LGV3" s="728"/>
      <c r="LGW3" s="729"/>
      <c r="LGX3" s="730"/>
      <c r="LGY3" s="731"/>
      <c r="LGZ3" s="731"/>
      <c r="LHA3" s="731"/>
      <c r="LHB3" s="731"/>
      <c r="LHC3" s="732"/>
      <c r="LHD3" s="225"/>
      <c r="LHE3" s="716"/>
      <c r="LHF3" s="717"/>
      <c r="LHG3" s="718"/>
      <c r="LHH3" s="718"/>
      <c r="LHI3" s="718"/>
      <c r="LHJ3" s="718"/>
      <c r="LHK3" s="718"/>
      <c r="LHL3" s="719"/>
      <c r="LHM3" s="720"/>
      <c r="LHN3" s="721"/>
      <c r="LHO3" s="722"/>
      <c r="LHP3" s="722"/>
      <c r="LHQ3" s="722"/>
      <c r="LHR3" s="722"/>
      <c r="LHS3" s="722"/>
      <c r="LHT3" s="723"/>
      <c r="LHU3" s="724"/>
      <c r="LHV3" s="725"/>
      <c r="LHW3" s="726"/>
      <c r="LHX3" s="726"/>
      <c r="LHY3" s="726"/>
      <c r="LHZ3" s="726"/>
      <c r="LIA3" s="726"/>
      <c r="LIB3" s="727"/>
      <c r="LIC3" s="724"/>
      <c r="LID3" s="725"/>
      <c r="LIE3" s="726"/>
      <c r="LIF3" s="726"/>
      <c r="LIG3" s="726"/>
      <c r="LIH3" s="726"/>
      <c r="LII3" s="726"/>
      <c r="LIJ3" s="727"/>
      <c r="LIK3" s="728"/>
      <c r="LIL3" s="729"/>
      <c r="LIM3" s="730"/>
      <c r="LIN3" s="731"/>
      <c r="LIO3" s="731"/>
      <c r="LIP3" s="731"/>
      <c r="LIQ3" s="731"/>
      <c r="LIR3" s="732"/>
      <c r="LIS3" s="225"/>
      <c r="LIT3" s="716"/>
      <c r="LIU3" s="717"/>
      <c r="LIV3" s="718"/>
      <c r="LIW3" s="718"/>
      <c r="LIX3" s="718"/>
      <c r="LIY3" s="718"/>
      <c r="LIZ3" s="718"/>
      <c r="LJA3" s="719"/>
      <c r="LJB3" s="720"/>
      <c r="LJC3" s="721"/>
      <c r="LJD3" s="722"/>
      <c r="LJE3" s="722"/>
      <c r="LJF3" s="722"/>
      <c r="LJG3" s="722"/>
      <c r="LJH3" s="722"/>
      <c r="LJI3" s="723"/>
      <c r="LJJ3" s="724"/>
      <c r="LJK3" s="725"/>
      <c r="LJL3" s="726"/>
      <c r="LJM3" s="726"/>
      <c r="LJN3" s="726"/>
      <c r="LJO3" s="726"/>
      <c r="LJP3" s="726"/>
      <c r="LJQ3" s="727"/>
      <c r="LJR3" s="724"/>
      <c r="LJS3" s="725"/>
      <c r="LJT3" s="726"/>
      <c r="LJU3" s="726"/>
      <c r="LJV3" s="726"/>
      <c r="LJW3" s="726"/>
      <c r="LJX3" s="726"/>
      <c r="LJY3" s="727"/>
      <c r="LJZ3" s="728"/>
      <c r="LKA3" s="729"/>
      <c r="LKB3" s="730"/>
      <c r="LKC3" s="731"/>
      <c r="LKD3" s="731"/>
      <c r="LKE3" s="731"/>
      <c r="LKF3" s="731"/>
      <c r="LKG3" s="732"/>
      <c r="LKH3" s="225"/>
      <c r="LKI3" s="716"/>
      <c r="LKJ3" s="717"/>
      <c r="LKK3" s="718"/>
      <c r="LKL3" s="718"/>
      <c r="LKM3" s="718"/>
      <c r="LKN3" s="718"/>
      <c r="LKO3" s="718"/>
      <c r="LKP3" s="719"/>
      <c r="LKQ3" s="720"/>
      <c r="LKR3" s="721"/>
      <c r="LKS3" s="722"/>
      <c r="LKT3" s="722"/>
      <c r="LKU3" s="722"/>
      <c r="LKV3" s="722"/>
      <c r="LKW3" s="722"/>
      <c r="LKX3" s="723"/>
      <c r="LKY3" s="724"/>
      <c r="LKZ3" s="725"/>
      <c r="LLA3" s="726"/>
      <c r="LLB3" s="726"/>
      <c r="LLC3" s="726"/>
      <c r="LLD3" s="726"/>
      <c r="LLE3" s="726"/>
      <c r="LLF3" s="727"/>
      <c r="LLG3" s="724"/>
      <c r="LLH3" s="725"/>
      <c r="LLI3" s="726"/>
      <c r="LLJ3" s="726"/>
      <c r="LLK3" s="726"/>
      <c r="LLL3" s="726"/>
      <c r="LLM3" s="726"/>
      <c r="LLN3" s="727"/>
      <c r="LLO3" s="728"/>
      <c r="LLP3" s="729"/>
      <c r="LLQ3" s="730"/>
      <c r="LLR3" s="731"/>
      <c r="LLS3" s="731"/>
      <c r="LLT3" s="731"/>
      <c r="LLU3" s="731"/>
      <c r="LLV3" s="732"/>
      <c r="LLW3" s="225"/>
      <c r="LLX3" s="716"/>
      <c r="LLY3" s="717"/>
      <c r="LLZ3" s="718"/>
      <c r="LMA3" s="718"/>
      <c r="LMB3" s="718"/>
      <c r="LMC3" s="718"/>
      <c r="LMD3" s="718"/>
      <c r="LME3" s="719"/>
      <c r="LMF3" s="720"/>
      <c r="LMG3" s="721"/>
      <c r="LMH3" s="722"/>
      <c r="LMI3" s="722"/>
      <c r="LMJ3" s="722"/>
      <c r="LMK3" s="722"/>
      <c r="LML3" s="722"/>
      <c r="LMM3" s="723"/>
      <c r="LMN3" s="724"/>
      <c r="LMO3" s="725"/>
      <c r="LMP3" s="726"/>
      <c r="LMQ3" s="726"/>
      <c r="LMR3" s="726"/>
      <c r="LMS3" s="726"/>
      <c r="LMT3" s="726"/>
      <c r="LMU3" s="727"/>
      <c r="LMV3" s="724"/>
      <c r="LMW3" s="725"/>
      <c r="LMX3" s="726"/>
      <c r="LMY3" s="726"/>
      <c r="LMZ3" s="726"/>
      <c r="LNA3" s="726"/>
      <c r="LNB3" s="726"/>
      <c r="LNC3" s="727"/>
      <c r="LND3" s="728"/>
      <c r="LNE3" s="729"/>
      <c r="LNF3" s="730"/>
      <c r="LNG3" s="731"/>
      <c r="LNH3" s="731"/>
      <c r="LNI3" s="731"/>
      <c r="LNJ3" s="731"/>
      <c r="LNK3" s="732"/>
      <c r="LNL3" s="225"/>
      <c r="LNM3" s="716"/>
      <c r="LNN3" s="717"/>
      <c r="LNO3" s="718"/>
      <c r="LNP3" s="718"/>
      <c r="LNQ3" s="718"/>
      <c r="LNR3" s="718"/>
      <c r="LNS3" s="718"/>
      <c r="LNT3" s="719"/>
      <c r="LNU3" s="720"/>
      <c r="LNV3" s="721"/>
      <c r="LNW3" s="722"/>
      <c r="LNX3" s="722"/>
      <c r="LNY3" s="722"/>
      <c r="LNZ3" s="722"/>
      <c r="LOA3" s="722"/>
      <c r="LOB3" s="723"/>
      <c r="LOC3" s="724"/>
      <c r="LOD3" s="725"/>
      <c r="LOE3" s="726"/>
      <c r="LOF3" s="726"/>
      <c r="LOG3" s="726"/>
      <c r="LOH3" s="726"/>
      <c r="LOI3" s="726"/>
      <c r="LOJ3" s="727"/>
      <c r="LOK3" s="724"/>
      <c r="LOL3" s="725"/>
      <c r="LOM3" s="726"/>
      <c r="LON3" s="726"/>
      <c r="LOO3" s="726"/>
      <c r="LOP3" s="726"/>
      <c r="LOQ3" s="726"/>
      <c r="LOR3" s="727"/>
      <c r="LOS3" s="728"/>
      <c r="LOT3" s="729"/>
      <c r="LOU3" s="730"/>
      <c r="LOV3" s="731"/>
      <c r="LOW3" s="731"/>
      <c r="LOX3" s="731"/>
      <c r="LOY3" s="731"/>
      <c r="LOZ3" s="732"/>
      <c r="LPA3" s="225"/>
      <c r="LPB3" s="716"/>
      <c r="LPC3" s="717"/>
      <c r="LPD3" s="718"/>
      <c r="LPE3" s="718"/>
      <c r="LPF3" s="718"/>
      <c r="LPG3" s="718"/>
      <c r="LPH3" s="718"/>
      <c r="LPI3" s="719"/>
      <c r="LPJ3" s="720"/>
      <c r="LPK3" s="721"/>
      <c r="LPL3" s="722"/>
      <c r="LPM3" s="722"/>
      <c r="LPN3" s="722"/>
      <c r="LPO3" s="722"/>
      <c r="LPP3" s="722"/>
      <c r="LPQ3" s="723"/>
      <c r="LPR3" s="724"/>
      <c r="LPS3" s="725"/>
      <c r="LPT3" s="726"/>
      <c r="LPU3" s="726"/>
      <c r="LPV3" s="726"/>
      <c r="LPW3" s="726"/>
      <c r="LPX3" s="726"/>
      <c r="LPY3" s="727"/>
      <c r="LPZ3" s="724"/>
      <c r="LQA3" s="725"/>
      <c r="LQB3" s="726"/>
      <c r="LQC3" s="726"/>
      <c r="LQD3" s="726"/>
      <c r="LQE3" s="726"/>
      <c r="LQF3" s="726"/>
      <c r="LQG3" s="727"/>
      <c r="LQH3" s="728"/>
      <c r="LQI3" s="729"/>
      <c r="LQJ3" s="730"/>
      <c r="LQK3" s="731"/>
      <c r="LQL3" s="731"/>
      <c r="LQM3" s="731"/>
      <c r="LQN3" s="731"/>
      <c r="LQO3" s="732"/>
      <c r="LQP3" s="225"/>
      <c r="LQQ3" s="716"/>
      <c r="LQR3" s="717"/>
      <c r="LQS3" s="718"/>
      <c r="LQT3" s="718"/>
      <c r="LQU3" s="718"/>
      <c r="LQV3" s="718"/>
      <c r="LQW3" s="718"/>
      <c r="LQX3" s="719"/>
      <c r="LQY3" s="720"/>
      <c r="LQZ3" s="721"/>
      <c r="LRA3" s="722"/>
      <c r="LRB3" s="722"/>
      <c r="LRC3" s="722"/>
      <c r="LRD3" s="722"/>
      <c r="LRE3" s="722"/>
      <c r="LRF3" s="723"/>
      <c r="LRG3" s="724"/>
      <c r="LRH3" s="725"/>
      <c r="LRI3" s="726"/>
      <c r="LRJ3" s="726"/>
      <c r="LRK3" s="726"/>
      <c r="LRL3" s="726"/>
      <c r="LRM3" s="726"/>
      <c r="LRN3" s="727"/>
      <c r="LRO3" s="724"/>
      <c r="LRP3" s="725"/>
      <c r="LRQ3" s="726"/>
      <c r="LRR3" s="726"/>
      <c r="LRS3" s="726"/>
      <c r="LRT3" s="726"/>
      <c r="LRU3" s="726"/>
      <c r="LRV3" s="727"/>
      <c r="LRW3" s="728"/>
      <c r="LRX3" s="729"/>
      <c r="LRY3" s="730"/>
      <c r="LRZ3" s="731"/>
      <c r="LSA3" s="731"/>
      <c r="LSB3" s="731"/>
      <c r="LSC3" s="731"/>
      <c r="LSD3" s="732"/>
      <c r="LSE3" s="225"/>
      <c r="LSF3" s="716"/>
      <c r="LSG3" s="717"/>
      <c r="LSH3" s="718"/>
      <c r="LSI3" s="718"/>
      <c r="LSJ3" s="718"/>
      <c r="LSK3" s="718"/>
      <c r="LSL3" s="718"/>
      <c r="LSM3" s="719"/>
      <c r="LSN3" s="720"/>
      <c r="LSO3" s="721"/>
      <c r="LSP3" s="722"/>
      <c r="LSQ3" s="722"/>
      <c r="LSR3" s="722"/>
      <c r="LSS3" s="722"/>
      <c r="LST3" s="722"/>
      <c r="LSU3" s="723"/>
      <c r="LSV3" s="724"/>
      <c r="LSW3" s="725"/>
      <c r="LSX3" s="726"/>
      <c r="LSY3" s="726"/>
      <c r="LSZ3" s="726"/>
      <c r="LTA3" s="726"/>
      <c r="LTB3" s="726"/>
      <c r="LTC3" s="727"/>
      <c r="LTD3" s="724"/>
      <c r="LTE3" s="725"/>
      <c r="LTF3" s="726"/>
      <c r="LTG3" s="726"/>
      <c r="LTH3" s="726"/>
      <c r="LTI3" s="726"/>
      <c r="LTJ3" s="726"/>
      <c r="LTK3" s="727"/>
      <c r="LTL3" s="728"/>
      <c r="LTM3" s="729"/>
      <c r="LTN3" s="730"/>
      <c r="LTO3" s="731"/>
      <c r="LTP3" s="731"/>
      <c r="LTQ3" s="731"/>
      <c r="LTR3" s="731"/>
      <c r="LTS3" s="732"/>
      <c r="LTT3" s="225"/>
      <c r="LTU3" s="716"/>
      <c r="LTV3" s="717"/>
      <c r="LTW3" s="718"/>
      <c r="LTX3" s="718"/>
      <c r="LTY3" s="718"/>
      <c r="LTZ3" s="718"/>
      <c r="LUA3" s="718"/>
      <c r="LUB3" s="719"/>
      <c r="LUC3" s="720"/>
      <c r="LUD3" s="721"/>
      <c r="LUE3" s="722"/>
      <c r="LUF3" s="722"/>
      <c r="LUG3" s="722"/>
      <c r="LUH3" s="722"/>
      <c r="LUI3" s="722"/>
      <c r="LUJ3" s="723"/>
      <c r="LUK3" s="724"/>
      <c r="LUL3" s="725"/>
      <c r="LUM3" s="726"/>
      <c r="LUN3" s="726"/>
      <c r="LUO3" s="726"/>
      <c r="LUP3" s="726"/>
      <c r="LUQ3" s="726"/>
      <c r="LUR3" s="727"/>
      <c r="LUS3" s="724"/>
      <c r="LUT3" s="725"/>
      <c r="LUU3" s="726"/>
      <c r="LUV3" s="726"/>
      <c r="LUW3" s="726"/>
      <c r="LUX3" s="726"/>
      <c r="LUY3" s="726"/>
      <c r="LUZ3" s="727"/>
      <c r="LVA3" s="728"/>
      <c r="LVB3" s="729"/>
      <c r="LVC3" s="730"/>
      <c r="LVD3" s="731"/>
      <c r="LVE3" s="731"/>
      <c r="LVF3" s="731"/>
      <c r="LVG3" s="731"/>
      <c r="LVH3" s="732"/>
      <c r="LVI3" s="225"/>
      <c r="LVJ3" s="716"/>
      <c r="LVK3" s="717"/>
      <c r="LVL3" s="718"/>
      <c r="LVM3" s="718"/>
      <c r="LVN3" s="718"/>
      <c r="LVO3" s="718"/>
      <c r="LVP3" s="718"/>
      <c r="LVQ3" s="719"/>
      <c r="LVR3" s="720"/>
      <c r="LVS3" s="721"/>
      <c r="LVT3" s="722"/>
      <c r="LVU3" s="722"/>
      <c r="LVV3" s="722"/>
      <c r="LVW3" s="722"/>
      <c r="LVX3" s="722"/>
      <c r="LVY3" s="723"/>
      <c r="LVZ3" s="724"/>
      <c r="LWA3" s="725"/>
      <c r="LWB3" s="726"/>
      <c r="LWC3" s="726"/>
      <c r="LWD3" s="726"/>
      <c r="LWE3" s="726"/>
      <c r="LWF3" s="726"/>
      <c r="LWG3" s="727"/>
      <c r="LWH3" s="724"/>
      <c r="LWI3" s="725"/>
      <c r="LWJ3" s="726"/>
      <c r="LWK3" s="726"/>
      <c r="LWL3" s="726"/>
      <c r="LWM3" s="726"/>
      <c r="LWN3" s="726"/>
      <c r="LWO3" s="727"/>
      <c r="LWP3" s="728"/>
      <c r="LWQ3" s="729"/>
      <c r="LWR3" s="730"/>
      <c r="LWS3" s="731"/>
      <c r="LWT3" s="731"/>
      <c r="LWU3" s="731"/>
      <c r="LWV3" s="731"/>
      <c r="LWW3" s="732"/>
      <c r="LWX3" s="225"/>
      <c r="LWY3" s="716"/>
      <c r="LWZ3" s="717"/>
      <c r="LXA3" s="718"/>
      <c r="LXB3" s="718"/>
      <c r="LXC3" s="718"/>
      <c r="LXD3" s="718"/>
      <c r="LXE3" s="718"/>
      <c r="LXF3" s="719"/>
      <c r="LXG3" s="720"/>
      <c r="LXH3" s="721"/>
      <c r="LXI3" s="722"/>
      <c r="LXJ3" s="722"/>
      <c r="LXK3" s="722"/>
      <c r="LXL3" s="722"/>
      <c r="LXM3" s="722"/>
      <c r="LXN3" s="723"/>
      <c r="LXO3" s="724"/>
      <c r="LXP3" s="725"/>
      <c r="LXQ3" s="726"/>
      <c r="LXR3" s="726"/>
      <c r="LXS3" s="726"/>
      <c r="LXT3" s="726"/>
      <c r="LXU3" s="726"/>
      <c r="LXV3" s="727"/>
      <c r="LXW3" s="724"/>
      <c r="LXX3" s="725"/>
      <c r="LXY3" s="726"/>
      <c r="LXZ3" s="726"/>
      <c r="LYA3" s="726"/>
      <c r="LYB3" s="726"/>
      <c r="LYC3" s="726"/>
      <c r="LYD3" s="727"/>
      <c r="LYE3" s="728"/>
      <c r="LYF3" s="729"/>
      <c r="LYG3" s="730"/>
      <c r="LYH3" s="731"/>
      <c r="LYI3" s="731"/>
      <c r="LYJ3" s="731"/>
      <c r="LYK3" s="731"/>
      <c r="LYL3" s="732"/>
      <c r="LYM3" s="225"/>
      <c r="LYN3" s="716"/>
      <c r="LYO3" s="717"/>
      <c r="LYP3" s="718"/>
      <c r="LYQ3" s="718"/>
      <c r="LYR3" s="718"/>
      <c r="LYS3" s="718"/>
      <c r="LYT3" s="718"/>
      <c r="LYU3" s="719"/>
      <c r="LYV3" s="720"/>
      <c r="LYW3" s="721"/>
      <c r="LYX3" s="722"/>
      <c r="LYY3" s="722"/>
      <c r="LYZ3" s="722"/>
      <c r="LZA3" s="722"/>
      <c r="LZB3" s="722"/>
      <c r="LZC3" s="723"/>
      <c r="LZD3" s="724"/>
      <c r="LZE3" s="725"/>
      <c r="LZF3" s="726"/>
      <c r="LZG3" s="726"/>
      <c r="LZH3" s="726"/>
      <c r="LZI3" s="726"/>
      <c r="LZJ3" s="726"/>
      <c r="LZK3" s="727"/>
      <c r="LZL3" s="724"/>
      <c r="LZM3" s="725"/>
      <c r="LZN3" s="726"/>
      <c r="LZO3" s="726"/>
      <c r="LZP3" s="726"/>
      <c r="LZQ3" s="726"/>
      <c r="LZR3" s="726"/>
      <c r="LZS3" s="727"/>
      <c r="LZT3" s="728"/>
      <c r="LZU3" s="729"/>
      <c r="LZV3" s="730"/>
      <c r="LZW3" s="731"/>
      <c r="LZX3" s="731"/>
      <c r="LZY3" s="731"/>
      <c r="LZZ3" s="731"/>
      <c r="MAA3" s="732"/>
      <c r="MAB3" s="225"/>
      <c r="MAC3" s="716"/>
      <c r="MAD3" s="717"/>
      <c r="MAE3" s="718"/>
      <c r="MAF3" s="718"/>
      <c r="MAG3" s="718"/>
      <c r="MAH3" s="718"/>
      <c r="MAI3" s="718"/>
      <c r="MAJ3" s="719"/>
      <c r="MAK3" s="720"/>
      <c r="MAL3" s="721"/>
      <c r="MAM3" s="722"/>
      <c r="MAN3" s="722"/>
      <c r="MAO3" s="722"/>
      <c r="MAP3" s="722"/>
      <c r="MAQ3" s="722"/>
      <c r="MAR3" s="723"/>
      <c r="MAS3" s="724"/>
      <c r="MAT3" s="725"/>
      <c r="MAU3" s="726"/>
      <c r="MAV3" s="726"/>
      <c r="MAW3" s="726"/>
      <c r="MAX3" s="726"/>
      <c r="MAY3" s="726"/>
      <c r="MAZ3" s="727"/>
      <c r="MBA3" s="724"/>
      <c r="MBB3" s="725"/>
      <c r="MBC3" s="726"/>
      <c r="MBD3" s="726"/>
      <c r="MBE3" s="726"/>
      <c r="MBF3" s="726"/>
      <c r="MBG3" s="726"/>
      <c r="MBH3" s="727"/>
      <c r="MBI3" s="728"/>
      <c r="MBJ3" s="729"/>
      <c r="MBK3" s="730"/>
      <c r="MBL3" s="731"/>
      <c r="MBM3" s="731"/>
      <c r="MBN3" s="731"/>
      <c r="MBO3" s="731"/>
      <c r="MBP3" s="732"/>
      <c r="MBQ3" s="225"/>
      <c r="MBR3" s="716"/>
      <c r="MBS3" s="717"/>
      <c r="MBT3" s="718"/>
      <c r="MBU3" s="718"/>
      <c r="MBV3" s="718"/>
      <c r="MBW3" s="718"/>
      <c r="MBX3" s="718"/>
      <c r="MBY3" s="719"/>
      <c r="MBZ3" s="720"/>
      <c r="MCA3" s="721"/>
      <c r="MCB3" s="722"/>
      <c r="MCC3" s="722"/>
      <c r="MCD3" s="722"/>
      <c r="MCE3" s="722"/>
      <c r="MCF3" s="722"/>
      <c r="MCG3" s="723"/>
      <c r="MCH3" s="724"/>
      <c r="MCI3" s="725"/>
      <c r="MCJ3" s="726"/>
      <c r="MCK3" s="726"/>
      <c r="MCL3" s="726"/>
      <c r="MCM3" s="726"/>
      <c r="MCN3" s="726"/>
      <c r="MCO3" s="727"/>
      <c r="MCP3" s="724"/>
      <c r="MCQ3" s="725"/>
      <c r="MCR3" s="726"/>
      <c r="MCS3" s="726"/>
      <c r="MCT3" s="726"/>
      <c r="MCU3" s="726"/>
      <c r="MCV3" s="726"/>
      <c r="MCW3" s="727"/>
      <c r="MCX3" s="728"/>
      <c r="MCY3" s="729"/>
      <c r="MCZ3" s="730"/>
      <c r="MDA3" s="731"/>
      <c r="MDB3" s="731"/>
      <c r="MDC3" s="731"/>
      <c r="MDD3" s="731"/>
      <c r="MDE3" s="732"/>
      <c r="MDF3" s="225"/>
      <c r="MDG3" s="716"/>
      <c r="MDH3" s="717"/>
      <c r="MDI3" s="718"/>
      <c r="MDJ3" s="718"/>
      <c r="MDK3" s="718"/>
      <c r="MDL3" s="718"/>
      <c r="MDM3" s="718"/>
      <c r="MDN3" s="719"/>
      <c r="MDO3" s="720"/>
      <c r="MDP3" s="721"/>
      <c r="MDQ3" s="722"/>
      <c r="MDR3" s="722"/>
      <c r="MDS3" s="722"/>
      <c r="MDT3" s="722"/>
      <c r="MDU3" s="722"/>
      <c r="MDV3" s="723"/>
      <c r="MDW3" s="724"/>
      <c r="MDX3" s="725"/>
      <c r="MDY3" s="726"/>
      <c r="MDZ3" s="726"/>
      <c r="MEA3" s="726"/>
      <c r="MEB3" s="726"/>
      <c r="MEC3" s="726"/>
      <c r="MED3" s="727"/>
      <c r="MEE3" s="724"/>
      <c r="MEF3" s="725"/>
      <c r="MEG3" s="726"/>
      <c r="MEH3" s="726"/>
      <c r="MEI3" s="726"/>
      <c r="MEJ3" s="726"/>
      <c r="MEK3" s="726"/>
      <c r="MEL3" s="727"/>
      <c r="MEM3" s="728"/>
      <c r="MEN3" s="729"/>
      <c r="MEO3" s="730"/>
      <c r="MEP3" s="731"/>
      <c r="MEQ3" s="731"/>
      <c r="MER3" s="731"/>
      <c r="MES3" s="731"/>
      <c r="MET3" s="732"/>
      <c r="MEU3" s="225"/>
      <c r="MEV3" s="716"/>
      <c r="MEW3" s="717"/>
      <c r="MEX3" s="718"/>
      <c r="MEY3" s="718"/>
      <c r="MEZ3" s="718"/>
      <c r="MFA3" s="718"/>
      <c r="MFB3" s="718"/>
      <c r="MFC3" s="719"/>
      <c r="MFD3" s="720"/>
      <c r="MFE3" s="721"/>
      <c r="MFF3" s="722"/>
      <c r="MFG3" s="722"/>
      <c r="MFH3" s="722"/>
      <c r="MFI3" s="722"/>
      <c r="MFJ3" s="722"/>
      <c r="MFK3" s="723"/>
      <c r="MFL3" s="724"/>
      <c r="MFM3" s="725"/>
      <c r="MFN3" s="726"/>
      <c r="MFO3" s="726"/>
      <c r="MFP3" s="726"/>
      <c r="MFQ3" s="726"/>
      <c r="MFR3" s="726"/>
      <c r="MFS3" s="727"/>
      <c r="MFT3" s="724"/>
      <c r="MFU3" s="725"/>
      <c r="MFV3" s="726"/>
      <c r="MFW3" s="726"/>
      <c r="MFX3" s="726"/>
      <c r="MFY3" s="726"/>
      <c r="MFZ3" s="726"/>
      <c r="MGA3" s="727"/>
      <c r="MGB3" s="728"/>
      <c r="MGC3" s="729"/>
      <c r="MGD3" s="730"/>
      <c r="MGE3" s="731"/>
      <c r="MGF3" s="731"/>
      <c r="MGG3" s="731"/>
      <c r="MGH3" s="731"/>
      <c r="MGI3" s="732"/>
      <c r="MGJ3" s="225"/>
      <c r="MGK3" s="716"/>
      <c r="MGL3" s="717"/>
      <c r="MGM3" s="718"/>
      <c r="MGN3" s="718"/>
      <c r="MGO3" s="718"/>
      <c r="MGP3" s="718"/>
      <c r="MGQ3" s="718"/>
      <c r="MGR3" s="719"/>
      <c r="MGS3" s="720"/>
      <c r="MGT3" s="721"/>
      <c r="MGU3" s="722"/>
      <c r="MGV3" s="722"/>
      <c r="MGW3" s="722"/>
      <c r="MGX3" s="722"/>
      <c r="MGY3" s="722"/>
      <c r="MGZ3" s="723"/>
      <c r="MHA3" s="724"/>
      <c r="MHB3" s="725"/>
      <c r="MHC3" s="726"/>
      <c r="MHD3" s="726"/>
      <c r="MHE3" s="726"/>
      <c r="MHF3" s="726"/>
      <c r="MHG3" s="726"/>
      <c r="MHH3" s="727"/>
      <c r="MHI3" s="724"/>
      <c r="MHJ3" s="725"/>
      <c r="MHK3" s="726"/>
      <c r="MHL3" s="726"/>
      <c r="MHM3" s="726"/>
      <c r="MHN3" s="726"/>
      <c r="MHO3" s="726"/>
      <c r="MHP3" s="727"/>
      <c r="MHQ3" s="728"/>
      <c r="MHR3" s="729"/>
      <c r="MHS3" s="730"/>
      <c r="MHT3" s="731"/>
      <c r="MHU3" s="731"/>
      <c r="MHV3" s="731"/>
      <c r="MHW3" s="731"/>
      <c r="MHX3" s="732"/>
      <c r="MHY3" s="225"/>
      <c r="MHZ3" s="716"/>
      <c r="MIA3" s="717"/>
      <c r="MIB3" s="718"/>
      <c r="MIC3" s="718"/>
      <c r="MID3" s="718"/>
      <c r="MIE3" s="718"/>
      <c r="MIF3" s="718"/>
      <c r="MIG3" s="719"/>
      <c r="MIH3" s="720"/>
      <c r="MII3" s="721"/>
      <c r="MIJ3" s="722"/>
      <c r="MIK3" s="722"/>
      <c r="MIL3" s="722"/>
      <c r="MIM3" s="722"/>
      <c r="MIN3" s="722"/>
      <c r="MIO3" s="723"/>
      <c r="MIP3" s="724"/>
      <c r="MIQ3" s="725"/>
      <c r="MIR3" s="726"/>
      <c r="MIS3" s="726"/>
      <c r="MIT3" s="726"/>
      <c r="MIU3" s="726"/>
      <c r="MIV3" s="726"/>
      <c r="MIW3" s="727"/>
      <c r="MIX3" s="724"/>
      <c r="MIY3" s="725"/>
      <c r="MIZ3" s="726"/>
      <c r="MJA3" s="726"/>
      <c r="MJB3" s="726"/>
      <c r="MJC3" s="726"/>
      <c r="MJD3" s="726"/>
      <c r="MJE3" s="727"/>
      <c r="MJF3" s="728"/>
      <c r="MJG3" s="729"/>
      <c r="MJH3" s="730"/>
      <c r="MJI3" s="731"/>
      <c r="MJJ3" s="731"/>
      <c r="MJK3" s="731"/>
      <c r="MJL3" s="731"/>
      <c r="MJM3" s="732"/>
      <c r="MJN3" s="225"/>
      <c r="MJO3" s="716"/>
      <c r="MJP3" s="717"/>
      <c r="MJQ3" s="718"/>
      <c r="MJR3" s="718"/>
      <c r="MJS3" s="718"/>
      <c r="MJT3" s="718"/>
      <c r="MJU3" s="718"/>
      <c r="MJV3" s="719"/>
      <c r="MJW3" s="720"/>
      <c r="MJX3" s="721"/>
      <c r="MJY3" s="722"/>
      <c r="MJZ3" s="722"/>
      <c r="MKA3" s="722"/>
      <c r="MKB3" s="722"/>
      <c r="MKC3" s="722"/>
      <c r="MKD3" s="723"/>
      <c r="MKE3" s="724"/>
      <c r="MKF3" s="725"/>
      <c r="MKG3" s="726"/>
      <c r="MKH3" s="726"/>
      <c r="MKI3" s="726"/>
      <c r="MKJ3" s="726"/>
      <c r="MKK3" s="726"/>
      <c r="MKL3" s="727"/>
      <c r="MKM3" s="724"/>
      <c r="MKN3" s="725"/>
      <c r="MKO3" s="726"/>
      <c r="MKP3" s="726"/>
      <c r="MKQ3" s="726"/>
      <c r="MKR3" s="726"/>
      <c r="MKS3" s="726"/>
      <c r="MKT3" s="727"/>
      <c r="MKU3" s="728"/>
      <c r="MKV3" s="729"/>
      <c r="MKW3" s="730"/>
      <c r="MKX3" s="731"/>
      <c r="MKY3" s="731"/>
      <c r="MKZ3" s="731"/>
      <c r="MLA3" s="731"/>
      <c r="MLB3" s="732"/>
      <c r="MLC3" s="225"/>
      <c r="MLD3" s="716"/>
      <c r="MLE3" s="717"/>
      <c r="MLF3" s="718"/>
      <c r="MLG3" s="718"/>
      <c r="MLH3" s="718"/>
      <c r="MLI3" s="718"/>
      <c r="MLJ3" s="718"/>
      <c r="MLK3" s="719"/>
      <c r="MLL3" s="720"/>
      <c r="MLM3" s="721"/>
      <c r="MLN3" s="722"/>
      <c r="MLO3" s="722"/>
      <c r="MLP3" s="722"/>
      <c r="MLQ3" s="722"/>
      <c r="MLR3" s="722"/>
      <c r="MLS3" s="723"/>
      <c r="MLT3" s="724"/>
      <c r="MLU3" s="725"/>
      <c r="MLV3" s="726"/>
      <c r="MLW3" s="726"/>
      <c r="MLX3" s="726"/>
      <c r="MLY3" s="726"/>
      <c r="MLZ3" s="726"/>
      <c r="MMA3" s="727"/>
      <c r="MMB3" s="724"/>
      <c r="MMC3" s="725"/>
      <c r="MMD3" s="726"/>
      <c r="MME3" s="726"/>
      <c r="MMF3" s="726"/>
      <c r="MMG3" s="726"/>
      <c r="MMH3" s="726"/>
      <c r="MMI3" s="727"/>
      <c r="MMJ3" s="728"/>
      <c r="MMK3" s="729"/>
      <c r="MML3" s="730"/>
      <c r="MMM3" s="731"/>
      <c r="MMN3" s="731"/>
      <c r="MMO3" s="731"/>
      <c r="MMP3" s="731"/>
      <c r="MMQ3" s="732"/>
      <c r="MMR3" s="225"/>
      <c r="MMS3" s="716"/>
      <c r="MMT3" s="717"/>
      <c r="MMU3" s="718"/>
      <c r="MMV3" s="718"/>
      <c r="MMW3" s="718"/>
      <c r="MMX3" s="718"/>
      <c r="MMY3" s="718"/>
      <c r="MMZ3" s="719"/>
      <c r="MNA3" s="720"/>
      <c r="MNB3" s="721"/>
      <c r="MNC3" s="722"/>
      <c r="MND3" s="722"/>
      <c r="MNE3" s="722"/>
      <c r="MNF3" s="722"/>
      <c r="MNG3" s="722"/>
      <c r="MNH3" s="723"/>
      <c r="MNI3" s="724"/>
      <c r="MNJ3" s="725"/>
      <c r="MNK3" s="726"/>
      <c r="MNL3" s="726"/>
      <c r="MNM3" s="726"/>
      <c r="MNN3" s="726"/>
      <c r="MNO3" s="726"/>
      <c r="MNP3" s="727"/>
      <c r="MNQ3" s="724"/>
      <c r="MNR3" s="725"/>
      <c r="MNS3" s="726"/>
      <c r="MNT3" s="726"/>
      <c r="MNU3" s="726"/>
      <c r="MNV3" s="726"/>
      <c r="MNW3" s="726"/>
      <c r="MNX3" s="727"/>
      <c r="MNY3" s="728"/>
      <c r="MNZ3" s="729"/>
      <c r="MOA3" s="730"/>
      <c r="MOB3" s="731"/>
      <c r="MOC3" s="731"/>
      <c r="MOD3" s="731"/>
      <c r="MOE3" s="731"/>
      <c r="MOF3" s="732"/>
      <c r="MOG3" s="225"/>
      <c r="MOH3" s="716"/>
      <c r="MOI3" s="717"/>
      <c r="MOJ3" s="718"/>
      <c r="MOK3" s="718"/>
      <c r="MOL3" s="718"/>
      <c r="MOM3" s="718"/>
      <c r="MON3" s="718"/>
      <c r="MOO3" s="719"/>
      <c r="MOP3" s="720"/>
      <c r="MOQ3" s="721"/>
      <c r="MOR3" s="722"/>
      <c r="MOS3" s="722"/>
      <c r="MOT3" s="722"/>
      <c r="MOU3" s="722"/>
      <c r="MOV3" s="722"/>
      <c r="MOW3" s="723"/>
      <c r="MOX3" s="724"/>
      <c r="MOY3" s="725"/>
      <c r="MOZ3" s="726"/>
      <c r="MPA3" s="726"/>
      <c r="MPB3" s="726"/>
      <c r="MPC3" s="726"/>
      <c r="MPD3" s="726"/>
      <c r="MPE3" s="727"/>
      <c r="MPF3" s="724"/>
      <c r="MPG3" s="725"/>
      <c r="MPH3" s="726"/>
      <c r="MPI3" s="726"/>
      <c r="MPJ3" s="726"/>
      <c r="MPK3" s="726"/>
      <c r="MPL3" s="726"/>
      <c r="MPM3" s="727"/>
      <c r="MPN3" s="728"/>
      <c r="MPO3" s="729"/>
      <c r="MPP3" s="730"/>
      <c r="MPQ3" s="731"/>
      <c r="MPR3" s="731"/>
      <c r="MPS3" s="731"/>
      <c r="MPT3" s="731"/>
      <c r="MPU3" s="732"/>
      <c r="MPV3" s="225"/>
      <c r="MPW3" s="716"/>
      <c r="MPX3" s="717"/>
      <c r="MPY3" s="718"/>
      <c r="MPZ3" s="718"/>
      <c r="MQA3" s="718"/>
      <c r="MQB3" s="718"/>
      <c r="MQC3" s="718"/>
      <c r="MQD3" s="719"/>
      <c r="MQE3" s="720"/>
      <c r="MQF3" s="721"/>
      <c r="MQG3" s="722"/>
      <c r="MQH3" s="722"/>
      <c r="MQI3" s="722"/>
      <c r="MQJ3" s="722"/>
      <c r="MQK3" s="722"/>
      <c r="MQL3" s="723"/>
      <c r="MQM3" s="724"/>
      <c r="MQN3" s="725"/>
      <c r="MQO3" s="726"/>
      <c r="MQP3" s="726"/>
      <c r="MQQ3" s="726"/>
      <c r="MQR3" s="726"/>
      <c r="MQS3" s="726"/>
      <c r="MQT3" s="727"/>
      <c r="MQU3" s="724"/>
      <c r="MQV3" s="725"/>
      <c r="MQW3" s="726"/>
      <c r="MQX3" s="726"/>
      <c r="MQY3" s="726"/>
      <c r="MQZ3" s="726"/>
      <c r="MRA3" s="726"/>
      <c r="MRB3" s="727"/>
      <c r="MRC3" s="728"/>
      <c r="MRD3" s="729"/>
      <c r="MRE3" s="730"/>
      <c r="MRF3" s="731"/>
      <c r="MRG3" s="731"/>
      <c r="MRH3" s="731"/>
      <c r="MRI3" s="731"/>
      <c r="MRJ3" s="732"/>
      <c r="MRK3" s="225"/>
      <c r="MRL3" s="716"/>
      <c r="MRM3" s="717"/>
      <c r="MRN3" s="718"/>
      <c r="MRO3" s="718"/>
      <c r="MRP3" s="718"/>
      <c r="MRQ3" s="718"/>
      <c r="MRR3" s="718"/>
      <c r="MRS3" s="719"/>
      <c r="MRT3" s="720"/>
      <c r="MRU3" s="721"/>
      <c r="MRV3" s="722"/>
      <c r="MRW3" s="722"/>
      <c r="MRX3" s="722"/>
      <c r="MRY3" s="722"/>
      <c r="MRZ3" s="722"/>
      <c r="MSA3" s="723"/>
      <c r="MSB3" s="724"/>
      <c r="MSC3" s="725"/>
      <c r="MSD3" s="726"/>
      <c r="MSE3" s="726"/>
      <c r="MSF3" s="726"/>
      <c r="MSG3" s="726"/>
      <c r="MSH3" s="726"/>
      <c r="MSI3" s="727"/>
      <c r="MSJ3" s="724"/>
      <c r="MSK3" s="725"/>
      <c r="MSL3" s="726"/>
      <c r="MSM3" s="726"/>
      <c r="MSN3" s="726"/>
      <c r="MSO3" s="726"/>
      <c r="MSP3" s="726"/>
      <c r="MSQ3" s="727"/>
      <c r="MSR3" s="728"/>
      <c r="MSS3" s="729"/>
      <c r="MST3" s="730"/>
      <c r="MSU3" s="731"/>
      <c r="MSV3" s="731"/>
      <c r="MSW3" s="731"/>
      <c r="MSX3" s="731"/>
      <c r="MSY3" s="732"/>
      <c r="MSZ3" s="225"/>
      <c r="MTA3" s="716"/>
      <c r="MTB3" s="717"/>
      <c r="MTC3" s="718"/>
      <c r="MTD3" s="718"/>
      <c r="MTE3" s="718"/>
      <c r="MTF3" s="718"/>
      <c r="MTG3" s="718"/>
      <c r="MTH3" s="719"/>
      <c r="MTI3" s="720"/>
      <c r="MTJ3" s="721"/>
      <c r="MTK3" s="722"/>
      <c r="MTL3" s="722"/>
      <c r="MTM3" s="722"/>
      <c r="MTN3" s="722"/>
      <c r="MTO3" s="722"/>
      <c r="MTP3" s="723"/>
      <c r="MTQ3" s="724"/>
      <c r="MTR3" s="725"/>
      <c r="MTS3" s="726"/>
      <c r="MTT3" s="726"/>
      <c r="MTU3" s="726"/>
      <c r="MTV3" s="726"/>
      <c r="MTW3" s="726"/>
      <c r="MTX3" s="727"/>
      <c r="MTY3" s="724"/>
      <c r="MTZ3" s="725"/>
      <c r="MUA3" s="726"/>
      <c r="MUB3" s="726"/>
      <c r="MUC3" s="726"/>
      <c r="MUD3" s="726"/>
      <c r="MUE3" s="726"/>
      <c r="MUF3" s="727"/>
      <c r="MUG3" s="728"/>
      <c r="MUH3" s="729"/>
      <c r="MUI3" s="730"/>
      <c r="MUJ3" s="731"/>
      <c r="MUK3" s="731"/>
      <c r="MUL3" s="731"/>
      <c r="MUM3" s="731"/>
      <c r="MUN3" s="732"/>
      <c r="MUO3" s="225"/>
      <c r="MUP3" s="716"/>
      <c r="MUQ3" s="717"/>
      <c r="MUR3" s="718"/>
      <c r="MUS3" s="718"/>
      <c r="MUT3" s="718"/>
      <c r="MUU3" s="718"/>
      <c r="MUV3" s="718"/>
      <c r="MUW3" s="719"/>
      <c r="MUX3" s="720"/>
      <c r="MUY3" s="721"/>
      <c r="MUZ3" s="722"/>
      <c r="MVA3" s="722"/>
      <c r="MVB3" s="722"/>
      <c r="MVC3" s="722"/>
      <c r="MVD3" s="722"/>
      <c r="MVE3" s="723"/>
      <c r="MVF3" s="724"/>
      <c r="MVG3" s="725"/>
      <c r="MVH3" s="726"/>
      <c r="MVI3" s="726"/>
      <c r="MVJ3" s="726"/>
      <c r="MVK3" s="726"/>
      <c r="MVL3" s="726"/>
      <c r="MVM3" s="727"/>
      <c r="MVN3" s="724"/>
      <c r="MVO3" s="725"/>
      <c r="MVP3" s="726"/>
      <c r="MVQ3" s="726"/>
      <c r="MVR3" s="726"/>
      <c r="MVS3" s="726"/>
      <c r="MVT3" s="726"/>
      <c r="MVU3" s="727"/>
      <c r="MVV3" s="728"/>
      <c r="MVW3" s="729"/>
      <c r="MVX3" s="730"/>
      <c r="MVY3" s="731"/>
      <c r="MVZ3" s="731"/>
      <c r="MWA3" s="731"/>
      <c r="MWB3" s="731"/>
      <c r="MWC3" s="732"/>
      <c r="MWD3" s="225"/>
      <c r="MWE3" s="716"/>
      <c r="MWF3" s="717"/>
      <c r="MWG3" s="718"/>
      <c r="MWH3" s="718"/>
      <c r="MWI3" s="718"/>
      <c r="MWJ3" s="718"/>
      <c r="MWK3" s="718"/>
      <c r="MWL3" s="719"/>
      <c r="MWM3" s="720"/>
      <c r="MWN3" s="721"/>
      <c r="MWO3" s="722"/>
      <c r="MWP3" s="722"/>
      <c r="MWQ3" s="722"/>
      <c r="MWR3" s="722"/>
      <c r="MWS3" s="722"/>
      <c r="MWT3" s="723"/>
      <c r="MWU3" s="724"/>
      <c r="MWV3" s="725"/>
      <c r="MWW3" s="726"/>
      <c r="MWX3" s="726"/>
      <c r="MWY3" s="726"/>
      <c r="MWZ3" s="726"/>
      <c r="MXA3" s="726"/>
      <c r="MXB3" s="727"/>
      <c r="MXC3" s="724"/>
      <c r="MXD3" s="725"/>
      <c r="MXE3" s="726"/>
      <c r="MXF3" s="726"/>
      <c r="MXG3" s="726"/>
      <c r="MXH3" s="726"/>
      <c r="MXI3" s="726"/>
      <c r="MXJ3" s="727"/>
      <c r="MXK3" s="728"/>
      <c r="MXL3" s="729"/>
      <c r="MXM3" s="730"/>
      <c r="MXN3" s="731"/>
      <c r="MXO3" s="731"/>
      <c r="MXP3" s="731"/>
      <c r="MXQ3" s="731"/>
      <c r="MXR3" s="732"/>
      <c r="MXS3" s="225"/>
      <c r="MXT3" s="716"/>
      <c r="MXU3" s="717"/>
      <c r="MXV3" s="718"/>
      <c r="MXW3" s="718"/>
      <c r="MXX3" s="718"/>
      <c r="MXY3" s="718"/>
      <c r="MXZ3" s="718"/>
      <c r="MYA3" s="719"/>
      <c r="MYB3" s="720"/>
      <c r="MYC3" s="721"/>
      <c r="MYD3" s="722"/>
      <c r="MYE3" s="722"/>
      <c r="MYF3" s="722"/>
      <c r="MYG3" s="722"/>
      <c r="MYH3" s="722"/>
      <c r="MYI3" s="723"/>
      <c r="MYJ3" s="724"/>
      <c r="MYK3" s="725"/>
      <c r="MYL3" s="726"/>
      <c r="MYM3" s="726"/>
      <c r="MYN3" s="726"/>
      <c r="MYO3" s="726"/>
      <c r="MYP3" s="726"/>
      <c r="MYQ3" s="727"/>
      <c r="MYR3" s="724"/>
      <c r="MYS3" s="725"/>
      <c r="MYT3" s="726"/>
      <c r="MYU3" s="726"/>
      <c r="MYV3" s="726"/>
      <c r="MYW3" s="726"/>
      <c r="MYX3" s="726"/>
      <c r="MYY3" s="727"/>
      <c r="MYZ3" s="728"/>
      <c r="MZA3" s="729"/>
      <c r="MZB3" s="730"/>
      <c r="MZC3" s="731"/>
      <c r="MZD3" s="731"/>
      <c r="MZE3" s="731"/>
      <c r="MZF3" s="731"/>
      <c r="MZG3" s="732"/>
      <c r="MZH3" s="225"/>
      <c r="MZI3" s="716"/>
      <c r="MZJ3" s="717"/>
      <c r="MZK3" s="718"/>
      <c r="MZL3" s="718"/>
      <c r="MZM3" s="718"/>
      <c r="MZN3" s="718"/>
      <c r="MZO3" s="718"/>
      <c r="MZP3" s="719"/>
      <c r="MZQ3" s="720"/>
      <c r="MZR3" s="721"/>
      <c r="MZS3" s="722"/>
      <c r="MZT3" s="722"/>
      <c r="MZU3" s="722"/>
      <c r="MZV3" s="722"/>
      <c r="MZW3" s="722"/>
      <c r="MZX3" s="723"/>
      <c r="MZY3" s="724"/>
      <c r="MZZ3" s="725"/>
      <c r="NAA3" s="726"/>
      <c r="NAB3" s="726"/>
      <c r="NAC3" s="726"/>
      <c r="NAD3" s="726"/>
      <c r="NAE3" s="726"/>
      <c r="NAF3" s="727"/>
      <c r="NAG3" s="724"/>
      <c r="NAH3" s="725"/>
      <c r="NAI3" s="726"/>
      <c r="NAJ3" s="726"/>
      <c r="NAK3" s="726"/>
      <c r="NAL3" s="726"/>
      <c r="NAM3" s="726"/>
      <c r="NAN3" s="727"/>
      <c r="NAO3" s="728"/>
      <c r="NAP3" s="729"/>
      <c r="NAQ3" s="730"/>
      <c r="NAR3" s="731"/>
      <c r="NAS3" s="731"/>
      <c r="NAT3" s="731"/>
      <c r="NAU3" s="731"/>
      <c r="NAV3" s="732"/>
      <c r="NAW3" s="225"/>
      <c r="NAX3" s="716"/>
      <c r="NAY3" s="717"/>
      <c r="NAZ3" s="718"/>
      <c r="NBA3" s="718"/>
      <c r="NBB3" s="718"/>
      <c r="NBC3" s="718"/>
      <c r="NBD3" s="718"/>
      <c r="NBE3" s="719"/>
      <c r="NBF3" s="720"/>
      <c r="NBG3" s="721"/>
      <c r="NBH3" s="722"/>
      <c r="NBI3" s="722"/>
      <c r="NBJ3" s="722"/>
      <c r="NBK3" s="722"/>
      <c r="NBL3" s="722"/>
      <c r="NBM3" s="723"/>
      <c r="NBN3" s="724"/>
      <c r="NBO3" s="725"/>
      <c r="NBP3" s="726"/>
      <c r="NBQ3" s="726"/>
      <c r="NBR3" s="726"/>
      <c r="NBS3" s="726"/>
      <c r="NBT3" s="726"/>
      <c r="NBU3" s="727"/>
      <c r="NBV3" s="724"/>
      <c r="NBW3" s="725"/>
      <c r="NBX3" s="726"/>
      <c r="NBY3" s="726"/>
      <c r="NBZ3" s="726"/>
      <c r="NCA3" s="726"/>
      <c r="NCB3" s="726"/>
      <c r="NCC3" s="727"/>
      <c r="NCD3" s="728"/>
      <c r="NCE3" s="729"/>
      <c r="NCF3" s="730"/>
      <c r="NCG3" s="731"/>
      <c r="NCH3" s="731"/>
      <c r="NCI3" s="731"/>
      <c r="NCJ3" s="731"/>
      <c r="NCK3" s="732"/>
      <c r="NCL3" s="225"/>
      <c r="NCM3" s="716"/>
      <c r="NCN3" s="717"/>
      <c r="NCO3" s="718"/>
      <c r="NCP3" s="718"/>
      <c r="NCQ3" s="718"/>
      <c r="NCR3" s="718"/>
      <c r="NCS3" s="718"/>
      <c r="NCT3" s="719"/>
      <c r="NCU3" s="720"/>
      <c r="NCV3" s="721"/>
      <c r="NCW3" s="722"/>
      <c r="NCX3" s="722"/>
      <c r="NCY3" s="722"/>
      <c r="NCZ3" s="722"/>
      <c r="NDA3" s="722"/>
      <c r="NDB3" s="723"/>
      <c r="NDC3" s="724"/>
      <c r="NDD3" s="725"/>
      <c r="NDE3" s="726"/>
      <c r="NDF3" s="726"/>
      <c r="NDG3" s="726"/>
      <c r="NDH3" s="726"/>
      <c r="NDI3" s="726"/>
      <c r="NDJ3" s="727"/>
      <c r="NDK3" s="724"/>
      <c r="NDL3" s="725"/>
      <c r="NDM3" s="726"/>
      <c r="NDN3" s="726"/>
      <c r="NDO3" s="726"/>
      <c r="NDP3" s="726"/>
      <c r="NDQ3" s="726"/>
      <c r="NDR3" s="727"/>
      <c r="NDS3" s="728"/>
      <c r="NDT3" s="729"/>
      <c r="NDU3" s="730"/>
      <c r="NDV3" s="731"/>
      <c r="NDW3" s="731"/>
      <c r="NDX3" s="731"/>
      <c r="NDY3" s="731"/>
      <c r="NDZ3" s="732"/>
      <c r="NEA3" s="225"/>
      <c r="NEB3" s="716"/>
      <c r="NEC3" s="717"/>
      <c r="NED3" s="718"/>
      <c r="NEE3" s="718"/>
      <c r="NEF3" s="718"/>
      <c r="NEG3" s="718"/>
      <c r="NEH3" s="718"/>
      <c r="NEI3" s="719"/>
      <c r="NEJ3" s="720"/>
      <c r="NEK3" s="721"/>
      <c r="NEL3" s="722"/>
      <c r="NEM3" s="722"/>
      <c r="NEN3" s="722"/>
      <c r="NEO3" s="722"/>
      <c r="NEP3" s="722"/>
      <c r="NEQ3" s="723"/>
      <c r="NER3" s="724"/>
      <c r="NES3" s="725"/>
      <c r="NET3" s="726"/>
      <c r="NEU3" s="726"/>
      <c r="NEV3" s="726"/>
      <c r="NEW3" s="726"/>
      <c r="NEX3" s="726"/>
      <c r="NEY3" s="727"/>
      <c r="NEZ3" s="724"/>
      <c r="NFA3" s="725"/>
      <c r="NFB3" s="726"/>
      <c r="NFC3" s="726"/>
      <c r="NFD3" s="726"/>
      <c r="NFE3" s="726"/>
      <c r="NFF3" s="726"/>
      <c r="NFG3" s="727"/>
      <c r="NFH3" s="728"/>
      <c r="NFI3" s="729"/>
      <c r="NFJ3" s="730"/>
      <c r="NFK3" s="731"/>
      <c r="NFL3" s="731"/>
      <c r="NFM3" s="731"/>
      <c r="NFN3" s="731"/>
      <c r="NFO3" s="732"/>
      <c r="NFP3" s="225"/>
      <c r="NFQ3" s="716"/>
      <c r="NFR3" s="717"/>
      <c r="NFS3" s="718"/>
      <c r="NFT3" s="718"/>
      <c r="NFU3" s="718"/>
      <c r="NFV3" s="718"/>
      <c r="NFW3" s="718"/>
      <c r="NFX3" s="719"/>
      <c r="NFY3" s="720"/>
      <c r="NFZ3" s="721"/>
      <c r="NGA3" s="722"/>
      <c r="NGB3" s="722"/>
      <c r="NGC3" s="722"/>
      <c r="NGD3" s="722"/>
      <c r="NGE3" s="722"/>
      <c r="NGF3" s="723"/>
      <c r="NGG3" s="724"/>
      <c r="NGH3" s="725"/>
      <c r="NGI3" s="726"/>
      <c r="NGJ3" s="726"/>
      <c r="NGK3" s="726"/>
      <c r="NGL3" s="726"/>
      <c r="NGM3" s="726"/>
      <c r="NGN3" s="727"/>
      <c r="NGO3" s="724"/>
      <c r="NGP3" s="725"/>
      <c r="NGQ3" s="726"/>
      <c r="NGR3" s="726"/>
      <c r="NGS3" s="726"/>
      <c r="NGT3" s="726"/>
      <c r="NGU3" s="726"/>
      <c r="NGV3" s="727"/>
      <c r="NGW3" s="728"/>
      <c r="NGX3" s="729"/>
      <c r="NGY3" s="730"/>
      <c r="NGZ3" s="731"/>
      <c r="NHA3" s="731"/>
      <c r="NHB3" s="731"/>
      <c r="NHC3" s="731"/>
      <c r="NHD3" s="732"/>
      <c r="NHE3" s="225"/>
      <c r="NHF3" s="716"/>
      <c r="NHG3" s="717"/>
      <c r="NHH3" s="718"/>
      <c r="NHI3" s="718"/>
      <c r="NHJ3" s="718"/>
      <c r="NHK3" s="718"/>
      <c r="NHL3" s="718"/>
      <c r="NHM3" s="719"/>
      <c r="NHN3" s="720"/>
      <c r="NHO3" s="721"/>
      <c r="NHP3" s="722"/>
      <c r="NHQ3" s="722"/>
      <c r="NHR3" s="722"/>
      <c r="NHS3" s="722"/>
      <c r="NHT3" s="722"/>
      <c r="NHU3" s="723"/>
      <c r="NHV3" s="724"/>
      <c r="NHW3" s="725"/>
      <c r="NHX3" s="726"/>
      <c r="NHY3" s="726"/>
      <c r="NHZ3" s="726"/>
      <c r="NIA3" s="726"/>
      <c r="NIB3" s="726"/>
      <c r="NIC3" s="727"/>
      <c r="NID3" s="724"/>
      <c r="NIE3" s="725"/>
      <c r="NIF3" s="726"/>
      <c r="NIG3" s="726"/>
      <c r="NIH3" s="726"/>
      <c r="NII3" s="726"/>
      <c r="NIJ3" s="726"/>
      <c r="NIK3" s="727"/>
      <c r="NIL3" s="728"/>
      <c r="NIM3" s="729"/>
      <c r="NIN3" s="730"/>
      <c r="NIO3" s="731"/>
      <c r="NIP3" s="731"/>
      <c r="NIQ3" s="731"/>
      <c r="NIR3" s="731"/>
      <c r="NIS3" s="732"/>
      <c r="NIT3" s="225"/>
      <c r="NIU3" s="716"/>
      <c r="NIV3" s="717"/>
      <c r="NIW3" s="718"/>
      <c r="NIX3" s="718"/>
      <c r="NIY3" s="718"/>
      <c r="NIZ3" s="718"/>
      <c r="NJA3" s="718"/>
      <c r="NJB3" s="719"/>
      <c r="NJC3" s="720"/>
      <c r="NJD3" s="721"/>
      <c r="NJE3" s="722"/>
      <c r="NJF3" s="722"/>
      <c r="NJG3" s="722"/>
      <c r="NJH3" s="722"/>
      <c r="NJI3" s="722"/>
      <c r="NJJ3" s="723"/>
      <c r="NJK3" s="724"/>
      <c r="NJL3" s="725"/>
      <c r="NJM3" s="726"/>
      <c r="NJN3" s="726"/>
      <c r="NJO3" s="726"/>
      <c r="NJP3" s="726"/>
      <c r="NJQ3" s="726"/>
      <c r="NJR3" s="727"/>
      <c r="NJS3" s="724"/>
      <c r="NJT3" s="725"/>
      <c r="NJU3" s="726"/>
      <c r="NJV3" s="726"/>
      <c r="NJW3" s="726"/>
      <c r="NJX3" s="726"/>
      <c r="NJY3" s="726"/>
      <c r="NJZ3" s="727"/>
      <c r="NKA3" s="728"/>
      <c r="NKB3" s="729"/>
      <c r="NKC3" s="730"/>
      <c r="NKD3" s="731"/>
      <c r="NKE3" s="731"/>
      <c r="NKF3" s="731"/>
      <c r="NKG3" s="731"/>
      <c r="NKH3" s="732"/>
      <c r="NKI3" s="225"/>
      <c r="NKJ3" s="716"/>
      <c r="NKK3" s="717"/>
      <c r="NKL3" s="718"/>
      <c r="NKM3" s="718"/>
      <c r="NKN3" s="718"/>
      <c r="NKO3" s="718"/>
      <c r="NKP3" s="718"/>
      <c r="NKQ3" s="719"/>
      <c r="NKR3" s="720"/>
      <c r="NKS3" s="721"/>
      <c r="NKT3" s="722"/>
      <c r="NKU3" s="722"/>
      <c r="NKV3" s="722"/>
      <c r="NKW3" s="722"/>
      <c r="NKX3" s="722"/>
      <c r="NKY3" s="723"/>
      <c r="NKZ3" s="724"/>
      <c r="NLA3" s="725"/>
      <c r="NLB3" s="726"/>
      <c r="NLC3" s="726"/>
      <c r="NLD3" s="726"/>
      <c r="NLE3" s="726"/>
      <c r="NLF3" s="726"/>
      <c r="NLG3" s="727"/>
      <c r="NLH3" s="724"/>
      <c r="NLI3" s="725"/>
      <c r="NLJ3" s="726"/>
      <c r="NLK3" s="726"/>
      <c r="NLL3" s="726"/>
      <c r="NLM3" s="726"/>
      <c r="NLN3" s="726"/>
      <c r="NLO3" s="727"/>
      <c r="NLP3" s="728"/>
      <c r="NLQ3" s="729"/>
      <c r="NLR3" s="730"/>
      <c r="NLS3" s="731"/>
      <c r="NLT3" s="731"/>
      <c r="NLU3" s="731"/>
      <c r="NLV3" s="731"/>
      <c r="NLW3" s="732"/>
      <c r="NLX3" s="225"/>
      <c r="NLY3" s="716"/>
      <c r="NLZ3" s="717"/>
      <c r="NMA3" s="718"/>
      <c r="NMB3" s="718"/>
      <c r="NMC3" s="718"/>
      <c r="NMD3" s="718"/>
      <c r="NME3" s="718"/>
      <c r="NMF3" s="719"/>
      <c r="NMG3" s="720"/>
      <c r="NMH3" s="721"/>
      <c r="NMI3" s="722"/>
      <c r="NMJ3" s="722"/>
      <c r="NMK3" s="722"/>
      <c r="NML3" s="722"/>
      <c r="NMM3" s="722"/>
      <c r="NMN3" s="723"/>
      <c r="NMO3" s="724"/>
      <c r="NMP3" s="725"/>
      <c r="NMQ3" s="726"/>
      <c r="NMR3" s="726"/>
      <c r="NMS3" s="726"/>
      <c r="NMT3" s="726"/>
      <c r="NMU3" s="726"/>
      <c r="NMV3" s="727"/>
      <c r="NMW3" s="724"/>
      <c r="NMX3" s="725"/>
      <c r="NMY3" s="726"/>
      <c r="NMZ3" s="726"/>
      <c r="NNA3" s="726"/>
      <c r="NNB3" s="726"/>
      <c r="NNC3" s="726"/>
      <c r="NND3" s="727"/>
      <c r="NNE3" s="728"/>
      <c r="NNF3" s="729"/>
      <c r="NNG3" s="730"/>
      <c r="NNH3" s="731"/>
      <c r="NNI3" s="731"/>
      <c r="NNJ3" s="731"/>
      <c r="NNK3" s="731"/>
      <c r="NNL3" s="732"/>
      <c r="NNM3" s="225"/>
      <c r="NNN3" s="716"/>
      <c r="NNO3" s="717"/>
      <c r="NNP3" s="718"/>
      <c r="NNQ3" s="718"/>
      <c r="NNR3" s="718"/>
      <c r="NNS3" s="718"/>
      <c r="NNT3" s="718"/>
      <c r="NNU3" s="719"/>
      <c r="NNV3" s="720"/>
      <c r="NNW3" s="721"/>
      <c r="NNX3" s="722"/>
      <c r="NNY3" s="722"/>
      <c r="NNZ3" s="722"/>
      <c r="NOA3" s="722"/>
      <c r="NOB3" s="722"/>
      <c r="NOC3" s="723"/>
      <c r="NOD3" s="724"/>
      <c r="NOE3" s="725"/>
      <c r="NOF3" s="726"/>
      <c r="NOG3" s="726"/>
      <c r="NOH3" s="726"/>
      <c r="NOI3" s="726"/>
      <c r="NOJ3" s="726"/>
      <c r="NOK3" s="727"/>
      <c r="NOL3" s="724"/>
      <c r="NOM3" s="725"/>
      <c r="NON3" s="726"/>
      <c r="NOO3" s="726"/>
      <c r="NOP3" s="726"/>
      <c r="NOQ3" s="726"/>
      <c r="NOR3" s="726"/>
      <c r="NOS3" s="727"/>
      <c r="NOT3" s="728"/>
      <c r="NOU3" s="729"/>
      <c r="NOV3" s="730"/>
      <c r="NOW3" s="731"/>
      <c r="NOX3" s="731"/>
      <c r="NOY3" s="731"/>
      <c r="NOZ3" s="731"/>
      <c r="NPA3" s="732"/>
      <c r="NPB3" s="225"/>
      <c r="NPC3" s="716"/>
      <c r="NPD3" s="717"/>
      <c r="NPE3" s="718"/>
      <c r="NPF3" s="718"/>
      <c r="NPG3" s="718"/>
      <c r="NPH3" s="718"/>
      <c r="NPI3" s="718"/>
      <c r="NPJ3" s="719"/>
      <c r="NPK3" s="720"/>
      <c r="NPL3" s="721"/>
      <c r="NPM3" s="722"/>
      <c r="NPN3" s="722"/>
      <c r="NPO3" s="722"/>
      <c r="NPP3" s="722"/>
      <c r="NPQ3" s="722"/>
      <c r="NPR3" s="723"/>
      <c r="NPS3" s="724"/>
      <c r="NPT3" s="725"/>
      <c r="NPU3" s="726"/>
      <c r="NPV3" s="726"/>
      <c r="NPW3" s="726"/>
      <c r="NPX3" s="726"/>
      <c r="NPY3" s="726"/>
      <c r="NPZ3" s="727"/>
      <c r="NQA3" s="724"/>
      <c r="NQB3" s="725"/>
      <c r="NQC3" s="726"/>
      <c r="NQD3" s="726"/>
      <c r="NQE3" s="726"/>
      <c r="NQF3" s="726"/>
      <c r="NQG3" s="726"/>
      <c r="NQH3" s="727"/>
      <c r="NQI3" s="728"/>
      <c r="NQJ3" s="729"/>
      <c r="NQK3" s="730"/>
      <c r="NQL3" s="731"/>
      <c r="NQM3" s="731"/>
      <c r="NQN3" s="731"/>
      <c r="NQO3" s="731"/>
      <c r="NQP3" s="732"/>
      <c r="NQQ3" s="225"/>
      <c r="NQR3" s="716"/>
      <c r="NQS3" s="717"/>
      <c r="NQT3" s="718"/>
      <c r="NQU3" s="718"/>
      <c r="NQV3" s="718"/>
      <c r="NQW3" s="718"/>
      <c r="NQX3" s="718"/>
      <c r="NQY3" s="719"/>
      <c r="NQZ3" s="720"/>
      <c r="NRA3" s="721"/>
      <c r="NRB3" s="722"/>
      <c r="NRC3" s="722"/>
      <c r="NRD3" s="722"/>
      <c r="NRE3" s="722"/>
      <c r="NRF3" s="722"/>
      <c r="NRG3" s="723"/>
      <c r="NRH3" s="724"/>
      <c r="NRI3" s="725"/>
      <c r="NRJ3" s="726"/>
      <c r="NRK3" s="726"/>
      <c r="NRL3" s="726"/>
      <c r="NRM3" s="726"/>
      <c r="NRN3" s="726"/>
      <c r="NRO3" s="727"/>
      <c r="NRP3" s="724"/>
      <c r="NRQ3" s="725"/>
      <c r="NRR3" s="726"/>
      <c r="NRS3" s="726"/>
      <c r="NRT3" s="726"/>
      <c r="NRU3" s="726"/>
      <c r="NRV3" s="726"/>
      <c r="NRW3" s="727"/>
      <c r="NRX3" s="728"/>
      <c r="NRY3" s="729"/>
      <c r="NRZ3" s="730"/>
      <c r="NSA3" s="731"/>
      <c r="NSB3" s="731"/>
      <c r="NSC3" s="731"/>
      <c r="NSD3" s="731"/>
      <c r="NSE3" s="732"/>
      <c r="NSF3" s="225"/>
      <c r="NSG3" s="716"/>
      <c r="NSH3" s="717"/>
      <c r="NSI3" s="718"/>
      <c r="NSJ3" s="718"/>
      <c r="NSK3" s="718"/>
      <c r="NSL3" s="718"/>
      <c r="NSM3" s="718"/>
      <c r="NSN3" s="719"/>
      <c r="NSO3" s="720"/>
      <c r="NSP3" s="721"/>
      <c r="NSQ3" s="722"/>
      <c r="NSR3" s="722"/>
      <c r="NSS3" s="722"/>
      <c r="NST3" s="722"/>
      <c r="NSU3" s="722"/>
      <c r="NSV3" s="723"/>
      <c r="NSW3" s="724"/>
      <c r="NSX3" s="725"/>
      <c r="NSY3" s="726"/>
      <c r="NSZ3" s="726"/>
      <c r="NTA3" s="726"/>
      <c r="NTB3" s="726"/>
      <c r="NTC3" s="726"/>
      <c r="NTD3" s="727"/>
      <c r="NTE3" s="724"/>
      <c r="NTF3" s="725"/>
      <c r="NTG3" s="726"/>
      <c r="NTH3" s="726"/>
      <c r="NTI3" s="726"/>
      <c r="NTJ3" s="726"/>
      <c r="NTK3" s="726"/>
      <c r="NTL3" s="727"/>
      <c r="NTM3" s="728"/>
      <c r="NTN3" s="729"/>
      <c r="NTO3" s="730"/>
      <c r="NTP3" s="731"/>
      <c r="NTQ3" s="731"/>
      <c r="NTR3" s="731"/>
      <c r="NTS3" s="731"/>
      <c r="NTT3" s="732"/>
      <c r="NTU3" s="225"/>
      <c r="NTV3" s="716"/>
      <c r="NTW3" s="717"/>
      <c r="NTX3" s="718"/>
      <c r="NTY3" s="718"/>
      <c r="NTZ3" s="718"/>
      <c r="NUA3" s="718"/>
      <c r="NUB3" s="718"/>
      <c r="NUC3" s="719"/>
      <c r="NUD3" s="720"/>
      <c r="NUE3" s="721"/>
      <c r="NUF3" s="722"/>
      <c r="NUG3" s="722"/>
      <c r="NUH3" s="722"/>
      <c r="NUI3" s="722"/>
      <c r="NUJ3" s="722"/>
      <c r="NUK3" s="723"/>
      <c r="NUL3" s="724"/>
      <c r="NUM3" s="725"/>
      <c r="NUN3" s="726"/>
      <c r="NUO3" s="726"/>
      <c r="NUP3" s="726"/>
      <c r="NUQ3" s="726"/>
      <c r="NUR3" s="726"/>
      <c r="NUS3" s="727"/>
      <c r="NUT3" s="724"/>
      <c r="NUU3" s="725"/>
      <c r="NUV3" s="726"/>
      <c r="NUW3" s="726"/>
      <c r="NUX3" s="726"/>
      <c r="NUY3" s="726"/>
      <c r="NUZ3" s="726"/>
      <c r="NVA3" s="727"/>
      <c r="NVB3" s="728"/>
      <c r="NVC3" s="729"/>
      <c r="NVD3" s="730"/>
      <c r="NVE3" s="731"/>
      <c r="NVF3" s="731"/>
      <c r="NVG3" s="731"/>
      <c r="NVH3" s="731"/>
      <c r="NVI3" s="732"/>
      <c r="NVJ3" s="225"/>
      <c r="NVK3" s="716"/>
      <c r="NVL3" s="717"/>
      <c r="NVM3" s="718"/>
      <c r="NVN3" s="718"/>
      <c r="NVO3" s="718"/>
      <c r="NVP3" s="718"/>
      <c r="NVQ3" s="718"/>
      <c r="NVR3" s="719"/>
      <c r="NVS3" s="720"/>
      <c r="NVT3" s="721"/>
      <c r="NVU3" s="722"/>
      <c r="NVV3" s="722"/>
      <c r="NVW3" s="722"/>
      <c r="NVX3" s="722"/>
      <c r="NVY3" s="722"/>
      <c r="NVZ3" s="723"/>
      <c r="NWA3" s="724"/>
      <c r="NWB3" s="725"/>
      <c r="NWC3" s="726"/>
      <c r="NWD3" s="726"/>
      <c r="NWE3" s="726"/>
      <c r="NWF3" s="726"/>
      <c r="NWG3" s="726"/>
      <c r="NWH3" s="727"/>
      <c r="NWI3" s="724"/>
      <c r="NWJ3" s="725"/>
      <c r="NWK3" s="726"/>
      <c r="NWL3" s="726"/>
      <c r="NWM3" s="726"/>
      <c r="NWN3" s="726"/>
      <c r="NWO3" s="726"/>
      <c r="NWP3" s="727"/>
      <c r="NWQ3" s="728"/>
      <c r="NWR3" s="729"/>
      <c r="NWS3" s="730"/>
      <c r="NWT3" s="731"/>
      <c r="NWU3" s="731"/>
      <c r="NWV3" s="731"/>
      <c r="NWW3" s="731"/>
      <c r="NWX3" s="732"/>
      <c r="NWY3" s="225"/>
      <c r="NWZ3" s="716"/>
      <c r="NXA3" s="717"/>
      <c r="NXB3" s="718"/>
      <c r="NXC3" s="718"/>
      <c r="NXD3" s="718"/>
      <c r="NXE3" s="718"/>
      <c r="NXF3" s="718"/>
      <c r="NXG3" s="719"/>
      <c r="NXH3" s="720"/>
      <c r="NXI3" s="721"/>
      <c r="NXJ3" s="722"/>
      <c r="NXK3" s="722"/>
      <c r="NXL3" s="722"/>
      <c r="NXM3" s="722"/>
      <c r="NXN3" s="722"/>
      <c r="NXO3" s="723"/>
      <c r="NXP3" s="724"/>
      <c r="NXQ3" s="725"/>
      <c r="NXR3" s="726"/>
      <c r="NXS3" s="726"/>
      <c r="NXT3" s="726"/>
      <c r="NXU3" s="726"/>
      <c r="NXV3" s="726"/>
      <c r="NXW3" s="727"/>
      <c r="NXX3" s="724"/>
      <c r="NXY3" s="725"/>
      <c r="NXZ3" s="726"/>
      <c r="NYA3" s="726"/>
      <c r="NYB3" s="726"/>
      <c r="NYC3" s="726"/>
      <c r="NYD3" s="726"/>
      <c r="NYE3" s="727"/>
      <c r="NYF3" s="728"/>
      <c r="NYG3" s="729"/>
      <c r="NYH3" s="730"/>
      <c r="NYI3" s="731"/>
      <c r="NYJ3" s="731"/>
      <c r="NYK3" s="731"/>
      <c r="NYL3" s="731"/>
      <c r="NYM3" s="732"/>
      <c r="NYN3" s="225"/>
      <c r="NYO3" s="716"/>
      <c r="NYP3" s="717"/>
      <c r="NYQ3" s="718"/>
      <c r="NYR3" s="718"/>
      <c r="NYS3" s="718"/>
      <c r="NYT3" s="718"/>
      <c r="NYU3" s="718"/>
      <c r="NYV3" s="719"/>
      <c r="NYW3" s="720"/>
      <c r="NYX3" s="721"/>
      <c r="NYY3" s="722"/>
      <c r="NYZ3" s="722"/>
      <c r="NZA3" s="722"/>
      <c r="NZB3" s="722"/>
      <c r="NZC3" s="722"/>
      <c r="NZD3" s="723"/>
      <c r="NZE3" s="724"/>
      <c r="NZF3" s="725"/>
      <c r="NZG3" s="726"/>
      <c r="NZH3" s="726"/>
      <c r="NZI3" s="726"/>
      <c r="NZJ3" s="726"/>
      <c r="NZK3" s="726"/>
      <c r="NZL3" s="727"/>
      <c r="NZM3" s="724"/>
      <c r="NZN3" s="725"/>
      <c r="NZO3" s="726"/>
      <c r="NZP3" s="726"/>
      <c r="NZQ3" s="726"/>
      <c r="NZR3" s="726"/>
      <c r="NZS3" s="726"/>
      <c r="NZT3" s="727"/>
      <c r="NZU3" s="728"/>
      <c r="NZV3" s="729"/>
      <c r="NZW3" s="730"/>
      <c r="NZX3" s="731"/>
      <c r="NZY3" s="731"/>
      <c r="NZZ3" s="731"/>
      <c r="OAA3" s="731"/>
      <c r="OAB3" s="732"/>
      <c r="OAC3" s="225"/>
      <c r="OAD3" s="716"/>
      <c r="OAE3" s="717"/>
      <c r="OAF3" s="718"/>
      <c r="OAG3" s="718"/>
      <c r="OAH3" s="718"/>
      <c r="OAI3" s="718"/>
      <c r="OAJ3" s="718"/>
      <c r="OAK3" s="719"/>
      <c r="OAL3" s="720"/>
      <c r="OAM3" s="721"/>
      <c r="OAN3" s="722"/>
      <c r="OAO3" s="722"/>
      <c r="OAP3" s="722"/>
      <c r="OAQ3" s="722"/>
      <c r="OAR3" s="722"/>
      <c r="OAS3" s="723"/>
      <c r="OAT3" s="724"/>
      <c r="OAU3" s="725"/>
      <c r="OAV3" s="726"/>
      <c r="OAW3" s="726"/>
      <c r="OAX3" s="726"/>
      <c r="OAY3" s="726"/>
      <c r="OAZ3" s="726"/>
      <c r="OBA3" s="727"/>
      <c r="OBB3" s="724"/>
      <c r="OBC3" s="725"/>
      <c r="OBD3" s="726"/>
      <c r="OBE3" s="726"/>
      <c r="OBF3" s="726"/>
      <c r="OBG3" s="726"/>
      <c r="OBH3" s="726"/>
      <c r="OBI3" s="727"/>
      <c r="OBJ3" s="728"/>
      <c r="OBK3" s="729"/>
      <c r="OBL3" s="730"/>
      <c r="OBM3" s="731"/>
      <c r="OBN3" s="731"/>
      <c r="OBO3" s="731"/>
      <c r="OBP3" s="731"/>
      <c r="OBQ3" s="732"/>
      <c r="OBR3" s="225"/>
      <c r="OBS3" s="716"/>
      <c r="OBT3" s="717"/>
      <c r="OBU3" s="718"/>
      <c r="OBV3" s="718"/>
      <c r="OBW3" s="718"/>
      <c r="OBX3" s="718"/>
      <c r="OBY3" s="718"/>
      <c r="OBZ3" s="719"/>
      <c r="OCA3" s="720"/>
      <c r="OCB3" s="721"/>
      <c r="OCC3" s="722"/>
      <c r="OCD3" s="722"/>
      <c r="OCE3" s="722"/>
      <c r="OCF3" s="722"/>
      <c r="OCG3" s="722"/>
      <c r="OCH3" s="723"/>
      <c r="OCI3" s="724"/>
      <c r="OCJ3" s="725"/>
      <c r="OCK3" s="726"/>
      <c r="OCL3" s="726"/>
      <c r="OCM3" s="726"/>
      <c r="OCN3" s="726"/>
      <c r="OCO3" s="726"/>
      <c r="OCP3" s="727"/>
      <c r="OCQ3" s="724"/>
      <c r="OCR3" s="725"/>
      <c r="OCS3" s="726"/>
      <c r="OCT3" s="726"/>
      <c r="OCU3" s="726"/>
      <c r="OCV3" s="726"/>
      <c r="OCW3" s="726"/>
      <c r="OCX3" s="727"/>
      <c r="OCY3" s="728"/>
      <c r="OCZ3" s="729"/>
      <c r="ODA3" s="730"/>
      <c r="ODB3" s="731"/>
      <c r="ODC3" s="731"/>
      <c r="ODD3" s="731"/>
      <c r="ODE3" s="731"/>
      <c r="ODF3" s="732"/>
      <c r="ODG3" s="225"/>
      <c r="ODH3" s="716"/>
      <c r="ODI3" s="717"/>
      <c r="ODJ3" s="718"/>
      <c r="ODK3" s="718"/>
      <c r="ODL3" s="718"/>
      <c r="ODM3" s="718"/>
      <c r="ODN3" s="718"/>
      <c r="ODO3" s="719"/>
      <c r="ODP3" s="720"/>
      <c r="ODQ3" s="721"/>
      <c r="ODR3" s="722"/>
      <c r="ODS3" s="722"/>
      <c r="ODT3" s="722"/>
      <c r="ODU3" s="722"/>
      <c r="ODV3" s="722"/>
      <c r="ODW3" s="723"/>
      <c r="ODX3" s="724"/>
      <c r="ODY3" s="725"/>
      <c r="ODZ3" s="726"/>
      <c r="OEA3" s="726"/>
      <c r="OEB3" s="726"/>
      <c r="OEC3" s="726"/>
      <c r="OED3" s="726"/>
      <c r="OEE3" s="727"/>
      <c r="OEF3" s="724"/>
      <c r="OEG3" s="725"/>
      <c r="OEH3" s="726"/>
      <c r="OEI3" s="726"/>
      <c r="OEJ3" s="726"/>
      <c r="OEK3" s="726"/>
      <c r="OEL3" s="726"/>
      <c r="OEM3" s="727"/>
      <c r="OEN3" s="728"/>
      <c r="OEO3" s="729"/>
      <c r="OEP3" s="730"/>
      <c r="OEQ3" s="731"/>
      <c r="OER3" s="731"/>
      <c r="OES3" s="731"/>
      <c r="OET3" s="731"/>
      <c r="OEU3" s="732"/>
      <c r="OEV3" s="225"/>
      <c r="OEW3" s="716"/>
      <c r="OEX3" s="717"/>
      <c r="OEY3" s="718"/>
      <c r="OEZ3" s="718"/>
      <c r="OFA3" s="718"/>
      <c r="OFB3" s="718"/>
      <c r="OFC3" s="718"/>
      <c r="OFD3" s="719"/>
      <c r="OFE3" s="720"/>
      <c r="OFF3" s="721"/>
      <c r="OFG3" s="722"/>
      <c r="OFH3" s="722"/>
      <c r="OFI3" s="722"/>
      <c r="OFJ3" s="722"/>
      <c r="OFK3" s="722"/>
      <c r="OFL3" s="723"/>
      <c r="OFM3" s="724"/>
      <c r="OFN3" s="725"/>
      <c r="OFO3" s="726"/>
      <c r="OFP3" s="726"/>
      <c r="OFQ3" s="726"/>
      <c r="OFR3" s="726"/>
      <c r="OFS3" s="726"/>
      <c r="OFT3" s="727"/>
      <c r="OFU3" s="724"/>
      <c r="OFV3" s="725"/>
      <c r="OFW3" s="726"/>
      <c r="OFX3" s="726"/>
      <c r="OFY3" s="726"/>
      <c r="OFZ3" s="726"/>
      <c r="OGA3" s="726"/>
      <c r="OGB3" s="727"/>
      <c r="OGC3" s="728"/>
      <c r="OGD3" s="729"/>
      <c r="OGE3" s="730"/>
      <c r="OGF3" s="731"/>
      <c r="OGG3" s="731"/>
      <c r="OGH3" s="731"/>
      <c r="OGI3" s="731"/>
      <c r="OGJ3" s="732"/>
      <c r="OGK3" s="225"/>
      <c r="OGL3" s="716"/>
      <c r="OGM3" s="717"/>
      <c r="OGN3" s="718"/>
      <c r="OGO3" s="718"/>
      <c r="OGP3" s="718"/>
      <c r="OGQ3" s="718"/>
      <c r="OGR3" s="718"/>
      <c r="OGS3" s="719"/>
      <c r="OGT3" s="720"/>
      <c r="OGU3" s="721"/>
      <c r="OGV3" s="722"/>
      <c r="OGW3" s="722"/>
      <c r="OGX3" s="722"/>
      <c r="OGY3" s="722"/>
      <c r="OGZ3" s="722"/>
      <c r="OHA3" s="723"/>
      <c r="OHB3" s="724"/>
      <c r="OHC3" s="725"/>
      <c r="OHD3" s="726"/>
      <c r="OHE3" s="726"/>
      <c r="OHF3" s="726"/>
      <c r="OHG3" s="726"/>
      <c r="OHH3" s="726"/>
      <c r="OHI3" s="727"/>
      <c r="OHJ3" s="724"/>
      <c r="OHK3" s="725"/>
      <c r="OHL3" s="726"/>
      <c r="OHM3" s="726"/>
      <c r="OHN3" s="726"/>
      <c r="OHO3" s="726"/>
      <c r="OHP3" s="726"/>
      <c r="OHQ3" s="727"/>
      <c r="OHR3" s="728"/>
      <c r="OHS3" s="729"/>
      <c r="OHT3" s="730"/>
      <c r="OHU3" s="731"/>
      <c r="OHV3" s="731"/>
      <c r="OHW3" s="731"/>
      <c r="OHX3" s="731"/>
      <c r="OHY3" s="732"/>
      <c r="OHZ3" s="225"/>
      <c r="OIA3" s="716"/>
      <c r="OIB3" s="717"/>
      <c r="OIC3" s="718"/>
      <c r="OID3" s="718"/>
      <c r="OIE3" s="718"/>
      <c r="OIF3" s="718"/>
      <c r="OIG3" s="718"/>
      <c r="OIH3" s="719"/>
      <c r="OII3" s="720"/>
      <c r="OIJ3" s="721"/>
      <c r="OIK3" s="722"/>
      <c r="OIL3" s="722"/>
      <c r="OIM3" s="722"/>
      <c r="OIN3" s="722"/>
      <c r="OIO3" s="722"/>
      <c r="OIP3" s="723"/>
      <c r="OIQ3" s="724"/>
      <c r="OIR3" s="725"/>
      <c r="OIS3" s="726"/>
      <c r="OIT3" s="726"/>
      <c r="OIU3" s="726"/>
      <c r="OIV3" s="726"/>
      <c r="OIW3" s="726"/>
      <c r="OIX3" s="727"/>
      <c r="OIY3" s="724"/>
      <c r="OIZ3" s="725"/>
      <c r="OJA3" s="726"/>
      <c r="OJB3" s="726"/>
      <c r="OJC3" s="726"/>
      <c r="OJD3" s="726"/>
      <c r="OJE3" s="726"/>
      <c r="OJF3" s="727"/>
      <c r="OJG3" s="728"/>
      <c r="OJH3" s="729"/>
      <c r="OJI3" s="730"/>
      <c r="OJJ3" s="731"/>
      <c r="OJK3" s="731"/>
      <c r="OJL3" s="731"/>
      <c r="OJM3" s="731"/>
      <c r="OJN3" s="732"/>
      <c r="OJO3" s="225"/>
      <c r="OJP3" s="716"/>
      <c r="OJQ3" s="717"/>
      <c r="OJR3" s="718"/>
      <c r="OJS3" s="718"/>
      <c r="OJT3" s="718"/>
      <c r="OJU3" s="718"/>
      <c r="OJV3" s="718"/>
      <c r="OJW3" s="719"/>
      <c r="OJX3" s="720"/>
      <c r="OJY3" s="721"/>
      <c r="OJZ3" s="722"/>
      <c r="OKA3" s="722"/>
      <c r="OKB3" s="722"/>
      <c r="OKC3" s="722"/>
      <c r="OKD3" s="722"/>
      <c r="OKE3" s="723"/>
      <c r="OKF3" s="724"/>
      <c r="OKG3" s="725"/>
      <c r="OKH3" s="726"/>
      <c r="OKI3" s="726"/>
      <c r="OKJ3" s="726"/>
      <c r="OKK3" s="726"/>
      <c r="OKL3" s="726"/>
      <c r="OKM3" s="727"/>
      <c r="OKN3" s="724"/>
      <c r="OKO3" s="725"/>
      <c r="OKP3" s="726"/>
      <c r="OKQ3" s="726"/>
      <c r="OKR3" s="726"/>
      <c r="OKS3" s="726"/>
      <c r="OKT3" s="726"/>
      <c r="OKU3" s="727"/>
      <c r="OKV3" s="728"/>
      <c r="OKW3" s="729"/>
      <c r="OKX3" s="730"/>
      <c r="OKY3" s="731"/>
      <c r="OKZ3" s="731"/>
      <c r="OLA3" s="731"/>
      <c r="OLB3" s="731"/>
      <c r="OLC3" s="732"/>
      <c r="OLD3" s="225"/>
      <c r="OLE3" s="716"/>
      <c r="OLF3" s="717"/>
      <c r="OLG3" s="718"/>
      <c r="OLH3" s="718"/>
      <c r="OLI3" s="718"/>
      <c r="OLJ3" s="718"/>
      <c r="OLK3" s="718"/>
      <c r="OLL3" s="719"/>
      <c r="OLM3" s="720"/>
      <c r="OLN3" s="721"/>
      <c r="OLO3" s="722"/>
      <c r="OLP3" s="722"/>
      <c r="OLQ3" s="722"/>
      <c r="OLR3" s="722"/>
      <c r="OLS3" s="722"/>
      <c r="OLT3" s="723"/>
      <c r="OLU3" s="724"/>
      <c r="OLV3" s="725"/>
      <c r="OLW3" s="726"/>
      <c r="OLX3" s="726"/>
      <c r="OLY3" s="726"/>
      <c r="OLZ3" s="726"/>
      <c r="OMA3" s="726"/>
      <c r="OMB3" s="727"/>
      <c r="OMC3" s="724"/>
      <c r="OMD3" s="725"/>
      <c r="OME3" s="726"/>
      <c r="OMF3" s="726"/>
      <c r="OMG3" s="726"/>
      <c r="OMH3" s="726"/>
      <c r="OMI3" s="726"/>
      <c r="OMJ3" s="727"/>
      <c r="OMK3" s="728"/>
      <c r="OML3" s="729"/>
      <c r="OMM3" s="730"/>
      <c r="OMN3" s="731"/>
      <c r="OMO3" s="731"/>
      <c r="OMP3" s="731"/>
      <c r="OMQ3" s="731"/>
      <c r="OMR3" s="732"/>
      <c r="OMS3" s="225"/>
      <c r="OMT3" s="716"/>
      <c r="OMU3" s="717"/>
      <c r="OMV3" s="718"/>
      <c r="OMW3" s="718"/>
      <c r="OMX3" s="718"/>
      <c r="OMY3" s="718"/>
      <c r="OMZ3" s="718"/>
      <c r="ONA3" s="719"/>
      <c r="ONB3" s="720"/>
      <c r="ONC3" s="721"/>
      <c r="OND3" s="722"/>
      <c r="ONE3" s="722"/>
      <c r="ONF3" s="722"/>
      <c r="ONG3" s="722"/>
      <c r="ONH3" s="722"/>
      <c r="ONI3" s="723"/>
      <c r="ONJ3" s="724"/>
      <c r="ONK3" s="725"/>
      <c r="ONL3" s="726"/>
      <c r="ONM3" s="726"/>
      <c r="ONN3" s="726"/>
      <c r="ONO3" s="726"/>
      <c r="ONP3" s="726"/>
      <c r="ONQ3" s="727"/>
      <c r="ONR3" s="724"/>
      <c r="ONS3" s="725"/>
      <c r="ONT3" s="726"/>
      <c r="ONU3" s="726"/>
      <c r="ONV3" s="726"/>
      <c r="ONW3" s="726"/>
      <c r="ONX3" s="726"/>
      <c r="ONY3" s="727"/>
      <c r="ONZ3" s="728"/>
      <c r="OOA3" s="729"/>
      <c r="OOB3" s="730"/>
      <c r="OOC3" s="731"/>
      <c r="OOD3" s="731"/>
      <c r="OOE3" s="731"/>
      <c r="OOF3" s="731"/>
      <c r="OOG3" s="732"/>
      <c r="OOH3" s="225"/>
      <c r="OOI3" s="716"/>
      <c r="OOJ3" s="717"/>
      <c r="OOK3" s="718"/>
      <c r="OOL3" s="718"/>
      <c r="OOM3" s="718"/>
      <c r="OON3" s="718"/>
      <c r="OOO3" s="718"/>
      <c r="OOP3" s="719"/>
      <c r="OOQ3" s="720"/>
      <c r="OOR3" s="721"/>
      <c r="OOS3" s="722"/>
      <c r="OOT3" s="722"/>
      <c r="OOU3" s="722"/>
      <c r="OOV3" s="722"/>
      <c r="OOW3" s="722"/>
      <c r="OOX3" s="723"/>
      <c r="OOY3" s="724"/>
      <c r="OOZ3" s="725"/>
      <c r="OPA3" s="726"/>
      <c r="OPB3" s="726"/>
      <c r="OPC3" s="726"/>
      <c r="OPD3" s="726"/>
      <c r="OPE3" s="726"/>
      <c r="OPF3" s="727"/>
      <c r="OPG3" s="724"/>
      <c r="OPH3" s="725"/>
      <c r="OPI3" s="726"/>
      <c r="OPJ3" s="726"/>
      <c r="OPK3" s="726"/>
      <c r="OPL3" s="726"/>
      <c r="OPM3" s="726"/>
      <c r="OPN3" s="727"/>
      <c r="OPO3" s="728"/>
      <c r="OPP3" s="729"/>
      <c r="OPQ3" s="730"/>
      <c r="OPR3" s="731"/>
      <c r="OPS3" s="731"/>
      <c r="OPT3" s="731"/>
      <c r="OPU3" s="731"/>
      <c r="OPV3" s="732"/>
      <c r="OPW3" s="225"/>
      <c r="OPX3" s="716"/>
      <c r="OPY3" s="717"/>
      <c r="OPZ3" s="718"/>
      <c r="OQA3" s="718"/>
      <c r="OQB3" s="718"/>
      <c r="OQC3" s="718"/>
      <c r="OQD3" s="718"/>
      <c r="OQE3" s="719"/>
      <c r="OQF3" s="720"/>
      <c r="OQG3" s="721"/>
      <c r="OQH3" s="722"/>
      <c r="OQI3" s="722"/>
      <c r="OQJ3" s="722"/>
      <c r="OQK3" s="722"/>
      <c r="OQL3" s="722"/>
      <c r="OQM3" s="723"/>
      <c r="OQN3" s="724"/>
      <c r="OQO3" s="725"/>
      <c r="OQP3" s="726"/>
      <c r="OQQ3" s="726"/>
      <c r="OQR3" s="726"/>
      <c r="OQS3" s="726"/>
      <c r="OQT3" s="726"/>
      <c r="OQU3" s="727"/>
      <c r="OQV3" s="724"/>
      <c r="OQW3" s="725"/>
      <c r="OQX3" s="726"/>
      <c r="OQY3" s="726"/>
      <c r="OQZ3" s="726"/>
      <c r="ORA3" s="726"/>
      <c r="ORB3" s="726"/>
      <c r="ORC3" s="727"/>
      <c r="ORD3" s="728"/>
      <c r="ORE3" s="729"/>
      <c r="ORF3" s="730"/>
      <c r="ORG3" s="731"/>
      <c r="ORH3" s="731"/>
      <c r="ORI3" s="731"/>
      <c r="ORJ3" s="731"/>
      <c r="ORK3" s="732"/>
      <c r="ORL3" s="225"/>
      <c r="ORM3" s="716"/>
      <c r="ORN3" s="717"/>
      <c r="ORO3" s="718"/>
      <c r="ORP3" s="718"/>
      <c r="ORQ3" s="718"/>
      <c r="ORR3" s="718"/>
      <c r="ORS3" s="718"/>
      <c r="ORT3" s="719"/>
      <c r="ORU3" s="720"/>
      <c r="ORV3" s="721"/>
      <c r="ORW3" s="722"/>
      <c r="ORX3" s="722"/>
      <c r="ORY3" s="722"/>
      <c r="ORZ3" s="722"/>
      <c r="OSA3" s="722"/>
      <c r="OSB3" s="723"/>
      <c r="OSC3" s="724"/>
      <c r="OSD3" s="725"/>
      <c r="OSE3" s="726"/>
      <c r="OSF3" s="726"/>
      <c r="OSG3" s="726"/>
      <c r="OSH3" s="726"/>
      <c r="OSI3" s="726"/>
      <c r="OSJ3" s="727"/>
      <c r="OSK3" s="724"/>
      <c r="OSL3" s="725"/>
      <c r="OSM3" s="726"/>
      <c r="OSN3" s="726"/>
      <c r="OSO3" s="726"/>
      <c r="OSP3" s="726"/>
      <c r="OSQ3" s="726"/>
      <c r="OSR3" s="727"/>
      <c r="OSS3" s="728"/>
      <c r="OST3" s="729"/>
      <c r="OSU3" s="730"/>
      <c r="OSV3" s="731"/>
      <c r="OSW3" s="731"/>
      <c r="OSX3" s="731"/>
      <c r="OSY3" s="731"/>
      <c r="OSZ3" s="732"/>
      <c r="OTA3" s="225"/>
      <c r="OTB3" s="716"/>
      <c r="OTC3" s="717"/>
      <c r="OTD3" s="718"/>
      <c r="OTE3" s="718"/>
      <c r="OTF3" s="718"/>
      <c r="OTG3" s="718"/>
      <c r="OTH3" s="718"/>
      <c r="OTI3" s="719"/>
      <c r="OTJ3" s="720"/>
      <c r="OTK3" s="721"/>
      <c r="OTL3" s="722"/>
      <c r="OTM3" s="722"/>
      <c r="OTN3" s="722"/>
      <c r="OTO3" s="722"/>
      <c r="OTP3" s="722"/>
      <c r="OTQ3" s="723"/>
      <c r="OTR3" s="724"/>
      <c r="OTS3" s="725"/>
      <c r="OTT3" s="726"/>
      <c r="OTU3" s="726"/>
      <c r="OTV3" s="726"/>
      <c r="OTW3" s="726"/>
      <c r="OTX3" s="726"/>
      <c r="OTY3" s="727"/>
      <c r="OTZ3" s="724"/>
      <c r="OUA3" s="725"/>
      <c r="OUB3" s="726"/>
      <c r="OUC3" s="726"/>
      <c r="OUD3" s="726"/>
      <c r="OUE3" s="726"/>
      <c r="OUF3" s="726"/>
      <c r="OUG3" s="727"/>
      <c r="OUH3" s="728"/>
      <c r="OUI3" s="729"/>
      <c r="OUJ3" s="730"/>
      <c r="OUK3" s="731"/>
      <c r="OUL3" s="731"/>
      <c r="OUM3" s="731"/>
      <c r="OUN3" s="731"/>
      <c r="OUO3" s="732"/>
      <c r="OUP3" s="225"/>
      <c r="OUQ3" s="716"/>
      <c r="OUR3" s="717"/>
      <c r="OUS3" s="718"/>
      <c r="OUT3" s="718"/>
      <c r="OUU3" s="718"/>
      <c r="OUV3" s="718"/>
      <c r="OUW3" s="718"/>
      <c r="OUX3" s="719"/>
      <c r="OUY3" s="720"/>
      <c r="OUZ3" s="721"/>
      <c r="OVA3" s="722"/>
      <c r="OVB3" s="722"/>
      <c r="OVC3" s="722"/>
      <c r="OVD3" s="722"/>
      <c r="OVE3" s="722"/>
      <c r="OVF3" s="723"/>
      <c r="OVG3" s="724"/>
      <c r="OVH3" s="725"/>
      <c r="OVI3" s="726"/>
      <c r="OVJ3" s="726"/>
      <c r="OVK3" s="726"/>
      <c r="OVL3" s="726"/>
      <c r="OVM3" s="726"/>
      <c r="OVN3" s="727"/>
      <c r="OVO3" s="724"/>
      <c r="OVP3" s="725"/>
      <c r="OVQ3" s="726"/>
      <c r="OVR3" s="726"/>
      <c r="OVS3" s="726"/>
      <c r="OVT3" s="726"/>
      <c r="OVU3" s="726"/>
      <c r="OVV3" s="727"/>
      <c r="OVW3" s="728"/>
      <c r="OVX3" s="729"/>
      <c r="OVY3" s="730"/>
      <c r="OVZ3" s="731"/>
      <c r="OWA3" s="731"/>
      <c r="OWB3" s="731"/>
      <c r="OWC3" s="731"/>
      <c r="OWD3" s="732"/>
      <c r="OWE3" s="225"/>
      <c r="OWF3" s="716"/>
      <c r="OWG3" s="717"/>
      <c r="OWH3" s="718"/>
      <c r="OWI3" s="718"/>
      <c r="OWJ3" s="718"/>
      <c r="OWK3" s="718"/>
      <c r="OWL3" s="718"/>
      <c r="OWM3" s="719"/>
      <c r="OWN3" s="720"/>
      <c r="OWO3" s="721"/>
      <c r="OWP3" s="722"/>
      <c r="OWQ3" s="722"/>
      <c r="OWR3" s="722"/>
      <c r="OWS3" s="722"/>
      <c r="OWT3" s="722"/>
      <c r="OWU3" s="723"/>
      <c r="OWV3" s="724"/>
      <c r="OWW3" s="725"/>
      <c r="OWX3" s="726"/>
      <c r="OWY3" s="726"/>
      <c r="OWZ3" s="726"/>
      <c r="OXA3" s="726"/>
      <c r="OXB3" s="726"/>
      <c r="OXC3" s="727"/>
      <c r="OXD3" s="724"/>
      <c r="OXE3" s="725"/>
      <c r="OXF3" s="726"/>
      <c r="OXG3" s="726"/>
      <c r="OXH3" s="726"/>
      <c r="OXI3" s="726"/>
      <c r="OXJ3" s="726"/>
      <c r="OXK3" s="727"/>
      <c r="OXL3" s="728"/>
      <c r="OXM3" s="729"/>
      <c r="OXN3" s="730"/>
      <c r="OXO3" s="731"/>
      <c r="OXP3" s="731"/>
      <c r="OXQ3" s="731"/>
      <c r="OXR3" s="731"/>
      <c r="OXS3" s="732"/>
      <c r="OXT3" s="225"/>
      <c r="OXU3" s="716"/>
      <c r="OXV3" s="717"/>
      <c r="OXW3" s="718"/>
      <c r="OXX3" s="718"/>
      <c r="OXY3" s="718"/>
      <c r="OXZ3" s="718"/>
      <c r="OYA3" s="718"/>
      <c r="OYB3" s="719"/>
      <c r="OYC3" s="720"/>
      <c r="OYD3" s="721"/>
      <c r="OYE3" s="722"/>
      <c r="OYF3" s="722"/>
      <c r="OYG3" s="722"/>
      <c r="OYH3" s="722"/>
      <c r="OYI3" s="722"/>
      <c r="OYJ3" s="723"/>
      <c r="OYK3" s="724"/>
      <c r="OYL3" s="725"/>
      <c r="OYM3" s="726"/>
      <c r="OYN3" s="726"/>
      <c r="OYO3" s="726"/>
      <c r="OYP3" s="726"/>
      <c r="OYQ3" s="726"/>
      <c r="OYR3" s="727"/>
      <c r="OYS3" s="724"/>
      <c r="OYT3" s="725"/>
      <c r="OYU3" s="726"/>
      <c r="OYV3" s="726"/>
      <c r="OYW3" s="726"/>
      <c r="OYX3" s="726"/>
      <c r="OYY3" s="726"/>
      <c r="OYZ3" s="727"/>
      <c r="OZA3" s="728"/>
      <c r="OZB3" s="729"/>
      <c r="OZC3" s="730"/>
      <c r="OZD3" s="731"/>
      <c r="OZE3" s="731"/>
      <c r="OZF3" s="731"/>
      <c r="OZG3" s="731"/>
      <c r="OZH3" s="732"/>
      <c r="OZI3" s="225"/>
      <c r="OZJ3" s="716"/>
      <c r="OZK3" s="717"/>
      <c r="OZL3" s="718"/>
      <c r="OZM3" s="718"/>
      <c r="OZN3" s="718"/>
      <c r="OZO3" s="718"/>
      <c r="OZP3" s="718"/>
      <c r="OZQ3" s="719"/>
      <c r="OZR3" s="720"/>
      <c r="OZS3" s="721"/>
      <c r="OZT3" s="722"/>
      <c r="OZU3" s="722"/>
      <c r="OZV3" s="722"/>
      <c r="OZW3" s="722"/>
      <c r="OZX3" s="722"/>
      <c r="OZY3" s="723"/>
      <c r="OZZ3" s="724"/>
      <c r="PAA3" s="725"/>
      <c r="PAB3" s="726"/>
      <c r="PAC3" s="726"/>
      <c r="PAD3" s="726"/>
      <c r="PAE3" s="726"/>
      <c r="PAF3" s="726"/>
      <c r="PAG3" s="727"/>
      <c r="PAH3" s="724"/>
      <c r="PAI3" s="725"/>
      <c r="PAJ3" s="726"/>
      <c r="PAK3" s="726"/>
      <c r="PAL3" s="726"/>
      <c r="PAM3" s="726"/>
      <c r="PAN3" s="726"/>
      <c r="PAO3" s="727"/>
      <c r="PAP3" s="728"/>
      <c r="PAQ3" s="729"/>
      <c r="PAR3" s="730"/>
      <c r="PAS3" s="731"/>
      <c r="PAT3" s="731"/>
      <c r="PAU3" s="731"/>
      <c r="PAV3" s="731"/>
      <c r="PAW3" s="732"/>
      <c r="PAX3" s="225"/>
      <c r="PAY3" s="716"/>
      <c r="PAZ3" s="717"/>
      <c r="PBA3" s="718"/>
      <c r="PBB3" s="718"/>
      <c r="PBC3" s="718"/>
      <c r="PBD3" s="718"/>
      <c r="PBE3" s="718"/>
      <c r="PBF3" s="719"/>
      <c r="PBG3" s="720"/>
      <c r="PBH3" s="721"/>
      <c r="PBI3" s="722"/>
      <c r="PBJ3" s="722"/>
      <c r="PBK3" s="722"/>
      <c r="PBL3" s="722"/>
      <c r="PBM3" s="722"/>
      <c r="PBN3" s="723"/>
      <c r="PBO3" s="724"/>
      <c r="PBP3" s="725"/>
      <c r="PBQ3" s="726"/>
      <c r="PBR3" s="726"/>
      <c r="PBS3" s="726"/>
      <c r="PBT3" s="726"/>
      <c r="PBU3" s="726"/>
      <c r="PBV3" s="727"/>
      <c r="PBW3" s="724"/>
      <c r="PBX3" s="725"/>
      <c r="PBY3" s="726"/>
      <c r="PBZ3" s="726"/>
      <c r="PCA3" s="726"/>
      <c r="PCB3" s="726"/>
      <c r="PCC3" s="726"/>
      <c r="PCD3" s="727"/>
      <c r="PCE3" s="728"/>
      <c r="PCF3" s="729"/>
      <c r="PCG3" s="730"/>
      <c r="PCH3" s="731"/>
      <c r="PCI3" s="731"/>
      <c r="PCJ3" s="731"/>
      <c r="PCK3" s="731"/>
      <c r="PCL3" s="732"/>
      <c r="PCM3" s="225"/>
      <c r="PCN3" s="716"/>
      <c r="PCO3" s="717"/>
      <c r="PCP3" s="718"/>
      <c r="PCQ3" s="718"/>
      <c r="PCR3" s="718"/>
      <c r="PCS3" s="718"/>
      <c r="PCT3" s="718"/>
      <c r="PCU3" s="719"/>
      <c r="PCV3" s="720"/>
      <c r="PCW3" s="721"/>
      <c r="PCX3" s="722"/>
      <c r="PCY3" s="722"/>
      <c r="PCZ3" s="722"/>
      <c r="PDA3" s="722"/>
      <c r="PDB3" s="722"/>
      <c r="PDC3" s="723"/>
      <c r="PDD3" s="724"/>
      <c r="PDE3" s="725"/>
      <c r="PDF3" s="726"/>
      <c r="PDG3" s="726"/>
      <c r="PDH3" s="726"/>
      <c r="PDI3" s="726"/>
      <c r="PDJ3" s="726"/>
      <c r="PDK3" s="727"/>
      <c r="PDL3" s="724"/>
      <c r="PDM3" s="725"/>
      <c r="PDN3" s="726"/>
      <c r="PDO3" s="726"/>
      <c r="PDP3" s="726"/>
      <c r="PDQ3" s="726"/>
      <c r="PDR3" s="726"/>
      <c r="PDS3" s="727"/>
      <c r="PDT3" s="728"/>
      <c r="PDU3" s="729"/>
      <c r="PDV3" s="730"/>
      <c r="PDW3" s="731"/>
      <c r="PDX3" s="731"/>
      <c r="PDY3" s="731"/>
      <c r="PDZ3" s="731"/>
      <c r="PEA3" s="732"/>
      <c r="PEB3" s="225"/>
      <c r="PEC3" s="716"/>
      <c r="PED3" s="717"/>
      <c r="PEE3" s="718"/>
      <c r="PEF3" s="718"/>
      <c r="PEG3" s="718"/>
      <c r="PEH3" s="718"/>
      <c r="PEI3" s="718"/>
      <c r="PEJ3" s="719"/>
      <c r="PEK3" s="720"/>
      <c r="PEL3" s="721"/>
      <c r="PEM3" s="722"/>
      <c r="PEN3" s="722"/>
      <c r="PEO3" s="722"/>
      <c r="PEP3" s="722"/>
      <c r="PEQ3" s="722"/>
      <c r="PER3" s="723"/>
      <c r="PES3" s="724"/>
      <c r="PET3" s="725"/>
      <c r="PEU3" s="726"/>
      <c r="PEV3" s="726"/>
      <c r="PEW3" s="726"/>
      <c r="PEX3" s="726"/>
      <c r="PEY3" s="726"/>
      <c r="PEZ3" s="727"/>
      <c r="PFA3" s="724"/>
      <c r="PFB3" s="725"/>
      <c r="PFC3" s="726"/>
      <c r="PFD3" s="726"/>
      <c r="PFE3" s="726"/>
      <c r="PFF3" s="726"/>
      <c r="PFG3" s="726"/>
      <c r="PFH3" s="727"/>
      <c r="PFI3" s="728"/>
      <c r="PFJ3" s="729"/>
      <c r="PFK3" s="730"/>
      <c r="PFL3" s="731"/>
      <c r="PFM3" s="731"/>
      <c r="PFN3" s="731"/>
      <c r="PFO3" s="731"/>
      <c r="PFP3" s="732"/>
      <c r="PFQ3" s="225"/>
      <c r="PFR3" s="716"/>
      <c r="PFS3" s="717"/>
      <c r="PFT3" s="718"/>
      <c r="PFU3" s="718"/>
      <c r="PFV3" s="718"/>
      <c r="PFW3" s="718"/>
      <c r="PFX3" s="718"/>
      <c r="PFY3" s="719"/>
      <c r="PFZ3" s="720"/>
      <c r="PGA3" s="721"/>
      <c r="PGB3" s="722"/>
      <c r="PGC3" s="722"/>
      <c r="PGD3" s="722"/>
      <c r="PGE3" s="722"/>
      <c r="PGF3" s="722"/>
      <c r="PGG3" s="723"/>
      <c r="PGH3" s="724"/>
      <c r="PGI3" s="725"/>
      <c r="PGJ3" s="726"/>
      <c r="PGK3" s="726"/>
      <c r="PGL3" s="726"/>
      <c r="PGM3" s="726"/>
      <c r="PGN3" s="726"/>
      <c r="PGO3" s="727"/>
      <c r="PGP3" s="724"/>
      <c r="PGQ3" s="725"/>
      <c r="PGR3" s="726"/>
      <c r="PGS3" s="726"/>
      <c r="PGT3" s="726"/>
      <c r="PGU3" s="726"/>
      <c r="PGV3" s="726"/>
      <c r="PGW3" s="727"/>
      <c r="PGX3" s="728"/>
      <c r="PGY3" s="729"/>
      <c r="PGZ3" s="730"/>
      <c r="PHA3" s="731"/>
      <c r="PHB3" s="731"/>
      <c r="PHC3" s="731"/>
      <c r="PHD3" s="731"/>
      <c r="PHE3" s="732"/>
      <c r="PHF3" s="225"/>
      <c r="PHG3" s="716"/>
      <c r="PHH3" s="717"/>
      <c r="PHI3" s="718"/>
      <c r="PHJ3" s="718"/>
      <c r="PHK3" s="718"/>
      <c r="PHL3" s="718"/>
      <c r="PHM3" s="718"/>
      <c r="PHN3" s="719"/>
      <c r="PHO3" s="720"/>
      <c r="PHP3" s="721"/>
      <c r="PHQ3" s="722"/>
      <c r="PHR3" s="722"/>
      <c r="PHS3" s="722"/>
      <c r="PHT3" s="722"/>
      <c r="PHU3" s="722"/>
      <c r="PHV3" s="723"/>
      <c r="PHW3" s="724"/>
      <c r="PHX3" s="725"/>
      <c r="PHY3" s="726"/>
      <c r="PHZ3" s="726"/>
      <c r="PIA3" s="726"/>
      <c r="PIB3" s="726"/>
      <c r="PIC3" s="726"/>
      <c r="PID3" s="727"/>
      <c r="PIE3" s="724"/>
      <c r="PIF3" s="725"/>
      <c r="PIG3" s="726"/>
      <c r="PIH3" s="726"/>
      <c r="PII3" s="726"/>
      <c r="PIJ3" s="726"/>
      <c r="PIK3" s="726"/>
      <c r="PIL3" s="727"/>
      <c r="PIM3" s="728"/>
      <c r="PIN3" s="729"/>
      <c r="PIO3" s="730"/>
      <c r="PIP3" s="731"/>
      <c r="PIQ3" s="731"/>
      <c r="PIR3" s="731"/>
      <c r="PIS3" s="731"/>
      <c r="PIT3" s="732"/>
      <c r="PIU3" s="225"/>
      <c r="PIV3" s="716"/>
      <c r="PIW3" s="717"/>
      <c r="PIX3" s="718"/>
      <c r="PIY3" s="718"/>
      <c r="PIZ3" s="718"/>
      <c r="PJA3" s="718"/>
      <c r="PJB3" s="718"/>
      <c r="PJC3" s="719"/>
      <c r="PJD3" s="720"/>
      <c r="PJE3" s="721"/>
      <c r="PJF3" s="722"/>
      <c r="PJG3" s="722"/>
      <c r="PJH3" s="722"/>
      <c r="PJI3" s="722"/>
      <c r="PJJ3" s="722"/>
      <c r="PJK3" s="723"/>
      <c r="PJL3" s="724"/>
      <c r="PJM3" s="725"/>
      <c r="PJN3" s="726"/>
      <c r="PJO3" s="726"/>
      <c r="PJP3" s="726"/>
      <c r="PJQ3" s="726"/>
      <c r="PJR3" s="726"/>
      <c r="PJS3" s="727"/>
      <c r="PJT3" s="724"/>
      <c r="PJU3" s="725"/>
      <c r="PJV3" s="726"/>
      <c r="PJW3" s="726"/>
      <c r="PJX3" s="726"/>
      <c r="PJY3" s="726"/>
      <c r="PJZ3" s="726"/>
      <c r="PKA3" s="727"/>
      <c r="PKB3" s="728"/>
      <c r="PKC3" s="729"/>
      <c r="PKD3" s="730"/>
      <c r="PKE3" s="731"/>
      <c r="PKF3" s="731"/>
      <c r="PKG3" s="731"/>
      <c r="PKH3" s="731"/>
      <c r="PKI3" s="732"/>
      <c r="PKJ3" s="225"/>
      <c r="PKK3" s="716"/>
      <c r="PKL3" s="717"/>
      <c r="PKM3" s="718"/>
      <c r="PKN3" s="718"/>
      <c r="PKO3" s="718"/>
      <c r="PKP3" s="718"/>
      <c r="PKQ3" s="718"/>
      <c r="PKR3" s="719"/>
      <c r="PKS3" s="720"/>
      <c r="PKT3" s="721"/>
      <c r="PKU3" s="722"/>
      <c r="PKV3" s="722"/>
      <c r="PKW3" s="722"/>
      <c r="PKX3" s="722"/>
      <c r="PKY3" s="722"/>
      <c r="PKZ3" s="723"/>
      <c r="PLA3" s="724"/>
      <c r="PLB3" s="725"/>
      <c r="PLC3" s="726"/>
      <c r="PLD3" s="726"/>
      <c r="PLE3" s="726"/>
      <c r="PLF3" s="726"/>
      <c r="PLG3" s="726"/>
      <c r="PLH3" s="727"/>
      <c r="PLI3" s="724"/>
      <c r="PLJ3" s="725"/>
      <c r="PLK3" s="726"/>
      <c r="PLL3" s="726"/>
      <c r="PLM3" s="726"/>
      <c r="PLN3" s="726"/>
      <c r="PLO3" s="726"/>
      <c r="PLP3" s="727"/>
      <c r="PLQ3" s="728"/>
      <c r="PLR3" s="729"/>
      <c r="PLS3" s="730"/>
      <c r="PLT3" s="731"/>
      <c r="PLU3" s="731"/>
      <c r="PLV3" s="731"/>
      <c r="PLW3" s="731"/>
      <c r="PLX3" s="732"/>
      <c r="PLY3" s="225"/>
      <c r="PLZ3" s="716"/>
      <c r="PMA3" s="717"/>
      <c r="PMB3" s="718"/>
      <c r="PMC3" s="718"/>
      <c r="PMD3" s="718"/>
      <c r="PME3" s="718"/>
      <c r="PMF3" s="718"/>
      <c r="PMG3" s="719"/>
      <c r="PMH3" s="720"/>
      <c r="PMI3" s="721"/>
      <c r="PMJ3" s="722"/>
      <c r="PMK3" s="722"/>
      <c r="PML3" s="722"/>
      <c r="PMM3" s="722"/>
      <c r="PMN3" s="722"/>
      <c r="PMO3" s="723"/>
      <c r="PMP3" s="724"/>
      <c r="PMQ3" s="725"/>
      <c r="PMR3" s="726"/>
      <c r="PMS3" s="726"/>
      <c r="PMT3" s="726"/>
      <c r="PMU3" s="726"/>
      <c r="PMV3" s="726"/>
      <c r="PMW3" s="727"/>
      <c r="PMX3" s="724"/>
      <c r="PMY3" s="725"/>
      <c r="PMZ3" s="726"/>
      <c r="PNA3" s="726"/>
      <c r="PNB3" s="726"/>
      <c r="PNC3" s="726"/>
      <c r="PND3" s="726"/>
      <c r="PNE3" s="727"/>
      <c r="PNF3" s="728"/>
      <c r="PNG3" s="729"/>
      <c r="PNH3" s="730"/>
      <c r="PNI3" s="731"/>
      <c r="PNJ3" s="731"/>
      <c r="PNK3" s="731"/>
      <c r="PNL3" s="731"/>
      <c r="PNM3" s="732"/>
      <c r="PNN3" s="225"/>
      <c r="PNO3" s="716"/>
      <c r="PNP3" s="717"/>
      <c r="PNQ3" s="718"/>
      <c r="PNR3" s="718"/>
      <c r="PNS3" s="718"/>
      <c r="PNT3" s="718"/>
      <c r="PNU3" s="718"/>
      <c r="PNV3" s="719"/>
      <c r="PNW3" s="720"/>
      <c r="PNX3" s="721"/>
      <c r="PNY3" s="722"/>
      <c r="PNZ3" s="722"/>
      <c r="POA3" s="722"/>
      <c r="POB3" s="722"/>
      <c r="POC3" s="722"/>
      <c r="POD3" s="723"/>
      <c r="POE3" s="724"/>
      <c r="POF3" s="725"/>
      <c r="POG3" s="726"/>
      <c r="POH3" s="726"/>
      <c r="POI3" s="726"/>
      <c r="POJ3" s="726"/>
      <c r="POK3" s="726"/>
      <c r="POL3" s="727"/>
      <c r="POM3" s="724"/>
      <c r="PON3" s="725"/>
      <c r="POO3" s="726"/>
      <c r="POP3" s="726"/>
      <c r="POQ3" s="726"/>
      <c r="POR3" s="726"/>
      <c r="POS3" s="726"/>
      <c r="POT3" s="727"/>
      <c r="POU3" s="728"/>
      <c r="POV3" s="729"/>
      <c r="POW3" s="730"/>
      <c r="POX3" s="731"/>
      <c r="POY3" s="731"/>
      <c r="POZ3" s="731"/>
      <c r="PPA3" s="731"/>
      <c r="PPB3" s="732"/>
      <c r="PPC3" s="225"/>
      <c r="PPD3" s="716"/>
      <c r="PPE3" s="717"/>
      <c r="PPF3" s="718"/>
      <c r="PPG3" s="718"/>
      <c r="PPH3" s="718"/>
      <c r="PPI3" s="718"/>
      <c r="PPJ3" s="718"/>
      <c r="PPK3" s="719"/>
      <c r="PPL3" s="720"/>
      <c r="PPM3" s="721"/>
      <c r="PPN3" s="722"/>
      <c r="PPO3" s="722"/>
      <c r="PPP3" s="722"/>
      <c r="PPQ3" s="722"/>
      <c r="PPR3" s="722"/>
      <c r="PPS3" s="723"/>
      <c r="PPT3" s="724"/>
      <c r="PPU3" s="725"/>
      <c r="PPV3" s="726"/>
      <c r="PPW3" s="726"/>
      <c r="PPX3" s="726"/>
      <c r="PPY3" s="726"/>
      <c r="PPZ3" s="726"/>
      <c r="PQA3" s="727"/>
      <c r="PQB3" s="724"/>
      <c r="PQC3" s="725"/>
      <c r="PQD3" s="726"/>
      <c r="PQE3" s="726"/>
      <c r="PQF3" s="726"/>
      <c r="PQG3" s="726"/>
      <c r="PQH3" s="726"/>
      <c r="PQI3" s="727"/>
      <c r="PQJ3" s="728"/>
      <c r="PQK3" s="729"/>
      <c r="PQL3" s="730"/>
      <c r="PQM3" s="731"/>
      <c r="PQN3" s="731"/>
      <c r="PQO3" s="731"/>
      <c r="PQP3" s="731"/>
      <c r="PQQ3" s="732"/>
      <c r="PQR3" s="225"/>
      <c r="PQS3" s="716"/>
      <c r="PQT3" s="717"/>
      <c r="PQU3" s="718"/>
      <c r="PQV3" s="718"/>
      <c r="PQW3" s="718"/>
      <c r="PQX3" s="718"/>
      <c r="PQY3" s="718"/>
      <c r="PQZ3" s="719"/>
      <c r="PRA3" s="720"/>
      <c r="PRB3" s="721"/>
      <c r="PRC3" s="722"/>
      <c r="PRD3" s="722"/>
      <c r="PRE3" s="722"/>
      <c r="PRF3" s="722"/>
      <c r="PRG3" s="722"/>
      <c r="PRH3" s="723"/>
      <c r="PRI3" s="724"/>
      <c r="PRJ3" s="725"/>
      <c r="PRK3" s="726"/>
      <c r="PRL3" s="726"/>
      <c r="PRM3" s="726"/>
      <c r="PRN3" s="726"/>
      <c r="PRO3" s="726"/>
      <c r="PRP3" s="727"/>
      <c r="PRQ3" s="724"/>
      <c r="PRR3" s="725"/>
      <c r="PRS3" s="726"/>
      <c r="PRT3" s="726"/>
      <c r="PRU3" s="726"/>
      <c r="PRV3" s="726"/>
      <c r="PRW3" s="726"/>
      <c r="PRX3" s="727"/>
      <c r="PRY3" s="728"/>
      <c r="PRZ3" s="729"/>
      <c r="PSA3" s="730"/>
      <c r="PSB3" s="731"/>
      <c r="PSC3" s="731"/>
      <c r="PSD3" s="731"/>
      <c r="PSE3" s="731"/>
      <c r="PSF3" s="732"/>
      <c r="PSG3" s="225"/>
      <c r="PSH3" s="716"/>
      <c r="PSI3" s="717"/>
      <c r="PSJ3" s="718"/>
      <c r="PSK3" s="718"/>
      <c r="PSL3" s="718"/>
      <c r="PSM3" s="718"/>
      <c r="PSN3" s="718"/>
      <c r="PSO3" s="719"/>
      <c r="PSP3" s="720"/>
      <c r="PSQ3" s="721"/>
      <c r="PSR3" s="722"/>
      <c r="PSS3" s="722"/>
      <c r="PST3" s="722"/>
      <c r="PSU3" s="722"/>
      <c r="PSV3" s="722"/>
      <c r="PSW3" s="723"/>
      <c r="PSX3" s="724"/>
      <c r="PSY3" s="725"/>
      <c r="PSZ3" s="726"/>
      <c r="PTA3" s="726"/>
      <c r="PTB3" s="726"/>
      <c r="PTC3" s="726"/>
      <c r="PTD3" s="726"/>
      <c r="PTE3" s="727"/>
      <c r="PTF3" s="724"/>
      <c r="PTG3" s="725"/>
      <c r="PTH3" s="726"/>
      <c r="PTI3" s="726"/>
      <c r="PTJ3" s="726"/>
      <c r="PTK3" s="726"/>
      <c r="PTL3" s="726"/>
      <c r="PTM3" s="727"/>
      <c r="PTN3" s="728"/>
      <c r="PTO3" s="729"/>
      <c r="PTP3" s="730"/>
      <c r="PTQ3" s="731"/>
      <c r="PTR3" s="731"/>
      <c r="PTS3" s="731"/>
      <c r="PTT3" s="731"/>
      <c r="PTU3" s="732"/>
      <c r="PTV3" s="225"/>
      <c r="PTW3" s="716"/>
      <c r="PTX3" s="717"/>
      <c r="PTY3" s="718"/>
      <c r="PTZ3" s="718"/>
      <c r="PUA3" s="718"/>
      <c r="PUB3" s="718"/>
      <c r="PUC3" s="718"/>
      <c r="PUD3" s="719"/>
      <c r="PUE3" s="720"/>
      <c r="PUF3" s="721"/>
      <c r="PUG3" s="722"/>
      <c r="PUH3" s="722"/>
      <c r="PUI3" s="722"/>
      <c r="PUJ3" s="722"/>
      <c r="PUK3" s="722"/>
      <c r="PUL3" s="723"/>
      <c r="PUM3" s="724"/>
      <c r="PUN3" s="725"/>
      <c r="PUO3" s="726"/>
      <c r="PUP3" s="726"/>
      <c r="PUQ3" s="726"/>
      <c r="PUR3" s="726"/>
      <c r="PUS3" s="726"/>
      <c r="PUT3" s="727"/>
      <c r="PUU3" s="724"/>
      <c r="PUV3" s="725"/>
      <c r="PUW3" s="726"/>
      <c r="PUX3" s="726"/>
      <c r="PUY3" s="726"/>
      <c r="PUZ3" s="726"/>
      <c r="PVA3" s="726"/>
      <c r="PVB3" s="727"/>
      <c r="PVC3" s="728"/>
      <c r="PVD3" s="729"/>
      <c r="PVE3" s="730"/>
      <c r="PVF3" s="731"/>
      <c r="PVG3" s="731"/>
      <c r="PVH3" s="731"/>
      <c r="PVI3" s="731"/>
      <c r="PVJ3" s="732"/>
      <c r="PVK3" s="225"/>
      <c r="PVL3" s="716"/>
      <c r="PVM3" s="717"/>
      <c r="PVN3" s="718"/>
      <c r="PVO3" s="718"/>
      <c r="PVP3" s="718"/>
      <c r="PVQ3" s="718"/>
      <c r="PVR3" s="718"/>
      <c r="PVS3" s="719"/>
      <c r="PVT3" s="720"/>
      <c r="PVU3" s="721"/>
      <c r="PVV3" s="722"/>
      <c r="PVW3" s="722"/>
      <c r="PVX3" s="722"/>
      <c r="PVY3" s="722"/>
      <c r="PVZ3" s="722"/>
      <c r="PWA3" s="723"/>
      <c r="PWB3" s="724"/>
      <c r="PWC3" s="725"/>
      <c r="PWD3" s="726"/>
      <c r="PWE3" s="726"/>
      <c r="PWF3" s="726"/>
      <c r="PWG3" s="726"/>
      <c r="PWH3" s="726"/>
      <c r="PWI3" s="727"/>
      <c r="PWJ3" s="724"/>
      <c r="PWK3" s="725"/>
      <c r="PWL3" s="726"/>
      <c r="PWM3" s="726"/>
      <c r="PWN3" s="726"/>
      <c r="PWO3" s="726"/>
      <c r="PWP3" s="726"/>
      <c r="PWQ3" s="727"/>
      <c r="PWR3" s="728"/>
      <c r="PWS3" s="729"/>
      <c r="PWT3" s="730"/>
      <c r="PWU3" s="731"/>
      <c r="PWV3" s="731"/>
      <c r="PWW3" s="731"/>
      <c r="PWX3" s="731"/>
      <c r="PWY3" s="732"/>
      <c r="PWZ3" s="225"/>
      <c r="PXA3" s="716"/>
      <c r="PXB3" s="717"/>
      <c r="PXC3" s="718"/>
      <c r="PXD3" s="718"/>
      <c r="PXE3" s="718"/>
      <c r="PXF3" s="718"/>
      <c r="PXG3" s="718"/>
      <c r="PXH3" s="719"/>
      <c r="PXI3" s="720"/>
      <c r="PXJ3" s="721"/>
      <c r="PXK3" s="722"/>
      <c r="PXL3" s="722"/>
      <c r="PXM3" s="722"/>
      <c r="PXN3" s="722"/>
      <c r="PXO3" s="722"/>
      <c r="PXP3" s="723"/>
      <c r="PXQ3" s="724"/>
      <c r="PXR3" s="725"/>
      <c r="PXS3" s="726"/>
      <c r="PXT3" s="726"/>
      <c r="PXU3" s="726"/>
      <c r="PXV3" s="726"/>
      <c r="PXW3" s="726"/>
      <c r="PXX3" s="727"/>
      <c r="PXY3" s="724"/>
      <c r="PXZ3" s="725"/>
      <c r="PYA3" s="726"/>
      <c r="PYB3" s="726"/>
      <c r="PYC3" s="726"/>
      <c r="PYD3" s="726"/>
      <c r="PYE3" s="726"/>
      <c r="PYF3" s="727"/>
      <c r="PYG3" s="728"/>
      <c r="PYH3" s="729"/>
      <c r="PYI3" s="730"/>
      <c r="PYJ3" s="731"/>
      <c r="PYK3" s="731"/>
      <c r="PYL3" s="731"/>
      <c r="PYM3" s="731"/>
      <c r="PYN3" s="732"/>
      <c r="PYO3" s="225"/>
      <c r="PYP3" s="716"/>
      <c r="PYQ3" s="717"/>
      <c r="PYR3" s="718"/>
      <c r="PYS3" s="718"/>
      <c r="PYT3" s="718"/>
      <c r="PYU3" s="718"/>
      <c r="PYV3" s="718"/>
      <c r="PYW3" s="719"/>
      <c r="PYX3" s="720"/>
      <c r="PYY3" s="721"/>
      <c r="PYZ3" s="722"/>
      <c r="PZA3" s="722"/>
      <c r="PZB3" s="722"/>
      <c r="PZC3" s="722"/>
      <c r="PZD3" s="722"/>
      <c r="PZE3" s="723"/>
      <c r="PZF3" s="724"/>
      <c r="PZG3" s="725"/>
      <c r="PZH3" s="726"/>
      <c r="PZI3" s="726"/>
      <c r="PZJ3" s="726"/>
      <c r="PZK3" s="726"/>
      <c r="PZL3" s="726"/>
      <c r="PZM3" s="727"/>
      <c r="PZN3" s="724"/>
      <c r="PZO3" s="725"/>
      <c r="PZP3" s="726"/>
      <c r="PZQ3" s="726"/>
      <c r="PZR3" s="726"/>
      <c r="PZS3" s="726"/>
      <c r="PZT3" s="726"/>
      <c r="PZU3" s="727"/>
      <c r="PZV3" s="728"/>
      <c r="PZW3" s="729"/>
      <c r="PZX3" s="730"/>
      <c r="PZY3" s="731"/>
      <c r="PZZ3" s="731"/>
      <c r="QAA3" s="731"/>
      <c r="QAB3" s="731"/>
      <c r="QAC3" s="732"/>
      <c r="QAD3" s="225"/>
      <c r="QAE3" s="716"/>
      <c r="QAF3" s="717"/>
      <c r="QAG3" s="718"/>
      <c r="QAH3" s="718"/>
      <c r="QAI3" s="718"/>
      <c r="QAJ3" s="718"/>
      <c r="QAK3" s="718"/>
      <c r="QAL3" s="719"/>
      <c r="QAM3" s="720"/>
      <c r="QAN3" s="721"/>
      <c r="QAO3" s="722"/>
      <c r="QAP3" s="722"/>
      <c r="QAQ3" s="722"/>
      <c r="QAR3" s="722"/>
      <c r="QAS3" s="722"/>
      <c r="QAT3" s="723"/>
      <c r="QAU3" s="724"/>
      <c r="QAV3" s="725"/>
      <c r="QAW3" s="726"/>
      <c r="QAX3" s="726"/>
      <c r="QAY3" s="726"/>
      <c r="QAZ3" s="726"/>
      <c r="QBA3" s="726"/>
      <c r="QBB3" s="727"/>
      <c r="QBC3" s="724"/>
      <c r="QBD3" s="725"/>
      <c r="QBE3" s="726"/>
      <c r="QBF3" s="726"/>
      <c r="QBG3" s="726"/>
      <c r="QBH3" s="726"/>
      <c r="QBI3" s="726"/>
      <c r="QBJ3" s="727"/>
      <c r="QBK3" s="728"/>
      <c r="QBL3" s="729"/>
      <c r="QBM3" s="730"/>
      <c r="QBN3" s="731"/>
      <c r="QBO3" s="731"/>
      <c r="QBP3" s="731"/>
      <c r="QBQ3" s="731"/>
      <c r="QBR3" s="732"/>
      <c r="QBS3" s="225"/>
      <c r="QBT3" s="716"/>
      <c r="QBU3" s="717"/>
      <c r="QBV3" s="718"/>
      <c r="QBW3" s="718"/>
      <c r="QBX3" s="718"/>
      <c r="QBY3" s="718"/>
      <c r="QBZ3" s="718"/>
      <c r="QCA3" s="719"/>
      <c r="QCB3" s="720"/>
      <c r="QCC3" s="721"/>
      <c r="QCD3" s="722"/>
      <c r="QCE3" s="722"/>
      <c r="QCF3" s="722"/>
      <c r="QCG3" s="722"/>
      <c r="QCH3" s="722"/>
      <c r="QCI3" s="723"/>
      <c r="QCJ3" s="724"/>
      <c r="QCK3" s="725"/>
      <c r="QCL3" s="726"/>
      <c r="QCM3" s="726"/>
      <c r="QCN3" s="726"/>
      <c r="QCO3" s="726"/>
      <c r="QCP3" s="726"/>
      <c r="QCQ3" s="727"/>
      <c r="QCR3" s="724"/>
      <c r="QCS3" s="725"/>
      <c r="QCT3" s="726"/>
      <c r="QCU3" s="726"/>
      <c r="QCV3" s="726"/>
      <c r="QCW3" s="726"/>
      <c r="QCX3" s="726"/>
      <c r="QCY3" s="727"/>
      <c r="QCZ3" s="728"/>
      <c r="QDA3" s="729"/>
      <c r="QDB3" s="730"/>
      <c r="QDC3" s="731"/>
      <c r="QDD3" s="731"/>
      <c r="QDE3" s="731"/>
      <c r="QDF3" s="731"/>
      <c r="QDG3" s="732"/>
      <c r="QDH3" s="225"/>
      <c r="QDI3" s="716"/>
      <c r="QDJ3" s="717"/>
      <c r="QDK3" s="718"/>
      <c r="QDL3" s="718"/>
      <c r="QDM3" s="718"/>
      <c r="QDN3" s="718"/>
      <c r="QDO3" s="718"/>
      <c r="QDP3" s="719"/>
      <c r="QDQ3" s="720"/>
      <c r="QDR3" s="721"/>
      <c r="QDS3" s="722"/>
      <c r="QDT3" s="722"/>
      <c r="QDU3" s="722"/>
      <c r="QDV3" s="722"/>
      <c r="QDW3" s="722"/>
      <c r="QDX3" s="723"/>
      <c r="QDY3" s="724"/>
      <c r="QDZ3" s="725"/>
      <c r="QEA3" s="726"/>
      <c r="QEB3" s="726"/>
      <c r="QEC3" s="726"/>
      <c r="QED3" s="726"/>
      <c r="QEE3" s="726"/>
      <c r="QEF3" s="727"/>
      <c r="QEG3" s="724"/>
      <c r="QEH3" s="725"/>
      <c r="QEI3" s="726"/>
      <c r="QEJ3" s="726"/>
      <c r="QEK3" s="726"/>
      <c r="QEL3" s="726"/>
      <c r="QEM3" s="726"/>
      <c r="QEN3" s="727"/>
      <c r="QEO3" s="728"/>
      <c r="QEP3" s="729"/>
      <c r="QEQ3" s="730"/>
      <c r="QER3" s="731"/>
      <c r="QES3" s="731"/>
      <c r="QET3" s="731"/>
      <c r="QEU3" s="731"/>
      <c r="QEV3" s="732"/>
      <c r="QEW3" s="225"/>
      <c r="QEX3" s="716"/>
      <c r="QEY3" s="717"/>
      <c r="QEZ3" s="718"/>
      <c r="QFA3" s="718"/>
      <c r="QFB3" s="718"/>
      <c r="QFC3" s="718"/>
      <c r="QFD3" s="718"/>
      <c r="QFE3" s="719"/>
      <c r="QFF3" s="720"/>
      <c r="QFG3" s="721"/>
      <c r="QFH3" s="722"/>
      <c r="QFI3" s="722"/>
      <c r="QFJ3" s="722"/>
      <c r="QFK3" s="722"/>
      <c r="QFL3" s="722"/>
      <c r="QFM3" s="723"/>
      <c r="QFN3" s="724"/>
      <c r="QFO3" s="725"/>
      <c r="QFP3" s="726"/>
      <c r="QFQ3" s="726"/>
      <c r="QFR3" s="726"/>
      <c r="QFS3" s="726"/>
      <c r="QFT3" s="726"/>
      <c r="QFU3" s="727"/>
      <c r="QFV3" s="724"/>
      <c r="QFW3" s="725"/>
      <c r="QFX3" s="726"/>
      <c r="QFY3" s="726"/>
      <c r="QFZ3" s="726"/>
      <c r="QGA3" s="726"/>
      <c r="QGB3" s="726"/>
      <c r="QGC3" s="727"/>
      <c r="QGD3" s="728"/>
      <c r="QGE3" s="729"/>
      <c r="QGF3" s="730"/>
      <c r="QGG3" s="731"/>
      <c r="QGH3" s="731"/>
      <c r="QGI3" s="731"/>
      <c r="QGJ3" s="731"/>
      <c r="QGK3" s="732"/>
      <c r="QGL3" s="225"/>
      <c r="QGM3" s="716"/>
      <c r="QGN3" s="717"/>
      <c r="QGO3" s="718"/>
      <c r="QGP3" s="718"/>
      <c r="QGQ3" s="718"/>
      <c r="QGR3" s="718"/>
      <c r="QGS3" s="718"/>
      <c r="QGT3" s="719"/>
      <c r="QGU3" s="720"/>
      <c r="QGV3" s="721"/>
      <c r="QGW3" s="722"/>
      <c r="QGX3" s="722"/>
      <c r="QGY3" s="722"/>
      <c r="QGZ3" s="722"/>
      <c r="QHA3" s="722"/>
      <c r="QHB3" s="723"/>
      <c r="QHC3" s="724"/>
      <c r="QHD3" s="725"/>
      <c r="QHE3" s="726"/>
      <c r="QHF3" s="726"/>
      <c r="QHG3" s="726"/>
      <c r="QHH3" s="726"/>
      <c r="QHI3" s="726"/>
      <c r="QHJ3" s="727"/>
      <c r="QHK3" s="724"/>
      <c r="QHL3" s="725"/>
      <c r="QHM3" s="726"/>
      <c r="QHN3" s="726"/>
      <c r="QHO3" s="726"/>
      <c r="QHP3" s="726"/>
      <c r="QHQ3" s="726"/>
      <c r="QHR3" s="727"/>
      <c r="QHS3" s="728"/>
      <c r="QHT3" s="729"/>
      <c r="QHU3" s="730"/>
      <c r="QHV3" s="731"/>
      <c r="QHW3" s="731"/>
      <c r="QHX3" s="731"/>
      <c r="QHY3" s="731"/>
      <c r="QHZ3" s="732"/>
      <c r="QIA3" s="225"/>
      <c r="QIB3" s="716"/>
      <c r="QIC3" s="717"/>
      <c r="QID3" s="718"/>
      <c r="QIE3" s="718"/>
      <c r="QIF3" s="718"/>
      <c r="QIG3" s="718"/>
      <c r="QIH3" s="718"/>
      <c r="QII3" s="719"/>
      <c r="QIJ3" s="720"/>
      <c r="QIK3" s="721"/>
      <c r="QIL3" s="722"/>
      <c r="QIM3" s="722"/>
      <c r="QIN3" s="722"/>
      <c r="QIO3" s="722"/>
      <c r="QIP3" s="722"/>
      <c r="QIQ3" s="723"/>
      <c r="QIR3" s="724"/>
      <c r="QIS3" s="725"/>
      <c r="QIT3" s="726"/>
      <c r="QIU3" s="726"/>
      <c r="QIV3" s="726"/>
      <c r="QIW3" s="726"/>
      <c r="QIX3" s="726"/>
      <c r="QIY3" s="727"/>
      <c r="QIZ3" s="724"/>
      <c r="QJA3" s="725"/>
      <c r="QJB3" s="726"/>
      <c r="QJC3" s="726"/>
      <c r="QJD3" s="726"/>
      <c r="QJE3" s="726"/>
      <c r="QJF3" s="726"/>
      <c r="QJG3" s="727"/>
      <c r="QJH3" s="728"/>
      <c r="QJI3" s="729"/>
      <c r="QJJ3" s="730"/>
      <c r="QJK3" s="731"/>
      <c r="QJL3" s="731"/>
      <c r="QJM3" s="731"/>
      <c r="QJN3" s="731"/>
      <c r="QJO3" s="732"/>
      <c r="QJP3" s="225"/>
      <c r="QJQ3" s="716"/>
      <c r="QJR3" s="717"/>
      <c r="QJS3" s="718"/>
      <c r="QJT3" s="718"/>
      <c r="QJU3" s="718"/>
      <c r="QJV3" s="718"/>
      <c r="QJW3" s="718"/>
      <c r="QJX3" s="719"/>
      <c r="QJY3" s="720"/>
      <c r="QJZ3" s="721"/>
      <c r="QKA3" s="722"/>
      <c r="QKB3" s="722"/>
      <c r="QKC3" s="722"/>
      <c r="QKD3" s="722"/>
      <c r="QKE3" s="722"/>
      <c r="QKF3" s="723"/>
      <c r="QKG3" s="724"/>
      <c r="QKH3" s="725"/>
      <c r="QKI3" s="726"/>
      <c r="QKJ3" s="726"/>
      <c r="QKK3" s="726"/>
      <c r="QKL3" s="726"/>
      <c r="QKM3" s="726"/>
      <c r="QKN3" s="727"/>
      <c r="QKO3" s="724"/>
      <c r="QKP3" s="725"/>
      <c r="QKQ3" s="726"/>
      <c r="QKR3" s="726"/>
      <c r="QKS3" s="726"/>
      <c r="QKT3" s="726"/>
      <c r="QKU3" s="726"/>
      <c r="QKV3" s="727"/>
      <c r="QKW3" s="728"/>
      <c r="QKX3" s="729"/>
      <c r="QKY3" s="730"/>
      <c r="QKZ3" s="731"/>
      <c r="QLA3" s="731"/>
      <c r="QLB3" s="731"/>
      <c r="QLC3" s="731"/>
      <c r="QLD3" s="732"/>
      <c r="QLE3" s="225"/>
      <c r="QLF3" s="716"/>
      <c r="QLG3" s="717"/>
      <c r="QLH3" s="718"/>
      <c r="QLI3" s="718"/>
      <c r="QLJ3" s="718"/>
      <c r="QLK3" s="718"/>
      <c r="QLL3" s="718"/>
      <c r="QLM3" s="719"/>
      <c r="QLN3" s="720"/>
      <c r="QLO3" s="721"/>
      <c r="QLP3" s="722"/>
      <c r="QLQ3" s="722"/>
      <c r="QLR3" s="722"/>
      <c r="QLS3" s="722"/>
      <c r="QLT3" s="722"/>
      <c r="QLU3" s="723"/>
      <c r="QLV3" s="724"/>
      <c r="QLW3" s="725"/>
      <c r="QLX3" s="726"/>
      <c r="QLY3" s="726"/>
      <c r="QLZ3" s="726"/>
      <c r="QMA3" s="726"/>
      <c r="QMB3" s="726"/>
      <c r="QMC3" s="727"/>
      <c r="QMD3" s="724"/>
      <c r="QME3" s="725"/>
      <c r="QMF3" s="726"/>
      <c r="QMG3" s="726"/>
      <c r="QMH3" s="726"/>
      <c r="QMI3" s="726"/>
      <c r="QMJ3" s="726"/>
      <c r="QMK3" s="727"/>
      <c r="QML3" s="728"/>
      <c r="QMM3" s="729"/>
      <c r="QMN3" s="730"/>
      <c r="QMO3" s="731"/>
      <c r="QMP3" s="731"/>
      <c r="QMQ3" s="731"/>
      <c r="QMR3" s="731"/>
      <c r="QMS3" s="732"/>
      <c r="QMT3" s="225"/>
      <c r="QMU3" s="716"/>
      <c r="QMV3" s="717"/>
      <c r="QMW3" s="718"/>
      <c r="QMX3" s="718"/>
      <c r="QMY3" s="718"/>
      <c r="QMZ3" s="718"/>
      <c r="QNA3" s="718"/>
      <c r="QNB3" s="719"/>
      <c r="QNC3" s="720"/>
      <c r="QND3" s="721"/>
      <c r="QNE3" s="722"/>
      <c r="QNF3" s="722"/>
      <c r="QNG3" s="722"/>
      <c r="QNH3" s="722"/>
      <c r="QNI3" s="722"/>
      <c r="QNJ3" s="723"/>
      <c r="QNK3" s="724"/>
      <c r="QNL3" s="725"/>
      <c r="QNM3" s="726"/>
      <c r="QNN3" s="726"/>
      <c r="QNO3" s="726"/>
      <c r="QNP3" s="726"/>
      <c r="QNQ3" s="726"/>
      <c r="QNR3" s="727"/>
      <c r="QNS3" s="724"/>
      <c r="QNT3" s="725"/>
      <c r="QNU3" s="726"/>
      <c r="QNV3" s="726"/>
      <c r="QNW3" s="726"/>
      <c r="QNX3" s="726"/>
      <c r="QNY3" s="726"/>
      <c r="QNZ3" s="727"/>
      <c r="QOA3" s="728"/>
      <c r="QOB3" s="729"/>
      <c r="QOC3" s="730"/>
      <c r="QOD3" s="731"/>
      <c r="QOE3" s="731"/>
      <c r="QOF3" s="731"/>
      <c r="QOG3" s="731"/>
      <c r="QOH3" s="732"/>
      <c r="QOI3" s="225"/>
      <c r="QOJ3" s="716"/>
      <c r="QOK3" s="717"/>
      <c r="QOL3" s="718"/>
      <c r="QOM3" s="718"/>
      <c r="QON3" s="718"/>
      <c r="QOO3" s="718"/>
      <c r="QOP3" s="718"/>
      <c r="QOQ3" s="719"/>
      <c r="QOR3" s="720"/>
      <c r="QOS3" s="721"/>
      <c r="QOT3" s="722"/>
      <c r="QOU3" s="722"/>
      <c r="QOV3" s="722"/>
      <c r="QOW3" s="722"/>
      <c r="QOX3" s="722"/>
      <c r="QOY3" s="723"/>
      <c r="QOZ3" s="724"/>
      <c r="QPA3" s="725"/>
      <c r="QPB3" s="726"/>
      <c r="QPC3" s="726"/>
      <c r="QPD3" s="726"/>
      <c r="QPE3" s="726"/>
      <c r="QPF3" s="726"/>
      <c r="QPG3" s="727"/>
      <c r="QPH3" s="724"/>
      <c r="QPI3" s="725"/>
      <c r="QPJ3" s="726"/>
      <c r="QPK3" s="726"/>
      <c r="QPL3" s="726"/>
      <c r="QPM3" s="726"/>
      <c r="QPN3" s="726"/>
      <c r="QPO3" s="727"/>
      <c r="QPP3" s="728"/>
      <c r="QPQ3" s="729"/>
      <c r="QPR3" s="730"/>
      <c r="QPS3" s="731"/>
      <c r="QPT3" s="731"/>
      <c r="QPU3" s="731"/>
      <c r="QPV3" s="731"/>
      <c r="QPW3" s="732"/>
      <c r="QPX3" s="225"/>
      <c r="QPY3" s="716"/>
      <c r="QPZ3" s="717"/>
      <c r="QQA3" s="718"/>
      <c r="QQB3" s="718"/>
      <c r="QQC3" s="718"/>
      <c r="QQD3" s="718"/>
      <c r="QQE3" s="718"/>
      <c r="QQF3" s="719"/>
      <c r="QQG3" s="720"/>
      <c r="QQH3" s="721"/>
      <c r="QQI3" s="722"/>
      <c r="QQJ3" s="722"/>
      <c r="QQK3" s="722"/>
      <c r="QQL3" s="722"/>
      <c r="QQM3" s="722"/>
      <c r="QQN3" s="723"/>
      <c r="QQO3" s="724"/>
      <c r="QQP3" s="725"/>
      <c r="QQQ3" s="726"/>
      <c r="QQR3" s="726"/>
      <c r="QQS3" s="726"/>
      <c r="QQT3" s="726"/>
      <c r="QQU3" s="726"/>
      <c r="QQV3" s="727"/>
      <c r="QQW3" s="724"/>
      <c r="QQX3" s="725"/>
      <c r="QQY3" s="726"/>
      <c r="QQZ3" s="726"/>
      <c r="QRA3" s="726"/>
      <c r="QRB3" s="726"/>
      <c r="QRC3" s="726"/>
      <c r="QRD3" s="727"/>
      <c r="QRE3" s="728"/>
      <c r="QRF3" s="729"/>
      <c r="QRG3" s="730"/>
      <c r="QRH3" s="731"/>
      <c r="QRI3" s="731"/>
      <c r="QRJ3" s="731"/>
      <c r="QRK3" s="731"/>
      <c r="QRL3" s="732"/>
      <c r="QRM3" s="225"/>
      <c r="QRN3" s="716"/>
      <c r="QRO3" s="717"/>
      <c r="QRP3" s="718"/>
      <c r="QRQ3" s="718"/>
      <c r="QRR3" s="718"/>
      <c r="QRS3" s="718"/>
      <c r="QRT3" s="718"/>
      <c r="QRU3" s="719"/>
      <c r="QRV3" s="720"/>
      <c r="QRW3" s="721"/>
      <c r="QRX3" s="722"/>
      <c r="QRY3" s="722"/>
      <c r="QRZ3" s="722"/>
      <c r="QSA3" s="722"/>
      <c r="QSB3" s="722"/>
      <c r="QSC3" s="723"/>
      <c r="QSD3" s="724"/>
      <c r="QSE3" s="725"/>
      <c r="QSF3" s="726"/>
      <c r="QSG3" s="726"/>
      <c r="QSH3" s="726"/>
      <c r="QSI3" s="726"/>
      <c r="QSJ3" s="726"/>
      <c r="QSK3" s="727"/>
      <c r="QSL3" s="724"/>
      <c r="QSM3" s="725"/>
      <c r="QSN3" s="726"/>
      <c r="QSO3" s="726"/>
      <c r="QSP3" s="726"/>
      <c r="QSQ3" s="726"/>
      <c r="QSR3" s="726"/>
      <c r="QSS3" s="727"/>
      <c r="QST3" s="728"/>
      <c r="QSU3" s="729"/>
      <c r="QSV3" s="730"/>
      <c r="QSW3" s="731"/>
      <c r="QSX3" s="731"/>
      <c r="QSY3" s="731"/>
      <c r="QSZ3" s="731"/>
      <c r="QTA3" s="732"/>
      <c r="QTB3" s="225"/>
      <c r="QTC3" s="716"/>
      <c r="QTD3" s="717"/>
      <c r="QTE3" s="718"/>
      <c r="QTF3" s="718"/>
      <c r="QTG3" s="718"/>
      <c r="QTH3" s="718"/>
      <c r="QTI3" s="718"/>
      <c r="QTJ3" s="719"/>
      <c r="QTK3" s="720"/>
      <c r="QTL3" s="721"/>
      <c r="QTM3" s="722"/>
      <c r="QTN3" s="722"/>
      <c r="QTO3" s="722"/>
      <c r="QTP3" s="722"/>
      <c r="QTQ3" s="722"/>
      <c r="QTR3" s="723"/>
      <c r="QTS3" s="724"/>
      <c r="QTT3" s="725"/>
      <c r="QTU3" s="726"/>
      <c r="QTV3" s="726"/>
      <c r="QTW3" s="726"/>
      <c r="QTX3" s="726"/>
      <c r="QTY3" s="726"/>
      <c r="QTZ3" s="727"/>
      <c r="QUA3" s="724"/>
      <c r="QUB3" s="725"/>
      <c r="QUC3" s="726"/>
      <c r="QUD3" s="726"/>
      <c r="QUE3" s="726"/>
      <c r="QUF3" s="726"/>
      <c r="QUG3" s="726"/>
      <c r="QUH3" s="727"/>
      <c r="QUI3" s="728"/>
      <c r="QUJ3" s="729"/>
      <c r="QUK3" s="730"/>
      <c r="QUL3" s="731"/>
      <c r="QUM3" s="731"/>
      <c r="QUN3" s="731"/>
      <c r="QUO3" s="731"/>
      <c r="QUP3" s="732"/>
      <c r="QUQ3" s="225"/>
      <c r="QUR3" s="716"/>
      <c r="QUS3" s="717"/>
      <c r="QUT3" s="718"/>
      <c r="QUU3" s="718"/>
      <c r="QUV3" s="718"/>
      <c r="QUW3" s="718"/>
      <c r="QUX3" s="718"/>
      <c r="QUY3" s="719"/>
      <c r="QUZ3" s="720"/>
      <c r="QVA3" s="721"/>
      <c r="QVB3" s="722"/>
      <c r="QVC3" s="722"/>
      <c r="QVD3" s="722"/>
      <c r="QVE3" s="722"/>
      <c r="QVF3" s="722"/>
      <c r="QVG3" s="723"/>
      <c r="QVH3" s="724"/>
      <c r="QVI3" s="725"/>
      <c r="QVJ3" s="726"/>
      <c r="QVK3" s="726"/>
      <c r="QVL3" s="726"/>
      <c r="QVM3" s="726"/>
      <c r="QVN3" s="726"/>
      <c r="QVO3" s="727"/>
      <c r="QVP3" s="724"/>
      <c r="QVQ3" s="725"/>
      <c r="QVR3" s="726"/>
      <c r="QVS3" s="726"/>
      <c r="QVT3" s="726"/>
      <c r="QVU3" s="726"/>
      <c r="QVV3" s="726"/>
      <c r="QVW3" s="727"/>
      <c r="QVX3" s="728"/>
      <c r="QVY3" s="729"/>
      <c r="QVZ3" s="730"/>
      <c r="QWA3" s="731"/>
      <c r="QWB3" s="731"/>
      <c r="QWC3" s="731"/>
      <c r="QWD3" s="731"/>
      <c r="QWE3" s="732"/>
      <c r="QWF3" s="225"/>
      <c r="QWG3" s="716"/>
      <c r="QWH3" s="717"/>
      <c r="QWI3" s="718"/>
      <c r="QWJ3" s="718"/>
      <c r="QWK3" s="718"/>
      <c r="QWL3" s="718"/>
      <c r="QWM3" s="718"/>
      <c r="QWN3" s="719"/>
      <c r="QWO3" s="720"/>
      <c r="QWP3" s="721"/>
      <c r="QWQ3" s="722"/>
      <c r="QWR3" s="722"/>
      <c r="QWS3" s="722"/>
      <c r="QWT3" s="722"/>
      <c r="QWU3" s="722"/>
      <c r="QWV3" s="723"/>
      <c r="QWW3" s="724"/>
      <c r="QWX3" s="725"/>
      <c r="QWY3" s="726"/>
      <c r="QWZ3" s="726"/>
      <c r="QXA3" s="726"/>
      <c r="QXB3" s="726"/>
      <c r="QXC3" s="726"/>
      <c r="QXD3" s="727"/>
      <c r="QXE3" s="724"/>
      <c r="QXF3" s="725"/>
      <c r="QXG3" s="726"/>
      <c r="QXH3" s="726"/>
      <c r="QXI3" s="726"/>
      <c r="QXJ3" s="726"/>
      <c r="QXK3" s="726"/>
      <c r="QXL3" s="727"/>
      <c r="QXM3" s="728"/>
      <c r="QXN3" s="729"/>
      <c r="QXO3" s="730"/>
      <c r="QXP3" s="731"/>
      <c r="QXQ3" s="731"/>
      <c r="QXR3" s="731"/>
      <c r="QXS3" s="731"/>
      <c r="QXT3" s="732"/>
      <c r="QXU3" s="225"/>
      <c r="QXV3" s="716"/>
      <c r="QXW3" s="717"/>
      <c r="QXX3" s="718"/>
      <c r="QXY3" s="718"/>
      <c r="QXZ3" s="718"/>
      <c r="QYA3" s="718"/>
      <c r="QYB3" s="718"/>
      <c r="QYC3" s="719"/>
      <c r="QYD3" s="720"/>
      <c r="QYE3" s="721"/>
      <c r="QYF3" s="722"/>
      <c r="QYG3" s="722"/>
      <c r="QYH3" s="722"/>
      <c r="QYI3" s="722"/>
      <c r="QYJ3" s="722"/>
      <c r="QYK3" s="723"/>
      <c r="QYL3" s="724"/>
      <c r="QYM3" s="725"/>
      <c r="QYN3" s="726"/>
      <c r="QYO3" s="726"/>
      <c r="QYP3" s="726"/>
      <c r="QYQ3" s="726"/>
      <c r="QYR3" s="726"/>
      <c r="QYS3" s="727"/>
      <c r="QYT3" s="724"/>
      <c r="QYU3" s="725"/>
      <c r="QYV3" s="726"/>
      <c r="QYW3" s="726"/>
      <c r="QYX3" s="726"/>
      <c r="QYY3" s="726"/>
      <c r="QYZ3" s="726"/>
      <c r="QZA3" s="727"/>
      <c r="QZB3" s="728"/>
      <c r="QZC3" s="729"/>
      <c r="QZD3" s="730"/>
      <c r="QZE3" s="731"/>
      <c r="QZF3" s="731"/>
      <c r="QZG3" s="731"/>
      <c r="QZH3" s="731"/>
      <c r="QZI3" s="732"/>
      <c r="QZJ3" s="225"/>
      <c r="QZK3" s="716"/>
      <c r="QZL3" s="717"/>
      <c r="QZM3" s="718"/>
      <c r="QZN3" s="718"/>
      <c r="QZO3" s="718"/>
      <c r="QZP3" s="718"/>
      <c r="QZQ3" s="718"/>
      <c r="QZR3" s="719"/>
      <c r="QZS3" s="720"/>
      <c r="QZT3" s="721"/>
      <c r="QZU3" s="722"/>
      <c r="QZV3" s="722"/>
      <c r="QZW3" s="722"/>
      <c r="QZX3" s="722"/>
      <c r="QZY3" s="722"/>
      <c r="QZZ3" s="723"/>
      <c r="RAA3" s="724"/>
      <c r="RAB3" s="725"/>
      <c r="RAC3" s="726"/>
      <c r="RAD3" s="726"/>
      <c r="RAE3" s="726"/>
      <c r="RAF3" s="726"/>
      <c r="RAG3" s="726"/>
      <c r="RAH3" s="727"/>
      <c r="RAI3" s="724"/>
      <c r="RAJ3" s="725"/>
      <c r="RAK3" s="726"/>
      <c r="RAL3" s="726"/>
      <c r="RAM3" s="726"/>
      <c r="RAN3" s="726"/>
      <c r="RAO3" s="726"/>
      <c r="RAP3" s="727"/>
      <c r="RAQ3" s="728"/>
      <c r="RAR3" s="729"/>
      <c r="RAS3" s="730"/>
      <c r="RAT3" s="731"/>
      <c r="RAU3" s="731"/>
      <c r="RAV3" s="731"/>
      <c r="RAW3" s="731"/>
      <c r="RAX3" s="732"/>
      <c r="RAY3" s="225"/>
      <c r="RAZ3" s="716"/>
      <c r="RBA3" s="717"/>
      <c r="RBB3" s="718"/>
      <c r="RBC3" s="718"/>
      <c r="RBD3" s="718"/>
      <c r="RBE3" s="718"/>
      <c r="RBF3" s="718"/>
      <c r="RBG3" s="719"/>
      <c r="RBH3" s="720"/>
      <c r="RBI3" s="721"/>
      <c r="RBJ3" s="722"/>
      <c r="RBK3" s="722"/>
      <c r="RBL3" s="722"/>
      <c r="RBM3" s="722"/>
      <c r="RBN3" s="722"/>
      <c r="RBO3" s="723"/>
      <c r="RBP3" s="724"/>
      <c r="RBQ3" s="725"/>
      <c r="RBR3" s="726"/>
      <c r="RBS3" s="726"/>
      <c r="RBT3" s="726"/>
      <c r="RBU3" s="726"/>
      <c r="RBV3" s="726"/>
      <c r="RBW3" s="727"/>
      <c r="RBX3" s="724"/>
      <c r="RBY3" s="725"/>
      <c r="RBZ3" s="726"/>
      <c r="RCA3" s="726"/>
      <c r="RCB3" s="726"/>
      <c r="RCC3" s="726"/>
      <c r="RCD3" s="726"/>
      <c r="RCE3" s="727"/>
      <c r="RCF3" s="728"/>
      <c r="RCG3" s="729"/>
      <c r="RCH3" s="730"/>
      <c r="RCI3" s="731"/>
      <c r="RCJ3" s="731"/>
      <c r="RCK3" s="731"/>
      <c r="RCL3" s="731"/>
      <c r="RCM3" s="732"/>
      <c r="RCN3" s="225"/>
      <c r="RCO3" s="716"/>
      <c r="RCP3" s="717"/>
      <c r="RCQ3" s="718"/>
      <c r="RCR3" s="718"/>
      <c r="RCS3" s="718"/>
      <c r="RCT3" s="718"/>
      <c r="RCU3" s="718"/>
      <c r="RCV3" s="719"/>
      <c r="RCW3" s="720"/>
      <c r="RCX3" s="721"/>
      <c r="RCY3" s="722"/>
      <c r="RCZ3" s="722"/>
      <c r="RDA3" s="722"/>
      <c r="RDB3" s="722"/>
      <c r="RDC3" s="722"/>
      <c r="RDD3" s="723"/>
      <c r="RDE3" s="724"/>
      <c r="RDF3" s="725"/>
      <c r="RDG3" s="726"/>
      <c r="RDH3" s="726"/>
      <c r="RDI3" s="726"/>
      <c r="RDJ3" s="726"/>
      <c r="RDK3" s="726"/>
      <c r="RDL3" s="727"/>
      <c r="RDM3" s="724"/>
      <c r="RDN3" s="725"/>
      <c r="RDO3" s="726"/>
      <c r="RDP3" s="726"/>
      <c r="RDQ3" s="726"/>
      <c r="RDR3" s="726"/>
      <c r="RDS3" s="726"/>
      <c r="RDT3" s="727"/>
      <c r="RDU3" s="728"/>
      <c r="RDV3" s="729"/>
      <c r="RDW3" s="730"/>
      <c r="RDX3" s="731"/>
      <c r="RDY3" s="731"/>
      <c r="RDZ3" s="731"/>
      <c r="REA3" s="731"/>
      <c r="REB3" s="732"/>
      <c r="REC3" s="225"/>
      <c r="RED3" s="716"/>
      <c r="REE3" s="717"/>
      <c r="REF3" s="718"/>
      <c r="REG3" s="718"/>
      <c r="REH3" s="718"/>
      <c r="REI3" s="718"/>
      <c r="REJ3" s="718"/>
      <c r="REK3" s="719"/>
      <c r="REL3" s="720"/>
      <c r="REM3" s="721"/>
      <c r="REN3" s="722"/>
      <c r="REO3" s="722"/>
      <c r="REP3" s="722"/>
      <c r="REQ3" s="722"/>
      <c r="RER3" s="722"/>
      <c r="RES3" s="723"/>
      <c r="RET3" s="724"/>
      <c r="REU3" s="725"/>
      <c r="REV3" s="726"/>
      <c r="REW3" s="726"/>
      <c r="REX3" s="726"/>
      <c r="REY3" s="726"/>
      <c r="REZ3" s="726"/>
      <c r="RFA3" s="727"/>
      <c r="RFB3" s="724"/>
      <c r="RFC3" s="725"/>
      <c r="RFD3" s="726"/>
      <c r="RFE3" s="726"/>
      <c r="RFF3" s="726"/>
      <c r="RFG3" s="726"/>
      <c r="RFH3" s="726"/>
      <c r="RFI3" s="727"/>
      <c r="RFJ3" s="728"/>
      <c r="RFK3" s="729"/>
      <c r="RFL3" s="730"/>
      <c r="RFM3" s="731"/>
      <c r="RFN3" s="731"/>
      <c r="RFO3" s="731"/>
      <c r="RFP3" s="731"/>
      <c r="RFQ3" s="732"/>
      <c r="RFR3" s="225"/>
      <c r="RFS3" s="716"/>
      <c r="RFT3" s="717"/>
      <c r="RFU3" s="718"/>
      <c r="RFV3" s="718"/>
      <c r="RFW3" s="718"/>
      <c r="RFX3" s="718"/>
      <c r="RFY3" s="718"/>
      <c r="RFZ3" s="719"/>
      <c r="RGA3" s="720"/>
      <c r="RGB3" s="721"/>
      <c r="RGC3" s="722"/>
      <c r="RGD3" s="722"/>
      <c r="RGE3" s="722"/>
      <c r="RGF3" s="722"/>
      <c r="RGG3" s="722"/>
      <c r="RGH3" s="723"/>
      <c r="RGI3" s="724"/>
      <c r="RGJ3" s="725"/>
      <c r="RGK3" s="726"/>
      <c r="RGL3" s="726"/>
      <c r="RGM3" s="726"/>
      <c r="RGN3" s="726"/>
      <c r="RGO3" s="726"/>
      <c r="RGP3" s="727"/>
      <c r="RGQ3" s="724"/>
      <c r="RGR3" s="725"/>
      <c r="RGS3" s="726"/>
      <c r="RGT3" s="726"/>
      <c r="RGU3" s="726"/>
      <c r="RGV3" s="726"/>
      <c r="RGW3" s="726"/>
      <c r="RGX3" s="727"/>
      <c r="RGY3" s="728"/>
      <c r="RGZ3" s="729"/>
      <c r="RHA3" s="730"/>
      <c r="RHB3" s="731"/>
      <c r="RHC3" s="731"/>
      <c r="RHD3" s="731"/>
      <c r="RHE3" s="731"/>
      <c r="RHF3" s="732"/>
      <c r="RHG3" s="225"/>
      <c r="RHH3" s="716"/>
      <c r="RHI3" s="717"/>
      <c r="RHJ3" s="718"/>
      <c r="RHK3" s="718"/>
      <c r="RHL3" s="718"/>
      <c r="RHM3" s="718"/>
      <c r="RHN3" s="718"/>
      <c r="RHO3" s="719"/>
      <c r="RHP3" s="720"/>
      <c r="RHQ3" s="721"/>
      <c r="RHR3" s="722"/>
      <c r="RHS3" s="722"/>
      <c r="RHT3" s="722"/>
      <c r="RHU3" s="722"/>
      <c r="RHV3" s="722"/>
      <c r="RHW3" s="723"/>
      <c r="RHX3" s="724"/>
      <c r="RHY3" s="725"/>
      <c r="RHZ3" s="726"/>
      <c r="RIA3" s="726"/>
      <c r="RIB3" s="726"/>
      <c r="RIC3" s="726"/>
      <c r="RID3" s="726"/>
      <c r="RIE3" s="727"/>
      <c r="RIF3" s="724"/>
      <c r="RIG3" s="725"/>
      <c r="RIH3" s="726"/>
      <c r="RII3" s="726"/>
      <c r="RIJ3" s="726"/>
      <c r="RIK3" s="726"/>
      <c r="RIL3" s="726"/>
      <c r="RIM3" s="727"/>
      <c r="RIN3" s="728"/>
      <c r="RIO3" s="729"/>
      <c r="RIP3" s="730"/>
      <c r="RIQ3" s="731"/>
      <c r="RIR3" s="731"/>
      <c r="RIS3" s="731"/>
      <c r="RIT3" s="731"/>
      <c r="RIU3" s="732"/>
      <c r="RIV3" s="225"/>
      <c r="RIW3" s="716"/>
      <c r="RIX3" s="717"/>
      <c r="RIY3" s="718"/>
      <c r="RIZ3" s="718"/>
      <c r="RJA3" s="718"/>
      <c r="RJB3" s="718"/>
      <c r="RJC3" s="718"/>
      <c r="RJD3" s="719"/>
      <c r="RJE3" s="720"/>
      <c r="RJF3" s="721"/>
      <c r="RJG3" s="722"/>
      <c r="RJH3" s="722"/>
      <c r="RJI3" s="722"/>
      <c r="RJJ3" s="722"/>
      <c r="RJK3" s="722"/>
      <c r="RJL3" s="723"/>
      <c r="RJM3" s="724"/>
      <c r="RJN3" s="725"/>
      <c r="RJO3" s="726"/>
      <c r="RJP3" s="726"/>
      <c r="RJQ3" s="726"/>
      <c r="RJR3" s="726"/>
      <c r="RJS3" s="726"/>
      <c r="RJT3" s="727"/>
      <c r="RJU3" s="724"/>
      <c r="RJV3" s="725"/>
      <c r="RJW3" s="726"/>
      <c r="RJX3" s="726"/>
      <c r="RJY3" s="726"/>
      <c r="RJZ3" s="726"/>
      <c r="RKA3" s="726"/>
      <c r="RKB3" s="727"/>
      <c r="RKC3" s="728"/>
      <c r="RKD3" s="729"/>
      <c r="RKE3" s="730"/>
      <c r="RKF3" s="731"/>
      <c r="RKG3" s="731"/>
      <c r="RKH3" s="731"/>
      <c r="RKI3" s="731"/>
      <c r="RKJ3" s="732"/>
      <c r="RKK3" s="225"/>
      <c r="RKL3" s="716"/>
      <c r="RKM3" s="717"/>
      <c r="RKN3" s="718"/>
      <c r="RKO3" s="718"/>
      <c r="RKP3" s="718"/>
      <c r="RKQ3" s="718"/>
      <c r="RKR3" s="718"/>
      <c r="RKS3" s="719"/>
      <c r="RKT3" s="720"/>
      <c r="RKU3" s="721"/>
      <c r="RKV3" s="722"/>
      <c r="RKW3" s="722"/>
      <c r="RKX3" s="722"/>
      <c r="RKY3" s="722"/>
      <c r="RKZ3" s="722"/>
      <c r="RLA3" s="723"/>
      <c r="RLB3" s="724"/>
      <c r="RLC3" s="725"/>
      <c r="RLD3" s="726"/>
      <c r="RLE3" s="726"/>
      <c r="RLF3" s="726"/>
      <c r="RLG3" s="726"/>
      <c r="RLH3" s="726"/>
      <c r="RLI3" s="727"/>
      <c r="RLJ3" s="724"/>
      <c r="RLK3" s="725"/>
      <c r="RLL3" s="726"/>
      <c r="RLM3" s="726"/>
      <c r="RLN3" s="726"/>
      <c r="RLO3" s="726"/>
      <c r="RLP3" s="726"/>
      <c r="RLQ3" s="727"/>
      <c r="RLR3" s="728"/>
      <c r="RLS3" s="729"/>
      <c r="RLT3" s="730"/>
      <c r="RLU3" s="731"/>
      <c r="RLV3" s="731"/>
      <c r="RLW3" s="731"/>
      <c r="RLX3" s="731"/>
      <c r="RLY3" s="732"/>
      <c r="RLZ3" s="225"/>
      <c r="RMA3" s="716"/>
      <c r="RMB3" s="717"/>
      <c r="RMC3" s="718"/>
      <c r="RMD3" s="718"/>
      <c r="RME3" s="718"/>
      <c r="RMF3" s="718"/>
      <c r="RMG3" s="718"/>
      <c r="RMH3" s="719"/>
      <c r="RMI3" s="720"/>
      <c r="RMJ3" s="721"/>
      <c r="RMK3" s="722"/>
      <c r="RML3" s="722"/>
      <c r="RMM3" s="722"/>
      <c r="RMN3" s="722"/>
      <c r="RMO3" s="722"/>
      <c r="RMP3" s="723"/>
      <c r="RMQ3" s="724"/>
      <c r="RMR3" s="725"/>
      <c r="RMS3" s="726"/>
      <c r="RMT3" s="726"/>
      <c r="RMU3" s="726"/>
      <c r="RMV3" s="726"/>
      <c r="RMW3" s="726"/>
      <c r="RMX3" s="727"/>
      <c r="RMY3" s="724"/>
      <c r="RMZ3" s="725"/>
      <c r="RNA3" s="726"/>
      <c r="RNB3" s="726"/>
      <c r="RNC3" s="726"/>
      <c r="RND3" s="726"/>
      <c r="RNE3" s="726"/>
      <c r="RNF3" s="727"/>
      <c r="RNG3" s="728"/>
      <c r="RNH3" s="729"/>
      <c r="RNI3" s="730"/>
      <c r="RNJ3" s="731"/>
      <c r="RNK3" s="731"/>
      <c r="RNL3" s="731"/>
      <c r="RNM3" s="731"/>
      <c r="RNN3" s="732"/>
      <c r="RNO3" s="225"/>
      <c r="RNP3" s="716"/>
      <c r="RNQ3" s="717"/>
      <c r="RNR3" s="718"/>
      <c r="RNS3" s="718"/>
      <c r="RNT3" s="718"/>
      <c r="RNU3" s="718"/>
      <c r="RNV3" s="718"/>
      <c r="RNW3" s="719"/>
      <c r="RNX3" s="720"/>
      <c r="RNY3" s="721"/>
      <c r="RNZ3" s="722"/>
      <c r="ROA3" s="722"/>
      <c r="ROB3" s="722"/>
      <c r="ROC3" s="722"/>
      <c r="ROD3" s="722"/>
      <c r="ROE3" s="723"/>
      <c r="ROF3" s="724"/>
      <c r="ROG3" s="725"/>
      <c r="ROH3" s="726"/>
      <c r="ROI3" s="726"/>
      <c r="ROJ3" s="726"/>
      <c r="ROK3" s="726"/>
      <c r="ROL3" s="726"/>
      <c r="ROM3" s="727"/>
      <c r="RON3" s="724"/>
      <c r="ROO3" s="725"/>
      <c r="ROP3" s="726"/>
      <c r="ROQ3" s="726"/>
      <c r="ROR3" s="726"/>
      <c r="ROS3" s="726"/>
      <c r="ROT3" s="726"/>
      <c r="ROU3" s="727"/>
      <c r="ROV3" s="728"/>
      <c r="ROW3" s="729"/>
      <c r="ROX3" s="730"/>
      <c r="ROY3" s="731"/>
      <c r="ROZ3" s="731"/>
      <c r="RPA3" s="731"/>
      <c r="RPB3" s="731"/>
      <c r="RPC3" s="732"/>
      <c r="RPD3" s="225"/>
      <c r="RPE3" s="716"/>
      <c r="RPF3" s="717"/>
      <c r="RPG3" s="718"/>
      <c r="RPH3" s="718"/>
      <c r="RPI3" s="718"/>
      <c r="RPJ3" s="718"/>
      <c r="RPK3" s="718"/>
      <c r="RPL3" s="719"/>
      <c r="RPM3" s="720"/>
      <c r="RPN3" s="721"/>
      <c r="RPO3" s="722"/>
      <c r="RPP3" s="722"/>
      <c r="RPQ3" s="722"/>
      <c r="RPR3" s="722"/>
      <c r="RPS3" s="722"/>
      <c r="RPT3" s="723"/>
      <c r="RPU3" s="724"/>
      <c r="RPV3" s="725"/>
      <c r="RPW3" s="726"/>
      <c r="RPX3" s="726"/>
      <c r="RPY3" s="726"/>
      <c r="RPZ3" s="726"/>
      <c r="RQA3" s="726"/>
      <c r="RQB3" s="727"/>
      <c r="RQC3" s="724"/>
      <c r="RQD3" s="725"/>
      <c r="RQE3" s="726"/>
      <c r="RQF3" s="726"/>
      <c r="RQG3" s="726"/>
      <c r="RQH3" s="726"/>
      <c r="RQI3" s="726"/>
      <c r="RQJ3" s="727"/>
      <c r="RQK3" s="728"/>
      <c r="RQL3" s="729"/>
      <c r="RQM3" s="730"/>
      <c r="RQN3" s="731"/>
      <c r="RQO3" s="731"/>
      <c r="RQP3" s="731"/>
      <c r="RQQ3" s="731"/>
      <c r="RQR3" s="732"/>
      <c r="RQS3" s="225"/>
      <c r="RQT3" s="716"/>
      <c r="RQU3" s="717"/>
      <c r="RQV3" s="718"/>
      <c r="RQW3" s="718"/>
      <c r="RQX3" s="718"/>
      <c r="RQY3" s="718"/>
      <c r="RQZ3" s="718"/>
      <c r="RRA3" s="719"/>
      <c r="RRB3" s="720"/>
      <c r="RRC3" s="721"/>
      <c r="RRD3" s="722"/>
      <c r="RRE3" s="722"/>
      <c r="RRF3" s="722"/>
      <c r="RRG3" s="722"/>
      <c r="RRH3" s="722"/>
      <c r="RRI3" s="723"/>
      <c r="RRJ3" s="724"/>
      <c r="RRK3" s="725"/>
      <c r="RRL3" s="726"/>
      <c r="RRM3" s="726"/>
      <c r="RRN3" s="726"/>
      <c r="RRO3" s="726"/>
      <c r="RRP3" s="726"/>
      <c r="RRQ3" s="727"/>
      <c r="RRR3" s="724"/>
      <c r="RRS3" s="725"/>
      <c r="RRT3" s="726"/>
      <c r="RRU3" s="726"/>
      <c r="RRV3" s="726"/>
      <c r="RRW3" s="726"/>
      <c r="RRX3" s="726"/>
      <c r="RRY3" s="727"/>
      <c r="RRZ3" s="728"/>
      <c r="RSA3" s="729"/>
      <c r="RSB3" s="730"/>
      <c r="RSC3" s="731"/>
      <c r="RSD3" s="731"/>
      <c r="RSE3" s="731"/>
      <c r="RSF3" s="731"/>
      <c r="RSG3" s="732"/>
      <c r="RSH3" s="225"/>
      <c r="RSI3" s="716"/>
      <c r="RSJ3" s="717"/>
      <c r="RSK3" s="718"/>
      <c r="RSL3" s="718"/>
      <c r="RSM3" s="718"/>
      <c r="RSN3" s="718"/>
      <c r="RSO3" s="718"/>
      <c r="RSP3" s="719"/>
      <c r="RSQ3" s="720"/>
      <c r="RSR3" s="721"/>
      <c r="RSS3" s="722"/>
      <c r="RST3" s="722"/>
      <c r="RSU3" s="722"/>
      <c r="RSV3" s="722"/>
      <c r="RSW3" s="722"/>
      <c r="RSX3" s="723"/>
      <c r="RSY3" s="724"/>
      <c r="RSZ3" s="725"/>
      <c r="RTA3" s="726"/>
      <c r="RTB3" s="726"/>
      <c r="RTC3" s="726"/>
      <c r="RTD3" s="726"/>
      <c r="RTE3" s="726"/>
      <c r="RTF3" s="727"/>
      <c r="RTG3" s="724"/>
      <c r="RTH3" s="725"/>
      <c r="RTI3" s="726"/>
      <c r="RTJ3" s="726"/>
      <c r="RTK3" s="726"/>
      <c r="RTL3" s="726"/>
      <c r="RTM3" s="726"/>
      <c r="RTN3" s="727"/>
      <c r="RTO3" s="728"/>
      <c r="RTP3" s="729"/>
      <c r="RTQ3" s="730"/>
      <c r="RTR3" s="731"/>
      <c r="RTS3" s="731"/>
      <c r="RTT3" s="731"/>
      <c r="RTU3" s="731"/>
      <c r="RTV3" s="732"/>
      <c r="RTW3" s="225"/>
      <c r="RTX3" s="716"/>
      <c r="RTY3" s="717"/>
      <c r="RTZ3" s="718"/>
      <c r="RUA3" s="718"/>
      <c r="RUB3" s="718"/>
      <c r="RUC3" s="718"/>
      <c r="RUD3" s="718"/>
      <c r="RUE3" s="719"/>
      <c r="RUF3" s="720"/>
      <c r="RUG3" s="721"/>
      <c r="RUH3" s="722"/>
      <c r="RUI3" s="722"/>
      <c r="RUJ3" s="722"/>
      <c r="RUK3" s="722"/>
      <c r="RUL3" s="722"/>
      <c r="RUM3" s="723"/>
      <c r="RUN3" s="724"/>
      <c r="RUO3" s="725"/>
      <c r="RUP3" s="726"/>
      <c r="RUQ3" s="726"/>
      <c r="RUR3" s="726"/>
      <c r="RUS3" s="726"/>
      <c r="RUT3" s="726"/>
      <c r="RUU3" s="727"/>
      <c r="RUV3" s="724"/>
      <c r="RUW3" s="725"/>
      <c r="RUX3" s="726"/>
      <c r="RUY3" s="726"/>
      <c r="RUZ3" s="726"/>
      <c r="RVA3" s="726"/>
      <c r="RVB3" s="726"/>
      <c r="RVC3" s="727"/>
      <c r="RVD3" s="728"/>
      <c r="RVE3" s="729"/>
      <c r="RVF3" s="730"/>
      <c r="RVG3" s="731"/>
      <c r="RVH3" s="731"/>
      <c r="RVI3" s="731"/>
      <c r="RVJ3" s="731"/>
      <c r="RVK3" s="732"/>
      <c r="RVL3" s="225"/>
      <c r="RVM3" s="716"/>
      <c r="RVN3" s="717"/>
      <c r="RVO3" s="718"/>
      <c r="RVP3" s="718"/>
      <c r="RVQ3" s="718"/>
      <c r="RVR3" s="718"/>
      <c r="RVS3" s="718"/>
      <c r="RVT3" s="719"/>
      <c r="RVU3" s="720"/>
      <c r="RVV3" s="721"/>
      <c r="RVW3" s="722"/>
      <c r="RVX3" s="722"/>
      <c r="RVY3" s="722"/>
      <c r="RVZ3" s="722"/>
      <c r="RWA3" s="722"/>
      <c r="RWB3" s="723"/>
      <c r="RWC3" s="724"/>
      <c r="RWD3" s="725"/>
      <c r="RWE3" s="726"/>
      <c r="RWF3" s="726"/>
      <c r="RWG3" s="726"/>
      <c r="RWH3" s="726"/>
      <c r="RWI3" s="726"/>
      <c r="RWJ3" s="727"/>
      <c r="RWK3" s="724"/>
      <c r="RWL3" s="725"/>
      <c r="RWM3" s="726"/>
      <c r="RWN3" s="726"/>
      <c r="RWO3" s="726"/>
      <c r="RWP3" s="726"/>
      <c r="RWQ3" s="726"/>
      <c r="RWR3" s="727"/>
      <c r="RWS3" s="728"/>
      <c r="RWT3" s="729"/>
      <c r="RWU3" s="730"/>
      <c r="RWV3" s="731"/>
      <c r="RWW3" s="731"/>
      <c r="RWX3" s="731"/>
      <c r="RWY3" s="731"/>
      <c r="RWZ3" s="732"/>
      <c r="RXA3" s="225"/>
      <c r="RXB3" s="716"/>
      <c r="RXC3" s="717"/>
      <c r="RXD3" s="718"/>
      <c r="RXE3" s="718"/>
      <c r="RXF3" s="718"/>
      <c r="RXG3" s="718"/>
      <c r="RXH3" s="718"/>
      <c r="RXI3" s="719"/>
      <c r="RXJ3" s="720"/>
      <c r="RXK3" s="721"/>
      <c r="RXL3" s="722"/>
      <c r="RXM3" s="722"/>
      <c r="RXN3" s="722"/>
      <c r="RXO3" s="722"/>
      <c r="RXP3" s="722"/>
      <c r="RXQ3" s="723"/>
      <c r="RXR3" s="724"/>
      <c r="RXS3" s="725"/>
      <c r="RXT3" s="726"/>
      <c r="RXU3" s="726"/>
      <c r="RXV3" s="726"/>
      <c r="RXW3" s="726"/>
      <c r="RXX3" s="726"/>
      <c r="RXY3" s="727"/>
      <c r="RXZ3" s="724"/>
      <c r="RYA3" s="725"/>
      <c r="RYB3" s="726"/>
      <c r="RYC3" s="726"/>
      <c r="RYD3" s="726"/>
      <c r="RYE3" s="726"/>
      <c r="RYF3" s="726"/>
      <c r="RYG3" s="727"/>
      <c r="RYH3" s="728"/>
      <c r="RYI3" s="729"/>
      <c r="RYJ3" s="730"/>
      <c r="RYK3" s="731"/>
      <c r="RYL3" s="731"/>
      <c r="RYM3" s="731"/>
      <c r="RYN3" s="731"/>
      <c r="RYO3" s="732"/>
      <c r="RYP3" s="225"/>
      <c r="RYQ3" s="716"/>
      <c r="RYR3" s="717"/>
      <c r="RYS3" s="718"/>
      <c r="RYT3" s="718"/>
      <c r="RYU3" s="718"/>
      <c r="RYV3" s="718"/>
      <c r="RYW3" s="718"/>
      <c r="RYX3" s="719"/>
      <c r="RYY3" s="720"/>
      <c r="RYZ3" s="721"/>
      <c r="RZA3" s="722"/>
      <c r="RZB3" s="722"/>
      <c r="RZC3" s="722"/>
      <c r="RZD3" s="722"/>
      <c r="RZE3" s="722"/>
      <c r="RZF3" s="723"/>
      <c r="RZG3" s="724"/>
      <c r="RZH3" s="725"/>
      <c r="RZI3" s="726"/>
      <c r="RZJ3" s="726"/>
      <c r="RZK3" s="726"/>
      <c r="RZL3" s="726"/>
      <c r="RZM3" s="726"/>
      <c r="RZN3" s="727"/>
      <c r="RZO3" s="724"/>
      <c r="RZP3" s="725"/>
      <c r="RZQ3" s="726"/>
      <c r="RZR3" s="726"/>
      <c r="RZS3" s="726"/>
      <c r="RZT3" s="726"/>
      <c r="RZU3" s="726"/>
      <c r="RZV3" s="727"/>
      <c r="RZW3" s="728"/>
      <c r="RZX3" s="729"/>
      <c r="RZY3" s="730"/>
      <c r="RZZ3" s="731"/>
      <c r="SAA3" s="731"/>
      <c r="SAB3" s="731"/>
      <c r="SAC3" s="731"/>
      <c r="SAD3" s="732"/>
      <c r="SAE3" s="225"/>
      <c r="SAF3" s="716"/>
      <c r="SAG3" s="717"/>
      <c r="SAH3" s="718"/>
      <c r="SAI3" s="718"/>
      <c r="SAJ3" s="718"/>
      <c r="SAK3" s="718"/>
      <c r="SAL3" s="718"/>
      <c r="SAM3" s="719"/>
      <c r="SAN3" s="720"/>
      <c r="SAO3" s="721"/>
      <c r="SAP3" s="722"/>
      <c r="SAQ3" s="722"/>
      <c r="SAR3" s="722"/>
      <c r="SAS3" s="722"/>
      <c r="SAT3" s="722"/>
      <c r="SAU3" s="723"/>
      <c r="SAV3" s="724"/>
      <c r="SAW3" s="725"/>
      <c r="SAX3" s="726"/>
      <c r="SAY3" s="726"/>
      <c r="SAZ3" s="726"/>
      <c r="SBA3" s="726"/>
      <c r="SBB3" s="726"/>
      <c r="SBC3" s="727"/>
      <c r="SBD3" s="724"/>
      <c r="SBE3" s="725"/>
      <c r="SBF3" s="726"/>
      <c r="SBG3" s="726"/>
      <c r="SBH3" s="726"/>
      <c r="SBI3" s="726"/>
      <c r="SBJ3" s="726"/>
      <c r="SBK3" s="727"/>
      <c r="SBL3" s="728"/>
      <c r="SBM3" s="729"/>
      <c r="SBN3" s="730"/>
      <c r="SBO3" s="731"/>
      <c r="SBP3" s="731"/>
      <c r="SBQ3" s="731"/>
      <c r="SBR3" s="731"/>
      <c r="SBS3" s="732"/>
      <c r="SBT3" s="225"/>
      <c r="SBU3" s="716"/>
      <c r="SBV3" s="717"/>
      <c r="SBW3" s="718"/>
      <c r="SBX3" s="718"/>
      <c r="SBY3" s="718"/>
      <c r="SBZ3" s="718"/>
      <c r="SCA3" s="718"/>
      <c r="SCB3" s="719"/>
      <c r="SCC3" s="720"/>
      <c r="SCD3" s="721"/>
      <c r="SCE3" s="722"/>
      <c r="SCF3" s="722"/>
      <c r="SCG3" s="722"/>
      <c r="SCH3" s="722"/>
      <c r="SCI3" s="722"/>
      <c r="SCJ3" s="723"/>
      <c r="SCK3" s="724"/>
      <c r="SCL3" s="725"/>
      <c r="SCM3" s="726"/>
      <c r="SCN3" s="726"/>
      <c r="SCO3" s="726"/>
      <c r="SCP3" s="726"/>
      <c r="SCQ3" s="726"/>
      <c r="SCR3" s="727"/>
      <c r="SCS3" s="724"/>
      <c r="SCT3" s="725"/>
      <c r="SCU3" s="726"/>
      <c r="SCV3" s="726"/>
      <c r="SCW3" s="726"/>
      <c r="SCX3" s="726"/>
      <c r="SCY3" s="726"/>
      <c r="SCZ3" s="727"/>
      <c r="SDA3" s="728"/>
      <c r="SDB3" s="729"/>
      <c r="SDC3" s="730"/>
      <c r="SDD3" s="731"/>
      <c r="SDE3" s="731"/>
      <c r="SDF3" s="731"/>
      <c r="SDG3" s="731"/>
      <c r="SDH3" s="732"/>
      <c r="SDI3" s="225"/>
      <c r="SDJ3" s="716"/>
      <c r="SDK3" s="717"/>
      <c r="SDL3" s="718"/>
      <c r="SDM3" s="718"/>
      <c r="SDN3" s="718"/>
      <c r="SDO3" s="718"/>
      <c r="SDP3" s="718"/>
      <c r="SDQ3" s="719"/>
      <c r="SDR3" s="720"/>
      <c r="SDS3" s="721"/>
      <c r="SDT3" s="722"/>
      <c r="SDU3" s="722"/>
      <c r="SDV3" s="722"/>
      <c r="SDW3" s="722"/>
      <c r="SDX3" s="722"/>
      <c r="SDY3" s="723"/>
      <c r="SDZ3" s="724"/>
      <c r="SEA3" s="725"/>
      <c r="SEB3" s="726"/>
      <c r="SEC3" s="726"/>
      <c r="SED3" s="726"/>
      <c r="SEE3" s="726"/>
      <c r="SEF3" s="726"/>
      <c r="SEG3" s="727"/>
      <c r="SEH3" s="724"/>
      <c r="SEI3" s="725"/>
      <c r="SEJ3" s="726"/>
      <c r="SEK3" s="726"/>
      <c r="SEL3" s="726"/>
      <c r="SEM3" s="726"/>
      <c r="SEN3" s="726"/>
      <c r="SEO3" s="727"/>
      <c r="SEP3" s="728"/>
      <c r="SEQ3" s="729"/>
      <c r="SER3" s="730"/>
      <c r="SES3" s="731"/>
      <c r="SET3" s="731"/>
      <c r="SEU3" s="731"/>
      <c r="SEV3" s="731"/>
      <c r="SEW3" s="732"/>
      <c r="SEX3" s="225"/>
      <c r="SEY3" s="716"/>
      <c r="SEZ3" s="717"/>
      <c r="SFA3" s="718"/>
      <c r="SFB3" s="718"/>
      <c r="SFC3" s="718"/>
      <c r="SFD3" s="718"/>
      <c r="SFE3" s="718"/>
      <c r="SFF3" s="719"/>
      <c r="SFG3" s="720"/>
      <c r="SFH3" s="721"/>
      <c r="SFI3" s="722"/>
      <c r="SFJ3" s="722"/>
      <c r="SFK3" s="722"/>
      <c r="SFL3" s="722"/>
      <c r="SFM3" s="722"/>
      <c r="SFN3" s="723"/>
      <c r="SFO3" s="724"/>
      <c r="SFP3" s="725"/>
      <c r="SFQ3" s="726"/>
      <c r="SFR3" s="726"/>
      <c r="SFS3" s="726"/>
      <c r="SFT3" s="726"/>
      <c r="SFU3" s="726"/>
      <c r="SFV3" s="727"/>
      <c r="SFW3" s="724"/>
      <c r="SFX3" s="725"/>
      <c r="SFY3" s="726"/>
      <c r="SFZ3" s="726"/>
      <c r="SGA3" s="726"/>
      <c r="SGB3" s="726"/>
      <c r="SGC3" s="726"/>
      <c r="SGD3" s="727"/>
      <c r="SGE3" s="728"/>
      <c r="SGF3" s="729"/>
      <c r="SGG3" s="730"/>
      <c r="SGH3" s="731"/>
      <c r="SGI3" s="731"/>
      <c r="SGJ3" s="731"/>
      <c r="SGK3" s="731"/>
      <c r="SGL3" s="732"/>
      <c r="SGM3" s="225"/>
      <c r="SGN3" s="716"/>
      <c r="SGO3" s="717"/>
      <c r="SGP3" s="718"/>
      <c r="SGQ3" s="718"/>
      <c r="SGR3" s="718"/>
      <c r="SGS3" s="718"/>
      <c r="SGT3" s="718"/>
      <c r="SGU3" s="719"/>
      <c r="SGV3" s="720"/>
      <c r="SGW3" s="721"/>
      <c r="SGX3" s="722"/>
      <c r="SGY3" s="722"/>
      <c r="SGZ3" s="722"/>
      <c r="SHA3" s="722"/>
      <c r="SHB3" s="722"/>
      <c r="SHC3" s="723"/>
      <c r="SHD3" s="724"/>
      <c r="SHE3" s="725"/>
      <c r="SHF3" s="726"/>
      <c r="SHG3" s="726"/>
      <c r="SHH3" s="726"/>
      <c r="SHI3" s="726"/>
      <c r="SHJ3" s="726"/>
      <c r="SHK3" s="727"/>
      <c r="SHL3" s="724"/>
      <c r="SHM3" s="725"/>
      <c r="SHN3" s="726"/>
      <c r="SHO3" s="726"/>
      <c r="SHP3" s="726"/>
      <c r="SHQ3" s="726"/>
      <c r="SHR3" s="726"/>
      <c r="SHS3" s="727"/>
      <c r="SHT3" s="728"/>
      <c r="SHU3" s="729"/>
      <c r="SHV3" s="730"/>
      <c r="SHW3" s="731"/>
      <c r="SHX3" s="731"/>
      <c r="SHY3" s="731"/>
      <c r="SHZ3" s="731"/>
      <c r="SIA3" s="732"/>
      <c r="SIB3" s="225"/>
      <c r="SIC3" s="716"/>
      <c r="SID3" s="717"/>
      <c r="SIE3" s="718"/>
      <c r="SIF3" s="718"/>
      <c r="SIG3" s="718"/>
      <c r="SIH3" s="718"/>
      <c r="SII3" s="718"/>
      <c r="SIJ3" s="719"/>
      <c r="SIK3" s="720"/>
      <c r="SIL3" s="721"/>
      <c r="SIM3" s="722"/>
      <c r="SIN3" s="722"/>
      <c r="SIO3" s="722"/>
      <c r="SIP3" s="722"/>
      <c r="SIQ3" s="722"/>
      <c r="SIR3" s="723"/>
      <c r="SIS3" s="724"/>
      <c r="SIT3" s="725"/>
      <c r="SIU3" s="726"/>
      <c r="SIV3" s="726"/>
      <c r="SIW3" s="726"/>
      <c r="SIX3" s="726"/>
      <c r="SIY3" s="726"/>
      <c r="SIZ3" s="727"/>
      <c r="SJA3" s="724"/>
      <c r="SJB3" s="725"/>
      <c r="SJC3" s="726"/>
      <c r="SJD3" s="726"/>
      <c r="SJE3" s="726"/>
      <c r="SJF3" s="726"/>
      <c r="SJG3" s="726"/>
      <c r="SJH3" s="727"/>
      <c r="SJI3" s="728"/>
      <c r="SJJ3" s="729"/>
      <c r="SJK3" s="730"/>
      <c r="SJL3" s="731"/>
      <c r="SJM3" s="731"/>
      <c r="SJN3" s="731"/>
      <c r="SJO3" s="731"/>
      <c r="SJP3" s="732"/>
      <c r="SJQ3" s="225"/>
      <c r="SJR3" s="716"/>
      <c r="SJS3" s="717"/>
      <c r="SJT3" s="718"/>
      <c r="SJU3" s="718"/>
      <c r="SJV3" s="718"/>
      <c r="SJW3" s="718"/>
      <c r="SJX3" s="718"/>
      <c r="SJY3" s="719"/>
      <c r="SJZ3" s="720"/>
      <c r="SKA3" s="721"/>
      <c r="SKB3" s="722"/>
      <c r="SKC3" s="722"/>
      <c r="SKD3" s="722"/>
      <c r="SKE3" s="722"/>
      <c r="SKF3" s="722"/>
      <c r="SKG3" s="723"/>
      <c r="SKH3" s="724"/>
      <c r="SKI3" s="725"/>
      <c r="SKJ3" s="726"/>
      <c r="SKK3" s="726"/>
      <c r="SKL3" s="726"/>
      <c r="SKM3" s="726"/>
      <c r="SKN3" s="726"/>
      <c r="SKO3" s="727"/>
      <c r="SKP3" s="724"/>
      <c r="SKQ3" s="725"/>
      <c r="SKR3" s="726"/>
      <c r="SKS3" s="726"/>
      <c r="SKT3" s="726"/>
      <c r="SKU3" s="726"/>
      <c r="SKV3" s="726"/>
      <c r="SKW3" s="727"/>
      <c r="SKX3" s="728"/>
      <c r="SKY3" s="729"/>
      <c r="SKZ3" s="730"/>
      <c r="SLA3" s="731"/>
      <c r="SLB3" s="731"/>
      <c r="SLC3" s="731"/>
      <c r="SLD3" s="731"/>
      <c r="SLE3" s="732"/>
      <c r="SLF3" s="225"/>
      <c r="SLG3" s="716"/>
      <c r="SLH3" s="717"/>
      <c r="SLI3" s="718"/>
      <c r="SLJ3" s="718"/>
      <c r="SLK3" s="718"/>
      <c r="SLL3" s="718"/>
      <c r="SLM3" s="718"/>
      <c r="SLN3" s="719"/>
      <c r="SLO3" s="720"/>
      <c r="SLP3" s="721"/>
      <c r="SLQ3" s="722"/>
      <c r="SLR3" s="722"/>
      <c r="SLS3" s="722"/>
      <c r="SLT3" s="722"/>
      <c r="SLU3" s="722"/>
      <c r="SLV3" s="723"/>
      <c r="SLW3" s="724"/>
      <c r="SLX3" s="725"/>
      <c r="SLY3" s="726"/>
      <c r="SLZ3" s="726"/>
      <c r="SMA3" s="726"/>
      <c r="SMB3" s="726"/>
      <c r="SMC3" s="726"/>
      <c r="SMD3" s="727"/>
      <c r="SME3" s="724"/>
      <c r="SMF3" s="725"/>
      <c r="SMG3" s="726"/>
      <c r="SMH3" s="726"/>
      <c r="SMI3" s="726"/>
      <c r="SMJ3" s="726"/>
      <c r="SMK3" s="726"/>
      <c r="SML3" s="727"/>
      <c r="SMM3" s="728"/>
      <c r="SMN3" s="729"/>
      <c r="SMO3" s="730"/>
      <c r="SMP3" s="731"/>
      <c r="SMQ3" s="731"/>
      <c r="SMR3" s="731"/>
      <c r="SMS3" s="731"/>
      <c r="SMT3" s="732"/>
      <c r="SMU3" s="225"/>
      <c r="SMV3" s="716"/>
      <c r="SMW3" s="717"/>
      <c r="SMX3" s="718"/>
      <c r="SMY3" s="718"/>
      <c r="SMZ3" s="718"/>
      <c r="SNA3" s="718"/>
      <c r="SNB3" s="718"/>
      <c r="SNC3" s="719"/>
      <c r="SND3" s="720"/>
      <c r="SNE3" s="721"/>
      <c r="SNF3" s="722"/>
      <c r="SNG3" s="722"/>
      <c r="SNH3" s="722"/>
      <c r="SNI3" s="722"/>
      <c r="SNJ3" s="722"/>
      <c r="SNK3" s="723"/>
      <c r="SNL3" s="724"/>
      <c r="SNM3" s="725"/>
      <c r="SNN3" s="726"/>
      <c r="SNO3" s="726"/>
      <c r="SNP3" s="726"/>
      <c r="SNQ3" s="726"/>
      <c r="SNR3" s="726"/>
      <c r="SNS3" s="727"/>
      <c r="SNT3" s="724"/>
      <c r="SNU3" s="725"/>
      <c r="SNV3" s="726"/>
      <c r="SNW3" s="726"/>
      <c r="SNX3" s="726"/>
      <c r="SNY3" s="726"/>
      <c r="SNZ3" s="726"/>
      <c r="SOA3" s="727"/>
      <c r="SOB3" s="728"/>
      <c r="SOC3" s="729"/>
      <c r="SOD3" s="730"/>
      <c r="SOE3" s="731"/>
      <c r="SOF3" s="731"/>
      <c r="SOG3" s="731"/>
      <c r="SOH3" s="731"/>
      <c r="SOI3" s="732"/>
      <c r="SOJ3" s="225"/>
      <c r="SOK3" s="716"/>
      <c r="SOL3" s="717"/>
      <c r="SOM3" s="718"/>
      <c r="SON3" s="718"/>
      <c r="SOO3" s="718"/>
      <c r="SOP3" s="718"/>
      <c r="SOQ3" s="718"/>
      <c r="SOR3" s="719"/>
      <c r="SOS3" s="720"/>
      <c r="SOT3" s="721"/>
      <c r="SOU3" s="722"/>
      <c r="SOV3" s="722"/>
      <c r="SOW3" s="722"/>
      <c r="SOX3" s="722"/>
      <c r="SOY3" s="722"/>
      <c r="SOZ3" s="723"/>
      <c r="SPA3" s="724"/>
      <c r="SPB3" s="725"/>
      <c r="SPC3" s="726"/>
      <c r="SPD3" s="726"/>
      <c r="SPE3" s="726"/>
      <c r="SPF3" s="726"/>
      <c r="SPG3" s="726"/>
      <c r="SPH3" s="727"/>
      <c r="SPI3" s="724"/>
      <c r="SPJ3" s="725"/>
      <c r="SPK3" s="726"/>
      <c r="SPL3" s="726"/>
      <c r="SPM3" s="726"/>
      <c r="SPN3" s="726"/>
      <c r="SPO3" s="726"/>
      <c r="SPP3" s="727"/>
      <c r="SPQ3" s="728"/>
      <c r="SPR3" s="729"/>
      <c r="SPS3" s="730"/>
      <c r="SPT3" s="731"/>
      <c r="SPU3" s="731"/>
      <c r="SPV3" s="731"/>
      <c r="SPW3" s="731"/>
      <c r="SPX3" s="732"/>
      <c r="SPY3" s="225"/>
      <c r="SPZ3" s="716"/>
      <c r="SQA3" s="717"/>
      <c r="SQB3" s="718"/>
      <c r="SQC3" s="718"/>
      <c r="SQD3" s="718"/>
      <c r="SQE3" s="718"/>
      <c r="SQF3" s="718"/>
      <c r="SQG3" s="719"/>
      <c r="SQH3" s="720"/>
      <c r="SQI3" s="721"/>
      <c r="SQJ3" s="722"/>
      <c r="SQK3" s="722"/>
      <c r="SQL3" s="722"/>
      <c r="SQM3" s="722"/>
      <c r="SQN3" s="722"/>
      <c r="SQO3" s="723"/>
      <c r="SQP3" s="724"/>
      <c r="SQQ3" s="725"/>
      <c r="SQR3" s="726"/>
      <c r="SQS3" s="726"/>
      <c r="SQT3" s="726"/>
      <c r="SQU3" s="726"/>
      <c r="SQV3" s="726"/>
      <c r="SQW3" s="727"/>
      <c r="SQX3" s="724"/>
      <c r="SQY3" s="725"/>
      <c r="SQZ3" s="726"/>
      <c r="SRA3" s="726"/>
      <c r="SRB3" s="726"/>
      <c r="SRC3" s="726"/>
      <c r="SRD3" s="726"/>
      <c r="SRE3" s="727"/>
      <c r="SRF3" s="728"/>
      <c r="SRG3" s="729"/>
      <c r="SRH3" s="730"/>
      <c r="SRI3" s="731"/>
      <c r="SRJ3" s="731"/>
      <c r="SRK3" s="731"/>
      <c r="SRL3" s="731"/>
      <c r="SRM3" s="732"/>
      <c r="SRN3" s="225"/>
      <c r="SRO3" s="716"/>
      <c r="SRP3" s="717"/>
      <c r="SRQ3" s="718"/>
      <c r="SRR3" s="718"/>
      <c r="SRS3" s="718"/>
      <c r="SRT3" s="718"/>
      <c r="SRU3" s="718"/>
      <c r="SRV3" s="719"/>
      <c r="SRW3" s="720"/>
      <c r="SRX3" s="721"/>
      <c r="SRY3" s="722"/>
      <c r="SRZ3" s="722"/>
      <c r="SSA3" s="722"/>
      <c r="SSB3" s="722"/>
      <c r="SSC3" s="722"/>
      <c r="SSD3" s="723"/>
      <c r="SSE3" s="724"/>
      <c r="SSF3" s="725"/>
      <c r="SSG3" s="726"/>
      <c r="SSH3" s="726"/>
      <c r="SSI3" s="726"/>
      <c r="SSJ3" s="726"/>
      <c r="SSK3" s="726"/>
      <c r="SSL3" s="727"/>
      <c r="SSM3" s="724"/>
      <c r="SSN3" s="725"/>
      <c r="SSO3" s="726"/>
      <c r="SSP3" s="726"/>
      <c r="SSQ3" s="726"/>
      <c r="SSR3" s="726"/>
      <c r="SSS3" s="726"/>
      <c r="SST3" s="727"/>
      <c r="SSU3" s="728"/>
      <c r="SSV3" s="729"/>
      <c r="SSW3" s="730"/>
      <c r="SSX3" s="731"/>
      <c r="SSY3" s="731"/>
      <c r="SSZ3" s="731"/>
      <c r="STA3" s="731"/>
      <c r="STB3" s="732"/>
      <c r="STC3" s="225"/>
      <c r="STD3" s="716"/>
      <c r="STE3" s="717"/>
      <c r="STF3" s="718"/>
      <c r="STG3" s="718"/>
      <c r="STH3" s="718"/>
      <c r="STI3" s="718"/>
      <c r="STJ3" s="718"/>
      <c r="STK3" s="719"/>
      <c r="STL3" s="720"/>
      <c r="STM3" s="721"/>
      <c r="STN3" s="722"/>
      <c r="STO3" s="722"/>
      <c r="STP3" s="722"/>
      <c r="STQ3" s="722"/>
      <c r="STR3" s="722"/>
      <c r="STS3" s="723"/>
      <c r="STT3" s="724"/>
      <c r="STU3" s="725"/>
      <c r="STV3" s="726"/>
      <c r="STW3" s="726"/>
      <c r="STX3" s="726"/>
      <c r="STY3" s="726"/>
      <c r="STZ3" s="726"/>
      <c r="SUA3" s="727"/>
      <c r="SUB3" s="724"/>
      <c r="SUC3" s="725"/>
      <c r="SUD3" s="726"/>
      <c r="SUE3" s="726"/>
      <c r="SUF3" s="726"/>
      <c r="SUG3" s="726"/>
      <c r="SUH3" s="726"/>
      <c r="SUI3" s="727"/>
      <c r="SUJ3" s="728"/>
      <c r="SUK3" s="729"/>
      <c r="SUL3" s="730"/>
      <c r="SUM3" s="731"/>
      <c r="SUN3" s="731"/>
      <c r="SUO3" s="731"/>
      <c r="SUP3" s="731"/>
      <c r="SUQ3" s="732"/>
      <c r="SUR3" s="225"/>
      <c r="SUS3" s="716"/>
      <c r="SUT3" s="717"/>
      <c r="SUU3" s="718"/>
      <c r="SUV3" s="718"/>
      <c r="SUW3" s="718"/>
      <c r="SUX3" s="718"/>
      <c r="SUY3" s="718"/>
      <c r="SUZ3" s="719"/>
      <c r="SVA3" s="720"/>
      <c r="SVB3" s="721"/>
      <c r="SVC3" s="722"/>
      <c r="SVD3" s="722"/>
      <c r="SVE3" s="722"/>
      <c r="SVF3" s="722"/>
      <c r="SVG3" s="722"/>
      <c r="SVH3" s="723"/>
      <c r="SVI3" s="724"/>
      <c r="SVJ3" s="725"/>
      <c r="SVK3" s="726"/>
      <c r="SVL3" s="726"/>
      <c r="SVM3" s="726"/>
      <c r="SVN3" s="726"/>
      <c r="SVO3" s="726"/>
      <c r="SVP3" s="727"/>
      <c r="SVQ3" s="724"/>
      <c r="SVR3" s="725"/>
      <c r="SVS3" s="726"/>
      <c r="SVT3" s="726"/>
      <c r="SVU3" s="726"/>
      <c r="SVV3" s="726"/>
      <c r="SVW3" s="726"/>
      <c r="SVX3" s="727"/>
      <c r="SVY3" s="728"/>
      <c r="SVZ3" s="729"/>
      <c r="SWA3" s="730"/>
      <c r="SWB3" s="731"/>
      <c r="SWC3" s="731"/>
      <c r="SWD3" s="731"/>
      <c r="SWE3" s="731"/>
      <c r="SWF3" s="732"/>
      <c r="SWG3" s="225"/>
      <c r="SWH3" s="716"/>
      <c r="SWI3" s="717"/>
      <c r="SWJ3" s="718"/>
      <c r="SWK3" s="718"/>
      <c r="SWL3" s="718"/>
      <c r="SWM3" s="718"/>
      <c r="SWN3" s="718"/>
      <c r="SWO3" s="719"/>
      <c r="SWP3" s="720"/>
      <c r="SWQ3" s="721"/>
      <c r="SWR3" s="722"/>
      <c r="SWS3" s="722"/>
      <c r="SWT3" s="722"/>
      <c r="SWU3" s="722"/>
      <c r="SWV3" s="722"/>
      <c r="SWW3" s="723"/>
      <c r="SWX3" s="724"/>
      <c r="SWY3" s="725"/>
      <c r="SWZ3" s="726"/>
      <c r="SXA3" s="726"/>
      <c r="SXB3" s="726"/>
      <c r="SXC3" s="726"/>
      <c r="SXD3" s="726"/>
      <c r="SXE3" s="727"/>
      <c r="SXF3" s="724"/>
      <c r="SXG3" s="725"/>
      <c r="SXH3" s="726"/>
      <c r="SXI3" s="726"/>
      <c r="SXJ3" s="726"/>
      <c r="SXK3" s="726"/>
      <c r="SXL3" s="726"/>
      <c r="SXM3" s="727"/>
      <c r="SXN3" s="728"/>
      <c r="SXO3" s="729"/>
      <c r="SXP3" s="730"/>
      <c r="SXQ3" s="731"/>
      <c r="SXR3" s="731"/>
      <c r="SXS3" s="731"/>
      <c r="SXT3" s="731"/>
      <c r="SXU3" s="732"/>
      <c r="SXV3" s="225"/>
      <c r="SXW3" s="716"/>
      <c r="SXX3" s="717"/>
      <c r="SXY3" s="718"/>
      <c r="SXZ3" s="718"/>
      <c r="SYA3" s="718"/>
      <c r="SYB3" s="718"/>
      <c r="SYC3" s="718"/>
      <c r="SYD3" s="719"/>
      <c r="SYE3" s="720"/>
      <c r="SYF3" s="721"/>
      <c r="SYG3" s="722"/>
      <c r="SYH3" s="722"/>
      <c r="SYI3" s="722"/>
      <c r="SYJ3" s="722"/>
      <c r="SYK3" s="722"/>
      <c r="SYL3" s="723"/>
      <c r="SYM3" s="724"/>
      <c r="SYN3" s="725"/>
      <c r="SYO3" s="726"/>
      <c r="SYP3" s="726"/>
      <c r="SYQ3" s="726"/>
      <c r="SYR3" s="726"/>
      <c r="SYS3" s="726"/>
      <c r="SYT3" s="727"/>
      <c r="SYU3" s="724"/>
      <c r="SYV3" s="725"/>
      <c r="SYW3" s="726"/>
      <c r="SYX3" s="726"/>
      <c r="SYY3" s="726"/>
      <c r="SYZ3" s="726"/>
      <c r="SZA3" s="726"/>
      <c r="SZB3" s="727"/>
      <c r="SZC3" s="728"/>
      <c r="SZD3" s="729"/>
      <c r="SZE3" s="730"/>
      <c r="SZF3" s="731"/>
      <c r="SZG3" s="731"/>
      <c r="SZH3" s="731"/>
      <c r="SZI3" s="731"/>
      <c r="SZJ3" s="732"/>
      <c r="SZK3" s="225"/>
      <c r="SZL3" s="716"/>
      <c r="SZM3" s="717"/>
      <c r="SZN3" s="718"/>
      <c r="SZO3" s="718"/>
      <c r="SZP3" s="718"/>
      <c r="SZQ3" s="718"/>
      <c r="SZR3" s="718"/>
      <c r="SZS3" s="719"/>
      <c r="SZT3" s="720"/>
      <c r="SZU3" s="721"/>
      <c r="SZV3" s="722"/>
      <c r="SZW3" s="722"/>
      <c r="SZX3" s="722"/>
      <c r="SZY3" s="722"/>
      <c r="SZZ3" s="722"/>
      <c r="TAA3" s="723"/>
      <c r="TAB3" s="724"/>
      <c r="TAC3" s="725"/>
      <c r="TAD3" s="726"/>
      <c r="TAE3" s="726"/>
      <c r="TAF3" s="726"/>
      <c r="TAG3" s="726"/>
      <c r="TAH3" s="726"/>
      <c r="TAI3" s="727"/>
      <c r="TAJ3" s="724"/>
      <c r="TAK3" s="725"/>
      <c r="TAL3" s="726"/>
      <c r="TAM3" s="726"/>
      <c r="TAN3" s="726"/>
      <c r="TAO3" s="726"/>
      <c r="TAP3" s="726"/>
      <c r="TAQ3" s="727"/>
      <c r="TAR3" s="728"/>
      <c r="TAS3" s="729"/>
      <c r="TAT3" s="730"/>
      <c r="TAU3" s="731"/>
      <c r="TAV3" s="731"/>
      <c r="TAW3" s="731"/>
      <c r="TAX3" s="731"/>
      <c r="TAY3" s="732"/>
      <c r="TAZ3" s="225"/>
      <c r="TBA3" s="716"/>
      <c r="TBB3" s="717"/>
      <c r="TBC3" s="718"/>
      <c r="TBD3" s="718"/>
      <c r="TBE3" s="718"/>
      <c r="TBF3" s="718"/>
      <c r="TBG3" s="718"/>
      <c r="TBH3" s="719"/>
      <c r="TBI3" s="720"/>
      <c r="TBJ3" s="721"/>
      <c r="TBK3" s="722"/>
      <c r="TBL3" s="722"/>
      <c r="TBM3" s="722"/>
      <c r="TBN3" s="722"/>
      <c r="TBO3" s="722"/>
      <c r="TBP3" s="723"/>
      <c r="TBQ3" s="724"/>
      <c r="TBR3" s="725"/>
      <c r="TBS3" s="726"/>
      <c r="TBT3" s="726"/>
      <c r="TBU3" s="726"/>
      <c r="TBV3" s="726"/>
      <c r="TBW3" s="726"/>
      <c r="TBX3" s="727"/>
      <c r="TBY3" s="724"/>
      <c r="TBZ3" s="725"/>
      <c r="TCA3" s="726"/>
      <c r="TCB3" s="726"/>
      <c r="TCC3" s="726"/>
      <c r="TCD3" s="726"/>
      <c r="TCE3" s="726"/>
      <c r="TCF3" s="727"/>
      <c r="TCG3" s="728"/>
      <c r="TCH3" s="729"/>
      <c r="TCI3" s="730"/>
      <c r="TCJ3" s="731"/>
      <c r="TCK3" s="731"/>
      <c r="TCL3" s="731"/>
      <c r="TCM3" s="731"/>
      <c r="TCN3" s="732"/>
      <c r="TCO3" s="225"/>
      <c r="TCP3" s="716"/>
      <c r="TCQ3" s="717"/>
      <c r="TCR3" s="718"/>
      <c r="TCS3" s="718"/>
      <c r="TCT3" s="718"/>
      <c r="TCU3" s="718"/>
      <c r="TCV3" s="718"/>
      <c r="TCW3" s="719"/>
      <c r="TCX3" s="720"/>
      <c r="TCY3" s="721"/>
      <c r="TCZ3" s="722"/>
      <c r="TDA3" s="722"/>
      <c r="TDB3" s="722"/>
      <c r="TDC3" s="722"/>
      <c r="TDD3" s="722"/>
      <c r="TDE3" s="723"/>
      <c r="TDF3" s="724"/>
      <c r="TDG3" s="725"/>
      <c r="TDH3" s="726"/>
      <c r="TDI3" s="726"/>
      <c r="TDJ3" s="726"/>
      <c r="TDK3" s="726"/>
      <c r="TDL3" s="726"/>
      <c r="TDM3" s="727"/>
      <c r="TDN3" s="724"/>
      <c r="TDO3" s="725"/>
      <c r="TDP3" s="726"/>
      <c r="TDQ3" s="726"/>
      <c r="TDR3" s="726"/>
      <c r="TDS3" s="726"/>
      <c r="TDT3" s="726"/>
      <c r="TDU3" s="727"/>
      <c r="TDV3" s="728"/>
      <c r="TDW3" s="729"/>
      <c r="TDX3" s="730"/>
      <c r="TDY3" s="731"/>
      <c r="TDZ3" s="731"/>
      <c r="TEA3" s="731"/>
      <c r="TEB3" s="731"/>
      <c r="TEC3" s="732"/>
      <c r="TED3" s="225"/>
      <c r="TEE3" s="716"/>
      <c r="TEF3" s="717"/>
      <c r="TEG3" s="718"/>
      <c r="TEH3" s="718"/>
      <c r="TEI3" s="718"/>
      <c r="TEJ3" s="718"/>
      <c r="TEK3" s="718"/>
      <c r="TEL3" s="719"/>
      <c r="TEM3" s="720"/>
      <c r="TEN3" s="721"/>
      <c r="TEO3" s="722"/>
      <c r="TEP3" s="722"/>
      <c r="TEQ3" s="722"/>
      <c r="TER3" s="722"/>
      <c r="TES3" s="722"/>
      <c r="TET3" s="723"/>
      <c r="TEU3" s="724"/>
      <c r="TEV3" s="725"/>
      <c r="TEW3" s="726"/>
      <c r="TEX3" s="726"/>
      <c r="TEY3" s="726"/>
      <c r="TEZ3" s="726"/>
      <c r="TFA3" s="726"/>
      <c r="TFB3" s="727"/>
      <c r="TFC3" s="724"/>
      <c r="TFD3" s="725"/>
      <c r="TFE3" s="726"/>
      <c r="TFF3" s="726"/>
      <c r="TFG3" s="726"/>
      <c r="TFH3" s="726"/>
      <c r="TFI3" s="726"/>
      <c r="TFJ3" s="727"/>
      <c r="TFK3" s="728"/>
      <c r="TFL3" s="729"/>
      <c r="TFM3" s="730"/>
      <c r="TFN3" s="731"/>
      <c r="TFO3" s="731"/>
      <c r="TFP3" s="731"/>
      <c r="TFQ3" s="731"/>
      <c r="TFR3" s="732"/>
      <c r="TFS3" s="225"/>
      <c r="TFT3" s="716"/>
      <c r="TFU3" s="717"/>
      <c r="TFV3" s="718"/>
      <c r="TFW3" s="718"/>
      <c r="TFX3" s="718"/>
      <c r="TFY3" s="718"/>
      <c r="TFZ3" s="718"/>
      <c r="TGA3" s="719"/>
      <c r="TGB3" s="720"/>
      <c r="TGC3" s="721"/>
      <c r="TGD3" s="722"/>
      <c r="TGE3" s="722"/>
      <c r="TGF3" s="722"/>
      <c r="TGG3" s="722"/>
      <c r="TGH3" s="722"/>
      <c r="TGI3" s="723"/>
      <c r="TGJ3" s="724"/>
      <c r="TGK3" s="725"/>
      <c r="TGL3" s="726"/>
      <c r="TGM3" s="726"/>
      <c r="TGN3" s="726"/>
      <c r="TGO3" s="726"/>
      <c r="TGP3" s="726"/>
      <c r="TGQ3" s="727"/>
      <c r="TGR3" s="724"/>
      <c r="TGS3" s="725"/>
      <c r="TGT3" s="726"/>
      <c r="TGU3" s="726"/>
      <c r="TGV3" s="726"/>
      <c r="TGW3" s="726"/>
      <c r="TGX3" s="726"/>
      <c r="TGY3" s="727"/>
      <c r="TGZ3" s="728"/>
      <c r="THA3" s="729"/>
      <c r="THB3" s="730"/>
      <c r="THC3" s="731"/>
      <c r="THD3" s="731"/>
      <c r="THE3" s="731"/>
      <c r="THF3" s="731"/>
      <c r="THG3" s="732"/>
      <c r="THH3" s="225"/>
      <c r="THI3" s="716"/>
      <c r="THJ3" s="717"/>
      <c r="THK3" s="718"/>
      <c r="THL3" s="718"/>
      <c r="THM3" s="718"/>
      <c r="THN3" s="718"/>
      <c r="THO3" s="718"/>
      <c r="THP3" s="719"/>
      <c r="THQ3" s="720"/>
      <c r="THR3" s="721"/>
      <c r="THS3" s="722"/>
      <c r="THT3" s="722"/>
      <c r="THU3" s="722"/>
      <c r="THV3" s="722"/>
      <c r="THW3" s="722"/>
      <c r="THX3" s="723"/>
      <c r="THY3" s="724"/>
      <c r="THZ3" s="725"/>
      <c r="TIA3" s="726"/>
      <c r="TIB3" s="726"/>
      <c r="TIC3" s="726"/>
      <c r="TID3" s="726"/>
      <c r="TIE3" s="726"/>
      <c r="TIF3" s="727"/>
      <c r="TIG3" s="724"/>
      <c r="TIH3" s="725"/>
      <c r="TII3" s="726"/>
      <c r="TIJ3" s="726"/>
      <c r="TIK3" s="726"/>
      <c r="TIL3" s="726"/>
      <c r="TIM3" s="726"/>
      <c r="TIN3" s="727"/>
      <c r="TIO3" s="728"/>
      <c r="TIP3" s="729"/>
      <c r="TIQ3" s="730"/>
      <c r="TIR3" s="731"/>
      <c r="TIS3" s="731"/>
      <c r="TIT3" s="731"/>
      <c r="TIU3" s="731"/>
      <c r="TIV3" s="732"/>
      <c r="TIW3" s="225"/>
      <c r="TIX3" s="716"/>
      <c r="TIY3" s="717"/>
      <c r="TIZ3" s="718"/>
      <c r="TJA3" s="718"/>
      <c r="TJB3" s="718"/>
      <c r="TJC3" s="718"/>
      <c r="TJD3" s="718"/>
      <c r="TJE3" s="719"/>
      <c r="TJF3" s="720"/>
      <c r="TJG3" s="721"/>
      <c r="TJH3" s="722"/>
      <c r="TJI3" s="722"/>
      <c r="TJJ3" s="722"/>
      <c r="TJK3" s="722"/>
      <c r="TJL3" s="722"/>
      <c r="TJM3" s="723"/>
      <c r="TJN3" s="724"/>
      <c r="TJO3" s="725"/>
      <c r="TJP3" s="726"/>
      <c r="TJQ3" s="726"/>
      <c r="TJR3" s="726"/>
      <c r="TJS3" s="726"/>
      <c r="TJT3" s="726"/>
      <c r="TJU3" s="727"/>
      <c r="TJV3" s="724"/>
      <c r="TJW3" s="725"/>
      <c r="TJX3" s="726"/>
      <c r="TJY3" s="726"/>
      <c r="TJZ3" s="726"/>
      <c r="TKA3" s="726"/>
      <c r="TKB3" s="726"/>
      <c r="TKC3" s="727"/>
      <c r="TKD3" s="728"/>
      <c r="TKE3" s="729"/>
      <c r="TKF3" s="730"/>
      <c r="TKG3" s="731"/>
      <c r="TKH3" s="731"/>
      <c r="TKI3" s="731"/>
      <c r="TKJ3" s="731"/>
      <c r="TKK3" s="732"/>
      <c r="TKL3" s="225"/>
      <c r="TKM3" s="716"/>
      <c r="TKN3" s="717"/>
      <c r="TKO3" s="718"/>
      <c r="TKP3" s="718"/>
      <c r="TKQ3" s="718"/>
      <c r="TKR3" s="718"/>
      <c r="TKS3" s="718"/>
      <c r="TKT3" s="719"/>
      <c r="TKU3" s="720"/>
      <c r="TKV3" s="721"/>
      <c r="TKW3" s="722"/>
      <c r="TKX3" s="722"/>
      <c r="TKY3" s="722"/>
      <c r="TKZ3" s="722"/>
      <c r="TLA3" s="722"/>
      <c r="TLB3" s="723"/>
      <c r="TLC3" s="724"/>
      <c r="TLD3" s="725"/>
      <c r="TLE3" s="726"/>
      <c r="TLF3" s="726"/>
      <c r="TLG3" s="726"/>
      <c r="TLH3" s="726"/>
      <c r="TLI3" s="726"/>
      <c r="TLJ3" s="727"/>
      <c r="TLK3" s="724"/>
      <c r="TLL3" s="725"/>
      <c r="TLM3" s="726"/>
      <c r="TLN3" s="726"/>
      <c r="TLO3" s="726"/>
      <c r="TLP3" s="726"/>
      <c r="TLQ3" s="726"/>
      <c r="TLR3" s="727"/>
      <c r="TLS3" s="728"/>
      <c r="TLT3" s="729"/>
      <c r="TLU3" s="730"/>
      <c r="TLV3" s="731"/>
      <c r="TLW3" s="731"/>
      <c r="TLX3" s="731"/>
      <c r="TLY3" s="731"/>
      <c r="TLZ3" s="732"/>
      <c r="TMA3" s="225"/>
      <c r="TMB3" s="716"/>
      <c r="TMC3" s="717"/>
      <c r="TMD3" s="718"/>
      <c r="TME3" s="718"/>
      <c r="TMF3" s="718"/>
      <c r="TMG3" s="718"/>
      <c r="TMH3" s="718"/>
      <c r="TMI3" s="719"/>
      <c r="TMJ3" s="720"/>
      <c r="TMK3" s="721"/>
      <c r="TML3" s="722"/>
      <c r="TMM3" s="722"/>
      <c r="TMN3" s="722"/>
      <c r="TMO3" s="722"/>
      <c r="TMP3" s="722"/>
      <c r="TMQ3" s="723"/>
      <c r="TMR3" s="724"/>
      <c r="TMS3" s="725"/>
      <c r="TMT3" s="726"/>
      <c r="TMU3" s="726"/>
      <c r="TMV3" s="726"/>
      <c r="TMW3" s="726"/>
      <c r="TMX3" s="726"/>
      <c r="TMY3" s="727"/>
      <c r="TMZ3" s="724"/>
      <c r="TNA3" s="725"/>
      <c r="TNB3" s="726"/>
      <c r="TNC3" s="726"/>
      <c r="TND3" s="726"/>
      <c r="TNE3" s="726"/>
      <c r="TNF3" s="726"/>
      <c r="TNG3" s="727"/>
      <c r="TNH3" s="728"/>
      <c r="TNI3" s="729"/>
      <c r="TNJ3" s="730"/>
      <c r="TNK3" s="731"/>
      <c r="TNL3" s="731"/>
      <c r="TNM3" s="731"/>
      <c r="TNN3" s="731"/>
      <c r="TNO3" s="732"/>
      <c r="TNP3" s="225"/>
      <c r="TNQ3" s="716"/>
      <c r="TNR3" s="717"/>
      <c r="TNS3" s="718"/>
      <c r="TNT3" s="718"/>
      <c r="TNU3" s="718"/>
      <c r="TNV3" s="718"/>
      <c r="TNW3" s="718"/>
      <c r="TNX3" s="719"/>
      <c r="TNY3" s="720"/>
      <c r="TNZ3" s="721"/>
      <c r="TOA3" s="722"/>
      <c r="TOB3" s="722"/>
      <c r="TOC3" s="722"/>
      <c r="TOD3" s="722"/>
      <c r="TOE3" s="722"/>
      <c r="TOF3" s="723"/>
      <c r="TOG3" s="724"/>
      <c r="TOH3" s="725"/>
      <c r="TOI3" s="726"/>
      <c r="TOJ3" s="726"/>
      <c r="TOK3" s="726"/>
      <c r="TOL3" s="726"/>
      <c r="TOM3" s="726"/>
      <c r="TON3" s="727"/>
      <c r="TOO3" s="724"/>
      <c r="TOP3" s="725"/>
      <c r="TOQ3" s="726"/>
      <c r="TOR3" s="726"/>
      <c r="TOS3" s="726"/>
      <c r="TOT3" s="726"/>
      <c r="TOU3" s="726"/>
      <c r="TOV3" s="727"/>
      <c r="TOW3" s="728"/>
      <c r="TOX3" s="729"/>
      <c r="TOY3" s="730"/>
      <c r="TOZ3" s="731"/>
      <c r="TPA3" s="731"/>
      <c r="TPB3" s="731"/>
      <c r="TPC3" s="731"/>
      <c r="TPD3" s="732"/>
      <c r="TPE3" s="225"/>
      <c r="TPF3" s="716"/>
      <c r="TPG3" s="717"/>
      <c r="TPH3" s="718"/>
      <c r="TPI3" s="718"/>
      <c r="TPJ3" s="718"/>
      <c r="TPK3" s="718"/>
      <c r="TPL3" s="718"/>
      <c r="TPM3" s="719"/>
      <c r="TPN3" s="720"/>
      <c r="TPO3" s="721"/>
      <c r="TPP3" s="722"/>
      <c r="TPQ3" s="722"/>
      <c r="TPR3" s="722"/>
      <c r="TPS3" s="722"/>
      <c r="TPT3" s="722"/>
      <c r="TPU3" s="723"/>
      <c r="TPV3" s="724"/>
      <c r="TPW3" s="725"/>
      <c r="TPX3" s="726"/>
      <c r="TPY3" s="726"/>
      <c r="TPZ3" s="726"/>
      <c r="TQA3" s="726"/>
      <c r="TQB3" s="726"/>
      <c r="TQC3" s="727"/>
      <c r="TQD3" s="724"/>
      <c r="TQE3" s="725"/>
      <c r="TQF3" s="726"/>
      <c r="TQG3" s="726"/>
      <c r="TQH3" s="726"/>
      <c r="TQI3" s="726"/>
      <c r="TQJ3" s="726"/>
      <c r="TQK3" s="727"/>
      <c r="TQL3" s="728"/>
      <c r="TQM3" s="729"/>
      <c r="TQN3" s="730"/>
      <c r="TQO3" s="731"/>
      <c r="TQP3" s="731"/>
      <c r="TQQ3" s="731"/>
      <c r="TQR3" s="731"/>
      <c r="TQS3" s="732"/>
      <c r="TQT3" s="225"/>
      <c r="TQU3" s="716"/>
      <c r="TQV3" s="717"/>
      <c r="TQW3" s="718"/>
      <c r="TQX3" s="718"/>
      <c r="TQY3" s="718"/>
      <c r="TQZ3" s="718"/>
      <c r="TRA3" s="718"/>
      <c r="TRB3" s="719"/>
      <c r="TRC3" s="720"/>
      <c r="TRD3" s="721"/>
      <c r="TRE3" s="722"/>
      <c r="TRF3" s="722"/>
      <c r="TRG3" s="722"/>
      <c r="TRH3" s="722"/>
      <c r="TRI3" s="722"/>
      <c r="TRJ3" s="723"/>
      <c r="TRK3" s="724"/>
      <c r="TRL3" s="725"/>
      <c r="TRM3" s="726"/>
      <c r="TRN3" s="726"/>
      <c r="TRO3" s="726"/>
      <c r="TRP3" s="726"/>
      <c r="TRQ3" s="726"/>
      <c r="TRR3" s="727"/>
      <c r="TRS3" s="724"/>
      <c r="TRT3" s="725"/>
      <c r="TRU3" s="726"/>
      <c r="TRV3" s="726"/>
      <c r="TRW3" s="726"/>
      <c r="TRX3" s="726"/>
      <c r="TRY3" s="726"/>
      <c r="TRZ3" s="727"/>
      <c r="TSA3" s="728"/>
      <c r="TSB3" s="729"/>
      <c r="TSC3" s="730"/>
      <c r="TSD3" s="731"/>
      <c r="TSE3" s="731"/>
      <c r="TSF3" s="731"/>
      <c r="TSG3" s="731"/>
      <c r="TSH3" s="732"/>
      <c r="TSI3" s="225"/>
      <c r="TSJ3" s="716"/>
      <c r="TSK3" s="717"/>
      <c r="TSL3" s="718"/>
      <c r="TSM3" s="718"/>
      <c r="TSN3" s="718"/>
      <c r="TSO3" s="718"/>
      <c r="TSP3" s="718"/>
      <c r="TSQ3" s="719"/>
      <c r="TSR3" s="720"/>
      <c r="TSS3" s="721"/>
      <c r="TST3" s="722"/>
      <c r="TSU3" s="722"/>
      <c r="TSV3" s="722"/>
      <c r="TSW3" s="722"/>
      <c r="TSX3" s="722"/>
      <c r="TSY3" s="723"/>
      <c r="TSZ3" s="724"/>
      <c r="TTA3" s="725"/>
      <c r="TTB3" s="726"/>
      <c r="TTC3" s="726"/>
      <c r="TTD3" s="726"/>
      <c r="TTE3" s="726"/>
      <c r="TTF3" s="726"/>
      <c r="TTG3" s="727"/>
      <c r="TTH3" s="724"/>
      <c r="TTI3" s="725"/>
      <c r="TTJ3" s="726"/>
      <c r="TTK3" s="726"/>
      <c r="TTL3" s="726"/>
      <c r="TTM3" s="726"/>
      <c r="TTN3" s="726"/>
      <c r="TTO3" s="727"/>
      <c r="TTP3" s="728"/>
      <c r="TTQ3" s="729"/>
      <c r="TTR3" s="730"/>
      <c r="TTS3" s="731"/>
      <c r="TTT3" s="731"/>
      <c r="TTU3" s="731"/>
      <c r="TTV3" s="731"/>
      <c r="TTW3" s="732"/>
      <c r="TTX3" s="225"/>
      <c r="TTY3" s="716"/>
      <c r="TTZ3" s="717"/>
      <c r="TUA3" s="718"/>
      <c r="TUB3" s="718"/>
      <c r="TUC3" s="718"/>
      <c r="TUD3" s="718"/>
      <c r="TUE3" s="718"/>
      <c r="TUF3" s="719"/>
      <c r="TUG3" s="720"/>
      <c r="TUH3" s="721"/>
      <c r="TUI3" s="722"/>
      <c r="TUJ3" s="722"/>
      <c r="TUK3" s="722"/>
      <c r="TUL3" s="722"/>
      <c r="TUM3" s="722"/>
      <c r="TUN3" s="723"/>
      <c r="TUO3" s="724"/>
      <c r="TUP3" s="725"/>
      <c r="TUQ3" s="726"/>
      <c r="TUR3" s="726"/>
      <c r="TUS3" s="726"/>
      <c r="TUT3" s="726"/>
      <c r="TUU3" s="726"/>
      <c r="TUV3" s="727"/>
      <c r="TUW3" s="724"/>
      <c r="TUX3" s="725"/>
      <c r="TUY3" s="726"/>
      <c r="TUZ3" s="726"/>
      <c r="TVA3" s="726"/>
      <c r="TVB3" s="726"/>
      <c r="TVC3" s="726"/>
      <c r="TVD3" s="727"/>
      <c r="TVE3" s="728"/>
      <c r="TVF3" s="729"/>
      <c r="TVG3" s="730"/>
      <c r="TVH3" s="731"/>
      <c r="TVI3" s="731"/>
      <c r="TVJ3" s="731"/>
      <c r="TVK3" s="731"/>
      <c r="TVL3" s="732"/>
      <c r="TVM3" s="225"/>
      <c r="TVN3" s="716"/>
      <c r="TVO3" s="717"/>
      <c r="TVP3" s="718"/>
      <c r="TVQ3" s="718"/>
      <c r="TVR3" s="718"/>
      <c r="TVS3" s="718"/>
      <c r="TVT3" s="718"/>
      <c r="TVU3" s="719"/>
      <c r="TVV3" s="720"/>
      <c r="TVW3" s="721"/>
      <c r="TVX3" s="722"/>
      <c r="TVY3" s="722"/>
      <c r="TVZ3" s="722"/>
      <c r="TWA3" s="722"/>
      <c r="TWB3" s="722"/>
      <c r="TWC3" s="723"/>
      <c r="TWD3" s="724"/>
      <c r="TWE3" s="725"/>
      <c r="TWF3" s="726"/>
      <c r="TWG3" s="726"/>
      <c r="TWH3" s="726"/>
      <c r="TWI3" s="726"/>
      <c r="TWJ3" s="726"/>
      <c r="TWK3" s="727"/>
      <c r="TWL3" s="724"/>
      <c r="TWM3" s="725"/>
      <c r="TWN3" s="726"/>
      <c r="TWO3" s="726"/>
      <c r="TWP3" s="726"/>
      <c r="TWQ3" s="726"/>
      <c r="TWR3" s="726"/>
      <c r="TWS3" s="727"/>
      <c r="TWT3" s="728"/>
      <c r="TWU3" s="729"/>
      <c r="TWV3" s="730"/>
      <c r="TWW3" s="731"/>
      <c r="TWX3" s="731"/>
      <c r="TWY3" s="731"/>
      <c r="TWZ3" s="731"/>
      <c r="TXA3" s="732"/>
      <c r="TXB3" s="225"/>
      <c r="TXC3" s="716"/>
      <c r="TXD3" s="717"/>
      <c r="TXE3" s="718"/>
      <c r="TXF3" s="718"/>
      <c r="TXG3" s="718"/>
      <c r="TXH3" s="718"/>
      <c r="TXI3" s="718"/>
      <c r="TXJ3" s="719"/>
      <c r="TXK3" s="720"/>
      <c r="TXL3" s="721"/>
      <c r="TXM3" s="722"/>
      <c r="TXN3" s="722"/>
      <c r="TXO3" s="722"/>
      <c r="TXP3" s="722"/>
      <c r="TXQ3" s="722"/>
      <c r="TXR3" s="723"/>
      <c r="TXS3" s="724"/>
      <c r="TXT3" s="725"/>
      <c r="TXU3" s="726"/>
      <c r="TXV3" s="726"/>
      <c r="TXW3" s="726"/>
      <c r="TXX3" s="726"/>
      <c r="TXY3" s="726"/>
      <c r="TXZ3" s="727"/>
      <c r="TYA3" s="724"/>
      <c r="TYB3" s="725"/>
      <c r="TYC3" s="726"/>
      <c r="TYD3" s="726"/>
      <c r="TYE3" s="726"/>
      <c r="TYF3" s="726"/>
      <c r="TYG3" s="726"/>
      <c r="TYH3" s="727"/>
      <c r="TYI3" s="728"/>
      <c r="TYJ3" s="729"/>
      <c r="TYK3" s="730"/>
      <c r="TYL3" s="731"/>
      <c r="TYM3" s="731"/>
      <c r="TYN3" s="731"/>
      <c r="TYO3" s="731"/>
      <c r="TYP3" s="732"/>
      <c r="TYQ3" s="225"/>
      <c r="TYR3" s="716"/>
      <c r="TYS3" s="717"/>
      <c r="TYT3" s="718"/>
      <c r="TYU3" s="718"/>
      <c r="TYV3" s="718"/>
      <c r="TYW3" s="718"/>
      <c r="TYX3" s="718"/>
      <c r="TYY3" s="719"/>
      <c r="TYZ3" s="720"/>
      <c r="TZA3" s="721"/>
      <c r="TZB3" s="722"/>
      <c r="TZC3" s="722"/>
      <c r="TZD3" s="722"/>
      <c r="TZE3" s="722"/>
      <c r="TZF3" s="722"/>
      <c r="TZG3" s="723"/>
      <c r="TZH3" s="724"/>
      <c r="TZI3" s="725"/>
      <c r="TZJ3" s="726"/>
      <c r="TZK3" s="726"/>
      <c r="TZL3" s="726"/>
      <c r="TZM3" s="726"/>
      <c r="TZN3" s="726"/>
      <c r="TZO3" s="727"/>
      <c r="TZP3" s="724"/>
      <c r="TZQ3" s="725"/>
      <c r="TZR3" s="726"/>
      <c r="TZS3" s="726"/>
      <c r="TZT3" s="726"/>
      <c r="TZU3" s="726"/>
      <c r="TZV3" s="726"/>
      <c r="TZW3" s="727"/>
      <c r="TZX3" s="728"/>
      <c r="TZY3" s="729"/>
      <c r="TZZ3" s="730"/>
      <c r="UAA3" s="731"/>
      <c r="UAB3" s="731"/>
      <c r="UAC3" s="731"/>
      <c r="UAD3" s="731"/>
      <c r="UAE3" s="732"/>
      <c r="UAF3" s="225"/>
      <c r="UAG3" s="716"/>
      <c r="UAH3" s="717"/>
      <c r="UAI3" s="718"/>
      <c r="UAJ3" s="718"/>
      <c r="UAK3" s="718"/>
      <c r="UAL3" s="718"/>
      <c r="UAM3" s="718"/>
      <c r="UAN3" s="719"/>
      <c r="UAO3" s="720"/>
      <c r="UAP3" s="721"/>
      <c r="UAQ3" s="722"/>
      <c r="UAR3" s="722"/>
      <c r="UAS3" s="722"/>
      <c r="UAT3" s="722"/>
      <c r="UAU3" s="722"/>
      <c r="UAV3" s="723"/>
      <c r="UAW3" s="724"/>
      <c r="UAX3" s="725"/>
      <c r="UAY3" s="726"/>
      <c r="UAZ3" s="726"/>
      <c r="UBA3" s="726"/>
      <c r="UBB3" s="726"/>
      <c r="UBC3" s="726"/>
      <c r="UBD3" s="727"/>
      <c r="UBE3" s="724"/>
      <c r="UBF3" s="725"/>
      <c r="UBG3" s="726"/>
      <c r="UBH3" s="726"/>
      <c r="UBI3" s="726"/>
      <c r="UBJ3" s="726"/>
      <c r="UBK3" s="726"/>
      <c r="UBL3" s="727"/>
      <c r="UBM3" s="728"/>
      <c r="UBN3" s="729"/>
      <c r="UBO3" s="730"/>
      <c r="UBP3" s="731"/>
      <c r="UBQ3" s="731"/>
      <c r="UBR3" s="731"/>
      <c r="UBS3" s="731"/>
      <c r="UBT3" s="732"/>
      <c r="UBU3" s="225"/>
      <c r="UBV3" s="716"/>
      <c r="UBW3" s="717"/>
      <c r="UBX3" s="718"/>
      <c r="UBY3" s="718"/>
      <c r="UBZ3" s="718"/>
      <c r="UCA3" s="718"/>
      <c r="UCB3" s="718"/>
      <c r="UCC3" s="719"/>
      <c r="UCD3" s="720"/>
      <c r="UCE3" s="721"/>
      <c r="UCF3" s="722"/>
      <c r="UCG3" s="722"/>
      <c r="UCH3" s="722"/>
      <c r="UCI3" s="722"/>
      <c r="UCJ3" s="722"/>
      <c r="UCK3" s="723"/>
      <c r="UCL3" s="724"/>
      <c r="UCM3" s="725"/>
      <c r="UCN3" s="726"/>
      <c r="UCO3" s="726"/>
      <c r="UCP3" s="726"/>
      <c r="UCQ3" s="726"/>
      <c r="UCR3" s="726"/>
      <c r="UCS3" s="727"/>
      <c r="UCT3" s="724"/>
      <c r="UCU3" s="725"/>
      <c r="UCV3" s="726"/>
      <c r="UCW3" s="726"/>
      <c r="UCX3" s="726"/>
      <c r="UCY3" s="726"/>
      <c r="UCZ3" s="726"/>
      <c r="UDA3" s="727"/>
      <c r="UDB3" s="728"/>
      <c r="UDC3" s="729"/>
      <c r="UDD3" s="730"/>
      <c r="UDE3" s="731"/>
      <c r="UDF3" s="731"/>
      <c r="UDG3" s="731"/>
      <c r="UDH3" s="731"/>
      <c r="UDI3" s="732"/>
      <c r="UDJ3" s="225"/>
      <c r="UDK3" s="716"/>
      <c r="UDL3" s="717"/>
      <c r="UDM3" s="718"/>
      <c r="UDN3" s="718"/>
      <c r="UDO3" s="718"/>
      <c r="UDP3" s="718"/>
      <c r="UDQ3" s="718"/>
      <c r="UDR3" s="719"/>
      <c r="UDS3" s="720"/>
      <c r="UDT3" s="721"/>
      <c r="UDU3" s="722"/>
      <c r="UDV3" s="722"/>
      <c r="UDW3" s="722"/>
      <c r="UDX3" s="722"/>
      <c r="UDY3" s="722"/>
      <c r="UDZ3" s="723"/>
      <c r="UEA3" s="724"/>
      <c r="UEB3" s="725"/>
      <c r="UEC3" s="726"/>
      <c r="UED3" s="726"/>
      <c r="UEE3" s="726"/>
      <c r="UEF3" s="726"/>
      <c r="UEG3" s="726"/>
      <c r="UEH3" s="727"/>
      <c r="UEI3" s="724"/>
      <c r="UEJ3" s="725"/>
      <c r="UEK3" s="726"/>
      <c r="UEL3" s="726"/>
      <c r="UEM3" s="726"/>
      <c r="UEN3" s="726"/>
      <c r="UEO3" s="726"/>
      <c r="UEP3" s="727"/>
      <c r="UEQ3" s="728"/>
      <c r="UER3" s="729"/>
      <c r="UES3" s="730"/>
      <c r="UET3" s="731"/>
      <c r="UEU3" s="731"/>
      <c r="UEV3" s="731"/>
      <c r="UEW3" s="731"/>
      <c r="UEX3" s="732"/>
      <c r="UEY3" s="225"/>
      <c r="UEZ3" s="716"/>
      <c r="UFA3" s="717"/>
      <c r="UFB3" s="718"/>
      <c r="UFC3" s="718"/>
      <c r="UFD3" s="718"/>
      <c r="UFE3" s="718"/>
      <c r="UFF3" s="718"/>
      <c r="UFG3" s="719"/>
      <c r="UFH3" s="720"/>
      <c r="UFI3" s="721"/>
      <c r="UFJ3" s="722"/>
      <c r="UFK3" s="722"/>
      <c r="UFL3" s="722"/>
      <c r="UFM3" s="722"/>
      <c r="UFN3" s="722"/>
      <c r="UFO3" s="723"/>
      <c r="UFP3" s="724"/>
      <c r="UFQ3" s="725"/>
      <c r="UFR3" s="726"/>
      <c r="UFS3" s="726"/>
      <c r="UFT3" s="726"/>
      <c r="UFU3" s="726"/>
      <c r="UFV3" s="726"/>
      <c r="UFW3" s="727"/>
      <c r="UFX3" s="724"/>
      <c r="UFY3" s="725"/>
      <c r="UFZ3" s="726"/>
      <c r="UGA3" s="726"/>
      <c r="UGB3" s="726"/>
      <c r="UGC3" s="726"/>
      <c r="UGD3" s="726"/>
      <c r="UGE3" s="727"/>
      <c r="UGF3" s="728"/>
      <c r="UGG3" s="729"/>
      <c r="UGH3" s="730"/>
      <c r="UGI3" s="731"/>
      <c r="UGJ3" s="731"/>
      <c r="UGK3" s="731"/>
      <c r="UGL3" s="731"/>
      <c r="UGM3" s="732"/>
      <c r="UGN3" s="225"/>
      <c r="UGO3" s="716"/>
      <c r="UGP3" s="717"/>
      <c r="UGQ3" s="718"/>
      <c r="UGR3" s="718"/>
      <c r="UGS3" s="718"/>
      <c r="UGT3" s="718"/>
      <c r="UGU3" s="718"/>
      <c r="UGV3" s="719"/>
      <c r="UGW3" s="720"/>
      <c r="UGX3" s="721"/>
      <c r="UGY3" s="722"/>
      <c r="UGZ3" s="722"/>
      <c r="UHA3" s="722"/>
      <c r="UHB3" s="722"/>
      <c r="UHC3" s="722"/>
      <c r="UHD3" s="723"/>
      <c r="UHE3" s="724"/>
      <c r="UHF3" s="725"/>
      <c r="UHG3" s="726"/>
      <c r="UHH3" s="726"/>
      <c r="UHI3" s="726"/>
      <c r="UHJ3" s="726"/>
      <c r="UHK3" s="726"/>
      <c r="UHL3" s="727"/>
      <c r="UHM3" s="724"/>
      <c r="UHN3" s="725"/>
      <c r="UHO3" s="726"/>
      <c r="UHP3" s="726"/>
      <c r="UHQ3" s="726"/>
      <c r="UHR3" s="726"/>
      <c r="UHS3" s="726"/>
      <c r="UHT3" s="727"/>
      <c r="UHU3" s="728"/>
      <c r="UHV3" s="729"/>
      <c r="UHW3" s="730"/>
      <c r="UHX3" s="731"/>
      <c r="UHY3" s="731"/>
      <c r="UHZ3" s="731"/>
      <c r="UIA3" s="731"/>
      <c r="UIB3" s="732"/>
      <c r="UIC3" s="225"/>
      <c r="UID3" s="716"/>
      <c r="UIE3" s="717"/>
      <c r="UIF3" s="718"/>
      <c r="UIG3" s="718"/>
      <c r="UIH3" s="718"/>
      <c r="UII3" s="718"/>
      <c r="UIJ3" s="718"/>
      <c r="UIK3" s="719"/>
      <c r="UIL3" s="720"/>
      <c r="UIM3" s="721"/>
      <c r="UIN3" s="722"/>
      <c r="UIO3" s="722"/>
      <c r="UIP3" s="722"/>
      <c r="UIQ3" s="722"/>
      <c r="UIR3" s="722"/>
      <c r="UIS3" s="723"/>
      <c r="UIT3" s="724"/>
      <c r="UIU3" s="725"/>
      <c r="UIV3" s="726"/>
      <c r="UIW3" s="726"/>
      <c r="UIX3" s="726"/>
      <c r="UIY3" s="726"/>
      <c r="UIZ3" s="726"/>
      <c r="UJA3" s="727"/>
      <c r="UJB3" s="724"/>
      <c r="UJC3" s="725"/>
      <c r="UJD3" s="726"/>
      <c r="UJE3" s="726"/>
      <c r="UJF3" s="726"/>
      <c r="UJG3" s="726"/>
      <c r="UJH3" s="726"/>
      <c r="UJI3" s="727"/>
      <c r="UJJ3" s="728"/>
      <c r="UJK3" s="729"/>
      <c r="UJL3" s="730"/>
      <c r="UJM3" s="731"/>
      <c r="UJN3" s="731"/>
      <c r="UJO3" s="731"/>
      <c r="UJP3" s="731"/>
      <c r="UJQ3" s="732"/>
      <c r="UJR3" s="225"/>
      <c r="UJS3" s="716"/>
      <c r="UJT3" s="717"/>
      <c r="UJU3" s="718"/>
      <c r="UJV3" s="718"/>
      <c r="UJW3" s="718"/>
      <c r="UJX3" s="718"/>
      <c r="UJY3" s="718"/>
      <c r="UJZ3" s="719"/>
      <c r="UKA3" s="720"/>
      <c r="UKB3" s="721"/>
      <c r="UKC3" s="722"/>
      <c r="UKD3" s="722"/>
      <c r="UKE3" s="722"/>
      <c r="UKF3" s="722"/>
      <c r="UKG3" s="722"/>
      <c r="UKH3" s="723"/>
      <c r="UKI3" s="724"/>
      <c r="UKJ3" s="725"/>
      <c r="UKK3" s="726"/>
      <c r="UKL3" s="726"/>
      <c r="UKM3" s="726"/>
      <c r="UKN3" s="726"/>
      <c r="UKO3" s="726"/>
      <c r="UKP3" s="727"/>
      <c r="UKQ3" s="724"/>
      <c r="UKR3" s="725"/>
      <c r="UKS3" s="726"/>
      <c r="UKT3" s="726"/>
      <c r="UKU3" s="726"/>
      <c r="UKV3" s="726"/>
      <c r="UKW3" s="726"/>
      <c r="UKX3" s="727"/>
      <c r="UKY3" s="728"/>
      <c r="UKZ3" s="729"/>
      <c r="ULA3" s="730"/>
      <c r="ULB3" s="731"/>
      <c r="ULC3" s="731"/>
      <c r="ULD3" s="731"/>
      <c r="ULE3" s="731"/>
      <c r="ULF3" s="732"/>
      <c r="ULG3" s="225"/>
      <c r="ULH3" s="716"/>
      <c r="ULI3" s="717"/>
      <c r="ULJ3" s="718"/>
      <c r="ULK3" s="718"/>
      <c r="ULL3" s="718"/>
      <c r="ULM3" s="718"/>
      <c r="ULN3" s="718"/>
      <c r="ULO3" s="719"/>
      <c r="ULP3" s="720"/>
      <c r="ULQ3" s="721"/>
      <c r="ULR3" s="722"/>
      <c r="ULS3" s="722"/>
      <c r="ULT3" s="722"/>
      <c r="ULU3" s="722"/>
      <c r="ULV3" s="722"/>
      <c r="ULW3" s="723"/>
      <c r="ULX3" s="724"/>
      <c r="ULY3" s="725"/>
      <c r="ULZ3" s="726"/>
      <c r="UMA3" s="726"/>
      <c r="UMB3" s="726"/>
      <c r="UMC3" s="726"/>
      <c r="UMD3" s="726"/>
      <c r="UME3" s="727"/>
      <c r="UMF3" s="724"/>
      <c r="UMG3" s="725"/>
      <c r="UMH3" s="726"/>
      <c r="UMI3" s="726"/>
      <c r="UMJ3" s="726"/>
      <c r="UMK3" s="726"/>
      <c r="UML3" s="726"/>
      <c r="UMM3" s="727"/>
      <c r="UMN3" s="728"/>
      <c r="UMO3" s="729"/>
      <c r="UMP3" s="730"/>
      <c r="UMQ3" s="731"/>
      <c r="UMR3" s="731"/>
      <c r="UMS3" s="731"/>
      <c r="UMT3" s="731"/>
      <c r="UMU3" s="732"/>
      <c r="UMV3" s="225"/>
      <c r="UMW3" s="716"/>
      <c r="UMX3" s="717"/>
      <c r="UMY3" s="718"/>
      <c r="UMZ3" s="718"/>
      <c r="UNA3" s="718"/>
      <c r="UNB3" s="718"/>
      <c r="UNC3" s="718"/>
      <c r="UND3" s="719"/>
      <c r="UNE3" s="720"/>
      <c r="UNF3" s="721"/>
      <c r="UNG3" s="722"/>
      <c r="UNH3" s="722"/>
      <c r="UNI3" s="722"/>
      <c r="UNJ3" s="722"/>
      <c r="UNK3" s="722"/>
      <c r="UNL3" s="723"/>
      <c r="UNM3" s="724"/>
      <c r="UNN3" s="725"/>
      <c r="UNO3" s="726"/>
      <c r="UNP3" s="726"/>
      <c r="UNQ3" s="726"/>
      <c r="UNR3" s="726"/>
      <c r="UNS3" s="726"/>
      <c r="UNT3" s="727"/>
      <c r="UNU3" s="724"/>
      <c r="UNV3" s="725"/>
      <c r="UNW3" s="726"/>
      <c r="UNX3" s="726"/>
      <c r="UNY3" s="726"/>
      <c r="UNZ3" s="726"/>
      <c r="UOA3" s="726"/>
      <c r="UOB3" s="727"/>
      <c r="UOC3" s="728"/>
      <c r="UOD3" s="729"/>
      <c r="UOE3" s="730"/>
      <c r="UOF3" s="731"/>
      <c r="UOG3" s="731"/>
      <c r="UOH3" s="731"/>
      <c r="UOI3" s="731"/>
      <c r="UOJ3" s="732"/>
      <c r="UOK3" s="225"/>
      <c r="UOL3" s="716"/>
      <c r="UOM3" s="717"/>
      <c r="UON3" s="718"/>
      <c r="UOO3" s="718"/>
      <c r="UOP3" s="718"/>
      <c r="UOQ3" s="718"/>
      <c r="UOR3" s="718"/>
      <c r="UOS3" s="719"/>
      <c r="UOT3" s="720"/>
      <c r="UOU3" s="721"/>
      <c r="UOV3" s="722"/>
      <c r="UOW3" s="722"/>
      <c r="UOX3" s="722"/>
      <c r="UOY3" s="722"/>
      <c r="UOZ3" s="722"/>
      <c r="UPA3" s="723"/>
      <c r="UPB3" s="724"/>
      <c r="UPC3" s="725"/>
      <c r="UPD3" s="726"/>
      <c r="UPE3" s="726"/>
      <c r="UPF3" s="726"/>
      <c r="UPG3" s="726"/>
      <c r="UPH3" s="726"/>
      <c r="UPI3" s="727"/>
      <c r="UPJ3" s="724"/>
      <c r="UPK3" s="725"/>
      <c r="UPL3" s="726"/>
      <c r="UPM3" s="726"/>
      <c r="UPN3" s="726"/>
      <c r="UPO3" s="726"/>
      <c r="UPP3" s="726"/>
      <c r="UPQ3" s="727"/>
      <c r="UPR3" s="728"/>
      <c r="UPS3" s="729"/>
      <c r="UPT3" s="730"/>
      <c r="UPU3" s="731"/>
      <c r="UPV3" s="731"/>
      <c r="UPW3" s="731"/>
      <c r="UPX3" s="731"/>
      <c r="UPY3" s="732"/>
      <c r="UPZ3" s="225"/>
      <c r="UQA3" s="716"/>
      <c r="UQB3" s="717"/>
      <c r="UQC3" s="718"/>
      <c r="UQD3" s="718"/>
      <c r="UQE3" s="718"/>
      <c r="UQF3" s="718"/>
      <c r="UQG3" s="718"/>
      <c r="UQH3" s="719"/>
      <c r="UQI3" s="720"/>
      <c r="UQJ3" s="721"/>
      <c r="UQK3" s="722"/>
      <c r="UQL3" s="722"/>
      <c r="UQM3" s="722"/>
      <c r="UQN3" s="722"/>
      <c r="UQO3" s="722"/>
      <c r="UQP3" s="723"/>
      <c r="UQQ3" s="724"/>
      <c r="UQR3" s="725"/>
      <c r="UQS3" s="726"/>
      <c r="UQT3" s="726"/>
      <c r="UQU3" s="726"/>
      <c r="UQV3" s="726"/>
      <c r="UQW3" s="726"/>
      <c r="UQX3" s="727"/>
      <c r="UQY3" s="724"/>
      <c r="UQZ3" s="725"/>
      <c r="URA3" s="726"/>
      <c r="URB3" s="726"/>
      <c r="URC3" s="726"/>
      <c r="URD3" s="726"/>
      <c r="URE3" s="726"/>
      <c r="URF3" s="727"/>
      <c r="URG3" s="728"/>
      <c r="URH3" s="729"/>
      <c r="URI3" s="730"/>
      <c r="URJ3" s="731"/>
      <c r="URK3" s="731"/>
      <c r="URL3" s="731"/>
      <c r="URM3" s="731"/>
      <c r="URN3" s="732"/>
      <c r="URO3" s="225"/>
      <c r="URP3" s="716"/>
      <c r="URQ3" s="717"/>
      <c r="URR3" s="718"/>
      <c r="URS3" s="718"/>
      <c r="URT3" s="718"/>
      <c r="URU3" s="718"/>
      <c r="URV3" s="718"/>
      <c r="URW3" s="719"/>
      <c r="URX3" s="720"/>
      <c r="URY3" s="721"/>
      <c r="URZ3" s="722"/>
      <c r="USA3" s="722"/>
      <c r="USB3" s="722"/>
      <c r="USC3" s="722"/>
      <c r="USD3" s="722"/>
      <c r="USE3" s="723"/>
      <c r="USF3" s="724"/>
      <c r="USG3" s="725"/>
      <c r="USH3" s="726"/>
      <c r="USI3" s="726"/>
      <c r="USJ3" s="726"/>
      <c r="USK3" s="726"/>
      <c r="USL3" s="726"/>
      <c r="USM3" s="727"/>
      <c r="USN3" s="724"/>
      <c r="USO3" s="725"/>
      <c r="USP3" s="726"/>
      <c r="USQ3" s="726"/>
      <c r="USR3" s="726"/>
      <c r="USS3" s="726"/>
      <c r="UST3" s="726"/>
      <c r="USU3" s="727"/>
      <c r="USV3" s="728"/>
      <c r="USW3" s="729"/>
      <c r="USX3" s="730"/>
      <c r="USY3" s="731"/>
      <c r="USZ3" s="731"/>
      <c r="UTA3" s="731"/>
      <c r="UTB3" s="731"/>
      <c r="UTC3" s="732"/>
      <c r="UTD3" s="225"/>
      <c r="UTE3" s="716"/>
      <c r="UTF3" s="717"/>
      <c r="UTG3" s="718"/>
      <c r="UTH3" s="718"/>
      <c r="UTI3" s="718"/>
      <c r="UTJ3" s="718"/>
      <c r="UTK3" s="718"/>
      <c r="UTL3" s="719"/>
      <c r="UTM3" s="720"/>
      <c r="UTN3" s="721"/>
      <c r="UTO3" s="722"/>
      <c r="UTP3" s="722"/>
      <c r="UTQ3" s="722"/>
      <c r="UTR3" s="722"/>
      <c r="UTS3" s="722"/>
      <c r="UTT3" s="723"/>
      <c r="UTU3" s="724"/>
      <c r="UTV3" s="725"/>
      <c r="UTW3" s="726"/>
      <c r="UTX3" s="726"/>
      <c r="UTY3" s="726"/>
      <c r="UTZ3" s="726"/>
      <c r="UUA3" s="726"/>
      <c r="UUB3" s="727"/>
      <c r="UUC3" s="724"/>
      <c r="UUD3" s="725"/>
      <c r="UUE3" s="726"/>
      <c r="UUF3" s="726"/>
      <c r="UUG3" s="726"/>
      <c r="UUH3" s="726"/>
      <c r="UUI3" s="726"/>
      <c r="UUJ3" s="727"/>
      <c r="UUK3" s="728"/>
      <c r="UUL3" s="729"/>
      <c r="UUM3" s="730"/>
      <c r="UUN3" s="731"/>
      <c r="UUO3" s="731"/>
      <c r="UUP3" s="731"/>
      <c r="UUQ3" s="731"/>
      <c r="UUR3" s="732"/>
      <c r="UUS3" s="225"/>
      <c r="UUT3" s="716"/>
      <c r="UUU3" s="717"/>
      <c r="UUV3" s="718"/>
      <c r="UUW3" s="718"/>
      <c r="UUX3" s="718"/>
      <c r="UUY3" s="718"/>
      <c r="UUZ3" s="718"/>
      <c r="UVA3" s="719"/>
      <c r="UVB3" s="720"/>
      <c r="UVC3" s="721"/>
      <c r="UVD3" s="722"/>
      <c r="UVE3" s="722"/>
      <c r="UVF3" s="722"/>
      <c r="UVG3" s="722"/>
      <c r="UVH3" s="722"/>
      <c r="UVI3" s="723"/>
      <c r="UVJ3" s="724"/>
      <c r="UVK3" s="725"/>
      <c r="UVL3" s="726"/>
      <c r="UVM3" s="726"/>
      <c r="UVN3" s="726"/>
      <c r="UVO3" s="726"/>
      <c r="UVP3" s="726"/>
      <c r="UVQ3" s="727"/>
      <c r="UVR3" s="724"/>
      <c r="UVS3" s="725"/>
      <c r="UVT3" s="726"/>
      <c r="UVU3" s="726"/>
      <c r="UVV3" s="726"/>
      <c r="UVW3" s="726"/>
      <c r="UVX3" s="726"/>
      <c r="UVY3" s="727"/>
      <c r="UVZ3" s="728"/>
      <c r="UWA3" s="729"/>
      <c r="UWB3" s="730"/>
      <c r="UWC3" s="731"/>
      <c r="UWD3" s="731"/>
      <c r="UWE3" s="731"/>
      <c r="UWF3" s="731"/>
      <c r="UWG3" s="732"/>
      <c r="UWH3" s="225"/>
      <c r="UWI3" s="716"/>
      <c r="UWJ3" s="717"/>
      <c r="UWK3" s="718"/>
      <c r="UWL3" s="718"/>
      <c r="UWM3" s="718"/>
      <c r="UWN3" s="718"/>
      <c r="UWO3" s="718"/>
      <c r="UWP3" s="719"/>
      <c r="UWQ3" s="720"/>
      <c r="UWR3" s="721"/>
      <c r="UWS3" s="722"/>
      <c r="UWT3" s="722"/>
      <c r="UWU3" s="722"/>
      <c r="UWV3" s="722"/>
      <c r="UWW3" s="722"/>
      <c r="UWX3" s="723"/>
      <c r="UWY3" s="724"/>
      <c r="UWZ3" s="725"/>
      <c r="UXA3" s="726"/>
      <c r="UXB3" s="726"/>
      <c r="UXC3" s="726"/>
      <c r="UXD3" s="726"/>
      <c r="UXE3" s="726"/>
      <c r="UXF3" s="727"/>
      <c r="UXG3" s="724"/>
      <c r="UXH3" s="725"/>
      <c r="UXI3" s="726"/>
      <c r="UXJ3" s="726"/>
      <c r="UXK3" s="726"/>
      <c r="UXL3" s="726"/>
      <c r="UXM3" s="726"/>
      <c r="UXN3" s="727"/>
      <c r="UXO3" s="728"/>
      <c r="UXP3" s="729"/>
      <c r="UXQ3" s="730"/>
      <c r="UXR3" s="731"/>
      <c r="UXS3" s="731"/>
      <c r="UXT3" s="731"/>
      <c r="UXU3" s="731"/>
      <c r="UXV3" s="732"/>
      <c r="UXW3" s="225"/>
      <c r="UXX3" s="716"/>
      <c r="UXY3" s="717"/>
      <c r="UXZ3" s="718"/>
      <c r="UYA3" s="718"/>
      <c r="UYB3" s="718"/>
      <c r="UYC3" s="718"/>
      <c r="UYD3" s="718"/>
      <c r="UYE3" s="719"/>
      <c r="UYF3" s="720"/>
      <c r="UYG3" s="721"/>
      <c r="UYH3" s="722"/>
      <c r="UYI3" s="722"/>
      <c r="UYJ3" s="722"/>
      <c r="UYK3" s="722"/>
      <c r="UYL3" s="722"/>
      <c r="UYM3" s="723"/>
      <c r="UYN3" s="724"/>
      <c r="UYO3" s="725"/>
      <c r="UYP3" s="726"/>
      <c r="UYQ3" s="726"/>
      <c r="UYR3" s="726"/>
      <c r="UYS3" s="726"/>
      <c r="UYT3" s="726"/>
      <c r="UYU3" s="727"/>
      <c r="UYV3" s="724"/>
      <c r="UYW3" s="725"/>
      <c r="UYX3" s="726"/>
      <c r="UYY3" s="726"/>
      <c r="UYZ3" s="726"/>
      <c r="UZA3" s="726"/>
      <c r="UZB3" s="726"/>
      <c r="UZC3" s="727"/>
      <c r="UZD3" s="728"/>
      <c r="UZE3" s="729"/>
      <c r="UZF3" s="730"/>
      <c r="UZG3" s="731"/>
      <c r="UZH3" s="731"/>
      <c r="UZI3" s="731"/>
      <c r="UZJ3" s="731"/>
      <c r="UZK3" s="732"/>
      <c r="UZL3" s="225"/>
      <c r="UZM3" s="716"/>
      <c r="UZN3" s="717"/>
      <c r="UZO3" s="718"/>
      <c r="UZP3" s="718"/>
      <c r="UZQ3" s="718"/>
      <c r="UZR3" s="718"/>
      <c r="UZS3" s="718"/>
      <c r="UZT3" s="719"/>
      <c r="UZU3" s="720"/>
      <c r="UZV3" s="721"/>
      <c r="UZW3" s="722"/>
      <c r="UZX3" s="722"/>
      <c r="UZY3" s="722"/>
      <c r="UZZ3" s="722"/>
      <c r="VAA3" s="722"/>
      <c r="VAB3" s="723"/>
      <c r="VAC3" s="724"/>
      <c r="VAD3" s="725"/>
      <c r="VAE3" s="726"/>
      <c r="VAF3" s="726"/>
      <c r="VAG3" s="726"/>
      <c r="VAH3" s="726"/>
      <c r="VAI3" s="726"/>
      <c r="VAJ3" s="727"/>
      <c r="VAK3" s="724"/>
      <c r="VAL3" s="725"/>
      <c r="VAM3" s="726"/>
      <c r="VAN3" s="726"/>
      <c r="VAO3" s="726"/>
      <c r="VAP3" s="726"/>
      <c r="VAQ3" s="726"/>
      <c r="VAR3" s="727"/>
      <c r="VAS3" s="728"/>
      <c r="VAT3" s="729"/>
      <c r="VAU3" s="730"/>
      <c r="VAV3" s="731"/>
      <c r="VAW3" s="731"/>
      <c r="VAX3" s="731"/>
      <c r="VAY3" s="731"/>
      <c r="VAZ3" s="732"/>
      <c r="VBA3" s="225"/>
      <c r="VBB3" s="716"/>
      <c r="VBC3" s="717"/>
      <c r="VBD3" s="718"/>
      <c r="VBE3" s="718"/>
      <c r="VBF3" s="718"/>
      <c r="VBG3" s="718"/>
      <c r="VBH3" s="718"/>
      <c r="VBI3" s="719"/>
      <c r="VBJ3" s="720"/>
      <c r="VBK3" s="721"/>
      <c r="VBL3" s="722"/>
      <c r="VBM3" s="722"/>
      <c r="VBN3" s="722"/>
      <c r="VBO3" s="722"/>
      <c r="VBP3" s="722"/>
      <c r="VBQ3" s="723"/>
      <c r="VBR3" s="724"/>
      <c r="VBS3" s="725"/>
      <c r="VBT3" s="726"/>
      <c r="VBU3" s="726"/>
      <c r="VBV3" s="726"/>
      <c r="VBW3" s="726"/>
      <c r="VBX3" s="726"/>
      <c r="VBY3" s="727"/>
      <c r="VBZ3" s="724"/>
      <c r="VCA3" s="725"/>
      <c r="VCB3" s="726"/>
      <c r="VCC3" s="726"/>
      <c r="VCD3" s="726"/>
      <c r="VCE3" s="726"/>
      <c r="VCF3" s="726"/>
      <c r="VCG3" s="727"/>
      <c r="VCH3" s="728"/>
      <c r="VCI3" s="729"/>
      <c r="VCJ3" s="730"/>
      <c r="VCK3" s="731"/>
      <c r="VCL3" s="731"/>
      <c r="VCM3" s="731"/>
      <c r="VCN3" s="731"/>
      <c r="VCO3" s="732"/>
      <c r="VCP3" s="225"/>
      <c r="VCQ3" s="716"/>
      <c r="VCR3" s="717"/>
      <c r="VCS3" s="718"/>
      <c r="VCT3" s="718"/>
      <c r="VCU3" s="718"/>
      <c r="VCV3" s="718"/>
      <c r="VCW3" s="718"/>
      <c r="VCX3" s="719"/>
      <c r="VCY3" s="720"/>
      <c r="VCZ3" s="721"/>
      <c r="VDA3" s="722"/>
      <c r="VDB3" s="722"/>
      <c r="VDC3" s="722"/>
      <c r="VDD3" s="722"/>
      <c r="VDE3" s="722"/>
      <c r="VDF3" s="723"/>
      <c r="VDG3" s="724"/>
      <c r="VDH3" s="725"/>
      <c r="VDI3" s="726"/>
      <c r="VDJ3" s="726"/>
      <c r="VDK3" s="726"/>
      <c r="VDL3" s="726"/>
      <c r="VDM3" s="726"/>
      <c r="VDN3" s="727"/>
      <c r="VDO3" s="724"/>
      <c r="VDP3" s="725"/>
      <c r="VDQ3" s="726"/>
      <c r="VDR3" s="726"/>
      <c r="VDS3" s="726"/>
      <c r="VDT3" s="726"/>
      <c r="VDU3" s="726"/>
      <c r="VDV3" s="727"/>
      <c r="VDW3" s="728"/>
      <c r="VDX3" s="729"/>
      <c r="VDY3" s="730"/>
      <c r="VDZ3" s="731"/>
      <c r="VEA3" s="731"/>
      <c r="VEB3" s="731"/>
      <c r="VEC3" s="731"/>
      <c r="VED3" s="732"/>
      <c r="VEE3" s="225"/>
      <c r="VEF3" s="716"/>
      <c r="VEG3" s="717"/>
      <c r="VEH3" s="718"/>
      <c r="VEI3" s="718"/>
      <c r="VEJ3" s="718"/>
      <c r="VEK3" s="718"/>
      <c r="VEL3" s="718"/>
      <c r="VEM3" s="719"/>
      <c r="VEN3" s="720"/>
      <c r="VEO3" s="721"/>
      <c r="VEP3" s="722"/>
      <c r="VEQ3" s="722"/>
      <c r="VER3" s="722"/>
      <c r="VES3" s="722"/>
      <c r="VET3" s="722"/>
      <c r="VEU3" s="723"/>
      <c r="VEV3" s="724"/>
      <c r="VEW3" s="725"/>
      <c r="VEX3" s="726"/>
      <c r="VEY3" s="726"/>
      <c r="VEZ3" s="726"/>
      <c r="VFA3" s="726"/>
      <c r="VFB3" s="726"/>
      <c r="VFC3" s="727"/>
      <c r="VFD3" s="724"/>
      <c r="VFE3" s="725"/>
      <c r="VFF3" s="726"/>
      <c r="VFG3" s="726"/>
      <c r="VFH3" s="726"/>
      <c r="VFI3" s="726"/>
      <c r="VFJ3" s="726"/>
      <c r="VFK3" s="727"/>
      <c r="VFL3" s="728"/>
      <c r="VFM3" s="729"/>
      <c r="VFN3" s="730"/>
      <c r="VFO3" s="731"/>
      <c r="VFP3" s="731"/>
      <c r="VFQ3" s="731"/>
      <c r="VFR3" s="731"/>
      <c r="VFS3" s="732"/>
      <c r="VFT3" s="225"/>
      <c r="VFU3" s="716"/>
      <c r="VFV3" s="717"/>
      <c r="VFW3" s="718"/>
      <c r="VFX3" s="718"/>
      <c r="VFY3" s="718"/>
      <c r="VFZ3" s="718"/>
      <c r="VGA3" s="718"/>
      <c r="VGB3" s="719"/>
      <c r="VGC3" s="720"/>
      <c r="VGD3" s="721"/>
      <c r="VGE3" s="722"/>
      <c r="VGF3" s="722"/>
      <c r="VGG3" s="722"/>
      <c r="VGH3" s="722"/>
      <c r="VGI3" s="722"/>
      <c r="VGJ3" s="723"/>
      <c r="VGK3" s="724"/>
      <c r="VGL3" s="725"/>
      <c r="VGM3" s="726"/>
      <c r="VGN3" s="726"/>
      <c r="VGO3" s="726"/>
      <c r="VGP3" s="726"/>
      <c r="VGQ3" s="726"/>
      <c r="VGR3" s="727"/>
      <c r="VGS3" s="724"/>
      <c r="VGT3" s="725"/>
      <c r="VGU3" s="726"/>
      <c r="VGV3" s="726"/>
      <c r="VGW3" s="726"/>
      <c r="VGX3" s="726"/>
      <c r="VGY3" s="726"/>
      <c r="VGZ3" s="727"/>
      <c r="VHA3" s="728"/>
      <c r="VHB3" s="729"/>
      <c r="VHC3" s="730"/>
      <c r="VHD3" s="731"/>
      <c r="VHE3" s="731"/>
      <c r="VHF3" s="731"/>
      <c r="VHG3" s="731"/>
      <c r="VHH3" s="732"/>
      <c r="VHI3" s="225"/>
      <c r="VHJ3" s="716"/>
      <c r="VHK3" s="717"/>
      <c r="VHL3" s="718"/>
      <c r="VHM3" s="718"/>
      <c r="VHN3" s="718"/>
      <c r="VHO3" s="718"/>
      <c r="VHP3" s="718"/>
      <c r="VHQ3" s="719"/>
      <c r="VHR3" s="720"/>
      <c r="VHS3" s="721"/>
      <c r="VHT3" s="722"/>
      <c r="VHU3" s="722"/>
      <c r="VHV3" s="722"/>
      <c r="VHW3" s="722"/>
      <c r="VHX3" s="722"/>
      <c r="VHY3" s="723"/>
      <c r="VHZ3" s="724"/>
      <c r="VIA3" s="725"/>
      <c r="VIB3" s="726"/>
      <c r="VIC3" s="726"/>
      <c r="VID3" s="726"/>
      <c r="VIE3" s="726"/>
      <c r="VIF3" s="726"/>
      <c r="VIG3" s="727"/>
      <c r="VIH3" s="724"/>
      <c r="VII3" s="725"/>
      <c r="VIJ3" s="726"/>
      <c r="VIK3" s="726"/>
      <c r="VIL3" s="726"/>
      <c r="VIM3" s="726"/>
      <c r="VIN3" s="726"/>
      <c r="VIO3" s="727"/>
      <c r="VIP3" s="728"/>
      <c r="VIQ3" s="729"/>
      <c r="VIR3" s="730"/>
      <c r="VIS3" s="731"/>
      <c r="VIT3" s="731"/>
      <c r="VIU3" s="731"/>
      <c r="VIV3" s="731"/>
      <c r="VIW3" s="732"/>
      <c r="VIX3" s="225"/>
      <c r="VIY3" s="716"/>
      <c r="VIZ3" s="717"/>
      <c r="VJA3" s="718"/>
      <c r="VJB3" s="718"/>
      <c r="VJC3" s="718"/>
      <c r="VJD3" s="718"/>
      <c r="VJE3" s="718"/>
      <c r="VJF3" s="719"/>
      <c r="VJG3" s="720"/>
      <c r="VJH3" s="721"/>
      <c r="VJI3" s="722"/>
      <c r="VJJ3" s="722"/>
      <c r="VJK3" s="722"/>
      <c r="VJL3" s="722"/>
      <c r="VJM3" s="722"/>
      <c r="VJN3" s="723"/>
      <c r="VJO3" s="724"/>
      <c r="VJP3" s="725"/>
      <c r="VJQ3" s="726"/>
      <c r="VJR3" s="726"/>
      <c r="VJS3" s="726"/>
      <c r="VJT3" s="726"/>
      <c r="VJU3" s="726"/>
      <c r="VJV3" s="727"/>
      <c r="VJW3" s="724"/>
      <c r="VJX3" s="725"/>
      <c r="VJY3" s="726"/>
      <c r="VJZ3" s="726"/>
      <c r="VKA3" s="726"/>
      <c r="VKB3" s="726"/>
      <c r="VKC3" s="726"/>
      <c r="VKD3" s="727"/>
      <c r="VKE3" s="728"/>
      <c r="VKF3" s="729"/>
      <c r="VKG3" s="730"/>
      <c r="VKH3" s="731"/>
      <c r="VKI3" s="731"/>
      <c r="VKJ3" s="731"/>
      <c r="VKK3" s="731"/>
      <c r="VKL3" s="732"/>
      <c r="VKM3" s="225"/>
      <c r="VKN3" s="716"/>
      <c r="VKO3" s="717"/>
      <c r="VKP3" s="718"/>
      <c r="VKQ3" s="718"/>
      <c r="VKR3" s="718"/>
      <c r="VKS3" s="718"/>
      <c r="VKT3" s="718"/>
      <c r="VKU3" s="719"/>
      <c r="VKV3" s="720"/>
      <c r="VKW3" s="721"/>
      <c r="VKX3" s="722"/>
      <c r="VKY3" s="722"/>
      <c r="VKZ3" s="722"/>
      <c r="VLA3" s="722"/>
      <c r="VLB3" s="722"/>
      <c r="VLC3" s="723"/>
      <c r="VLD3" s="724"/>
      <c r="VLE3" s="725"/>
      <c r="VLF3" s="726"/>
      <c r="VLG3" s="726"/>
      <c r="VLH3" s="726"/>
      <c r="VLI3" s="726"/>
      <c r="VLJ3" s="726"/>
      <c r="VLK3" s="727"/>
      <c r="VLL3" s="724"/>
      <c r="VLM3" s="725"/>
      <c r="VLN3" s="726"/>
      <c r="VLO3" s="726"/>
      <c r="VLP3" s="726"/>
      <c r="VLQ3" s="726"/>
      <c r="VLR3" s="726"/>
      <c r="VLS3" s="727"/>
      <c r="VLT3" s="728"/>
      <c r="VLU3" s="729"/>
      <c r="VLV3" s="730"/>
      <c r="VLW3" s="731"/>
      <c r="VLX3" s="731"/>
      <c r="VLY3" s="731"/>
      <c r="VLZ3" s="731"/>
      <c r="VMA3" s="732"/>
      <c r="VMB3" s="225"/>
      <c r="VMC3" s="716"/>
      <c r="VMD3" s="717"/>
      <c r="VME3" s="718"/>
      <c r="VMF3" s="718"/>
      <c r="VMG3" s="718"/>
      <c r="VMH3" s="718"/>
      <c r="VMI3" s="718"/>
      <c r="VMJ3" s="719"/>
      <c r="VMK3" s="720"/>
      <c r="VML3" s="721"/>
      <c r="VMM3" s="722"/>
      <c r="VMN3" s="722"/>
      <c r="VMO3" s="722"/>
      <c r="VMP3" s="722"/>
      <c r="VMQ3" s="722"/>
      <c r="VMR3" s="723"/>
      <c r="VMS3" s="724"/>
      <c r="VMT3" s="725"/>
      <c r="VMU3" s="726"/>
      <c r="VMV3" s="726"/>
      <c r="VMW3" s="726"/>
      <c r="VMX3" s="726"/>
      <c r="VMY3" s="726"/>
      <c r="VMZ3" s="727"/>
      <c r="VNA3" s="724"/>
      <c r="VNB3" s="725"/>
      <c r="VNC3" s="726"/>
      <c r="VND3" s="726"/>
      <c r="VNE3" s="726"/>
      <c r="VNF3" s="726"/>
      <c r="VNG3" s="726"/>
      <c r="VNH3" s="727"/>
      <c r="VNI3" s="728"/>
      <c r="VNJ3" s="729"/>
      <c r="VNK3" s="730"/>
      <c r="VNL3" s="731"/>
      <c r="VNM3" s="731"/>
      <c r="VNN3" s="731"/>
      <c r="VNO3" s="731"/>
      <c r="VNP3" s="732"/>
      <c r="VNQ3" s="225"/>
      <c r="VNR3" s="716"/>
      <c r="VNS3" s="717"/>
      <c r="VNT3" s="718"/>
      <c r="VNU3" s="718"/>
      <c r="VNV3" s="718"/>
      <c r="VNW3" s="718"/>
      <c r="VNX3" s="718"/>
      <c r="VNY3" s="719"/>
      <c r="VNZ3" s="720"/>
      <c r="VOA3" s="721"/>
      <c r="VOB3" s="722"/>
      <c r="VOC3" s="722"/>
      <c r="VOD3" s="722"/>
      <c r="VOE3" s="722"/>
      <c r="VOF3" s="722"/>
      <c r="VOG3" s="723"/>
      <c r="VOH3" s="724"/>
      <c r="VOI3" s="725"/>
      <c r="VOJ3" s="726"/>
      <c r="VOK3" s="726"/>
      <c r="VOL3" s="726"/>
      <c r="VOM3" s="726"/>
      <c r="VON3" s="726"/>
      <c r="VOO3" s="727"/>
      <c r="VOP3" s="724"/>
      <c r="VOQ3" s="725"/>
      <c r="VOR3" s="726"/>
      <c r="VOS3" s="726"/>
      <c r="VOT3" s="726"/>
      <c r="VOU3" s="726"/>
      <c r="VOV3" s="726"/>
      <c r="VOW3" s="727"/>
      <c r="VOX3" s="728"/>
      <c r="VOY3" s="729"/>
      <c r="VOZ3" s="730"/>
      <c r="VPA3" s="731"/>
      <c r="VPB3" s="731"/>
      <c r="VPC3" s="731"/>
      <c r="VPD3" s="731"/>
      <c r="VPE3" s="732"/>
      <c r="VPF3" s="225"/>
      <c r="VPG3" s="716"/>
      <c r="VPH3" s="717"/>
      <c r="VPI3" s="718"/>
      <c r="VPJ3" s="718"/>
      <c r="VPK3" s="718"/>
      <c r="VPL3" s="718"/>
      <c r="VPM3" s="718"/>
      <c r="VPN3" s="719"/>
      <c r="VPO3" s="720"/>
      <c r="VPP3" s="721"/>
      <c r="VPQ3" s="722"/>
      <c r="VPR3" s="722"/>
      <c r="VPS3" s="722"/>
      <c r="VPT3" s="722"/>
      <c r="VPU3" s="722"/>
      <c r="VPV3" s="723"/>
      <c r="VPW3" s="724"/>
      <c r="VPX3" s="725"/>
      <c r="VPY3" s="726"/>
      <c r="VPZ3" s="726"/>
      <c r="VQA3" s="726"/>
      <c r="VQB3" s="726"/>
      <c r="VQC3" s="726"/>
      <c r="VQD3" s="727"/>
      <c r="VQE3" s="724"/>
      <c r="VQF3" s="725"/>
      <c r="VQG3" s="726"/>
      <c r="VQH3" s="726"/>
      <c r="VQI3" s="726"/>
      <c r="VQJ3" s="726"/>
      <c r="VQK3" s="726"/>
      <c r="VQL3" s="727"/>
      <c r="VQM3" s="728"/>
      <c r="VQN3" s="729"/>
      <c r="VQO3" s="730"/>
      <c r="VQP3" s="731"/>
      <c r="VQQ3" s="731"/>
      <c r="VQR3" s="731"/>
      <c r="VQS3" s="731"/>
      <c r="VQT3" s="732"/>
      <c r="VQU3" s="225"/>
      <c r="VQV3" s="716"/>
      <c r="VQW3" s="717"/>
      <c r="VQX3" s="718"/>
      <c r="VQY3" s="718"/>
      <c r="VQZ3" s="718"/>
      <c r="VRA3" s="718"/>
      <c r="VRB3" s="718"/>
      <c r="VRC3" s="719"/>
      <c r="VRD3" s="720"/>
      <c r="VRE3" s="721"/>
      <c r="VRF3" s="722"/>
      <c r="VRG3" s="722"/>
      <c r="VRH3" s="722"/>
      <c r="VRI3" s="722"/>
      <c r="VRJ3" s="722"/>
      <c r="VRK3" s="723"/>
      <c r="VRL3" s="724"/>
      <c r="VRM3" s="725"/>
      <c r="VRN3" s="726"/>
      <c r="VRO3" s="726"/>
      <c r="VRP3" s="726"/>
      <c r="VRQ3" s="726"/>
      <c r="VRR3" s="726"/>
      <c r="VRS3" s="727"/>
      <c r="VRT3" s="724"/>
      <c r="VRU3" s="725"/>
      <c r="VRV3" s="726"/>
      <c r="VRW3" s="726"/>
      <c r="VRX3" s="726"/>
      <c r="VRY3" s="726"/>
      <c r="VRZ3" s="726"/>
      <c r="VSA3" s="727"/>
      <c r="VSB3" s="728"/>
      <c r="VSC3" s="729"/>
      <c r="VSD3" s="730"/>
      <c r="VSE3" s="731"/>
      <c r="VSF3" s="731"/>
      <c r="VSG3" s="731"/>
      <c r="VSH3" s="731"/>
      <c r="VSI3" s="732"/>
      <c r="VSJ3" s="225"/>
      <c r="VSK3" s="716"/>
      <c r="VSL3" s="717"/>
      <c r="VSM3" s="718"/>
      <c r="VSN3" s="718"/>
      <c r="VSO3" s="718"/>
      <c r="VSP3" s="718"/>
      <c r="VSQ3" s="718"/>
      <c r="VSR3" s="719"/>
      <c r="VSS3" s="720"/>
      <c r="VST3" s="721"/>
      <c r="VSU3" s="722"/>
      <c r="VSV3" s="722"/>
      <c r="VSW3" s="722"/>
      <c r="VSX3" s="722"/>
      <c r="VSY3" s="722"/>
      <c r="VSZ3" s="723"/>
      <c r="VTA3" s="724"/>
      <c r="VTB3" s="725"/>
      <c r="VTC3" s="726"/>
      <c r="VTD3" s="726"/>
      <c r="VTE3" s="726"/>
      <c r="VTF3" s="726"/>
      <c r="VTG3" s="726"/>
      <c r="VTH3" s="727"/>
      <c r="VTI3" s="724"/>
      <c r="VTJ3" s="725"/>
      <c r="VTK3" s="726"/>
      <c r="VTL3" s="726"/>
      <c r="VTM3" s="726"/>
      <c r="VTN3" s="726"/>
      <c r="VTO3" s="726"/>
      <c r="VTP3" s="727"/>
      <c r="VTQ3" s="728"/>
      <c r="VTR3" s="729"/>
      <c r="VTS3" s="730"/>
      <c r="VTT3" s="731"/>
      <c r="VTU3" s="731"/>
      <c r="VTV3" s="731"/>
      <c r="VTW3" s="731"/>
      <c r="VTX3" s="732"/>
      <c r="VTY3" s="225"/>
      <c r="VTZ3" s="716"/>
      <c r="VUA3" s="717"/>
      <c r="VUB3" s="718"/>
      <c r="VUC3" s="718"/>
      <c r="VUD3" s="718"/>
      <c r="VUE3" s="718"/>
      <c r="VUF3" s="718"/>
      <c r="VUG3" s="719"/>
      <c r="VUH3" s="720"/>
      <c r="VUI3" s="721"/>
      <c r="VUJ3" s="722"/>
      <c r="VUK3" s="722"/>
      <c r="VUL3" s="722"/>
      <c r="VUM3" s="722"/>
      <c r="VUN3" s="722"/>
      <c r="VUO3" s="723"/>
      <c r="VUP3" s="724"/>
      <c r="VUQ3" s="725"/>
      <c r="VUR3" s="726"/>
      <c r="VUS3" s="726"/>
      <c r="VUT3" s="726"/>
      <c r="VUU3" s="726"/>
      <c r="VUV3" s="726"/>
      <c r="VUW3" s="727"/>
      <c r="VUX3" s="724"/>
      <c r="VUY3" s="725"/>
      <c r="VUZ3" s="726"/>
      <c r="VVA3" s="726"/>
      <c r="VVB3" s="726"/>
      <c r="VVC3" s="726"/>
      <c r="VVD3" s="726"/>
      <c r="VVE3" s="727"/>
      <c r="VVF3" s="728"/>
      <c r="VVG3" s="729"/>
      <c r="VVH3" s="730"/>
      <c r="VVI3" s="731"/>
      <c r="VVJ3" s="731"/>
      <c r="VVK3" s="731"/>
      <c r="VVL3" s="731"/>
      <c r="VVM3" s="732"/>
      <c r="VVN3" s="225"/>
      <c r="VVO3" s="716"/>
      <c r="VVP3" s="717"/>
      <c r="VVQ3" s="718"/>
      <c r="VVR3" s="718"/>
      <c r="VVS3" s="718"/>
      <c r="VVT3" s="718"/>
      <c r="VVU3" s="718"/>
      <c r="VVV3" s="719"/>
      <c r="VVW3" s="720"/>
      <c r="VVX3" s="721"/>
      <c r="VVY3" s="722"/>
      <c r="VVZ3" s="722"/>
      <c r="VWA3" s="722"/>
      <c r="VWB3" s="722"/>
      <c r="VWC3" s="722"/>
      <c r="VWD3" s="723"/>
      <c r="VWE3" s="724"/>
      <c r="VWF3" s="725"/>
      <c r="VWG3" s="726"/>
      <c r="VWH3" s="726"/>
      <c r="VWI3" s="726"/>
      <c r="VWJ3" s="726"/>
      <c r="VWK3" s="726"/>
      <c r="VWL3" s="727"/>
      <c r="VWM3" s="724"/>
      <c r="VWN3" s="725"/>
      <c r="VWO3" s="726"/>
      <c r="VWP3" s="726"/>
      <c r="VWQ3" s="726"/>
      <c r="VWR3" s="726"/>
      <c r="VWS3" s="726"/>
      <c r="VWT3" s="727"/>
      <c r="VWU3" s="728"/>
      <c r="VWV3" s="729"/>
      <c r="VWW3" s="730"/>
      <c r="VWX3" s="731"/>
      <c r="VWY3" s="731"/>
      <c r="VWZ3" s="731"/>
      <c r="VXA3" s="731"/>
      <c r="VXB3" s="732"/>
      <c r="VXC3" s="225"/>
      <c r="VXD3" s="716"/>
      <c r="VXE3" s="717"/>
      <c r="VXF3" s="718"/>
      <c r="VXG3" s="718"/>
      <c r="VXH3" s="718"/>
      <c r="VXI3" s="718"/>
      <c r="VXJ3" s="718"/>
      <c r="VXK3" s="719"/>
      <c r="VXL3" s="720"/>
      <c r="VXM3" s="721"/>
      <c r="VXN3" s="722"/>
      <c r="VXO3" s="722"/>
      <c r="VXP3" s="722"/>
      <c r="VXQ3" s="722"/>
      <c r="VXR3" s="722"/>
      <c r="VXS3" s="723"/>
      <c r="VXT3" s="724"/>
      <c r="VXU3" s="725"/>
      <c r="VXV3" s="726"/>
      <c r="VXW3" s="726"/>
      <c r="VXX3" s="726"/>
      <c r="VXY3" s="726"/>
      <c r="VXZ3" s="726"/>
      <c r="VYA3" s="727"/>
      <c r="VYB3" s="724"/>
      <c r="VYC3" s="725"/>
      <c r="VYD3" s="726"/>
      <c r="VYE3" s="726"/>
      <c r="VYF3" s="726"/>
      <c r="VYG3" s="726"/>
      <c r="VYH3" s="726"/>
      <c r="VYI3" s="727"/>
      <c r="VYJ3" s="728"/>
      <c r="VYK3" s="729"/>
      <c r="VYL3" s="730"/>
      <c r="VYM3" s="731"/>
      <c r="VYN3" s="731"/>
      <c r="VYO3" s="731"/>
      <c r="VYP3" s="731"/>
      <c r="VYQ3" s="732"/>
      <c r="VYR3" s="225"/>
      <c r="VYS3" s="716"/>
      <c r="VYT3" s="717"/>
      <c r="VYU3" s="718"/>
      <c r="VYV3" s="718"/>
      <c r="VYW3" s="718"/>
      <c r="VYX3" s="718"/>
      <c r="VYY3" s="718"/>
      <c r="VYZ3" s="719"/>
      <c r="VZA3" s="720"/>
      <c r="VZB3" s="721"/>
      <c r="VZC3" s="722"/>
      <c r="VZD3" s="722"/>
      <c r="VZE3" s="722"/>
      <c r="VZF3" s="722"/>
      <c r="VZG3" s="722"/>
      <c r="VZH3" s="723"/>
      <c r="VZI3" s="724"/>
      <c r="VZJ3" s="725"/>
      <c r="VZK3" s="726"/>
      <c r="VZL3" s="726"/>
      <c r="VZM3" s="726"/>
      <c r="VZN3" s="726"/>
      <c r="VZO3" s="726"/>
      <c r="VZP3" s="727"/>
      <c r="VZQ3" s="724"/>
      <c r="VZR3" s="725"/>
      <c r="VZS3" s="726"/>
      <c r="VZT3" s="726"/>
      <c r="VZU3" s="726"/>
      <c r="VZV3" s="726"/>
      <c r="VZW3" s="726"/>
      <c r="VZX3" s="727"/>
      <c r="VZY3" s="728"/>
      <c r="VZZ3" s="729"/>
      <c r="WAA3" s="730"/>
      <c r="WAB3" s="731"/>
      <c r="WAC3" s="731"/>
      <c r="WAD3" s="731"/>
      <c r="WAE3" s="731"/>
      <c r="WAF3" s="732"/>
      <c r="WAG3" s="225"/>
      <c r="WAH3" s="716"/>
      <c r="WAI3" s="717"/>
      <c r="WAJ3" s="718"/>
      <c r="WAK3" s="718"/>
      <c r="WAL3" s="718"/>
      <c r="WAM3" s="718"/>
      <c r="WAN3" s="718"/>
      <c r="WAO3" s="719"/>
      <c r="WAP3" s="720"/>
      <c r="WAQ3" s="721"/>
      <c r="WAR3" s="722"/>
      <c r="WAS3" s="722"/>
      <c r="WAT3" s="722"/>
      <c r="WAU3" s="722"/>
      <c r="WAV3" s="722"/>
      <c r="WAW3" s="723"/>
      <c r="WAX3" s="724"/>
      <c r="WAY3" s="725"/>
      <c r="WAZ3" s="726"/>
      <c r="WBA3" s="726"/>
      <c r="WBB3" s="726"/>
      <c r="WBC3" s="726"/>
      <c r="WBD3" s="726"/>
      <c r="WBE3" s="727"/>
      <c r="WBF3" s="724"/>
      <c r="WBG3" s="725"/>
      <c r="WBH3" s="726"/>
      <c r="WBI3" s="726"/>
      <c r="WBJ3" s="726"/>
      <c r="WBK3" s="726"/>
      <c r="WBL3" s="726"/>
      <c r="WBM3" s="727"/>
      <c r="WBN3" s="728"/>
      <c r="WBO3" s="729"/>
      <c r="WBP3" s="730"/>
      <c r="WBQ3" s="731"/>
      <c r="WBR3" s="731"/>
      <c r="WBS3" s="731"/>
      <c r="WBT3" s="731"/>
      <c r="WBU3" s="732"/>
      <c r="WBV3" s="225"/>
      <c r="WBW3" s="716"/>
      <c r="WBX3" s="717"/>
      <c r="WBY3" s="718"/>
      <c r="WBZ3" s="718"/>
      <c r="WCA3" s="718"/>
      <c r="WCB3" s="718"/>
      <c r="WCC3" s="718"/>
      <c r="WCD3" s="719"/>
      <c r="WCE3" s="720"/>
      <c r="WCF3" s="721"/>
      <c r="WCG3" s="722"/>
      <c r="WCH3" s="722"/>
      <c r="WCI3" s="722"/>
      <c r="WCJ3" s="722"/>
      <c r="WCK3" s="722"/>
      <c r="WCL3" s="723"/>
      <c r="WCM3" s="724"/>
      <c r="WCN3" s="725"/>
      <c r="WCO3" s="726"/>
      <c r="WCP3" s="726"/>
      <c r="WCQ3" s="726"/>
      <c r="WCR3" s="726"/>
      <c r="WCS3" s="726"/>
      <c r="WCT3" s="727"/>
      <c r="WCU3" s="724"/>
      <c r="WCV3" s="725"/>
      <c r="WCW3" s="726"/>
      <c r="WCX3" s="726"/>
      <c r="WCY3" s="726"/>
      <c r="WCZ3" s="726"/>
      <c r="WDA3" s="726"/>
      <c r="WDB3" s="727"/>
      <c r="WDC3" s="728"/>
      <c r="WDD3" s="729"/>
      <c r="WDE3" s="730"/>
      <c r="WDF3" s="731"/>
      <c r="WDG3" s="731"/>
      <c r="WDH3" s="731"/>
      <c r="WDI3" s="731"/>
      <c r="WDJ3" s="732"/>
      <c r="WDK3" s="225"/>
      <c r="WDL3" s="716"/>
      <c r="WDM3" s="717"/>
      <c r="WDN3" s="718"/>
      <c r="WDO3" s="718"/>
      <c r="WDP3" s="718"/>
      <c r="WDQ3" s="718"/>
      <c r="WDR3" s="718"/>
      <c r="WDS3" s="719"/>
      <c r="WDT3" s="720"/>
      <c r="WDU3" s="721"/>
      <c r="WDV3" s="722"/>
      <c r="WDW3" s="722"/>
      <c r="WDX3" s="722"/>
      <c r="WDY3" s="722"/>
      <c r="WDZ3" s="722"/>
      <c r="WEA3" s="723"/>
      <c r="WEB3" s="724"/>
      <c r="WEC3" s="725"/>
      <c r="WED3" s="726"/>
      <c r="WEE3" s="726"/>
      <c r="WEF3" s="726"/>
      <c r="WEG3" s="726"/>
      <c r="WEH3" s="726"/>
      <c r="WEI3" s="727"/>
      <c r="WEJ3" s="724"/>
      <c r="WEK3" s="725"/>
      <c r="WEL3" s="726"/>
      <c r="WEM3" s="726"/>
      <c r="WEN3" s="726"/>
      <c r="WEO3" s="726"/>
      <c r="WEP3" s="726"/>
      <c r="WEQ3" s="727"/>
      <c r="WER3" s="728"/>
      <c r="WES3" s="729"/>
      <c r="WET3" s="730"/>
      <c r="WEU3" s="731"/>
      <c r="WEV3" s="731"/>
      <c r="WEW3" s="731"/>
      <c r="WEX3" s="731"/>
      <c r="WEY3" s="732"/>
      <c r="WEZ3" s="225"/>
      <c r="WFA3" s="716"/>
      <c r="WFB3" s="717"/>
      <c r="WFC3" s="718"/>
      <c r="WFD3" s="718"/>
      <c r="WFE3" s="718"/>
      <c r="WFF3" s="718"/>
      <c r="WFG3" s="718"/>
      <c r="WFH3" s="719"/>
      <c r="WFI3" s="720"/>
      <c r="WFJ3" s="721"/>
      <c r="WFK3" s="722"/>
      <c r="WFL3" s="722"/>
      <c r="WFM3" s="722"/>
      <c r="WFN3" s="722"/>
      <c r="WFO3" s="722"/>
      <c r="WFP3" s="723"/>
      <c r="WFQ3" s="724"/>
      <c r="WFR3" s="725"/>
      <c r="WFS3" s="726"/>
      <c r="WFT3" s="726"/>
      <c r="WFU3" s="726"/>
      <c r="WFV3" s="726"/>
      <c r="WFW3" s="726"/>
      <c r="WFX3" s="727"/>
      <c r="WFY3" s="724"/>
      <c r="WFZ3" s="725"/>
      <c r="WGA3" s="726"/>
      <c r="WGB3" s="726"/>
      <c r="WGC3" s="726"/>
      <c r="WGD3" s="726"/>
      <c r="WGE3" s="726"/>
      <c r="WGF3" s="727"/>
      <c r="WGG3" s="728"/>
      <c r="WGH3" s="729"/>
      <c r="WGI3" s="730"/>
      <c r="WGJ3" s="731"/>
      <c r="WGK3" s="731"/>
      <c r="WGL3" s="731"/>
      <c r="WGM3" s="731"/>
      <c r="WGN3" s="732"/>
      <c r="WGO3" s="225"/>
      <c r="WGP3" s="716"/>
      <c r="WGQ3" s="717"/>
      <c r="WGR3" s="718"/>
      <c r="WGS3" s="718"/>
      <c r="WGT3" s="718"/>
      <c r="WGU3" s="718"/>
      <c r="WGV3" s="718"/>
      <c r="WGW3" s="719"/>
      <c r="WGX3" s="720"/>
      <c r="WGY3" s="721"/>
      <c r="WGZ3" s="722"/>
      <c r="WHA3" s="722"/>
      <c r="WHB3" s="722"/>
      <c r="WHC3" s="722"/>
      <c r="WHD3" s="722"/>
      <c r="WHE3" s="723"/>
      <c r="WHF3" s="724"/>
      <c r="WHG3" s="725"/>
      <c r="WHH3" s="726"/>
      <c r="WHI3" s="726"/>
      <c r="WHJ3" s="726"/>
      <c r="WHK3" s="726"/>
      <c r="WHL3" s="726"/>
      <c r="WHM3" s="727"/>
      <c r="WHN3" s="724"/>
      <c r="WHO3" s="725"/>
      <c r="WHP3" s="726"/>
      <c r="WHQ3" s="726"/>
      <c r="WHR3" s="726"/>
      <c r="WHS3" s="726"/>
      <c r="WHT3" s="726"/>
      <c r="WHU3" s="727"/>
      <c r="WHV3" s="728"/>
      <c r="WHW3" s="729"/>
      <c r="WHX3" s="730"/>
      <c r="WHY3" s="731"/>
      <c r="WHZ3" s="731"/>
      <c r="WIA3" s="731"/>
      <c r="WIB3" s="731"/>
      <c r="WIC3" s="732"/>
      <c r="WID3" s="225"/>
      <c r="WIE3" s="716"/>
      <c r="WIF3" s="717"/>
      <c r="WIG3" s="718"/>
      <c r="WIH3" s="718"/>
      <c r="WII3" s="718"/>
      <c r="WIJ3" s="718"/>
      <c r="WIK3" s="718"/>
      <c r="WIL3" s="719"/>
      <c r="WIM3" s="720"/>
      <c r="WIN3" s="721"/>
      <c r="WIO3" s="722"/>
      <c r="WIP3" s="722"/>
      <c r="WIQ3" s="722"/>
      <c r="WIR3" s="722"/>
      <c r="WIS3" s="722"/>
      <c r="WIT3" s="723"/>
      <c r="WIU3" s="724"/>
      <c r="WIV3" s="725"/>
      <c r="WIW3" s="726"/>
      <c r="WIX3" s="726"/>
      <c r="WIY3" s="726"/>
      <c r="WIZ3" s="726"/>
      <c r="WJA3" s="726"/>
      <c r="WJB3" s="727"/>
      <c r="WJC3" s="724"/>
      <c r="WJD3" s="725"/>
      <c r="WJE3" s="726"/>
      <c r="WJF3" s="726"/>
      <c r="WJG3" s="726"/>
      <c r="WJH3" s="726"/>
      <c r="WJI3" s="726"/>
      <c r="WJJ3" s="727"/>
      <c r="WJK3" s="728"/>
      <c r="WJL3" s="729"/>
      <c r="WJM3" s="730"/>
      <c r="WJN3" s="731"/>
      <c r="WJO3" s="731"/>
      <c r="WJP3" s="731"/>
      <c r="WJQ3" s="731"/>
      <c r="WJR3" s="732"/>
      <c r="WJS3" s="225"/>
      <c r="WJT3" s="716"/>
      <c r="WJU3" s="717"/>
      <c r="WJV3" s="718"/>
      <c r="WJW3" s="718"/>
      <c r="WJX3" s="718"/>
      <c r="WJY3" s="718"/>
      <c r="WJZ3" s="718"/>
      <c r="WKA3" s="719"/>
      <c r="WKB3" s="720"/>
      <c r="WKC3" s="721"/>
      <c r="WKD3" s="722"/>
      <c r="WKE3" s="722"/>
      <c r="WKF3" s="722"/>
      <c r="WKG3" s="722"/>
      <c r="WKH3" s="722"/>
      <c r="WKI3" s="723"/>
      <c r="WKJ3" s="724"/>
      <c r="WKK3" s="725"/>
      <c r="WKL3" s="726"/>
      <c r="WKM3" s="726"/>
      <c r="WKN3" s="726"/>
      <c r="WKO3" s="726"/>
      <c r="WKP3" s="726"/>
      <c r="WKQ3" s="727"/>
      <c r="WKR3" s="724"/>
      <c r="WKS3" s="725"/>
      <c r="WKT3" s="726"/>
      <c r="WKU3" s="726"/>
      <c r="WKV3" s="726"/>
      <c r="WKW3" s="726"/>
      <c r="WKX3" s="726"/>
      <c r="WKY3" s="727"/>
      <c r="WKZ3" s="728"/>
      <c r="WLA3" s="729"/>
      <c r="WLB3" s="730"/>
      <c r="WLC3" s="731"/>
      <c r="WLD3" s="731"/>
      <c r="WLE3" s="731"/>
      <c r="WLF3" s="731"/>
      <c r="WLG3" s="732"/>
      <c r="WLH3" s="225"/>
      <c r="WLI3" s="716"/>
      <c r="WLJ3" s="717"/>
      <c r="WLK3" s="718"/>
      <c r="WLL3" s="718"/>
      <c r="WLM3" s="718"/>
      <c r="WLN3" s="718"/>
      <c r="WLO3" s="718"/>
      <c r="WLP3" s="719"/>
      <c r="WLQ3" s="720"/>
      <c r="WLR3" s="721"/>
      <c r="WLS3" s="722"/>
      <c r="WLT3" s="722"/>
      <c r="WLU3" s="722"/>
      <c r="WLV3" s="722"/>
      <c r="WLW3" s="722"/>
      <c r="WLX3" s="723"/>
      <c r="WLY3" s="724"/>
      <c r="WLZ3" s="725"/>
      <c r="WMA3" s="726"/>
      <c r="WMB3" s="726"/>
      <c r="WMC3" s="726"/>
      <c r="WMD3" s="726"/>
      <c r="WME3" s="726"/>
      <c r="WMF3" s="727"/>
      <c r="WMG3" s="724"/>
      <c r="WMH3" s="725"/>
      <c r="WMI3" s="726"/>
      <c r="WMJ3" s="726"/>
      <c r="WMK3" s="726"/>
      <c r="WML3" s="726"/>
      <c r="WMM3" s="726"/>
      <c r="WMN3" s="727"/>
      <c r="WMO3" s="728"/>
      <c r="WMP3" s="729"/>
      <c r="WMQ3" s="730"/>
      <c r="WMR3" s="731"/>
      <c r="WMS3" s="731"/>
      <c r="WMT3" s="731"/>
      <c r="WMU3" s="731"/>
      <c r="WMV3" s="732"/>
      <c r="WMW3" s="225"/>
      <c r="WMX3" s="716"/>
      <c r="WMY3" s="717"/>
      <c r="WMZ3" s="718"/>
      <c r="WNA3" s="718"/>
      <c r="WNB3" s="718"/>
      <c r="WNC3" s="718"/>
      <c r="WND3" s="718"/>
      <c r="WNE3" s="719"/>
      <c r="WNF3" s="720"/>
      <c r="WNG3" s="721"/>
      <c r="WNH3" s="722"/>
      <c r="WNI3" s="722"/>
      <c r="WNJ3" s="722"/>
      <c r="WNK3" s="722"/>
      <c r="WNL3" s="722"/>
      <c r="WNM3" s="723"/>
      <c r="WNN3" s="724"/>
      <c r="WNO3" s="725"/>
      <c r="WNP3" s="726"/>
      <c r="WNQ3" s="726"/>
      <c r="WNR3" s="726"/>
      <c r="WNS3" s="726"/>
      <c r="WNT3" s="726"/>
      <c r="WNU3" s="727"/>
      <c r="WNV3" s="724"/>
      <c r="WNW3" s="725"/>
      <c r="WNX3" s="726"/>
      <c r="WNY3" s="726"/>
      <c r="WNZ3" s="726"/>
      <c r="WOA3" s="726"/>
      <c r="WOB3" s="726"/>
      <c r="WOC3" s="727"/>
      <c r="WOD3" s="728"/>
      <c r="WOE3" s="729"/>
      <c r="WOF3" s="730"/>
      <c r="WOG3" s="731"/>
      <c r="WOH3" s="731"/>
      <c r="WOI3" s="731"/>
      <c r="WOJ3" s="731"/>
      <c r="WOK3" s="732"/>
      <c r="WOL3" s="225"/>
      <c r="WOM3" s="716"/>
      <c r="WON3" s="717"/>
      <c r="WOO3" s="718"/>
      <c r="WOP3" s="718"/>
      <c r="WOQ3" s="718"/>
      <c r="WOR3" s="718"/>
      <c r="WOS3" s="718"/>
      <c r="WOT3" s="719"/>
      <c r="WOU3" s="720"/>
      <c r="WOV3" s="721"/>
      <c r="WOW3" s="722"/>
      <c r="WOX3" s="722"/>
      <c r="WOY3" s="722"/>
      <c r="WOZ3" s="722"/>
      <c r="WPA3" s="722"/>
      <c r="WPB3" s="723"/>
      <c r="WPC3" s="724"/>
      <c r="WPD3" s="725"/>
      <c r="WPE3" s="726"/>
      <c r="WPF3" s="726"/>
      <c r="WPG3" s="726"/>
      <c r="WPH3" s="726"/>
      <c r="WPI3" s="726"/>
      <c r="WPJ3" s="727"/>
      <c r="WPK3" s="724"/>
      <c r="WPL3" s="725"/>
      <c r="WPM3" s="726"/>
      <c r="WPN3" s="726"/>
      <c r="WPO3" s="726"/>
      <c r="WPP3" s="726"/>
      <c r="WPQ3" s="726"/>
      <c r="WPR3" s="727"/>
      <c r="WPS3" s="728"/>
      <c r="WPT3" s="729"/>
      <c r="WPU3" s="730"/>
      <c r="WPV3" s="731"/>
      <c r="WPW3" s="731"/>
      <c r="WPX3" s="731"/>
      <c r="WPY3" s="731"/>
      <c r="WPZ3" s="732"/>
      <c r="WQA3" s="225"/>
      <c r="WQB3" s="716"/>
      <c r="WQC3" s="717"/>
      <c r="WQD3" s="718"/>
      <c r="WQE3" s="718"/>
      <c r="WQF3" s="718"/>
      <c r="WQG3" s="718"/>
      <c r="WQH3" s="718"/>
      <c r="WQI3" s="719"/>
      <c r="WQJ3" s="720"/>
      <c r="WQK3" s="721"/>
      <c r="WQL3" s="722"/>
      <c r="WQM3" s="722"/>
      <c r="WQN3" s="722"/>
      <c r="WQO3" s="722"/>
      <c r="WQP3" s="722"/>
      <c r="WQQ3" s="723"/>
      <c r="WQR3" s="724"/>
      <c r="WQS3" s="725"/>
      <c r="WQT3" s="726"/>
      <c r="WQU3" s="726"/>
      <c r="WQV3" s="726"/>
      <c r="WQW3" s="726"/>
      <c r="WQX3" s="726"/>
      <c r="WQY3" s="727"/>
      <c r="WQZ3" s="724"/>
      <c r="WRA3" s="725"/>
      <c r="WRB3" s="726"/>
      <c r="WRC3" s="726"/>
      <c r="WRD3" s="726"/>
      <c r="WRE3" s="726"/>
      <c r="WRF3" s="726"/>
      <c r="WRG3" s="727"/>
      <c r="WRH3" s="728"/>
      <c r="WRI3" s="729"/>
      <c r="WRJ3" s="730"/>
      <c r="WRK3" s="731"/>
      <c r="WRL3" s="731"/>
      <c r="WRM3" s="731"/>
      <c r="WRN3" s="731"/>
      <c r="WRO3" s="732"/>
      <c r="WRP3" s="225"/>
      <c r="WRQ3" s="716"/>
      <c r="WRR3" s="717"/>
      <c r="WRS3" s="718"/>
      <c r="WRT3" s="718"/>
      <c r="WRU3" s="718"/>
      <c r="WRV3" s="718"/>
      <c r="WRW3" s="718"/>
      <c r="WRX3" s="719"/>
      <c r="WRY3" s="720"/>
      <c r="WRZ3" s="721"/>
      <c r="WSA3" s="722"/>
      <c r="WSB3" s="722"/>
      <c r="WSC3" s="722"/>
      <c r="WSD3" s="722"/>
      <c r="WSE3" s="722"/>
      <c r="WSF3" s="723"/>
      <c r="WSG3" s="724"/>
      <c r="WSH3" s="725"/>
      <c r="WSI3" s="726"/>
      <c r="WSJ3" s="726"/>
      <c r="WSK3" s="726"/>
      <c r="WSL3" s="726"/>
      <c r="WSM3" s="726"/>
      <c r="WSN3" s="727"/>
      <c r="WSO3" s="724"/>
      <c r="WSP3" s="725"/>
      <c r="WSQ3" s="726"/>
      <c r="WSR3" s="726"/>
      <c r="WSS3" s="726"/>
      <c r="WST3" s="726"/>
      <c r="WSU3" s="726"/>
      <c r="WSV3" s="727"/>
      <c r="WSW3" s="728"/>
      <c r="WSX3" s="729"/>
      <c r="WSY3" s="730"/>
      <c r="WSZ3" s="731"/>
      <c r="WTA3" s="731"/>
      <c r="WTB3" s="731"/>
      <c r="WTC3" s="731"/>
      <c r="WTD3" s="732"/>
      <c r="WTE3" s="225"/>
      <c r="WTF3" s="716"/>
      <c r="WTG3" s="717"/>
      <c r="WTH3" s="718"/>
      <c r="WTI3" s="718"/>
      <c r="WTJ3" s="718"/>
      <c r="WTK3" s="718"/>
      <c r="WTL3" s="718"/>
      <c r="WTM3" s="719"/>
      <c r="WTN3" s="720"/>
      <c r="WTO3" s="721"/>
      <c r="WTP3" s="722"/>
      <c r="WTQ3" s="722"/>
      <c r="WTR3" s="722"/>
      <c r="WTS3" s="722"/>
      <c r="WTT3" s="722"/>
      <c r="WTU3" s="723"/>
      <c r="WTV3" s="724"/>
      <c r="WTW3" s="725"/>
      <c r="WTX3" s="726"/>
      <c r="WTY3" s="726"/>
      <c r="WTZ3" s="726"/>
      <c r="WUA3" s="726"/>
      <c r="WUB3" s="726"/>
      <c r="WUC3" s="727"/>
      <c r="WUD3" s="724"/>
      <c r="WUE3" s="725"/>
      <c r="WUF3" s="726"/>
      <c r="WUG3" s="726"/>
      <c r="WUH3" s="726"/>
      <c r="WUI3" s="726"/>
      <c r="WUJ3" s="726"/>
      <c r="WUK3" s="727"/>
      <c r="WUL3" s="728"/>
      <c r="WUM3" s="729"/>
      <c r="WUN3" s="730"/>
      <c r="WUO3" s="731"/>
      <c r="WUP3" s="731"/>
      <c r="WUQ3" s="731"/>
      <c r="WUR3" s="731"/>
      <c r="WUS3" s="732"/>
      <c r="WUT3" s="225"/>
      <c r="WUU3" s="716"/>
      <c r="WUV3" s="717"/>
      <c r="WUW3" s="718"/>
      <c r="WUX3" s="718"/>
      <c r="WUY3" s="718"/>
      <c r="WUZ3" s="718"/>
      <c r="WVA3" s="718"/>
      <c r="WVB3" s="719"/>
      <c r="WVC3" s="720"/>
      <c r="WVD3" s="721"/>
      <c r="WVE3" s="722"/>
      <c r="WVF3" s="722"/>
      <c r="WVG3" s="722"/>
      <c r="WVH3" s="722"/>
      <c r="WVI3" s="722"/>
      <c r="WVJ3" s="723"/>
      <c r="WVK3" s="724"/>
      <c r="WVL3" s="725"/>
      <c r="WVM3" s="726"/>
      <c r="WVN3" s="726"/>
      <c r="WVO3" s="726"/>
      <c r="WVP3" s="726"/>
      <c r="WVQ3" s="726"/>
      <c r="WVR3" s="727"/>
      <c r="WVS3" s="724"/>
      <c r="WVT3" s="725"/>
      <c r="WVU3" s="726"/>
      <c r="WVV3" s="726"/>
      <c r="WVW3" s="726"/>
      <c r="WVX3" s="726"/>
      <c r="WVY3" s="726"/>
      <c r="WVZ3" s="727"/>
      <c r="WWA3" s="728"/>
      <c r="WWB3" s="729"/>
      <c r="WWC3" s="730"/>
      <c r="WWD3" s="731"/>
      <c r="WWE3" s="731"/>
      <c r="WWF3" s="731"/>
      <c r="WWG3" s="731"/>
      <c r="WWH3" s="732"/>
      <c r="WWI3" s="225"/>
      <c r="WWJ3" s="716"/>
      <c r="WWK3" s="717"/>
      <c r="WWL3" s="718"/>
      <c r="WWM3" s="718"/>
      <c r="WWN3" s="718"/>
      <c r="WWO3" s="718"/>
      <c r="WWP3" s="718"/>
      <c r="WWQ3" s="719"/>
      <c r="WWR3" s="720"/>
      <c r="WWS3" s="721"/>
      <c r="WWT3" s="722"/>
      <c r="WWU3" s="722"/>
      <c r="WWV3" s="722"/>
      <c r="WWW3" s="722"/>
      <c r="WWX3" s="722"/>
      <c r="WWY3" s="723"/>
      <c r="WWZ3" s="724"/>
      <c r="WXA3" s="725"/>
      <c r="WXB3" s="726"/>
      <c r="WXC3" s="726"/>
      <c r="WXD3" s="726"/>
      <c r="WXE3" s="726"/>
      <c r="WXF3" s="726"/>
      <c r="WXG3" s="727"/>
      <c r="WXH3" s="724"/>
      <c r="WXI3" s="725"/>
      <c r="WXJ3" s="726"/>
      <c r="WXK3" s="726"/>
      <c r="WXL3" s="726"/>
      <c r="WXM3" s="726"/>
      <c r="WXN3" s="726"/>
      <c r="WXO3" s="727"/>
      <c r="WXP3" s="728"/>
      <c r="WXQ3" s="729"/>
      <c r="WXR3" s="730"/>
      <c r="WXS3" s="731"/>
      <c r="WXT3" s="731"/>
      <c r="WXU3" s="731"/>
      <c r="WXV3" s="731"/>
      <c r="WXW3" s="732"/>
      <c r="WXX3" s="225"/>
      <c r="WXY3" s="716"/>
      <c r="WXZ3" s="717"/>
      <c r="WYA3" s="718"/>
      <c r="WYB3" s="718"/>
      <c r="WYC3" s="718"/>
      <c r="WYD3" s="718"/>
      <c r="WYE3" s="718"/>
      <c r="WYF3" s="719"/>
      <c r="WYG3" s="720"/>
      <c r="WYH3" s="721"/>
      <c r="WYI3" s="722"/>
      <c r="WYJ3" s="722"/>
      <c r="WYK3" s="722"/>
      <c r="WYL3" s="722"/>
      <c r="WYM3" s="722"/>
      <c r="WYN3" s="723"/>
      <c r="WYO3" s="724"/>
      <c r="WYP3" s="725"/>
      <c r="WYQ3" s="726"/>
      <c r="WYR3" s="726"/>
      <c r="WYS3" s="726"/>
      <c r="WYT3" s="726"/>
      <c r="WYU3" s="726"/>
      <c r="WYV3" s="727"/>
      <c r="WYW3" s="724"/>
      <c r="WYX3" s="725"/>
      <c r="WYY3" s="726"/>
      <c r="WYZ3" s="726"/>
      <c r="WZA3" s="726"/>
      <c r="WZB3" s="726"/>
      <c r="WZC3" s="726"/>
      <c r="WZD3" s="727"/>
      <c r="WZE3" s="728"/>
      <c r="WZF3" s="729"/>
      <c r="WZG3" s="730"/>
      <c r="WZH3" s="731"/>
      <c r="WZI3" s="731"/>
      <c r="WZJ3" s="731"/>
      <c r="WZK3" s="731"/>
      <c r="WZL3" s="732"/>
      <c r="WZM3" s="225"/>
      <c r="WZN3" s="716"/>
      <c r="WZO3" s="717"/>
      <c r="WZP3" s="718"/>
      <c r="WZQ3" s="718"/>
      <c r="WZR3" s="718"/>
      <c r="WZS3" s="718"/>
      <c r="WZT3" s="718"/>
      <c r="WZU3" s="719"/>
      <c r="WZV3" s="720"/>
      <c r="WZW3" s="721"/>
      <c r="WZX3" s="722"/>
      <c r="WZY3" s="722"/>
      <c r="WZZ3" s="722"/>
      <c r="XAA3" s="722"/>
      <c r="XAB3" s="722"/>
      <c r="XAC3" s="723"/>
      <c r="XAD3" s="724"/>
      <c r="XAE3" s="725"/>
      <c r="XAF3" s="726"/>
      <c r="XAG3" s="726"/>
      <c r="XAH3" s="726"/>
      <c r="XAI3" s="726"/>
      <c r="XAJ3" s="726"/>
      <c r="XAK3" s="727"/>
      <c r="XAL3" s="724"/>
      <c r="XAM3" s="725"/>
      <c r="XAN3" s="726"/>
      <c r="XAO3" s="726"/>
      <c r="XAP3" s="726"/>
      <c r="XAQ3" s="726"/>
      <c r="XAR3" s="726"/>
      <c r="XAS3" s="727"/>
      <c r="XAT3" s="728"/>
      <c r="XAU3" s="729"/>
      <c r="XAV3" s="730"/>
      <c r="XAW3" s="731"/>
      <c r="XAX3" s="731"/>
      <c r="XAY3" s="731"/>
      <c r="XAZ3" s="731"/>
      <c r="XBA3" s="732"/>
      <c r="XBB3" s="225"/>
      <c r="XBC3" s="716"/>
      <c r="XBD3" s="717"/>
      <c r="XBE3" s="718"/>
      <c r="XBF3" s="718"/>
      <c r="XBG3" s="718"/>
      <c r="XBH3" s="718"/>
      <c r="XBI3" s="718"/>
      <c r="XBJ3" s="719"/>
      <c r="XBK3" s="720"/>
      <c r="XBL3" s="721"/>
      <c r="XBM3" s="722"/>
      <c r="XBN3" s="722"/>
      <c r="XBO3" s="722"/>
      <c r="XBP3" s="722"/>
      <c r="XBQ3" s="722"/>
      <c r="XBR3" s="723"/>
      <c r="XBS3" s="724"/>
      <c r="XBT3" s="725"/>
      <c r="XBU3" s="726"/>
      <c r="XBV3" s="726"/>
      <c r="XBW3" s="726"/>
      <c r="XBX3" s="726"/>
      <c r="XBY3" s="726"/>
      <c r="XBZ3" s="727"/>
      <c r="XCA3" s="724"/>
      <c r="XCB3" s="725"/>
      <c r="XCC3" s="726"/>
      <c r="XCD3" s="726"/>
      <c r="XCE3" s="726"/>
      <c r="XCF3" s="726"/>
      <c r="XCG3" s="726"/>
      <c r="XCH3" s="727"/>
      <c r="XCI3" s="728"/>
      <c r="XCJ3" s="729"/>
      <c r="XCK3" s="730"/>
      <c r="XCL3" s="731"/>
      <c r="XCM3" s="731"/>
      <c r="XCN3" s="731"/>
      <c r="XCO3" s="731"/>
      <c r="XCP3" s="732"/>
      <c r="XCQ3" s="225"/>
      <c r="XCR3" s="716"/>
      <c r="XCS3" s="717"/>
      <c r="XCT3" s="718"/>
      <c r="XCU3" s="718"/>
      <c r="XCV3" s="718"/>
      <c r="XCW3" s="718"/>
      <c r="XCX3" s="718"/>
      <c r="XCY3" s="719"/>
      <c r="XCZ3" s="720"/>
      <c r="XDA3" s="721"/>
      <c r="XDB3" s="722"/>
      <c r="XDC3" s="722"/>
      <c r="XDD3" s="722"/>
      <c r="XDE3" s="722"/>
      <c r="XDF3" s="722"/>
      <c r="XDG3" s="723"/>
      <c r="XDH3" s="724"/>
      <c r="XDI3" s="725"/>
      <c r="XDJ3" s="726"/>
      <c r="XDK3" s="726"/>
      <c r="XDL3" s="726"/>
      <c r="XDM3" s="726"/>
      <c r="XDN3" s="726"/>
      <c r="XDO3" s="727"/>
      <c r="XDP3" s="724"/>
      <c r="XDQ3" s="725"/>
      <c r="XDR3" s="726"/>
      <c r="XDS3" s="726"/>
      <c r="XDT3" s="726"/>
      <c r="XDU3" s="726"/>
      <c r="XDV3" s="726"/>
      <c r="XDW3" s="727"/>
      <c r="XDX3" s="728"/>
      <c r="XDY3" s="729"/>
      <c r="XDZ3" s="730"/>
      <c r="XEA3" s="731"/>
      <c r="XEB3" s="731"/>
      <c r="XEC3" s="731"/>
      <c r="XED3" s="731"/>
      <c r="XEE3" s="732"/>
      <c r="XEF3" s="225"/>
      <c r="XEG3" s="716"/>
      <c r="XEH3" s="717"/>
      <c r="XEI3" s="718"/>
      <c r="XEJ3" s="718"/>
      <c r="XEK3" s="718"/>
      <c r="XEL3" s="718"/>
      <c r="XEM3" s="718"/>
      <c r="XEN3" s="719"/>
      <c r="XEO3" s="720"/>
      <c r="XEP3" s="721"/>
      <c r="XEQ3" s="722"/>
      <c r="XER3" s="722"/>
      <c r="XES3" s="722"/>
      <c r="XET3" s="722"/>
      <c r="XEU3" s="722"/>
      <c r="XEV3" s="723"/>
      <c r="XEW3" s="724"/>
      <c r="XEX3" s="725"/>
      <c r="XEY3" s="726"/>
      <c r="XEZ3" s="726"/>
      <c r="XFA3" s="726"/>
      <c r="XFB3" s="726"/>
      <c r="XFC3" s="726"/>
      <c r="XFD3" s="727"/>
    </row>
    <row r="4" spans="1:16384" ht="15.6" x14ac:dyDescent="0.3">
      <c r="A4" s="225" t="s">
        <v>289</v>
      </c>
      <c r="B4" s="801">
        <v>1679223.7965377388</v>
      </c>
      <c r="C4" s="802">
        <v>289457.25567429827</v>
      </c>
      <c r="D4" s="803">
        <v>288167.39974155609</v>
      </c>
      <c r="E4" s="803">
        <v>275412.20125704183</v>
      </c>
      <c r="F4" s="803">
        <v>14763.988139530318</v>
      </c>
      <c r="G4" s="803">
        <v>234617.85602286118</v>
      </c>
      <c r="H4" s="803">
        <v>292227.67326734832</v>
      </c>
      <c r="I4" s="804">
        <v>284577.42243510258</v>
      </c>
      <c r="J4" s="805">
        <v>11190</v>
      </c>
      <c r="K4" s="806">
        <v>2000</v>
      </c>
      <c r="L4" s="807">
        <v>1850</v>
      </c>
      <c r="M4" s="807">
        <v>1800</v>
      </c>
      <c r="N4" s="807">
        <v>90</v>
      </c>
      <c r="O4" s="807">
        <v>1550</v>
      </c>
      <c r="P4" s="807">
        <v>2000</v>
      </c>
      <c r="Q4" s="808">
        <v>1900</v>
      </c>
      <c r="R4" s="809">
        <v>150.06468244305083</v>
      </c>
      <c r="S4" s="810">
        <v>144.72862783714913</v>
      </c>
      <c r="T4" s="811">
        <v>155.76616202246274</v>
      </c>
      <c r="U4" s="811">
        <v>153.00677847613434</v>
      </c>
      <c r="V4" s="811">
        <v>164.04431266144798</v>
      </c>
      <c r="W4" s="811">
        <v>151.36635872442656</v>
      </c>
      <c r="X4" s="811">
        <v>146.11383663367417</v>
      </c>
      <c r="Y4" s="812">
        <v>149.77759075531714</v>
      </c>
      <c r="Z4" s="809">
        <v>51.933785034342812</v>
      </c>
      <c r="AA4" s="810">
        <v>50</v>
      </c>
      <c r="AB4" s="811">
        <v>54</v>
      </c>
      <c r="AC4" s="811">
        <v>53</v>
      </c>
      <c r="AD4" s="811">
        <v>57</v>
      </c>
      <c r="AE4" s="811">
        <v>52.405512237002895</v>
      </c>
      <c r="AF4" s="811">
        <v>50.501999368071964</v>
      </c>
      <c r="AG4" s="812">
        <v>51.829743068840898</v>
      </c>
      <c r="AH4" s="813">
        <v>581139.05453429604</v>
      </c>
      <c r="AI4" s="814">
        <v>100000</v>
      </c>
      <c r="AJ4" s="815">
        <v>99900</v>
      </c>
      <c r="AK4" s="815">
        <v>95400</v>
      </c>
      <c r="AL4" s="815">
        <v>5130</v>
      </c>
      <c r="AM4" s="815">
        <v>81228.54396735449</v>
      </c>
      <c r="AN4" s="815">
        <v>101003.99873614393</v>
      </c>
      <c r="AO4" s="816">
        <v>98476.51183079771</v>
      </c>
    </row>
    <row r="5" spans="1:16384" ht="15.6" x14ac:dyDescent="0.3">
      <c r="A5" s="225" t="s">
        <v>290</v>
      </c>
      <c r="B5" s="801">
        <v>1811167.0834632087</v>
      </c>
      <c r="C5" s="802">
        <v>330746.24631127052</v>
      </c>
      <c r="D5" s="803">
        <v>323953.05183005967</v>
      </c>
      <c r="E5" s="803">
        <v>315427.97151874233</v>
      </c>
      <c r="F5" s="803">
        <v>14845.382441152937</v>
      </c>
      <c r="G5" s="803">
        <v>234561.16932135384</v>
      </c>
      <c r="H5" s="803">
        <v>292152.12247687858</v>
      </c>
      <c r="I5" s="804">
        <v>299481.13956375059</v>
      </c>
      <c r="J5" s="805">
        <v>11465</v>
      </c>
      <c r="K5" s="806">
        <v>2075</v>
      </c>
      <c r="L5" s="807">
        <v>1900</v>
      </c>
      <c r="M5" s="807">
        <v>1850</v>
      </c>
      <c r="N5" s="807">
        <v>90</v>
      </c>
      <c r="O5" s="807">
        <v>1550</v>
      </c>
      <c r="P5" s="807">
        <v>2000</v>
      </c>
      <c r="Q5" s="808">
        <v>2000</v>
      </c>
      <c r="R5" s="809">
        <v>157.97357901990483</v>
      </c>
      <c r="S5" s="810">
        <v>159.39578135482915</v>
      </c>
      <c r="T5" s="811">
        <v>170.50160622634721</v>
      </c>
      <c r="U5" s="811">
        <v>170.50160622634721</v>
      </c>
      <c r="V5" s="811">
        <v>164.94869379058818</v>
      </c>
      <c r="W5" s="811">
        <v>151.32978665893796</v>
      </c>
      <c r="X5" s="811">
        <v>146.07606123843928</v>
      </c>
      <c r="Y5" s="812">
        <v>149.74056978187531</v>
      </c>
      <c r="Z5" s="809">
        <v>54.4877634569687</v>
      </c>
      <c r="AA5" s="810">
        <v>55</v>
      </c>
      <c r="AB5" s="811">
        <v>59</v>
      </c>
      <c r="AC5" s="811">
        <v>59</v>
      </c>
      <c r="AD5" s="811">
        <v>57</v>
      </c>
      <c r="AE5" s="811">
        <v>52.094859755414575</v>
      </c>
      <c r="AF5" s="811">
        <v>50.202618348304917</v>
      </c>
      <c r="AG5" s="812">
        <v>51.522469358321835</v>
      </c>
      <c r="AH5" s="813">
        <v>624702.20803414611</v>
      </c>
      <c r="AI5" s="814">
        <v>114125</v>
      </c>
      <c r="AJ5" s="815">
        <v>112100</v>
      </c>
      <c r="AK5" s="815">
        <v>109150</v>
      </c>
      <c r="AL5" s="815">
        <v>5130</v>
      </c>
      <c r="AM5" s="815">
        <v>80747.032620892598</v>
      </c>
      <c r="AN5" s="815">
        <v>100405.23669660983</v>
      </c>
      <c r="AO5" s="816">
        <v>103044.93871664366</v>
      </c>
    </row>
    <row r="6" spans="1:16384" ht="15.6" x14ac:dyDescent="0.3">
      <c r="A6" s="225" t="s">
        <v>291</v>
      </c>
      <c r="B6" s="801">
        <v>1746588.8583643734</v>
      </c>
      <c r="C6" s="802">
        <v>303766.30219802947</v>
      </c>
      <c r="D6" s="803">
        <v>310754.43644879851</v>
      </c>
      <c r="E6" s="803">
        <v>292661.36314966826</v>
      </c>
      <c r="F6" s="803">
        <v>14744.840206316476</v>
      </c>
      <c r="G6" s="803">
        <v>236875.17894037874</v>
      </c>
      <c r="H6" s="803">
        <v>284020.43522315263</v>
      </c>
      <c r="I6" s="804">
        <v>303766.30219802947</v>
      </c>
      <c r="J6" s="805">
        <v>11890</v>
      </c>
      <c r="K6" s="806">
        <v>2150</v>
      </c>
      <c r="L6" s="807">
        <v>2000</v>
      </c>
      <c r="M6" s="807">
        <v>1850</v>
      </c>
      <c r="N6" s="807">
        <v>90</v>
      </c>
      <c r="O6" s="807">
        <v>1600</v>
      </c>
      <c r="P6" s="807">
        <v>2050</v>
      </c>
      <c r="Q6" s="808">
        <v>2150</v>
      </c>
      <c r="R6" s="809">
        <v>146.89561466479171</v>
      </c>
      <c r="S6" s="810">
        <v>141.28665218512998</v>
      </c>
      <c r="T6" s="811">
        <v>155.37721822439926</v>
      </c>
      <c r="U6" s="811">
        <v>158.19533143225311</v>
      </c>
      <c r="V6" s="811">
        <v>163.83155784796085</v>
      </c>
      <c r="W6" s="811">
        <v>148.04698683773671</v>
      </c>
      <c r="X6" s="811">
        <v>138.54655376739152</v>
      </c>
      <c r="Y6" s="812">
        <v>141.28665218512998</v>
      </c>
      <c r="Z6" s="809">
        <v>49.990325464580351</v>
      </c>
      <c r="AA6" s="810">
        <v>48</v>
      </c>
      <c r="AB6" s="811">
        <v>53</v>
      </c>
      <c r="AC6" s="811">
        <v>54</v>
      </c>
      <c r="AD6" s="811">
        <v>56</v>
      </c>
      <c r="AE6" s="811">
        <v>50.398886827458256</v>
      </c>
      <c r="AF6" s="811">
        <v>47.027683341427874</v>
      </c>
      <c r="AG6" s="812">
        <v>48</v>
      </c>
      <c r="AH6" s="813">
        <v>594384.96977386042</v>
      </c>
      <c r="AI6" s="814">
        <v>103200</v>
      </c>
      <c r="AJ6" s="815">
        <v>106000</v>
      </c>
      <c r="AK6" s="815">
        <v>99900</v>
      </c>
      <c r="AL6" s="815">
        <v>5040</v>
      </c>
      <c r="AM6" s="815">
        <v>80638.218923933207</v>
      </c>
      <c r="AN6" s="815">
        <v>96406.750849927135</v>
      </c>
      <c r="AO6" s="816">
        <v>103200</v>
      </c>
    </row>
    <row r="7" spans="1:16384" ht="15.6" x14ac:dyDescent="0.3">
      <c r="A7" s="225" t="s">
        <v>292</v>
      </c>
      <c r="B7" s="801">
        <v>1692124.152133048</v>
      </c>
      <c r="C7" s="802">
        <v>289083.94766036002</v>
      </c>
      <c r="D7" s="803">
        <v>275405.64664899529</v>
      </c>
      <c r="E7" s="803">
        <v>276274.54836340138</v>
      </c>
      <c r="F7" s="803">
        <v>28783.365121058396</v>
      </c>
      <c r="G7" s="803">
        <v>228459.76344486143</v>
      </c>
      <c r="H7" s="803">
        <v>288058.42277723661</v>
      </c>
      <c r="I7" s="804">
        <v>306058.45811713481</v>
      </c>
      <c r="J7" s="805">
        <v>11944</v>
      </c>
      <c r="K7" s="806">
        <v>2064</v>
      </c>
      <c r="L7" s="807">
        <v>1900</v>
      </c>
      <c r="M7" s="807">
        <v>1900</v>
      </c>
      <c r="N7" s="807">
        <v>180</v>
      </c>
      <c r="O7" s="807">
        <v>1600</v>
      </c>
      <c r="P7" s="807">
        <v>2100</v>
      </c>
      <c r="Q7" s="808">
        <v>2200</v>
      </c>
      <c r="R7" s="809">
        <v>141.67147958247222</v>
      </c>
      <c r="S7" s="810">
        <v>140.06005216102713</v>
      </c>
      <c r="T7" s="811">
        <v>144.95034034157646</v>
      </c>
      <c r="U7" s="811">
        <v>145.40765703336913</v>
      </c>
      <c r="V7" s="811">
        <v>159.90758400587998</v>
      </c>
      <c r="W7" s="811">
        <v>142.7873521530384</v>
      </c>
      <c r="X7" s="811">
        <v>137.1706775129698</v>
      </c>
      <c r="Y7" s="812">
        <v>139.11748096233401</v>
      </c>
      <c r="Z7" s="809">
        <v>49.401553017017619</v>
      </c>
      <c r="AA7" s="810">
        <v>48.815579409219417</v>
      </c>
      <c r="AB7" s="811">
        <v>50.593866020328271</v>
      </c>
      <c r="AC7" s="811">
        <v>50.760162999161963</v>
      </c>
      <c r="AD7" s="811">
        <v>56.032863716438641</v>
      </c>
      <c r="AE7" s="811">
        <v>49.807324860859879</v>
      </c>
      <c r="AF7" s="811">
        <v>47.764897719016751</v>
      </c>
      <c r="AG7" s="812">
        <v>48.47282624605829</v>
      </c>
      <c r="AH7" s="813">
        <v>590052.14923525846</v>
      </c>
      <c r="AI7" s="814">
        <v>100755.35590062887</v>
      </c>
      <c r="AJ7" s="815">
        <v>96128.345438623714</v>
      </c>
      <c r="AK7" s="815">
        <v>96444.309698407727</v>
      </c>
      <c r="AL7" s="815">
        <v>10085.915468958956</v>
      </c>
      <c r="AM7" s="815">
        <v>79691.719777375809</v>
      </c>
      <c r="AN7" s="815">
        <v>100306.28520993517</v>
      </c>
      <c r="AO7" s="816">
        <v>106640.21774132823</v>
      </c>
    </row>
    <row r="8" spans="1:16384" ht="15.6" x14ac:dyDescent="0.3">
      <c r="A8" s="225" t="s">
        <v>293</v>
      </c>
      <c r="B8" s="801">
        <v>1767900.0267891814</v>
      </c>
      <c r="C8" s="802">
        <v>307306.78215596807</v>
      </c>
      <c r="D8" s="803">
        <v>278660.6092790275</v>
      </c>
      <c r="E8" s="803">
        <v>296665.07692434831</v>
      </c>
      <c r="F8" s="803">
        <v>32160.959123717457</v>
      </c>
      <c r="G8" s="803">
        <v>239228.86363943305</v>
      </c>
      <c r="H8" s="803">
        <v>301263.26272683078</v>
      </c>
      <c r="I8" s="804">
        <v>312614.47293985623</v>
      </c>
      <c r="J8" s="805">
        <v>12275</v>
      </c>
      <c r="K8" s="806">
        <v>2175</v>
      </c>
      <c r="L8" s="807">
        <v>1900</v>
      </c>
      <c r="M8" s="807">
        <v>2000</v>
      </c>
      <c r="N8" s="807">
        <v>200</v>
      </c>
      <c r="O8" s="807">
        <v>1650</v>
      </c>
      <c r="P8" s="807">
        <v>2150</v>
      </c>
      <c r="Q8" s="808">
        <v>2200</v>
      </c>
      <c r="R8" s="809">
        <v>144.02444210095163</v>
      </c>
      <c r="S8" s="810">
        <v>141.29047455446809</v>
      </c>
      <c r="T8" s="811">
        <v>146.66347856790921</v>
      </c>
      <c r="U8" s="811">
        <v>148.33253846217414</v>
      </c>
      <c r="V8" s="811">
        <v>160.80479561858729</v>
      </c>
      <c r="W8" s="811">
        <v>144.98719008450487</v>
      </c>
      <c r="X8" s="811">
        <v>140.12244777992129</v>
      </c>
      <c r="Y8" s="812">
        <v>142.09748769993465</v>
      </c>
      <c r="Z8" s="809">
        <v>49.772780799036013</v>
      </c>
      <c r="AA8" s="810">
        <v>48.790838934936389</v>
      </c>
      <c r="AB8" s="811">
        <v>50.720626866603361</v>
      </c>
      <c r="AC8" s="811">
        <v>51.320092572030788</v>
      </c>
      <c r="AD8" s="811">
        <v>55.799674437386301</v>
      </c>
      <c r="AE8" s="811">
        <v>50.118564914448925</v>
      </c>
      <c r="AF8" s="811">
        <v>48.371326132089855</v>
      </c>
      <c r="AG8" s="812">
        <v>49.080688751709658</v>
      </c>
      <c r="AH8" s="813">
        <v>610960.88430816703</v>
      </c>
      <c r="AI8" s="814">
        <v>106120.07468348664</v>
      </c>
      <c r="AJ8" s="815">
        <v>96369.191046546388</v>
      </c>
      <c r="AK8" s="815">
        <v>102640.18514406157</v>
      </c>
      <c r="AL8" s="815">
        <v>11159.93488747726</v>
      </c>
      <c r="AM8" s="815">
        <v>82695.632108840728</v>
      </c>
      <c r="AN8" s="815">
        <v>103998.35118399319</v>
      </c>
      <c r="AO8" s="816">
        <v>107977.51525376124</v>
      </c>
    </row>
    <row r="9" spans="1:16384" ht="15.6" x14ac:dyDescent="0.3">
      <c r="A9" s="225" t="s">
        <v>294</v>
      </c>
      <c r="B9" s="801">
        <v>1692510.2145400106</v>
      </c>
      <c r="C9" s="802">
        <v>267835.32392250688</v>
      </c>
      <c r="D9" s="803">
        <v>294476.79835005407</v>
      </c>
      <c r="E9" s="803">
        <v>271775.24339196656</v>
      </c>
      <c r="F9" s="803">
        <v>31119.702161809288</v>
      </c>
      <c r="G9" s="803">
        <v>222921.84951704059</v>
      </c>
      <c r="H9" s="803">
        <v>301842.97375881474</v>
      </c>
      <c r="I9" s="804">
        <v>302538.32343781856</v>
      </c>
      <c r="J9" s="805">
        <v>11600</v>
      </c>
      <c r="K9" s="806">
        <v>1900</v>
      </c>
      <c r="L9" s="807">
        <v>2000</v>
      </c>
      <c r="M9" s="807">
        <v>1850</v>
      </c>
      <c r="N9" s="807">
        <v>200</v>
      </c>
      <c r="O9" s="807">
        <v>1550</v>
      </c>
      <c r="P9" s="807">
        <v>2050</v>
      </c>
      <c r="Q9" s="808">
        <v>2050</v>
      </c>
      <c r="R9" s="809">
        <v>145.90605297758711</v>
      </c>
      <c r="S9" s="810">
        <v>140.96595995921416</v>
      </c>
      <c r="T9" s="811">
        <v>147.23839917502704</v>
      </c>
      <c r="U9" s="811">
        <v>146.90553696863057</v>
      </c>
      <c r="V9" s="811">
        <v>155.59851080904645</v>
      </c>
      <c r="W9" s="811">
        <v>143.82054807551006</v>
      </c>
      <c r="X9" s="811">
        <v>147.24047500429987</v>
      </c>
      <c r="Y9" s="812">
        <v>147.57966996966758</v>
      </c>
      <c r="Z9" s="809">
        <v>50.050298617524106</v>
      </c>
      <c r="AA9" s="810">
        <v>48.305614420574699</v>
      </c>
      <c r="AB9" s="811">
        <v>50.543030329140635</v>
      </c>
      <c r="AC9" s="811">
        <v>50.424296425099875</v>
      </c>
      <c r="AD9" s="811">
        <v>53.52513125092981</v>
      </c>
      <c r="AE9" s="811">
        <v>49.323862767677412</v>
      </c>
      <c r="AF9" s="811">
        <v>50.484437646418584</v>
      </c>
      <c r="AG9" s="812">
        <v>50.6252081971842</v>
      </c>
      <c r="AH9" s="813">
        <v>580583.46396327962</v>
      </c>
      <c r="AI9" s="814">
        <v>91780.667399091923</v>
      </c>
      <c r="AJ9" s="815">
        <v>101086.06065828128</v>
      </c>
      <c r="AK9" s="815">
        <v>93284.948386434771</v>
      </c>
      <c r="AL9" s="815">
        <v>10705.026250185962</v>
      </c>
      <c r="AM9" s="815">
        <v>76451.987289899989</v>
      </c>
      <c r="AN9" s="815">
        <v>103493.09717515809</v>
      </c>
      <c r="AO9" s="816">
        <v>103781.67680422761</v>
      </c>
    </row>
    <row r="10" spans="1:16384" ht="15.6" x14ac:dyDescent="0.3">
      <c r="A10" s="225" t="s">
        <v>295</v>
      </c>
      <c r="B10" s="801">
        <v>1759222.8867994882</v>
      </c>
      <c r="C10" s="802">
        <v>298594.66960286768</v>
      </c>
      <c r="D10" s="803">
        <v>320980.5648434601</v>
      </c>
      <c r="E10" s="803">
        <v>294350.92895906995</v>
      </c>
      <c r="F10" s="803">
        <v>16192.123635830003</v>
      </c>
      <c r="G10" s="803">
        <v>241676.22084827564</v>
      </c>
      <c r="H10" s="803">
        <v>291230.93095326214</v>
      </c>
      <c r="I10" s="804">
        <v>296197.44795672281</v>
      </c>
      <c r="J10" s="805">
        <v>11650</v>
      </c>
      <c r="K10" s="806">
        <v>2000</v>
      </c>
      <c r="L10" s="807">
        <v>2050</v>
      </c>
      <c r="M10" s="807">
        <v>1900</v>
      </c>
      <c r="N10" s="807">
        <v>100</v>
      </c>
      <c r="O10" s="807">
        <v>1600</v>
      </c>
      <c r="P10" s="807">
        <v>2000</v>
      </c>
      <c r="Q10" s="808">
        <v>2000</v>
      </c>
      <c r="R10" s="809">
        <v>151.00625637763846</v>
      </c>
      <c r="S10" s="810">
        <v>149.29733480143383</v>
      </c>
      <c r="T10" s="811">
        <v>156.57588528949273</v>
      </c>
      <c r="U10" s="811">
        <v>154.92154155740525</v>
      </c>
      <c r="V10" s="811">
        <v>161.92123635830004</v>
      </c>
      <c r="W10" s="811">
        <v>151.04763803017227</v>
      </c>
      <c r="X10" s="811">
        <v>145.61546547663107</v>
      </c>
      <c r="Y10" s="812">
        <v>148.09872397836142</v>
      </c>
      <c r="Z10" s="809">
        <v>50.89520299575625</v>
      </c>
      <c r="AA10" s="810">
        <v>50.297197327742794</v>
      </c>
      <c r="AB10" s="811">
        <v>52.844192173725169</v>
      </c>
      <c r="AC10" s="811">
        <v>52.265285018238252</v>
      </c>
      <c r="AD10" s="811">
        <v>54.714699446368876</v>
      </c>
      <c r="AE10" s="811">
        <v>50.909683743797316</v>
      </c>
      <c r="AF10" s="811">
        <v>49.008794889752131</v>
      </c>
      <c r="AG10" s="812">
        <v>49.877765520034295</v>
      </c>
      <c r="AH10" s="813">
        <v>592929.11490056035</v>
      </c>
      <c r="AI10" s="814">
        <v>100594.39465548559</v>
      </c>
      <c r="AJ10" s="815">
        <v>108330.5939561366</v>
      </c>
      <c r="AK10" s="815">
        <v>99304.041534652686</v>
      </c>
      <c r="AL10" s="815">
        <v>5471.4699446368877</v>
      </c>
      <c r="AM10" s="815">
        <v>81455.493990075702</v>
      </c>
      <c r="AN10" s="815">
        <v>98017.589779504269</v>
      </c>
      <c r="AO10" s="816">
        <v>99755.531040068585</v>
      </c>
    </row>
    <row r="11" spans="1:16384" ht="15.6" x14ac:dyDescent="0.3">
      <c r="A11" s="225" t="s">
        <v>296</v>
      </c>
      <c r="B11" s="801">
        <v>1785732.3353620498</v>
      </c>
      <c r="C11" s="802">
        <v>274440.60081588809</v>
      </c>
      <c r="D11" s="803">
        <v>329237.92967287346</v>
      </c>
      <c r="E11" s="803">
        <v>316098.4172469172</v>
      </c>
      <c r="F11" s="803">
        <v>16535.1895689583</v>
      </c>
      <c r="G11" s="803">
        <v>252660.65755249764</v>
      </c>
      <c r="H11" s="803">
        <v>307377.6246896169</v>
      </c>
      <c r="I11" s="804">
        <v>289381.9158152981</v>
      </c>
      <c r="J11" s="805">
        <v>11561.301969365426</v>
      </c>
      <c r="K11" s="806">
        <v>1775</v>
      </c>
      <c r="L11" s="807">
        <v>2050</v>
      </c>
      <c r="M11" s="807">
        <v>2000</v>
      </c>
      <c r="N11" s="807">
        <v>100</v>
      </c>
      <c r="O11" s="807">
        <v>1650</v>
      </c>
      <c r="P11" s="807">
        <v>2068.8402625820568</v>
      </c>
      <c r="Q11" s="808">
        <v>1917.4617067833699</v>
      </c>
      <c r="R11" s="809">
        <v>154.45771938954593</v>
      </c>
      <c r="S11" s="810">
        <v>154.61442299486652</v>
      </c>
      <c r="T11" s="811">
        <v>160.60386813310902</v>
      </c>
      <c r="U11" s="811">
        <v>158.04920862345861</v>
      </c>
      <c r="V11" s="811">
        <v>165.35189568958299</v>
      </c>
      <c r="W11" s="811">
        <v>153.12767124393795</v>
      </c>
      <c r="X11" s="811">
        <v>148.57484661768339</v>
      </c>
      <c r="Y11" s="812">
        <v>150.91926727483363</v>
      </c>
      <c r="Z11" s="809">
        <v>50.80741221028439</v>
      </c>
      <c r="AA11" s="810">
        <v>50.84082878899401</v>
      </c>
      <c r="AB11" s="811">
        <v>52.889608435368629</v>
      </c>
      <c r="AC11" s="811">
        <v>52.015748789611045</v>
      </c>
      <c r="AD11" s="811">
        <v>54.513742556911666</v>
      </c>
      <c r="AE11" s="811">
        <v>50.332263027690772</v>
      </c>
      <c r="AF11" s="811">
        <v>48.833005283226392</v>
      </c>
      <c r="AG11" s="812">
        <v>49.635866422797029</v>
      </c>
      <c r="AH11" s="813">
        <v>587399.83484512195</v>
      </c>
      <c r="AI11" s="814">
        <v>90242.471100464361</v>
      </c>
      <c r="AJ11" s="815">
        <v>108423.69729250569</v>
      </c>
      <c r="AK11" s="815">
        <v>104031.49757922209</v>
      </c>
      <c r="AL11" s="815">
        <v>5451.3742556911666</v>
      </c>
      <c r="AM11" s="815">
        <v>83048.233995689778</v>
      </c>
      <c r="AN11" s="815">
        <v>101027.68747282105</v>
      </c>
      <c r="AO11" s="816">
        <v>95174.873148727755</v>
      </c>
    </row>
    <row r="12" spans="1:16384" ht="15.6" x14ac:dyDescent="0.3">
      <c r="A12" s="225" t="s">
        <v>297</v>
      </c>
      <c r="B12" s="801">
        <v>1687813.0636507445</v>
      </c>
      <c r="C12" s="802">
        <v>279376.90209782816</v>
      </c>
      <c r="D12" s="803">
        <v>303581.65805521689</v>
      </c>
      <c r="E12" s="803">
        <v>297490.44826489309</v>
      </c>
      <c r="F12" s="803">
        <v>16239.504637210286</v>
      </c>
      <c r="G12" s="803">
        <v>229921.04180537545</v>
      </c>
      <c r="H12" s="803">
        <v>283658.76652885653</v>
      </c>
      <c r="I12" s="804">
        <v>277544.74226136407</v>
      </c>
      <c r="J12" s="805">
        <v>11175</v>
      </c>
      <c r="K12" s="806">
        <v>1875</v>
      </c>
      <c r="L12" s="807">
        <v>1950</v>
      </c>
      <c r="M12" s="807">
        <v>1950</v>
      </c>
      <c r="N12" s="807">
        <v>100</v>
      </c>
      <c r="O12" s="807">
        <v>1550</v>
      </c>
      <c r="P12" s="807">
        <v>1900</v>
      </c>
      <c r="Q12" s="808">
        <v>1850</v>
      </c>
      <c r="R12" s="809">
        <v>151.03472605375791</v>
      </c>
      <c r="S12" s="810">
        <v>149.00101445217501</v>
      </c>
      <c r="T12" s="811">
        <v>155.6829015667779</v>
      </c>
      <c r="U12" s="811">
        <v>152.55920423840672</v>
      </c>
      <c r="V12" s="811">
        <v>162.39504637210285</v>
      </c>
      <c r="W12" s="811">
        <v>148.33615600346803</v>
      </c>
      <c r="X12" s="811">
        <v>149.2940876467666</v>
      </c>
      <c r="Y12" s="812">
        <v>150.02418500614274</v>
      </c>
      <c r="Z12" s="809">
        <v>51.619792923772522</v>
      </c>
      <c r="AA12" s="810">
        <v>50.913196389697404</v>
      </c>
      <c r="AB12" s="811">
        <v>53.296415923921735</v>
      </c>
      <c r="AC12" s="811">
        <v>52.182291072020377</v>
      </c>
      <c r="AD12" s="811">
        <v>55.690427427293777</v>
      </c>
      <c r="AE12" s="811">
        <v>50.676062236534342</v>
      </c>
      <c r="AF12" s="811">
        <v>50.950802658366037</v>
      </c>
      <c r="AG12" s="812">
        <v>51.233513400073036</v>
      </c>
      <c r="AH12" s="813">
        <v>576851.18592315796</v>
      </c>
      <c r="AI12" s="814">
        <v>95462.243230682638</v>
      </c>
      <c r="AJ12" s="815">
        <v>103928.01105164738</v>
      </c>
      <c r="AK12" s="815">
        <v>101755.46759043973</v>
      </c>
      <c r="AL12" s="815">
        <v>5569.042742729378</v>
      </c>
      <c r="AM12" s="815">
        <v>78547.896466628226</v>
      </c>
      <c r="AN12" s="815">
        <v>96806.525050895463</v>
      </c>
      <c r="AO12" s="816">
        <v>94781.999790135116</v>
      </c>
    </row>
    <row r="13" spans="1:16384" ht="15.6" x14ac:dyDescent="0.3">
      <c r="A13" s="225" t="s">
        <v>233</v>
      </c>
      <c r="B13" s="801">
        <v>1687004.2279248543</v>
      </c>
      <c r="C13" s="802">
        <v>264619.47231057321</v>
      </c>
      <c r="D13" s="803">
        <v>308083.64458516543</v>
      </c>
      <c r="E13" s="803">
        <v>294161.46133029339</v>
      </c>
      <c r="F13" s="803">
        <v>16352.357347422043</v>
      </c>
      <c r="G13" s="803">
        <v>240858.33261067627</v>
      </c>
      <c r="H13" s="803">
        <v>281161.3802409051</v>
      </c>
      <c r="I13" s="804">
        <v>281767.57949981885</v>
      </c>
      <c r="J13" s="805">
        <v>11177.705479452055</v>
      </c>
      <c r="K13" s="806">
        <v>1766.7808219178082</v>
      </c>
      <c r="L13" s="807">
        <v>1968.6986301369861</v>
      </c>
      <c r="M13" s="807">
        <v>1918.2191780821918</v>
      </c>
      <c r="N13" s="807">
        <v>100</v>
      </c>
      <c r="O13" s="807">
        <v>1615.3424657534247</v>
      </c>
      <c r="P13" s="807">
        <v>1929.7232876712328</v>
      </c>
      <c r="Q13" s="808">
        <v>1878.9410958904111</v>
      </c>
      <c r="R13" s="809">
        <v>150.92580771841497</v>
      </c>
      <c r="S13" s="810">
        <v>149.77492908448804</v>
      </c>
      <c r="T13" s="811">
        <v>156.49101384488102</v>
      </c>
      <c r="U13" s="811">
        <v>153.3513295516062</v>
      </c>
      <c r="V13" s="811">
        <v>163.52357347422043</v>
      </c>
      <c r="W13" s="811">
        <v>149.10666791536099</v>
      </c>
      <c r="X13" s="811">
        <v>145.70036130942242</v>
      </c>
      <c r="Y13" s="812">
        <v>149.96083704598098</v>
      </c>
      <c r="Z13" s="809">
        <v>51.530774813523607</v>
      </c>
      <c r="AA13" s="810">
        <v>51.121604184200493</v>
      </c>
      <c r="AB13" s="811">
        <v>53.513732329026361</v>
      </c>
      <c r="AC13" s="811">
        <v>52.395442814858448</v>
      </c>
      <c r="AD13" s="811">
        <v>55.949211292628334</v>
      </c>
      <c r="AE13" s="811">
        <v>50.883583610042415</v>
      </c>
      <c r="AF13" s="811">
        <v>49.669959917440295</v>
      </c>
      <c r="AG13" s="812">
        <v>51.187440984537126</v>
      </c>
      <c r="AH13" s="813">
        <v>575995.8239935328</v>
      </c>
      <c r="AI13" s="814">
        <v>90320.669858318608</v>
      </c>
      <c r="AJ13" s="815">
        <v>105352.41152967155</v>
      </c>
      <c r="AK13" s="815">
        <v>100505.94325157025</v>
      </c>
      <c r="AL13" s="815">
        <v>5594.9211292628333</v>
      </c>
      <c r="AM13" s="815">
        <v>82194.413415016461</v>
      </c>
      <c r="AN13" s="815">
        <v>95849.278350381239</v>
      </c>
      <c r="AO13" s="816">
        <v>96178.186459311939</v>
      </c>
    </row>
    <row r="14" spans="1:16384" ht="15.6" x14ac:dyDescent="0.3">
      <c r="A14" s="225" t="s">
        <v>234</v>
      </c>
      <c r="B14" s="801">
        <v>1691179.2125393529</v>
      </c>
      <c r="C14" s="802">
        <v>260576.56512671773</v>
      </c>
      <c r="D14" s="803">
        <v>297538.63243737078</v>
      </c>
      <c r="E14" s="803">
        <v>289718.21296787466</v>
      </c>
      <c r="F14" s="803">
        <v>16847.073311709701</v>
      </c>
      <c r="G14" s="803">
        <v>240669.33205575516</v>
      </c>
      <c r="H14" s="803">
        <v>296964.63871749211</v>
      </c>
      <c r="I14" s="804">
        <v>288864.75792243279</v>
      </c>
      <c r="J14" s="805">
        <v>11239.199999999999</v>
      </c>
      <c r="K14" s="806">
        <v>1764.1266968325792</v>
      </c>
      <c r="L14" s="807">
        <v>1965.7411764705882</v>
      </c>
      <c r="M14" s="807">
        <v>1915.3375565610859</v>
      </c>
      <c r="N14" s="807">
        <v>100</v>
      </c>
      <c r="O14" s="807">
        <v>1612.9158371040724</v>
      </c>
      <c r="P14" s="807">
        <v>1965.7411764705882</v>
      </c>
      <c r="Q14" s="808">
        <v>1915.3375565610859</v>
      </c>
      <c r="R14" s="809">
        <v>150.47149374860783</v>
      </c>
      <c r="S14" s="810">
        <v>147.70853226957723</v>
      </c>
      <c r="T14" s="811">
        <v>151.36205925725676</v>
      </c>
      <c r="U14" s="811">
        <v>151.26222110323596</v>
      </c>
      <c r="V14" s="811">
        <v>168.47073311709701</v>
      </c>
      <c r="W14" s="811">
        <v>149.21381917104094</v>
      </c>
      <c r="X14" s="811">
        <v>151.07006063264166</v>
      </c>
      <c r="Y14" s="812">
        <v>150.81663121621142</v>
      </c>
      <c r="Z14" s="809">
        <v>50.900763215781389</v>
      </c>
      <c r="AA14" s="810">
        <v>49.926581964984102</v>
      </c>
      <c r="AB14" s="811">
        <v>51.214764054271875</v>
      </c>
      <c r="AC14" s="811">
        <v>51.17956252920559</v>
      </c>
      <c r="AD14" s="811">
        <v>57.247041169517644</v>
      </c>
      <c r="AE14" s="811">
        <v>50.457324897017735</v>
      </c>
      <c r="AF14" s="811">
        <v>51.111809457359271</v>
      </c>
      <c r="AG14" s="812">
        <v>51.022453819301866</v>
      </c>
      <c r="AH14" s="813">
        <v>572083.8579348101</v>
      </c>
      <c r="AI14" s="814">
        <v>88076.816126028425</v>
      </c>
      <c r="AJ14" s="815">
        <v>100674.97054470799</v>
      </c>
      <c r="AK14" s="815">
        <v>98026.138240553948</v>
      </c>
      <c r="AL14" s="815">
        <v>5724.7041169517643</v>
      </c>
      <c r="AM14" s="815">
        <v>81383.418424305506</v>
      </c>
      <c r="AN14" s="815">
        <v>100472.58845424996</v>
      </c>
      <c r="AO14" s="816">
        <v>97725.222028012475</v>
      </c>
    </row>
    <row r="15" spans="1:16384" ht="15.6" x14ac:dyDescent="0.3">
      <c r="A15" s="225" t="s">
        <v>235</v>
      </c>
      <c r="B15" s="801">
        <v>1665353.1843717652</v>
      </c>
      <c r="C15" s="802">
        <v>257560.91636149079</v>
      </c>
      <c r="D15" s="803">
        <v>309885.67042025557</v>
      </c>
      <c r="E15" s="803">
        <v>280349.31385880732</v>
      </c>
      <c r="F15" s="803">
        <v>16937.993304387801</v>
      </c>
      <c r="G15" s="803">
        <v>241078.23087378152</v>
      </c>
      <c r="H15" s="803">
        <v>280623.56969338149</v>
      </c>
      <c r="I15" s="804">
        <v>278917.4898596608</v>
      </c>
      <c r="J15" s="805">
        <v>11311.999999999998</v>
      </c>
      <c r="K15" s="806">
        <v>1767.6576576576576</v>
      </c>
      <c r="L15" s="807">
        <v>2070.6846846846847</v>
      </c>
      <c r="M15" s="807">
        <v>1868.6666666666667</v>
      </c>
      <c r="N15" s="807">
        <v>100</v>
      </c>
      <c r="O15" s="807">
        <v>1616.1441441441441</v>
      </c>
      <c r="P15" s="807">
        <v>1969.6756756756756</v>
      </c>
      <c r="Q15" s="808">
        <v>1919.1711711711712</v>
      </c>
      <c r="R15" s="809">
        <v>147.22004812338804</v>
      </c>
      <c r="S15" s="810">
        <v>145.70746504319595</v>
      </c>
      <c r="T15" s="811">
        <v>149.65372212981026</v>
      </c>
      <c r="U15" s="811">
        <v>150.0263898637927</v>
      </c>
      <c r="V15" s="811">
        <v>169.379933043878</v>
      </c>
      <c r="W15" s="811">
        <v>149.16876798848193</v>
      </c>
      <c r="X15" s="811">
        <v>142.47196792797712</v>
      </c>
      <c r="Y15" s="812">
        <v>145.33226324437328</v>
      </c>
      <c r="Z15" s="809">
        <v>51.634398015780882</v>
      </c>
      <c r="AA15" s="810">
        <v>51.080908820460564</v>
      </c>
      <c r="AB15" s="811">
        <v>52.524935722519949</v>
      </c>
      <c r="AC15" s="811">
        <v>52.661303481028519</v>
      </c>
      <c r="AD15" s="811">
        <v>59.743213348737669</v>
      </c>
      <c r="AE15" s="811">
        <v>52.347479765907643</v>
      </c>
      <c r="AF15" s="811">
        <v>49.896965460115545</v>
      </c>
      <c r="AG15" s="812">
        <v>50.943613788913119</v>
      </c>
      <c r="AH15" s="813">
        <v>584088.31035451323</v>
      </c>
      <c r="AI15" s="814">
        <v>90293.559636599704</v>
      </c>
      <c r="AJ15" s="815">
        <v>108762.57996466955</v>
      </c>
      <c r="AK15" s="815">
        <v>98406.42243821529</v>
      </c>
      <c r="AL15" s="815">
        <v>5974.3213348737672</v>
      </c>
      <c r="AM15" s="815">
        <v>84601.07288437571</v>
      </c>
      <c r="AN15" s="815">
        <v>98280.83915681894</v>
      </c>
      <c r="AO15" s="816">
        <v>97769.514938960216</v>
      </c>
    </row>
    <row r="16" spans="1:16384" ht="15.6" x14ac:dyDescent="0.3">
      <c r="A16" s="225" t="s">
        <v>236</v>
      </c>
      <c r="B16" s="801">
        <v>1736201.1067275191</v>
      </c>
      <c r="C16" s="802">
        <v>304976.42642889702</v>
      </c>
      <c r="D16" s="803">
        <v>330977.42959200114</v>
      </c>
      <c r="E16" s="803">
        <v>300045.47899543133</v>
      </c>
      <c r="F16" s="803">
        <v>16304.649980064481</v>
      </c>
      <c r="G16" s="803">
        <v>235754.29192697664</v>
      </c>
      <c r="H16" s="803">
        <v>274416.59334153752</v>
      </c>
      <c r="I16" s="804">
        <v>273726.23646261095</v>
      </c>
      <c r="J16" s="805">
        <v>11585.525000000001</v>
      </c>
      <c r="K16" s="806">
        <v>1939.7775555555556</v>
      </c>
      <c r="L16" s="807">
        <v>2143.9646666666672</v>
      </c>
      <c r="M16" s="807">
        <v>1939.7775555555556</v>
      </c>
      <c r="N16" s="807">
        <v>100</v>
      </c>
      <c r="O16" s="807">
        <v>1582.4501111111113</v>
      </c>
      <c r="P16" s="807">
        <v>1939.7775555555556</v>
      </c>
      <c r="Q16" s="808">
        <v>1939.7775555555556</v>
      </c>
      <c r="R16" s="809">
        <v>149.85951061583475</v>
      </c>
      <c r="S16" s="810">
        <v>157.22237096487655</v>
      </c>
      <c r="T16" s="811">
        <v>154.37634525320274</v>
      </c>
      <c r="U16" s="811">
        <v>154.68035401074522</v>
      </c>
      <c r="V16" s="811">
        <v>163.04649980064482</v>
      </c>
      <c r="W16" s="811">
        <v>148.98055254420797</v>
      </c>
      <c r="X16" s="811">
        <v>141.46807326211388</v>
      </c>
      <c r="Y16" s="812">
        <v>141.1121783931639</v>
      </c>
      <c r="Z16" s="809">
        <v>50.911643458507662</v>
      </c>
      <c r="AA16" s="810">
        <v>53.51551640476049</v>
      </c>
      <c r="AB16" s="811">
        <v>52.509240919992962</v>
      </c>
      <c r="AC16" s="811">
        <v>52.616729955884239</v>
      </c>
      <c r="AD16" s="811">
        <v>55.508677759855473</v>
      </c>
      <c r="AE16" s="811">
        <v>50.601438786766437</v>
      </c>
      <c r="AF16" s="811">
        <v>47.945235190155479</v>
      </c>
      <c r="AG16" s="812">
        <v>47.81940066929716</v>
      </c>
      <c r="AH16" s="813">
        <v>589838.11807962705</v>
      </c>
      <c r="AI16" s="814">
        <v>103808.19759591954</v>
      </c>
      <c r="AJ16" s="815">
        <v>112577.95720595244</v>
      </c>
      <c r="AK16" s="815">
        <v>102064.7518151519</v>
      </c>
      <c r="AL16" s="815">
        <v>5550.8677759855473</v>
      </c>
      <c r="AM16" s="815">
        <v>80074.252430500637</v>
      </c>
      <c r="AN16" s="815">
        <v>93003.091117696007</v>
      </c>
      <c r="AO16" s="816">
        <v>92759.000138420946</v>
      </c>
    </row>
    <row r="17" spans="1:41" ht="15.6" x14ac:dyDescent="0.3">
      <c r="A17" s="225" t="s">
        <v>237</v>
      </c>
      <c r="B17" s="801">
        <v>1669287.6650486961</v>
      </c>
      <c r="C17" s="802">
        <v>296143.07531529822</v>
      </c>
      <c r="D17" s="803">
        <v>314932.05119431659</v>
      </c>
      <c r="E17" s="803">
        <v>272609.46793686011</v>
      </c>
      <c r="F17" s="803">
        <v>16169.703979143444</v>
      </c>
      <c r="G17" s="803">
        <v>232568.05271007342</v>
      </c>
      <c r="H17" s="803">
        <v>267917.13247711293</v>
      </c>
      <c r="I17" s="804">
        <v>268948.18143589154</v>
      </c>
      <c r="J17" s="805">
        <v>11396.25</v>
      </c>
      <c r="K17" s="806">
        <v>1975.5773542600896</v>
      </c>
      <c r="L17" s="807">
        <v>2076.8890134529147</v>
      </c>
      <c r="M17" s="807">
        <v>1823.6098654708521</v>
      </c>
      <c r="N17" s="807">
        <v>100</v>
      </c>
      <c r="O17" s="807">
        <v>1570.3307174887893</v>
      </c>
      <c r="P17" s="807">
        <v>1924.921524663677</v>
      </c>
      <c r="Q17" s="808">
        <v>1924.921524663677</v>
      </c>
      <c r="R17" s="809">
        <v>146.47692574739025</v>
      </c>
      <c r="S17" s="810">
        <v>149.90203986530929</v>
      </c>
      <c r="T17" s="811">
        <v>151.63643755365092</v>
      </c>
      <c r="U17" s="811">
        <v>149.48891925766858</v>
      </c>
      <c r="V17" s="811">
        <v>161.69703979143443</v>
      </c>
      <c r="W17" s="811">
        <v>148.10132039064169</v>
      </c>
      <c r="X17" s="811">
        <v>139.18340516449027</v>
      </c>
      <c r="Y17" s="812">
        <v>139.71903684898649</v>
      </c>
      <c r="Z17" s="809">
        <v>50.08652064221392</v>
      </c>
      <c r="AA17" s="810">
        <v>51.306715631519957</v>
      </c>
      <c r="AB17" s="811">
        <v>51.924593838177856</v>
      </c>
      <c r="AC17" s="811">
        <v>51.159541646050393</v>
      </c>
      <c r="AD17" s="811">
        <v>55.508677759855473</v>
      </c>
      <c r="AE17" s="811">
        <v>50.665210325568232</v>
      </c>
      <c r="AF17" s="811">
        <v>47.48820801283442</v>
      </c>
      <c r="AG17" s="812">
        <v>47.679026500929901</v>
      </c>
      <c r="AH17" s="813">
        <v>570798.51086883037</v>
      </c>
      <c r="AI17" s="814">
        <v>101360.38552309298</v>
      </c>
      <c r="AJ17" s="815">
        <v>107841.61847051651</v>
      </c>
      <c r="AK17" s="815">
        <v>93295.044858704408</v>
      </c>
      <c r="AL17" s="815">
        <v>5550.8677759855473</v>
      </c>
      <c r="AM17" s="815">
        <v>79561.136082269979</v>
      </c>
      <c r="AN17" s="815">
        <v>91411.073771611074</v>
      </c>
      <c r="AO17" s="816">
        <v>91778.38438664985</v>
      </c>
    </row>
    <row r="18" spans="1:41" ht="15.6" x14ac:dyDescent="0.3">
      <c r="A18" s="225" t="s">
        <v>238</v>
      </c>
      <c r="B18" s="801">
        <v>1336477.038084479</v>
      </c>
      <c r="C18" s="802">
        <v>245083.35027090681</v>
      </c>
      <c r="D18" s="803">
        <v>301144.78114920901</v>
      </c>
      <c r="E18" s="803">
        <v>281664.97870904754</v>
      </c>
      <c r="F18" s="803">
        <v>78098.981568458898</v>
      </c>
      <c r="G18" s="803">
        <v>0</v>
      </c>
      <c r="H18" s="803">
        <v>134679.42008556103</v>
      </c>
      <c r="I18" s="804">
        <v>295805.52630129567</v>
      </c>
      <c r="J18" s="805">
        <v>9150</v>
      </c>
      <c r="K18" s="806">
        <v>1650</v>
      </c>
      <c r="L18" s="807">
        <v>2050</v>
      </c>
      <c r="M18" s="807">
        <v>1850</v>
      </c>
      <c r="N18" s="807">
        <v>500</v>
      </c>
      <c r="O18" s="807">
        <v>0</v>
      </c>
      <c r="P18" s="807">
        <v>1000</v>
      </c>
      <c r="Q18" s="808">
        <v>2100</v>
      </c>
      <c r="R18" s="809">
        <v>146.06306427152776</v>
      </c>
      <c r="S18" s="810">
        <v>148.53536380054959</v>
      </c>
      <c r="T18" s="811">
        <v>146.8998932435166</v>
      </c>
      <c r="U18" s="811">
        <v>152.25133984272841</v>
      </c>
      <c r="V18" s="811">
        <v>156.19796313691779</v>
      </c>
      <c r="W18" s="811" t="s">
        <v>288</v>
      </c>
      <c r="X18" s="811">
        <v>134.67942008556102</v>
      </c>
      <c r="Y18" s="812">
        <v>140.85977442918841</v>
      </c>
      <c r="Z18" s="809">
        <v>50.416231517603997</v>
      </c>
      <c r="AA18" s="810">
        <v>51.306715631519957</v>
      </c>
      <c r="AB18" s="811">
        <v>50.717644391276117</v>
      </c>
      <c r="AC18" s="811">
        <v>52.645152821030607</v>
      </c>
      <c r="AD18" s="811">
        <v>54.066665589136321</v>
      </c>
      <c r="AE18" s="811">
        <v>0</v>
      </c>
      <c r="AF18" s="811">
        <v>46.316018664315258</v>
      </c>
      <c r="AG18" s="812">
        <v>48.542086863886972</v>
      </c>
      <c r="AH18" s="813">
        <v>461308.51838607655</v>
      </c>
      <c r="AI18" s="814">
        <v>84656.080792007924</v>
      </c>
      <c r="AJ18" s="815">
        <v>103971.17100211604</v>
      </c>
      <c r="AK18" s="815">
        <v>97393.532718906616</v>
      </c>
      <c r="AL18" s="815">
        <v>27033.332794568159</v>
      </c>
      <c r="AM18" s="815">
        <v>0</v>
      </c>
      <c r="AN18" s="815">
        <v>46316.018664315256</v>
      </c>
      <c r="AO18" s="816">
        <v>101938.38241416264</v>
      </c>
    </row>
    <row r="19" spans="1:41" ht="15.6" x14ac:dyDescent="0.3">
      <c r="A19" s="225" t="s">
        <v>239</v>
      </c>
      <c r="B19" s="801">
        <v>1627434.5145370564</v>
      </c>
      <c r="C19" s="802">
        <v>288660.83583755477</v>
      </c>
      <c r="D19" s="803">
        <v>302809.7083030268</v>
      </c>
      <c r="E19" s="803">
        <v>281145.45206401125</v>
      </c>
      <c r="F19" s="803">
        <v>15855.727221592579</v>
      </c>
      <c r="G19" s="803">
        <v>227115.60512380826</v>
      </c>
      <c r="H19" s="803">
        <v>258027.38735468397</v>
      </c>
      <c r="I19" s="804">
        <v>253819.79863237875</v>
      </c>
      <c r="J19" s="805">
        <v>11000</v>
      </c>
      <c r="K19" s="806">
        <v>1950</v>
      </c>
      <c r="L19" s="807">
        <v>2000</v>
      </c>
      <c r="M19" s="807">
        <v>1850</v>
      </c>
      <c r="N19" s="807">
        <v>100</v>
      </c>
      <c r="O19" s="807">
        <v>1550</v>
      </c>
      <c r="P19" s="807">
        <v>1800</v>
      </c>
      <c r="Q19" s="808">
        <v>1750</v>
      </c>
      <c r="R19" s="809">
        <v>147.94859223064148</v>
      </c>
      <c r="S19" s="810">
        <v>148.03119786541271</v>
      </c>
      <c r="T19" s="811">
        <v>151.4048541515134</v>
      </c>
      <c r="U19" s="811">
        <v>151.97051462919526</v>
      </c>
      <c r="V19" s="811">
        <v>158.55727221592579</v>
      </c>
      <c r="W19" s="811">
        <v>146.52619685406984</v>
      </c>
      <c r="X19" s="811">
        <v>143.34854853037999</v>
      </c>
      <c r="Y19" s="812">
        <v>145.03988493278786</v>
      </c>
      <c r="Z19" s="809">
        <v>50.168193944843388</v>
      </c>
      <c r="AA19" s="810">
        <v>50.197359268866002</v>
      </c>
      <c r="AB19" s="811">
        <v>51.388485987976168</v>
      </c>
      <c r="AC19" s="811">
        <v>51.588202038389305</v>
      </c>
      <c r="AD19" s="811">
        <v>53.913768808833602</v>
      </c>
      <c r="AE19" s="811">
        <v>49.665993070037771</v>
      </c>
      <c r="AF19" s="811">
        <v>48.544070295072054</v>
      </c>
      <c r="AG19" s="812">
        <v>49.141225372253956</v>
      </c>
      <c r="AH19" s="813">
        <v>551850.1333932773</v>
      </c>
      <c r="AI19" s="814">
        <v>97884.850574288706</v>
      </c>
      <c r="AJ19" s="815">
        <v>102776.97197595233</v>
      </c>
      <c r="AK19" s="815">
        <v>95438.173771020214</v>
      </c>
      <c r="AL19" s="815">
        <v>5391.3768808833602</v>
      </c>
      <c r="AM19" s="815">
        <v>76982.289258558551</v>
      </c>
      <c r="AN19" s="815">
        <v>87379.3265311297</v>
      </c>
      <c r="AO19" s="816">
        <v>85997.144401444428</v>
      </c>
    </row>
    <row r="20" spans="1:41" ht="15.6" x14ac:dyDescent="0.3">
      <c r="A20" s="225" t="s">
        <v>240</v>
      </c>
      <c r="B20" s="801">
        <v>1700103.9863566523</v>
      </c>
      <c r="C20" s="802">
        <v>268433.84495456668</v>
      </c>
      <c r="D20" s="803">
        <v>315490.67049072415</v>
      </c>
      <c r="E20" s="803">
        <v>295618.17048136221</v>
      </c>
      <c r="F20" s="803">
        <v>0</v>
      </c>
      <c r="G20" s="803">
        <v>252699.49803779769</v>
      </c>
      <c r="H20" s="803">
        <v>289036.72432344785</v>
      </c>
      <c r="I20" s="804">
        <v>278825.07806875382</v>
      </c>
      <c r="J20" s="805">
        <v>11475</v>
      </c>
      <c r="K20" s="806">
        <v>1800</v>
      </c>
      <c r="L20" s="807">
        <v>2075</v>
      </c>
      <c r="M20" s="807">
        <v>2000</v>
      </c>
      <c r="N20" s="807">
        <v>0</v>
      </c>
      <c r="O20" s="807">
        <v>1700</v>
      </c>
      <c r="P20" s="807">
        <v>2000</v>
      </c>
      <c r="Q20" s="806">
        <v>1900</v>
      </c>
      <c r="R20" s="809">
        <v>148.15721014001326</v>
      </c>
      <c r="S20" s="810">
        <v>149.12991386364817</v>
      </c>
      <c r="T20" s="811">
        <v>152.04369662203572</v>
      </c>
      <c r="U20" s="811">
        <v>147.8090852406811</v>
      </c>
      <c r="V20" s="811" t="s">
        <v>288</v>
      </c>
      <c r="W20" s="811">
        <v>148.64676355164571</v>
      </c>
      <c r="X20" s="811">
        <v>144.51836216172393</v>
      </c>
      <c r="Y20" s="812">
        <v>146.7500410888178</v>
      </c>
      <c r="Z20" s="809">
        <v>50.240077377262935</v>
      </c>
      <c r="AA20" s="810">
        <v>50.583997054246929</v>
      </c>
      <c r="AB20" s="811">
        <v>51.614225684730052</v>
      </c>
      <c r="AC20" s="811">
        <v>50.116990562625269</v>
      </c>
      <c r="AD20" s="811">
        <v>0</v>
      </c>
      <c r="AE20" s="811">
        <v>50.413169190426622</v>
      </c>
      <c r="AF20" s="811">
        <v>48.953486824683829</v>
      </c>
      <c r="AG20" s="812">
        <v>49.742543427520708</v>
      </c>
      <c r="AH20" s="813">
        <v>576504.8879040922</v>
      </c>
      <c r="AI20" s="814">
        <v>91051.194697644474</v>
      </c>
      <c r="AJ20" s="815">
        <v>107099.51829581485</v>
      </c>
      <c r="AK20" s="815">
        <v>100233.98112525053</v>
      </c>
      <c r="AL20" s="815">
        <v>0</v>
      </c>
      <c r="AM20" s="815">
        <v>85702.387623725255</v>
      </c>
      <c r="AN20" s="815">
        <v>97906.973649367661</v>
      </c>
      <c r="AO20" s="816">
        <v>94510.832512289344</v>
      </c>
    </row>
    <row r="21" spans="1:41" ht="15.6" x14ac:dyDescent="0.3">
      <c r="A21" s="225" t="s">
        <v>241</v>
      </c>
      <c r="B21" s="801">
        <v>1801550.7218470653</v>
      </c>
      <c r="C21" s="802">
        <v>268221.32099408633</v>
      </c>
      <c r="D21" s="803">
        <v>333156.10838664573</v>
      </c>
      <c r="E21" s="803">
        <v>316481.96827531286</v>
      </c>
      <c r="F21" s="803">
        <v>16311.572465420122</v>
      </c>
      <c r="G21" s="803">
        <v>262417.49451865751</v>
      </c>
      <c r="H21" s="803">
        <v>300479.69631707878</v>
      </c>
      <c r="I21" s="804">
        <v>304482.56088986376</v>
      </c>
      <c r="J21" s="805">
        <v>12050</v>
      </c>
      <c r="K21" s="806">
        <v>1850</v>
      </c>
      <c r="L21" s="806">
        <v>2150</v>
      </c>
      <c r="M21" s="807">
        <v>2100</v>
      </c>
      <c r="N21" s="807">
        <v>100</v>
      </c>
      <c r="O21" s="806">
        <v>1750</v>
      </c>
      <c r="P21" s="806">
        <v>2050</v>
      </c>
      <c r="Q21" s="806">
        <v>2050</v>
      </c>
      <c r="R21" s="809">
        <v>149.5062839707108</v>
      </c>
      <c r="S21" s="810">
        <v>144.98449783464125</v>
      </c>
      <c r="T21" s="811">
        <v>154.95632948216081</v>
      </c>
      <c r="U21" s="811">
        <v>150.70569917872041</v>
      </c>
      <c r="V21" s="811">
        <v>163.11572465420122</v>
      </c>
      <c r="W21" s="811">
        <v>149.95285401066144</v>
      </c>
      <c r="X21" s="811">
        <v>146.57546161808722</v>
      </c>
      <c r="Y21" s="812">
        <v>148.52807848286037</v>
      </c>
      <c r="Z21" s="809">
        <v>51.058910518916001</v>
      </c>
      <c r="AA21" s="810">
        <v>49.452495946291769</v>
      </c>
      <c r="AB21" s="811">
        <v>52.99509950875369</v>
      </c>
      <c r="AC21" s="811">
        <v>51.485016046863088</v>
      </c>
      <c r="AD21" s="811">
        <v>55.893814952991569</v>
      </c>
      <c r="AE21" s="811">
        <v>51.217559468310512</v>
      </c>
      <c r="AF21" s="811">
        <v>50.017703439379112</v>
      </c>
      <c r="AG21" s="812">
        <v>50.711392192436755</v>
      </c>
      <c r="AH21" s="813">
        <v>615259.87175293779</v>
      </c>
      <c r="AI21" s="814">
        <v>91487.117500639768</v>
      </c>
      <c r="AJ21" s="815">
        <v>113939.46394382043</v>
      </c>
      <c r="AK21" s="815">
        <v>108118.53369841249</v>
      </c>
      <c r="AL21" s="815">
        <v>5589.381495299157</v>
      </c>
      <c r="AM21" s="815">
        <v>89630.729069543391</v>
      </c>
      <c r="AN21" s="815">
        <v>102536.29205072718</v>
      </c>
      <c r="AO21" s="816">
        <v>103958.35399449535</v>
      </c>
    </row>
    <row r="22" spans="1:41" ht="15.6" x14ac:dyDescent="0.3">
      <c r="A22" s="225" t="s">
        <v>242</v>
      </c>
      <c r="B22" s="801">
        <v>1746620.349656821</v>
      </c>
      <c r="C22" s="802">
        <v>287999.96132070239</v>
      </c>
      <c r="D22" s="803">
        <v>331665.27310986596</v>
      </c>
      <c r="E22" s="803">
        <v>300494.26613895159</v>
      </c>
      <c r="F22" s="803">
        <v>15818.811930964623</v>
      </c>
      <c r="G22" s="803">
        <v>245368.63531978117</v>
      </c>
      <c r="H22" s="803">
        <v>276464.87190209259</v>
      </c>
      <c r="I22" s="804">
        <v>288808.52993446292</v>
      </c>
      <c r="J22" s="805">
        <v>11700</v>
      </c>
      <c r="K22" s="806">
        <v>1950</v>
      </c>
      <c r="L22" s="806">
        <v>2150</v>
      </c>
      <c r="M22" s="807">
        <v>2000</v>
      </c>
      <c r="N22" s="807">
        <v>100</v>
      </c>
      <c r="O22" s="806">
        <v>1650</v>
      </c>
      <c r="P22" s="806">
        <v>1900</v>
      </c>
      <c r="Q22" s="806">
        <v>1950</v>
      </c>
      <c r="R22" s="809">
        <v>149.28379056895906</v>
      </c>
      <c r="S22" s="810">
        <v>147.69228785677046</v>
      </c>
      <c r="T22" s="811">
        <v>154.26291772551906</v>
      </c>
      <c r="U22" s="811">
        <v>150.24713306947578</v>
      </c>
      <c r="V22" s="811">
        <v>158.18811930964623</v>
      </c>
      <c r="W22" s="811">
        <v>148.70826383017041</v>
      </c>
      <c r="X22" s="811">
        <v>145.50782731689083</v>
      </c>
      <c r="Y22" s="812">
        <v>148.10693842792969</v>
      </c>
      <c r="Z22" s="809">
        <v>51.070274860265535</v>
      </c>
      <c r="AA22" s="810">
        <v>50.504609732851733</v>
      </c>
      <c r="AB22" s="811">
        <v>52.841494836950964</v>
      </c>
      <c r="AC22" s="811">
        <v>51.413692586151477</v>
      </c>
      <c r="AD22" s="811">
        <v>54.175497006192309</v>
      </c>
      <c r="AE22" s="811">
        <v>50.867613187396906</v>
      </c>
      <c r="AF22" s="811">
        <v>49.729867391912698</v>
      </c>
      <c r="AG22" s="812">
        <v>50.649111953764155</v>
      </c>
      <c r="AH22" s="813">
        <v>597522.21586510679</v>
      </c>
      <c r="AI22" s="814">
        <v>98483.988979060887</v>
      </c>
      <c r="AJ22" s="815">
        <v>113609.21389944457</v>
      </c>
      <c r="AK22" s="815">
        <v>102827.38517230295</v>
      </c>
      <c r="AL22" s="815">
        <v>5417.5497006192309</v>
      </c>
      <c r="AM22" s="815">
        <v>83931.561759204895</v>
      </c>
      <c r="AN22" s="815">
        <v>94486.748044634121</v>
      </c>
      <c r="AO22" s="816">
        <v>98765.768309840103</v>
      </c>
    </row>
    <row r="23" spans="1:41" ht="15.6" x14ac:dyDescent="0.3">
      <c r="A23" s="225" t="s">
        <v>243</v>
      </c>
      <c r="B23" s="801">
        <v>1590432.4724456884</v>
      </c>
      <c r="C23" s="802">
        <v>276035.73078218882</v>
      </c>
      <c r="D23" s="803">
        <v>286071.02674194676</v>
      </c>
      <c r="E23" s="803">
        <v>276397.66736653855</v>
      </c>
      <c r="F23" s="803">
        <v>15877.780694603927</v>
      </c>
      <c r="G23" s="803">
        <v>221281.85712285576</v>
      </c>
      <c r="H23" s="803">
        <v>259812.00162818321</v>
      </c>
      <c r="I23" s="804">
        <v>254956.40810937132</v>
      </c>
      <c r="J23" s="805">
        <v>10750</v>
      </c>
      <c r="K23" s="806">
        <v>1850</v>
      </c>
      <c r="L23" s="806">
        <v>1900</v>
      </c>
      <c r="M23" s="807">
        <v>1850</v>
      </c>
      <c r="N23" s="807">
        <v>100</v>
      </c>
      <c r="O23" s="806">
        <v>1500</v>
      </c>
      <c r="P23" s="806">
        <v>1800</v>
      </c>
      <c r="Q23" s="806">
        <v>1750</v>
      </c>
      <c r="R23" s="809">
        <v>147.9472067391338</v>
      </c>
      <c r="S23" s="810">
        <v>149.20850312550746</v>
      </c>
      <c r="T23" s="811">
        <v>150.56369828523515</v>
      </c>
      <c r="U23" s="811">
        <v>149.40414452245327</v>
      </c>
      <c r="V23" s="811">
        <v>158.77780694603928</v>
      </c>
      <c r="W23" s="811">
        <v>147.52123808190385</v>
      </c>
      <c r="X23" s="811">
        <v>144.34000090454623</v>
      </c>
      <c r="Y23" s="812">
        <v>145.6893760624979</v>
      </c>
      <c r="Z23" s="809">
        <v>49.723612822418026</v>
      </c>
      <c r="AA23" s="810">
        <v>50.163748746151356</v>
      </c>
      <c r="AB23" s="811">
        <v>50.644815107310272</v>
      </c>
      <c r="AC23" s="811">
        <v>50.232870264314293</v>
      </c>
      <c r="AD23" s="811">
        <v>53.39240619094776</v>
      </c>
      <c r="AE23" s="811">
        <v>49.579974707286013</v>
      </c>
      <c r="AF23" s="811">
        <v>48.463647578540169</v>
      </c>
      <c r="AG23" s="812">
        <v>48.929243226483848</v>
      </c>
      <c r="AH23" s="813">
        <v>534528.83784099377</v>
      </c>
      <c r="AI23" s="814">
        <v>92802.935180380009</v>
      </c>
      <c r="AJ23" s="815">
        <v>96225.148703889514</v>
      </c>
      <c r="AK23" s="815">
        <v>92930.809988981448</v>
      </c>
      <c r="AL23" s="815">
        <v>5339.2406190947759</v>
      </c>
      <c r="AM23" s="815">
        <v>74369.962060929014</v>
      </c>
      <c r="AN23" s="815">
        <v>87234.565641372305</v>
      </c>
      <c r="AO23" s="816">
        <v>85626.175646346732</v>
      </c>
    </row>
    <row r="24" spans="1:41" ht="15.6" x14ac:dyDescent="0.3">
      <c r="A24" s="225" t="s">
        <v>244</v>
      </c>
      <c r="B24" s="801">
        <v>1440505.0341222603</v>
      </c>
      <c r="C24" s="802">
        <v>0</v>
      </c>
      <c r="D24" s="803">
        <v>283841.39787319745</v>
      </c>
      <c r="E24" s="803">
        <v>328955.38953889243</v>
      </c>
      <c r="F24" s="803">
        <v>15634.510826913518</v>
      </c>
      <c r="G24" s="803">
        <v>245361.85442603371</v>
      </c>
      <c r="H24" s="803">
        <v>280658.67725532886</v>
      </c>
      <c r="I24" s="804">
        <v>286053.20420189446</v>
      </c>
      <c r="J24" s="805">
        <v>9650</v>
      </c>
      <c r="K24" s="806">
        <v>0</v>
      </c>
      <c r="L24" s="806">
        <v>1850</v>
      </c>
      <c r="M24" s="807">
        <v>2150</v>
      </c>
      <c r="N24" s="807">
        <v>100</v>
      </c>
      <c r="O24" s="806">
        <v>1650</v>
      </c>
      <c r="P24" s="806">
        <v>1950</v>
      </c>
      <c r="Q24" s="806">
        <v>1950</v>
      </c>
      <c r="R24" s="809">
        <v>149.27513306966429</v>
      </c>
      <c r="S24" s="810" t="s">
        <v>288</v>
      </c>
      <c r="T24" s="811">
        <v>153.42778263416079</v>
      </c>
      <c r="U24" s="811">
        <v>153.00250676227554</v>
      </c>
      <c r="V24" s="811">
        <v>156.34510826913518</v>
      </c>
      <c r="W24" s="811">
        <v>148.70415419759618</v>
      </c>
      <c r="X24" s="811">
        <v>143.92752679760454</v>
      </c>
      <c r="Y24" s="812">
        <v>146.69395087276638</v>
      </c>
      <c r="Z24" s="809">
        <v>50.851879455517043</v>
      </c>
      <c r="AA24" s="810">
        <v>0</v>
      </c>
      <c r="AB24" s="811">
        <v>52.344376659698256</v>
      </c>
      <c r="AC24" s="811">
        <v>52.15984564458136</v>
      </c>
      <c r="AD24" s="811">
        <v>53.17665414566661</v>
      </c>
      <c r="AE24" s="811">
        <v>50.640972064084153</v>
      </c>
      <c r="AF24" s="811">
        <v>48.962087033349874</v>
      </c>
      <c r="AG24" s="812">
        <v>49.942837309800005</v>
      </c>
      <c r="AH24" s="813">
        <v>490720.63674573944</v>
      </c>
      <c r="AI24" s="814">
        <v>0</v>
      </c>
      <c r="AJ24" s="815">
        <v>96837.096820441773</v>
      </c>
      <c r="AK24" s="815">
        <v>112143.66813584992</v>
      </c>
      <c r="AL24" s="815">
        <v>5317.6654145666607</v>
      </c>
      <c r="AM24" s="815">
        <v>83557.603905738855</v>
      </c>
      <c r="AN24" s="815">
        <v>95476.069715032252</v>
      </c>
      <c r="AO24" s="816">
        <v>97388.532754110012</v>
      </c>
    </row>
    <row r="25" spans="1:41" ht="15.6" x14ac:dyDescent="0.3">
      <c r="A25" s="225" t="s">
        <v>245</v>
      </c>
      <c r="B25" s="801">
        <v>1403775.404075637</v>
      </c>
      <c r="C25" s="802">
        <v>301571.28471583832</v>
      </c>
      <c r="D25" s="803">
        <v>324208.15052090387</v>
      </c>
      <c r="E25" s="803">
        <v>305836.37020844535</v>
      </c>
      <c r="F25" s="803">
        <v>15854.624768168776</v>
      </c>
      <c r="G25" s="803">
        <v>0</v>
      </c>
      <c r="H25" s="803">
        <v>126391.72508668384</v>
      </c>
      <c r="I25" s="804">
        <v>329913.24877559673</v>
      </c>
      <c r="J25" s="805">
        <v>9050</v>
      </c>
      <c r="K25" s="806">
        <v>1950</v>
      </c>
      <c r="L25" s="806">
        <v>2050</v>
      </c>
      <c r="M25" s="807">
        <v>1950</v>
      </c>
      <c r="N25" s="807">
        <v>100</v>
      </c>
      <c r="O25" s="806">
        <v>0</v>
      </c>
      <c r="P25" s="806">
        <v>850</v>
      </c>
      <c r="Q25" s="806">
        <v>2150</v>
      </c>
      <c r="R25" s="809">
        <v>155.11330431774994</v>
      </c>
      <c r="S25" s="810">
        <v>154.65194087991708</v>
      </c>
      <c r="T25" s="811">
        <v>158.15031732727019</v>
      </c>
      <c r="U25" s="811">
        <v>156.83916420945917</v>
      </c>
      <c r="V25" s="811">
        <v>158.54624768168776</v>
      </c>
      <c r="W25" s="811" t="s">
        <v>288</v>
      </c>
      <c r="X25" s="811">
        <v>148.69614716080451</v>
      </c>
      <c r="Y25" s="812">
        <v>153.44802268632407</v>
      </c>
      <c r="Z25" s="809">
        <v>50.202549922796827</v>
      </c>
      <c r="AA25" s="810">
        <v>50.041550454896878</v>
      </c>
      <c r="AB25" s="811">
        <v>51.243325600164603</v>
      </c>
      <c r="AC25" s="811">
        <v>50.797751264382391</v>
      </c>
      <c r="AD25" s="811">
        <v>51.18085773050074</v>
      </c>
      <c r="AE25" s="811">
        <v>0</v>
      </c>
      <c r="AF25" s="811">
        <v>48.045713382547184</v>
      </c>
      <c r="AG25" s="812">
        <v>49.623571544262347</v>
      </c>
      <c r="AH25" s="813">
        <v>454333.07680131128</v>
      </c>
      <c r="AI25" s="814">
        <v>97581.023387048917</v>
      </c>
      <c r="AJ25" s="815">
        <v>105048.81748033744</v>
      </c>
      <c r="AK25" s="815">
        <v>99055.614965545668</v>
      </c>
      <c r="AL25" s="815">
        <v>5118.0857730500738</v>
      </c>
      <c r="AM25" s="815">
        <v>0</v>
      </c>
      <c r="AN25" s="815">
        <v>40838.856375165109</v>
      </c>
      <c r="AO25" s="816">
        <v>106690.67882016404</v>
      </c>
    </row>
    <row r="26" spans="1:41" ht="15.6" x14ac:dyDescent="0.3">
      <c r="A26" s="225" t="s">
        <v>246</v>
      </c>
      <c r="B26" s="801">
        <v>1770556.9737560186</v>
      </c>
      <c r="C26" s="802">
        <v>300378.10536560597</v>
      </c>
      <c r="D26" s="803">
        <v>307382.83578954969</v>
      </c>
      <c r="E26" s="803">
        <v>296901.86202044401</v>
      </c>
      <c r="F26" s="803">
        <v>15995.950860242228</v>
      </c>
      <c r="G26" s="803">
        <v>255323.31594546582</v>
      </c>
      <c r="H26" s="803">
        <v>292674.29145775287</v>
      </c>
      <c r="I26" s="804">
        <v>301900.61231695802</v>
      </c>
      <c r="J26" s="805">
        <v>11350</v>
      </c>
      <c r="K26" s="806">
        <v>1900</v>
      </c>
      <c r="L26" s="806">
        <v>1925</v>
      </c>
      <c r="M26" s="807">
        <v>1875</v>
      </c>
      <c r="N26" s="807">
        <v>100</v>
      </c>
      <c r="O26" s="806">
        <v>1650</v>
      </c>
      <c r="P26" s="806">
        <v>1950</v>
      </c>
      <c r="Q26" s="806">
        <v>1950</v>
      </c>
      <c r="R26" s="809">
        <v>155.99620914149943</v>
      </c>
      <c r="S26" s="810">
        <v>158.09373966610841</v>
      </c>
      <c r="T26" s="811">
        <v>159.6793952153505</v>
      </c>
      <c r="U26" s="811">
        <v>158.34765974423681</v>
      </c>
      <c r="V26" s="811">
        <v>159.95950860242229</v>
      </c>
      <c r="W26" s="811">
        <v>154.74140360331262</v>
      </c>
      <c r="X26" s="811">
        <v>150.08938023474505</v>
      </c>
      <c r="Y26" s="812">
        <v>154.82082682920924</v>
      </c>
      <c r="Z26" s="809">
        <v>51.215508844155217</v>
      </c>
      <c r="AA26" s="810">
        <v>51.928708411344566</v>
      </c>
      <c r="AB26" s="811">
        <v>52.480580766132178</v>
      </c>
      <c r="AC26" s="811">
        <v>52.023448366740169</v>
      </c>
      <c r="AD26" s="811">
        <v>52.404861886218562</v>
      </c>
      <c r="AE26" s="811">
        <v>50.786553675198142</v>
      </c>
      <c r="AF26" s="811">
        <v>49.202504720972172</v>
      </c>
      <c r="AG26" s="812">
        <v>50.809852194138635</v>
      </c>
      <c r="AH26" s="813">
        <v>581296.02538116171</v>
      </c>
      <c r="AI26" s="814">
        <v>98664.545981554678</v>
      </c>
      <c r="AJ26" s="815">
        <v>101025.11797480444</v>
      </c>
      <c r="AK26" s="815">
        <v>97543.965687637814</v>
      </c>
      <c r="AL26" s="815">
        <v>5240.4861886218559</v>
      </c>
      <c r="AM26" s="815">
        <v>83797.813564076932</v>
      </c>
      <c r="AN26" s="815">
        <v>95944.884205895738</v>
      </c>
      <c r="AO26" s="816">
        <v>99079.211778570345</v>
      </c>
    </row>
    <row r="27" spans="1:41" ht="15.6" x14ac:dyDescent="0.3">
      <c r="A27" s="225" t="s">
        <v>247</v>
      </c>
      <c r="B27" s="801">
        <v>1803667.3397916879</v>
      </c>
      <c r="C27" s="802">
        <v>293917.08518652711</v>
      </c>
      <c r="D27" s="803">
        <v>332431.77410973929</v>
      </c>
      <c r="E27" s="803">
        <v>303065.71454932698</v>
      </c>
      <c r="F27" s="803">
        <v>15155.304359040081</v>
      </c>
      <c r="G27" s="803">
        <v>260729.43856011127</v>
      </c>
      <c r="H27" s="803">
        <v>295483.13672213361</v>
      </c>
      <c r="I27" s="804">
        <v>302884.88630480954</v>
      </c>
      <c r="J27" s="805">
        <v>11800</v>
      </c>
      <c r="K27" s="806">
        <v>1900</v>
      </c>
      <c r="L27" s="806">
        <v>2100</v>
      </c>
      <c r="M27" s="807">
        <v>1950</v>
      </c>
      <c r="N27" s="807">
        <v>100</v>
      </c>
      <c r="O27" s="806">
        <v>1750</v>
      </c>
      <c r="P27" s="806">
        <v>2000</v>
      </c>
      <c r="Q27" s="806">
        <v>2000</v>
      </c>
      <c r="R27" s="809">
        <v>152.85316438912611</v>
      </c>
      <c r="S27" s="810">
        <v>154.69320272975111</v>
      </c>
      <c r="T27" s="811">
        <v>158.30084481416156</v>
      </c>
      <c r="U27" s="811">
        <v>155.41831515350103</v>
      </c>
      <c r="V27" s="811">
        <v>151.55304359040082</v>
      </c>
      <c r="W27" s="811">
        <v>148.98825060577786</v>
      </c>
      <c r="X27" s="811">
        <v>147.74156836106681</v>
      </c>
      <c r="Y27" s="812">
        <v>151.44244315240476</v>
      </c>
      <c r="Z27" s="809">
        <v>50.734292504315576</v>
      </c>
      <c r="AA27" s="810">
        <v>51.370696771054824</v>
      </c>
      <c r="AB27" s="811">
        <v>52.612669040499576</v>
      </c>
      <c r="AC27" s="811">
        <v>51.623055347374482</v>
      </c>
      <c r="AD27" s="811">
        <v>50.132015693995527</v>
      </c>
      <c r="AE27" s="811">
        <v>49.395975545949362</v>
      </c>
      <c r="AF27" s="811">
        <v>48.977971208429025</v>
      </c>
      <c r="AG27" s="812">
        <v>50.24833179091064</v>
      </c>
      <c r="AH27" s="813">
        <v>598664.65155092382</v>
      </c>
      <c r="AI27" s="814">
        <v>97604.32386500416</v>
      </c>
      <c r="AJ27" s="815">
        <v>110486.60498504911</v>
      </c>
      <c r="AK27" s="815">
        <v>100664.95792738024</v>
      </c>
      <c r="AL27" s="815">
        <v>5013.2015693995527</v>
      </c>
      <c r="AM27" s="815">
        <v>86442.957205411381</v>
      </c>
      <c r="AN27" s="815">
        <v>97955.942416858044</v>
      </c>
      <c r="AO27" s="816">
        <v>100496.66358182128</v>
      </c>
    </row>
    <row r="28" spans="1:41" ht="15.6" x14ac:dyDescent="0.3">
      <c r="A28" s="225" t="s">
        <v>248</v>
      </c>
      <c r="B28" s="801">
        <v>1761268.4195514217</v>
      </c>
      <c r="C28" s="802">
        <v>293647.37174826709</v>
      </c>
      <c r="D28" s="803">
        <v>328024.79539789318</v>
      </c>
      <c r="E28" s="803">
        <v>299047.48125717434</v>
      </c>
      <c r="F28" s="803">
        <v>14962.166093175307</v>
      </c>
      <c r="G28" s="803">
        <v>235134.58514050255</v>
      </c>
      <c r="H28" s="803">
        <v>291573.33575414948</v>
      </c>
      <c r="I28" s="804">
        <v>298878.68416025979</v>
      </c>
      <c r="J28" s="805">
        <v>11700</v>
      </c>
      <c r="K28" s="806">
        <v>1950</v>
      </c>
      <c r="L28" s="806">
        <v>2100</v>
      </c>
      <c r="M28" s="807">
        <v>1950</v>
      </c>
      <c r="N28" s="807">
        <v>100</v>
      </c>
      <c r="O28" s="806">
        <v>1600</v>
      </c>
      <c r="P28" s="806">
        <v>2000</v>
      </c>
      <c r="Q28" s="806">
        <v>2000</v>
      </c>
      <c r="R28" s="809">
        <v>150.53576235482237</v>
      </c>
      <c r="S28" s="810">
        <v>150.58839576834211</v>
      </c>
      <c r="T28" s="811">
        <v>156.20228352280628</v>
      </c>
      <c r="U28" s="811">
        <v>153.35768269598685</v>
      </c>
      <c r="V28" s="811">
        <v>149.62166093175307</v>
      </c>
      <c r="W28" s="811">
        <v>146.95911571281408</v>
      </c>
      <c r="X28" s="811">
        <v>145.78666787707473</v>
      </c>
      <c r="Y28" s="812">
        <v>149.4393420801299</v>
      </c>
      <c r="Z28" s="809">
        <v>50.454258451636889</v>
      </c>
      <c r="AA28" s="810">
        <v>50.469153686013286</v>
      </c>
      <c r="AB28" s="811">
        <v>52.426912902684563</v>
      </c>
      <c r="AC28" s="811">
        <v>51.440687876750843</v>
      </c>
      <c r="AD28" s="811">
        <v>49.962940324500053</v>
      </c>
      <c r="AE28" s="811">
        <v>49.215645406251717</v>
      </c>
      <c r="AF28" s="811">
        <v>48.805169173605563</v>
      </c>
      <c r="AG28" s="812">
        <v>50.071225355730057</v>
      </c>
      <c r="AH28" s="813">
        <v>590314.82388415164</v>
      </c>
      <c r="AI28" s="814">
        <v>98414.849687725902</v>
      </c>
      <c r="AJ28" s="815">
        <v>110096.51709563758</v>
      </c>
      <c r="AK28" s="815">
        <v>100309.34135966415</v>
      </c>
      <c r="AL28" s="815">
        <v>4996.294032450005</v>
      </c>
      <c r="AM28" s="815">
        <v>78745.032650002744</v>
      </c>
      <c r="AN28" s="815">
        <v>97610.338347211131</v>
      </c>
      <c r="AO28" s="816">
        <v>100142.45071146011</v>
      </c>
    </row>
    <row r="29" spans="1:41" ht="15.6" x14ac:dyDescent="0.3">
      <c r="A29" s="225" t="s">
        <v>249</v>
      </c>
      <c r="B29" s="801">
        <v>1617488.4779464584</v>
      </c>
      <c r="C29" s="802">
        <v>272882.54395264544</v>
      </c>
      <c r="D29" s="803">
        <v>294586.73579582677</v>
      </c>
      <c r="E29" s="803">
        <v>272023.1263015435</v>
      </c>
      <c r="F29" s="803">
        <v>15099.168738578155</v>
      </c>
      <c r="G29" s="803">
        <v>230454.56925242906</v>
      </c>
      <c r="H29" s="803">
        <v>266024.50634438335</v>
      </c>
      <c r="I29" s="804">
        <v>266417.82756105217</v>
      </c>
      <c r="J29" s="805">
        <v>11100</v>
      </c>
      <c r="K29" s="806">
        <v>1850</v>
      </c>
      <c r="L29" s="806">
        <v>1950</v>
      </c>
      <c r="M29" s="807">
        <v>1850</v>
      </c>
      <c r="N29" s="807">
        <v>100</v>
      </c>
      <c r="O29" s="806">
        <v>1600</v>
      </c>
      <c r="P29" s="806">
        <v>1900</v>
      </c>
      <c r="Q29" s="806">
        <v>1850</v>
      </c>
      <c r="R29" s="809">
        <v>145.71968269787914</v>
      </c>
      <c r="S29" s="810">
        <v>147.50407781224078</v>
      </c>
      <c r="T29" s="811">
        <v>151.0701209209368</v>
      </c>
      <c r="U29" s="811">
        <v>147.03952773056406</v>
      </c>
      <c r="V29" s="811">
        <v>150.99168738578155</v>
      </c>
      <c r="W29" s="811">
        <v>144.03410578276817</v>
      </c>
      <c r="X29" s="811">
        <v>140.01289807599125</v>
      </c>
      <c r="Y29" s="812">
        <v>144.00963651948766</v>
      </c>
      <c r="Z29" s="809">
        <v>49.722693219284089</v>
      </c>
      <c r="AA29" s="810">
        <v>50.355246125526953</v>
      </c>
      <c r="AB29" s="811">
        <v>51.61945677583217</v>
      </c>
      <c r="AC29" s="811">
        <v>50.191349336949663</v>
      </c>
      <c r="AD29" s="811">
        <v>51.452853264769338</v>
      </c>
      <c r="AE29" s="811">
        <v>49.127787986666469</v>
      </c>
      <c r="AF29" s="811">
        <v>47.702732896443628</v>
      </c>
      <c r="AG29" s="812">
        <v>49.117737193087983</v>
      </c>
      <c r="AH29" s="813">
        <v>551921.89473405341</v>
      </c>
      <c r="AI29" s="814">
        <v>93157.205332224868</v>
      </c>
      <c r="AJ29" s="815">
        <v>100657.94071287273</v>
      </c>
      <c r="AK29" s="815">
        <v>92853.996273356883</v>
      </c>
      <c r="AL29" s="815">
        <v>5145.2853264769337</v>
      </c>
      <c r="AM29" s="815">
        <v>78604.460778666355</v>
      </c>
      <c r="AN29" s="815">
        <v>90635.192503242899</v>
      </c>
      <c r="AO29" s="816">
        <v>90867.813807212762</v>
      </c>
    </row>
    <row r="30" spans="1:41" ht="15.6" x14ac:dyDescent="0.3">
      <c r="A30" s="225" t="s">
        <v>250</v>
      </c>
      <c r="B30" s="801">
        <v>1457656.5097177012</v>
      </c>
      <c r="C30" s="802">
        <v>238484.00212564037</v>
      </c>
      <c r="D30" s="803">
        <v>275150.92857128545</v>
      </c>
      <c r="E30" s="803">
        <v>246855.29507298779</v>
      </c>
      <c r="F30" s="803">
        <v>0</v>
      </c>
      <c r="G30" s="803">
        <v>221410.29816540261</v>
      </c>
      <c r="H30" s="803">
        <v>236693.18929301584</v>
      </c>
      <c r="I30" s="804">
        <v>239062.79648936912</v>
      </c>
      <c r="J30" s="805">
        <v>10150</v>
      </c>
      <c r="K30" s="806">
        <v>1650</v>
      </c>
      <c r="L30" s="806">
        <v>1850</v>
      </c>
      <c r="M30" s="807">
        <v>1700</v>
      </c>
      <c r="N30" s="807">
        <v>0</v>
      </c>
      <c r="O30" s="806">
        <v>1550</v>
      </c>
      <c r="P30" s="806">
        <v>1700</v>
      </c>
      <c r="Q30" s="806">
        <v>1700</v>
      </c>
      <c r="R30" s="809">
        <v>143.61147878992131</v>
      </c>
      <c r="S30" s="810">
        <v>144.53575886402447</v>
      </c>
      <c r="T30" s="811">
        <v>148.73023166015429</v>
      </c>
      <c r="U30" s="811">
        <v>145.20899710175752</v>
      </c>
      <c r="V30" s="811" t="s">
        <v>288</v>
      </c>
      <c r="W30" s="811">
        <v>142.84535365509845</v>
      </c>
      <c r="X30" s="811">
        <v>139.23128781942108</v>
      </c>
      <c r="Y30" s="812">
        <v>140.62517440551125</v>
      </c>
      <c r="Z30" s="809">
        <v>49.042973676255897</v>
      </c>
      <c r="AA30" s="810">
        <v>49.378047119912011</v>
      </c>
      <c r="AB30" s="811">
        <v>50.854057935510752</v>
      </c>
      <c r="AC30" s="811">
        <v>49.609281828291152</v>
      </c>
      <c r="AD30" s="811">
        <v>0</v>
      </c>
      <c r="AE30" s="811">
        <v>48.765550856411032</v>
      </c>
      <c r="AF30" s="811">
        <v>47.494216696616142</v>
      </c>
      <c r="AG30" s="812">
        <v>47.982262685687111</v>
      </c>
      <c r="AH30" s="813">
        <v>497786.18281399738</v>
      </c>
      <c r="AI30" s="814">
        <v>81473.777747854823</v>
      </c>
      <c r="AJ30" s="815">
        <v>94080.007180694898</v>
      </c>
      <c r="AK30" s="815">
        <v>84335.779108094954</v>
      </c>
      <c r="AL30" s="815">
        <v>0</v>
      </c>
      <c r="AM30" s="815">
        <v>75586.603827437095</v>
      </c>
      <c r="AN30" s="815">
        <v>80740.168384247445</v>
      </c>
      <c r="AO30" s="816">
        <v>81569.846565668093</v>
      </c>
    </row>
    <row r="31" spans="1:41" ht="15.6" x14ac:dyDescent="0.3">
      <c r="A31" s="225" t="s">
        <v>251</v>
      </c>
      <c r="B31" s="801">
        <v>1404986.262310019</v>
      </c>
      <c r="C31" s="802">
        <v>233841.40037331832</v>
      </c>
      <c r="D31" s="803">
        <v>261835.09368923251</v>
      </c>
      <c r="E31" s="803">
        <v>228643.10581557784</v>
      </c>
      <c r="F31" s="803">
        <v>0</v>
      </c>
      <c r="G31" s="803">
        <v>209746.94861235082</v>
      </c>
      <c r="H31" s="803">
        <v>238428.58252354854</v>
      </c>
      <c r="I31" s="804">
        <v>232491.13129599081</v>
      </c>
      <c r="J31" s="805">
        <v>10000</v>
      </c>
      <c r="K31" s="806">
        <v>1650</v>
      </c>
      <c r="L31" s="806">
        <v>1800</v>
      </c>
      <c r="M31" s="807">
        <v>1600</v>
      </c>
      <c r="N31" s="807">
        <v>0</v>
      </c>
      <c r="O31" s="806">
        <v>1500</v>
      </c>
      <c r="P31" s="806">
        <v>1750</v>
      </c>
      <c r="Q31" s="806">
        <v>1700</v>
      </c>
      <c r="R31" s="809">
        <v>140.49862623100191</v>
      </c>
      <c r="S31" s="810">
        <v>141.72206083231413</v>
      </c>
      <c r="T31" s="811">
        <v>145.46394093846251</v>
      </c>
      <c r="U31" s="811">
        <v>142.90194113473615</v>
      </c>
      <c r="V31" s="811" t="s">
        <v>288</v>
      </c>
      <c r="W31" s="811">
        <v>139.83129907490056</v>
      </c>
      <c r="X31" s="811">
        <v>136.2449042991706</v>
      </c>
      <c r="Y31" s="812">
        <v>136.75948899764165</v>
      </c>
      <c r="Z31" s="809">
        <v>48.253561724855409</v>
      </c>
      <c r="AA31" s="810">
        <v>48.693982170731843</v>
      </c>
      <c r="AB31" s="811">
        <v>50.025030783053431</v>
      </c>
      <c r="AC31" s="811">
        <v>49.115282998128713</v>
      </c>
      <c r="AD31" s="811">
        <v>0</v>
      </c>
      <c r="AE31" s="811">
        <v>48.012726773104617</v>
      </c>
      <c r="AF31" s="811">
        <v>46.733298709494285</v>
      </c>
      <c r="AG31" s="812">
        <v>46.91686797592498</v>
      </c>
      <c r="AH31" s="813">
        <v>482535.61724855407</v>
      </c>
      <c r="AI31" s="814">
        <v>80345.070581707536</v>
      </c>
      <c r="AJ31" s="815">
        <v>90045.05540949617</v>
      </c>
      <c r="AK31" s="815">
        <v>78584.452797005943</v>
      </c>
      <c r="AL31" s="815">
        <v>0</v>
      </c>
      <c r="AM31" s="815">
        <v>72019.090159656931</v>
      </c>
      <c r="AN31" s="815">
        <v>81783.272741615001</v>
      </c>
      <c r="AO31" s="816">
        <v>79758.675559072464</v>
      </c>
    </row>
    <row r="32" spans="1:41" ht="15.6" x14ac:dyDescent="0.3">
      <c r="A32" s="225" t="s">
        <v>197</v>
      </c>
      <c r="B32" s="801">
        <v>1213959.1817255588</v>
      </c>
      <c r="C32" s="802">
        <v>0</v>
      </c>
      <c r="D32" s="803">
        <v>278916.36471473536</v>
      </c>
      <c r="E32" s="803">
        <v>245237.69840866665</v>
      </c>
      <c r="F32" s="803">
        <v>0</v>
      </c>
      <c r="G32" s="803">
        <v>203288.22543940158</v>
      </c>
      <c r="H32" s="803">
        <v>242271.29326456957</v>
      </c>
      <c r="I32" s="804">
        <v>244245.59989818581</v>
      </c>
      <c r="J32" s="805">
        <v>8550</v>
      </c>
      <c r="K32" s="806">
        <v>0</v>
      </c>
      <c r="L32" s="806">
        <v>1900</v>
      </c>
      <c r="M32" s="807">
        <v>1700</v>
      </c>
      <c r="N32" s="807">
        <v>0</v>
      </c>
      <c r="O32" s="806">
        <v>1450</v>
      </c>
      <c r="P32" s="806">
        <v>1750</v>
      </c>
      <c r="Q32" s="806">
        <v>1750</v>
      </c>
      <c r="R32" s="809">
        <v>141.98353002638115</v>
      </c>
      <c r="S32" s="810" t="s">
        <v>288</v>
      </c>
      <c r="T32" s="811">
        <v>146.79808669196598</v>
      </c>
      <c r="U32" s="811">
        <v>144.25746965215686</v>
      </c>
      <c r="V32" s="811" t="s">
        <v>288</v>
      </c>
      <c r="W32" s="811">
        <v>140.19877616510453</v>
      </c>
      <c r="X32" s="811">
        <v>138.44073900832547</v>
      </c>
      <c r="Y32" s="812">
        <v>139.56891422753475</v>
      </c>
      <c r="Z32" s="809">
        <v>47.773639386617788</v>
      </c>
      <c r="AA32" s="810">
        <v>0</v>
      </c>
      <c r="AB32" s="811">
        <v>49.468724494292481</v>
      </c>
      <c r="AC32" s="811">
        <v>48.577880462728821</v>
      </c>
      <c r="AD32" s="811">
        <v>0</v>
      </c>
      <c r="AE32" s="811">
        <v>47.146669813841825</v>
      </c>
      <c r="AF32" s="811">
        <v>46.539877728570303</v>
      </c>
      <c r="AG32" s="812">
        <v>46.905249242696421</v>
      </c>
      <c r="AH32" s="813">
        <v>408464.6167555821</v>
      </c>
      <c r="AI32" s="814">
        <v>0</v>
      </c>
      <c r="AJ32" s="815">
        <v>93990.576539155707</v>
      </c>
      <c r="AK32" s="815">
        <v>82582.396786639001</v>
      </c>
      <c r="AL32" s="815">
        <v>0</v>
      </c>
      <c r="AM32" s="815">
        <v>68362.671230070642</v>
      </c>
      <c r="AN32" s="815">
        <v>81444.786024998029</v>
      </c>
      <c r="AO32" s="816">
        <v>82084.186174718736</v>
      </c>
    </row>
    <row r="33" spans="1:41" ht="15.6" x14ac:dyDescent="0.3">
      <c r="A33" s="225" t="s">
        <v>198</v>
      </c>
      <c r="B33" s="801">
        <v>1368781.39771067</v>
      </c>
      <c r="C33" s="802">
        <v>231132.07649089754</v>
      </c>
      <c r="D33" s="803">
        <v>238757.30723226795</v>
      </c>
      <c r="E33" s="803">
        <v>225111.27305168295</v>
      </c>
      <c r="F33" s="803">
        <v>0</v>
      </c>
      <c r="G33" s="803">
        <v>200554.52765644359</v>
      </c>
      <c r="H33" s="803">
        <v>233122.61545496536</v>
      </c>
      <c r="I33" s="804">
        <v>240103.5978244126</v>
      </c>
      <c r="J33" s="805">
        <v>9800</v>
      </c>
      <c r="K33" s="806">
        <v>1650</v>
      </c>
      <c r="L33" s="806">
        <v>1650</v>
      </c>
      <c r="M33" s="807">
        <v>1550</v>
      </c>
      <c r="N33" s="807">
        <v>0</v>
      </c>
      <c r="O33" s="806">
        <v>1450</v>
      </c>
      <c r="P33" s="806">
        <v>1750</v>
      </c>
      <c r="Q33" s="806">
        <v>1750</v>
      </c>
      <c r="R33" s="809">
        <v>139.67157119496633</v>
      </c>
      <c r="S33" s="810">
        <v>140.08004635811972</v>
      </c>
      <c r="T33" s="811">
        <v>144.70139832258664</v>
      </c>
      <c r="U33" s="811">
        <v>145.23307938818255</v>
      </c>
      <c r="V33" s="811" t="s">
        <v>288</v>
      </c>
      <c r="W33" s="811">
        <v>138.31346734927143</v>
      </c>
      <c r="X33" s="811">
        <v>133.21292311712307</v>
      </c>
      <c r="Y33" s="812">
        <v>137.20205589966434</v>
      </c>
      <c r="Z33" s="809">
        <v>46.923450741759666</v>
      </c>
      <c r="AA33" s="810">
        <v>47.067441928000477</v>
      </c>
      <c r="AB33" s="811">
        <v>48.691696461071913</v>
      </c>
      <c r="AC33" s="811">
        <v>48.878016806936976</v>
      </c>
      <c r="AD33" s="811">
        <v>0</v>
      </c>
      <c r="AE33" s="811">
        <v>46.446210925004202</v>
      </c>
      <c r="AF33" s="811">
        <v>44.656179434406383</v>
      </c>
      <c r="AG33" s="812">
        <v>46.051996014317574</v>
      </c>
      <c r="AH33" s="813">
        <v>459849.81726924476</v>
      </c>
      <c r="AI33" s="814">
        <v>77661.279181200793</v>
      </c>
      <c r="AJ33" s="815">
        <v>80341.299160768656</v>
      </c>
      <c r="AK33" s="815">
        <v>75760.926050752314</v>
      </c>
      <c r="AL33" s="815">
        <v>0</v>
      </c>
      <c r="AM33" s="815">
        <v>67347.00584125609</v>
      </c>
      <c r="AN33" s="815">
        <v>78148.314010211165</v>
      </c>
      <c r="AO33" s="816">
        <v>80590.993025055752</v>
      </c>
    </row>
    <row r="34" spans="1:41" ht="15.6" x14ac:dyDescent="0.3">
      <c r="A34" s="225" t="s">
        <v>199</v>
      </c>
      <c r="B34" s="801">
        <v>1287541.5598578788</v>
      </c>
      <c r="C34" s="802">
        <v>215149.66592594821</v>
      </c>
      <c r="D34" s="803">
        <v>230960.9396459742</v>
      </c>
      <c r="E34" s="803">
        <v>223401.83624805839</v>
      </c>
      <c r="F34" s="803">
        <v>0</v>
      </c>
      <c r="G34" s="803">
        <v>194514.49859223372</v>
      </c>
      <c r="H34" s="803">
        <v>213209.56844538602</v>
      </c>
      <c r="I34" s="804">
        <v>210305.05100027833</v>
      </c>
      <c r="J34" s="805">
        <v>8950</v>
      </c>
      <c r="K34" s="806">
        <v>1500</v>
      </c>
      <c r="L34" s="806">
        <v>1550</v>
      </c>
      <c r="M34" s="807">
        <v>1500</v>
      </c>
      <c r="N34" s="807">
        <v>0</v>
      </c>
      <c r="O34" s="806">
        <v>1350</v>
      </c>
      <c r="P34" s="806">
        <v>1550</v>
      </c>
      <c r="Q34" s="806">
        <v>1500</v>
      </c>
      <c r="R34" s="809">
        <v>143.85939216289148</v>
      </c>
      <c r="S34" s="810">
        <v>143.43311061729881</v>
      </c>
      <c r="T34" s="811">
        <v>149.00705783611238</v>
      </c>
      <c r="U34" s="811">
        <v>148.9345574987056</v>
      </c>
      <c r="V34" s="811" t="s">
        <v>288</v>
      </c>
      <c r="W34" s="811">
        <v>144.08481377202497</v>
      </c>
      <c r="X34" s="811">
        <v>137.55456028734582</v>
      </c>
      <c r="Y34" s="812">
        <v>140.20336733351888</v>
      </c>
      <c r="Z34" s="809">
        <v>48.057683989944998</v>
      </c>
      <c r="AA34" s="810">
        <v>47.908522798289823</v>
      </c>
      <c r="AB34" s="811">
        <v>49.855127694954071</v>
      </c>
      <c r="AC34" s="811">
        <v>49.824391281399819</v>
      </c>
      <c r="AD34" s="811">
        <v>0</v>
      </c>
      <c r="AE34" s="811">
        <v>48.131395432170763</v>
      </c>
      <c r="AF34" s="811">
        <v>45.860092047315547</v>
      </c>
      <c r="AG34" s="812">
        <v>46.787284104349915</v>
      </c>
      <c r="AH34" s="813">
        <v>430116.27171000774</v>
      </c>
      <c r="AI34" s="814">
        <v>71862.784197434739</v>
      </c>
      <c r="AJ34" s="815">
        <v>77275.447927178815</v>
      </c>
      <c r="AK34" s="815">
        <v>74736.586922099727</v>
      </c>
      <c r="AL34" s="815">
        <v>0</v>
      </c>
      <c r="AM34" s="815">
        <v>64977.383833430533</v>
      </c>
      <c r="AN34" s="815">
        <v>71083.142673339098</v>
      </c>
      <c r="AO34" s="816">
        <v>70180.926156524874</v>
      </c>
    </row>
    <row r="35" spans="1:41" ht="15.6" x14ac:dyDescent="0.3">
      <c r="A35" s="225" t="s">
        <v>200</v>
      </c>
      <c r="B35" s="801">
        <v>1100147.2832039627</v>
      </c>
      <c r="C35" s="802">
        <v>231647.55001181099</v>
      </c>
      <c r="D35" s="803">
        <v>246730.01741042978</v>
      </c>
      <c r="E35" s="803">
        <v>233070.61877036036</v>
      </c>
      <c r="F35" s="803">
        <v>0</v>
      </c>
      <c r="G35" s="803">
        <v>0</v>
      </c>
      <c r="H35" s="803">
        <v>134499.51173202586</v>
      </c>
      <c r="I35" s="804">
        <v>254199.58527933579</v>
      </c>
      <c r="J35" s="805">
        <v>7800</v>
      </c>
      <c r="K35" s="806">
        <v>1650</v>
      </c>
      <c r="L35" s="806">
        <v>1700</v>
      </c>
      <c r="M35" s="807">
        <v>1600</v>
      </c>
      <c r="N35" s="807">
        <v>0</v>
      </c>
      <c r="O35" s="806">
        <v>0</v>
      </c>
      <c r="P35" s="806">
        <v>1000</v>
      </c>
      <c r="Q35" s="806">
        <v>1850</v>
      </c>
      <c r="R35" s="809">
        <v>141.04452348768754</v>
      </c>
      <c r="S35" s="810">
        <v>140.39245455261272</v>
      </c>
      <c r="T35" s="811">
        <v>145.13530435907634</v>
      </c>
      <c r="U35" s="811">
        <v>145.66913673147522</v>
      </c>
      <c r="V35" s="811" t="s">
        <v>288</v>
      </c>
      <c r="W35" s="811" t="s">
        <v>288</v>
      </c>
      <c r="X35" s="811">
        <v>134.49951173202587</v>
      </c>
      <c r="Y35" s="812">
        <v>137.4051812320734</v>
      </c>
      <c r="Z35" s="809">
        <v>46.707130512935976</v>
      </c>
      <c r="AA35" s="810">
        <v>46.475118919026094</v>
      </c>
      <c r="AB35" s="811">
        <v>48.134045353624309</v>
      </c>
      <c r="AC35" s="811">
        <v>48.315571251366293</v>
      </c>
      <c r="AD35" s="811">
        <v>0</v>
      </c>
      <c r="AE35" s="811">
        <v>0</v>
      </c>
      <c r="AF35" s="811">
        <v>44.438576629249049</v>
      </c>
      <c r="AG35" s="812">
        <v>45.438002190222235</v>
      </c>
      <c r="AH35" s="813">
        <v>364315.61800090061</v>
      </c>
      <c r="AI35" s="814">
        <v>76683.946216393058</v>
      </c>
      <c r="AJ35" s="815">
        <v>81827.877101161328</v>
      </c>
      <c r="AK35" s="815">
        <v>77304.914002186066</v>
      </c>
      <c r="AL35" s="815">
        <v>0</v>
      </c>
      <c r="AM35" s="815">
        <v>0</v>
      </c>
      <c r="AN35" s="815">
        <v>44438.576629249052</v>
      </c>
      <c r="AO35" s="816">
        <v>84060.304051911138</v>
      </c>
    </row>
    <row r="36" spans="1:41" ht="15.6" x14ac:dyDescent="0.3">
      <c r="A36" s="225" t="s">
        <v>201</v>
      </c>
      <c r="B36" s="801">
        <v>1444448.987103754</v>
      </c>
      <c r="C36" s="802">
        <v>245882.04322991331</v>
      </c>
      <c r="D36" s="803">
        <v>261675.43381015433</v>
      </c>
      <c r="E36" s="803">
        <v>233392.35019096831</v>
      </c>
      <c r="F36" s="803">
        <v>0</v>
      </c>
      <c r="G36" s="803">
        <v>213660.83049779886</v>
      </c>
      <c r="H36" s="803">
        <v>242327.18682365742</v>
      </c>
      <c r="I36" s="804">
        <v>247511.14255126161</v>
      </c>
      <c r="J36" s="805">
        <v>10250</v>
      </c>
      <c r="K36" s="806">
        <v>1750</v>
      </c>
      <c r="L36" s="806">
        <v>1800</v>
      </c>
      <c r="M36" s="807">
        <v>1600</v>
      </c>
      <c r="N36" s="807">
        <v>0</v>
      </c>
      <c r="O36" s="806">
        <v>1500</v>
      </c>
      <c r="P36" s="806">
        <v>1800</v>
      </c>
      <c r="Q36" s="806">
        <v>1800</v>
      </c>
      <c r="R36" s="809">
        <v>140.92185240036625</v>
      </c>
      <c r="S36" s="810">
        <v>140.50402470280761</v>
      </c>
      <c r="T36" s="811">
        <v>145.3752410056413</v>
      </c>
      <c r="U36" s="811">
        <v>145.8702188693552</v>
      </c>
      <c r="V36" s="811" t="s">
        <v>288</v>
      </c>
      <c r="W36" s="811">
        <v>142.44055366519925</v>
      </c>
      <c r="X36" s="811">
        <v>134.6262149020319</v>
      </c>
      <c r="Y36" s="812">
        <v>137.50619030625646</v>
      </c>
      <c r="Z36" s="809">
        <v>47.091050702145722</v>
      </c>
      <c r="AA36" s="810">
        <v>46.943995111217497</v>
      </c>
      <c r="AB36" s="811">
        <v>48.648108233002027</v>
      </c>
      <c r="AC36" s="811">
        <v>48.822453348214495</v>
      </c>
      <c r="AD36" s="811">
        <v>0</v>
      </c>
      <c r="AE36" s="811">
        <v>47.622442281542725</v>
      </c>
      <c r="AF36" s="811">
        <v>44.891544622711727</v>
      </c>
      <c r="AG36" s="812">
        <v>45.894619073678342</v>
      </c>
      <c r="AH36" s="813">
        <v>482683.26969699364</v>
      </c>
      <c r="AI36" s="814">
        <v>82151.991444630621</v>
      </c>
      <c r="AJ36" s="815">
        <v>87566.594819403646</v>
      </c>
      <c r="AK36" s="815">
        <v>78115.925357143191</v>
      </c>
      <c r="AL36" s="815">
        <v>0</v>
      </c>
      <c r="AM36" s="815">
        <v>71433.663422314086</v>
      </c>
      <c r="AN36" s="815">
        <v>80804.780320881109</v>
      </c>
      <c r="AO36" s="816">
        <v>82610.314332621012</v>
      </c>
    </row>
    <row r="37" spans="1:41" ht="15.6" x14ac:dyDescent="0.3">
      <c r="A37" s="225" t="s">
        <v>202</v>
      </c>
      <c r="B37" s="801">
        <v>1664469.3036227913</v>
      </c>
      <c r="C37" s="802">
        <v>260518.22871575312</v>
      </c>
      <c r="D37" s="803">
        <v>310389.82195335045</v>
      </c>
      <c r="E37" s="803">
        <v>272849.93516106228</v>
      </c>
      <c r="F37" s="803">
        <v>0</v>
      </c>
      <c r="G37" s="803">
        <v>248800.84508934728</v>
      </c>
      <c r="H37" s="803">
        <v>279051.83050330903</v>
      </c>
      <c r="I37" s="804">
        <v>292858.64219996909</v>
      </c>
      <c r="J37" s="805">
        <v>11600</v>
      </c>
      <c r="K37" s="806">
        <v>1850</v>
      </c>
      <c r="L37" s="806">
        <v>2100</v>
      </c>
      <c r="M37" s="807">
        <v>1850</v>
      </c>
      <c r="N37" s="807">
        <v>0</v>
      </c>
      <c r="O37" s="806">
        <v>1700</v>
      </c>
      <c r="P37" s="806">
        <v>2000</v>
      </c>
      <c r="Q37" s="806">
        <v>2100</v>
      </c>
      <c r="R37" s="809">
        <v>143.48873307093029</v>
      </c>
      <c r="S37" s="810">
        <v>140.82066417067736</v>
      </c>
      <c r="T37" s="811">
        <v>147.80467712064308</v>
      </c>
      <c r="U37" s="811">
        <v>147.48645143841205</v>
      </c>
      <c r="V37" s="811" t="s">
        <v>288</v>
      </c>
      <c r="W37" s="811">
        <v>146.35343828785133</v>
      </c>
      <c r="X37" s="811">
        <v>139.52591525165451</v>
      </c>
      <c r="Y37" s="812">
        <v>139.45649628569956</v>
      </c>
      <c r="Z37" s="809">
        <v>48.68891514884978</v>
      </c>
      <c r="AA37" s="810">
        <v>47.755297664776151</v>
      </c>
      <c r="AB37" s="811">
        <v>50.216137715264018</v>
      </c>
      <c r="AC37" s="811">
        <v>50.104069675585002</v>
      </c>
      <c r="AD37" s="811">
        <v>0</v>
      </c>
      <c r="AE37" s="811">
        <v>49.706511611694268</v>
      </c>
      <c r="AF37" s="811">
        <v>47.284188270846727</v>
      </c>
      <c r="AG37" s="812">
        <v>47.251547934933875</v>
      </c>
      <c r="AH37" s="813">
        <v>564791.41572665749</v>
      </c>
      <c r="AI37" s="814">
        <v>88347.300679835884</v>
      </c>
      <c r="AJ37" s="815">
        <v>105453.88920205444</v>
      </c>
      <c r="AK37" s="815">
        <v>92692.52889983225</v>
      </c>
      <c r="AL37" s="815">
        <v>0</v>
      </c>
      <c r="AM37" s="815">
        <v>84501.069739880259</v>
      </c>
      <c r="AN37" s="815">
        <v>94568.376541693448</v>
      </c>
      <c r="AO37" s="816">
        <v>99228.250663361134</v>
      </c>
    </row>
    <row r="38" spans="1:41" ht="15.6" x14ac:dyDescent="0.3">
      <c r="A38" s="225" t="s">
        <v>203</v>
      </c>
      <c r="B38" s="801">
        <v>1813544.4489113877</v>
      </c>
      <c r="C38" s="802">
        <v>309533.6911143196</v>
      </c>
      <c r="D38" s="803">
        <v>323831.85870270891</v>
      </c>
      <c r="E38" s="803">
        <v>287797.83265230339</v>
      </c>
      <c r="F38" s="803">
        <v>0</v>
      </c>
      <c r="G38" s="803">
        <v>266583.97905189352</v>
      </c>
      <c r="H38" s="803">
        <v>318824.01489843545</v>
      </c>
      <c r="I38" s="804">
        <v>306973.0724917269</v>
      </c>
      <c r="J38" s="805">
        <v>11900</v>
      </c>
      <c r="K38" s="806">
        <v>2100</v>
      </c>
      <c r="L38" s="806">
        <v>2100</v>
      </c>
      <c r="M38" s="807">
        <v>1850</v>
      </c>
      <c r="N38" s="807">
        <v>0</v>
      </c>
      <c r="O38" s="806">
        <v>1700</v>
      </c>
      <c r="P38" s="806">
        <v>2150</v>
      </c>
      <c r="Q38" s="806">
        <v>2000</v>
      </c>
      <c r="R38" s="809">
        <v>152.39869318583089</v>
      </c>
      <c r="S38" s="810">
        <v>147.39699576872363</v>
      </c>
      <c r="T38" s="811">
        <v>154.20564700128995</v>
      </c>
      <c r="U38" s="811">
        <v>155.5663960282721</v>
      </c>
      <c r="V38" s="811" t="s">
        <v>288</v>
      </c>
      <c r="W38" s="811">
        <v>156.81410532464324</v>
      </c>
      <c r="X38" s="811">
        <v>148.29023948764439</v>
      </c>
      <c r="Y38" s="812">
        <v>153.48653624586345</v>
      </c>
      <c r="Z38" s="809">
        <v>50.449092332164682</v>
      </c>
      <c r="AA38" s="810">
        <v>48.718888955918139</v>
      </c>
      <c r="AB38" s="811">
        <v>51.070661537905721</v>
      </c>
      <c r="AC38" s="811">
        <v>51.542495044616551</v>
      </c>
      <c r="AD38" s="811">
        <v>0</v>
      </c>
      <c r="AE38" s="811">
        <v>51.97984880853906</v>
      </c>
      <c r="AF38" s="811">
        <v>49.027344768282127</v>
      </c>
      <c r="AG38" s="812">
        <v>50.828996328432993</v>
      </c>
      <c r="AH38" s="813">
        <v>600344.19875275972</v>
      </c>
      <c r="AI38" s="814">
        <v>102309.66680742809</v>
      </c>
      <c r="AJ38" s="815">
        <v>107248.38922960202</v>
      </c>
      <c r="AK38" s="815">
        <v>95353.615832540614</v>
      </c>
      <c r="AL38" s="815">
        <v>0</v>
      </c>
      <c r="AM38" s="815">
        <v>88365.742974516397</v>
      </c>
      <c r="AN38" s="815">
        <v>105408.79125180657</v>
      </c>
      <c r="AO38" s="816">
        <v>101657.99265686599</v>
      </c>
    </row>
    <row r="39" spans="1:41" ht="15.6" x14ac:dyDescent="0.3">
      <c r="A39" s="225" t="s">
        <v>204</v>
      </c>
      <c r="B39" s="801">
        <v>1700443.8646682745</v>
      </c>
      <c r="C39" s="802">
        <v>287565.86528214178</v>
      </c>
      <c r="D39" s="803">
        <v>276997.64254173875</v>
      </c>
      <c r="E39" s="803">
        <v>266170.48444325983</v>
      </c>
      <c r="F39" s="803">
        <v>0</v>
      </c>
      <c r="G39" s="803">
        <v>265755.71212432388</v>
      </c>
      <c r="H39" s="803">
        <v>296849.16355675529</v>
      </c>
      <c r="I39" s="804">
        <v>307104.99672005489</v>
      </c>
      <c r="J39" s="805">
        <v>11450</v>
      </c>
      <c r="K39" s="806">
        <v>2000</v>
      </c>
      <c r="L39" s="806">
        <v>1850</v>
      </c>
      <c r="M39" s="807">
        <v>1750</v>
      </c>
      <c r="N39" s="807">
        <v>0</v>
      </c>
      <c r="O39" s="806">
        <v>1750</v>
      </c>
      <c r="P39" s="806">
        <v>2050</v>
      </c>
      <c r="Q39" s="806">
        <v>2050</v>
      </c>
      <c r="R39" s="809">
        <v>148.51038119373575</v>
      </c>
      <c r="S39" s="810">
        <v>143.78293264107089</v>
      </c>
      <c r="T39" s="811">
        <v>149.72845542796688</v>
      </c>
      <c r="U39" s="811">
        <v>152.09741968186276</v>
      </c>
      <c r="V39" s="811" t="s">
        <v>288</v>
      </c>
      <c r="W39" s="811">
        <v>151.86040692818509</v>
      </c>
      <c r="X39" s="811">
        <v>144.80447002768551</v>
      </c>
      <c r="Y39" s="812">
        <v>149.80731547319749</v>
      </c>
      <c r="Z39" s="809">
        <v>50.265576272976006</v>
      </c>
      <c r="AA39" s="810">
        <v>48.594146852246588</v>
      </c>
      <c r="AB39" s="811">
        <v>50.708263415745421</v>
      </c>
      <c r="AC39" s="811">
        <v>51.53556352820857</v>
      </c>
      <c r="AD39" s="811">
        <v>0</v>
      </c>
      <c r="AE39" s="811">
        <v>51.445051379526539</v>
      </c>
      <c r="AF39" s="811">
        <v>48.953008769527344</v>
      </c>
      <c r="AG39" s="812">
        <v>50.718304017505183</v>
      </c>
      <c r="AH39" s="813">
        <v>575540.84832557524</v>
      </c>
      <c r="AI39" s="814">
        <v>97188.293704493175</v>
      </c>
      <c r="AJ39" s="815">
        <v>93810.287319129027</v>
      </c>
      <c r="AK39" s="815">
        <v>90187.236174364996</v>
      </c>
      <c r="AL39" s="815">
        <v>0</v>
      </c>
      <c r="AM39" s="815">
        <v>90028.839914171447</v>
      </c>
      <c r="AN39" s="815">
        <v>100353.66797753105</v>
      </c>
      <c r="AO39" s="816">
        <v>103972.52323588563</v>
      </c>
    </row>
    <row r="40" spans="1:41" ht="15.6" x14ac:dyDescent="0.3">
      <c r="A40" s="225" t="s">
        <v>205</v>
      </c>
      <c r="B40" s="801">
        <v>1573782.7348740238</v>
      </c>
      <c r="C40" s="802">
        <v>278572.23666638235</v>
      </c>
      <c r="D40" s="803">
        <v>299323.85228088894</v>
      </c>
      <c r="E40" s="803">
        <v>259926.87078245325</v>
      </c>
      <c r="F40" s="803">
        <v>0</v>
      </c>
      <c r="G40" s="803">
        <v>239427.67219173128</v>
      </c>
      <c r="H40" s="803">
        <v>244881.99592469572</v>
      </c>
      <c r="I40" s="804">
        <v>251650.10702787255</v>
      </c>
      <c r="J40" s="805">
        <v>11450</v>
      </c>
      <c r="K40" s="806">
        <v>2000</v>
      </c>
      <c r="L40" s="806">
        <v>2050</v>
      </c>
      <c r="M40" s="807">
        <v>1850</v>
      </c>
      <c r="N40" s="807">
        <v>0</v>
      </c>
      <c r="O40" s="806">
        <v>1750</v>
      </c>
      <c r="P40" s="806">
        <v>1900</v>
      </c>
      <c r="Q40" s="806">
        <v>1900</v>
      </c>
      <c r="R40" s="809">
        <v>137.44827378812434</v>
      </c>
      <c r="S40" s="810">
        <v>139.28611833319118</v>
      </c>
      <c r="T40" s="811">
        <v>146.01163525897022</v>
      </c>
      <c r="U40" s="811">
        <v>140.5010112337585</v>
      </c>
      <c r="V40" s="811" t="s">
        <v>288</v>
      </c>
      <c r="W40" s="811">
        <v>136.8158126809893</v>
      </c>
      <c r="X40" s="811">
        <v>128.88526101299774</v>
      </c>
      <c r="Y40" s="812">
        <v>132.44742475151187</v>
      </c>
      <c r="Z40" s="809">
        <v>47.508424248597862</v>
      </c>
      <c r="AA40" s="810">
        <v>48.16590761607474</v>
      </c>
      <c r="AB40" s="811">
        <v>50.598027561223432</v>
      </c>
      <c r="AC40" s="811">
        <v>48.612435829141447</v>
      </c>
      <c r="AD40" s="811">
        <v>0</v>
      </c>
      <c r="AE40" s="811">
        <v>47.277443095244735</v>
      </c>
      <c r="AF40" s="811">
        <v>44.42071451364184</v>
      </c>
      <c r="AG40" s="812">
        <v>45.708314019620254</v>
      </c>
      <c r="AH40" s="813">
        <v>543971.45764644549</v>
      </c>
      <c r="AI40" s="814">
        <v>96331.815232149485</v>
      </c>
      <c r="AJ40" s="815">
        <v>103725.95650050804</v>
      </c>
      <c r="AK40" s="815">
        <v>89933.006283911673</v>
      </c>
      <c r="AL40" s="815">
        <v>0</v>
      </c>
      <c r="AM40" s="815">
        <v>82735.525416678283</v>
      </c>
      <c r="AN40" s="815">
        <v>84399.357575919494</v>
      </c>
      <c r="AO40" s="816">
        <v>86845.796637278487</v>
      </c>
    </row>
    <row r="41" spans="1:41" ht="15.6" x14ac:dyDescent="0.3">
      <c r="A41" s="225" t="s">
        <v>206</v>
      </c>
      <c r="B41" s="801">
        <v>1692004.3095734883</v>
      </c>
      <c r="C41" s="802">
        <v>284959.89291992364</v>
      </c>
      <c r="D41" s="803">
        <v>311571.71410559776</v>
      </c>
      <c r="E41" s="803">
        <v>283664.89224512235</v>
      </c>
      <c r="F41" s="803">
        <v>0</v>
      </c>
      <c r="G41" s="803">
        <v>236167.68374055246</v>
      </c>
      <c r="H41" s="803">
        <v>285716.05150011927</v>
      </c>
      <c r="I41" s="804">
        <v>289924.07506217284</v>
      </c>
      <c r="J41" s="805">
        <v>11700</v>
      </c>
      <c r="K41" s="806">
        <v>2000</v>
      </c>
      <c r="L41" s="806">
        <v>2050</v>
      </c>
      <c r="M41" s="807">
        <v>1900</v>
      </c>
      <c r="N41" s="807">
        <v>0</v>
      </c>
      <c r="O41" s="806">
        <v>1750</v>
      </c>
      <c r="P41" s="806">
        <v>2000</v>
      </c>
      <c r="Q41" s="806">
        <v>2000</v>
      </c>
      <c r="R41" s="809">
        <v>144.61575295499901</v>
      </c>
      <c r="S41" s="810">
        <v>142.47994645996181</v>
      </c>
      <c r="T41" s="811">
        <v>151.98620200273061</v>
      </c>
      <c r="U41" s="811">
        <v>149.29731170795912</v>
      </c>
      <c r="V41" s="811" t="s">
        <v>288</v>
      </c>
      <c r="W41" s="811">
        <v>134.95296213745854</v>
      </c>
      <c r="X41" s="811">
        <v>142.85802575005962</v>
      </c>
      <c r="Y41" s="812">
        <v>144.96203753108642</v>
      </c>
      <c r="Z41" s="809">
        <v>48.761308930953838</v>
      </c>
      <c r="AA41" s="810">
        <v>48.002928947453825</v>
      </c>
      <c r="AB41" s="811">
        <v>51.347304250892577</v>
      </c>
      <c r="AC41" s="811">
        <v>50.405812671299266</v>
      </c>
      <c r="AD41" s="811">
        <v>0</v>
      </c>
      <c r="AE41" s="811">
        <v>45.377777066001549</v>
      </c>
      <c r="AF41" s="811">
        <v>48.145570792635581</v>
      </c>
      <c r="AG41" s="812">
        <v>48.883093678339996</v>
      </c>
      <c r="AH41" s="813">
        <v>570507.31449215987</v>
      </c>
      <c r="AI41" s="814">
        <v>96005.857894907647</v>
      </c>
      <c r="AJ41" s="815">
        <v>105261.97371432978</v>
      </c>
      <c r="AK41" s="815">
        <v>95771.044075468599</v>
      </c>
      <c r="AL41" s="815">
        <v>0</v>
      </c>
      <c r="AM41" s="815">
        <v>79411.109865502716</v>
      </c>
      <c r="AN41" s="815">
        <v>96291.141585271165</v>
      </c>
      <c r="AO41" s="816">
        <v>97766.187356679991</v>
      </c>
    </row>
    <row r="42" spans="1:41" ht="15.6" x14ac:dyDescent="0.3">
      <c r="A42" s="225" t="s">
        <v>298</v>
      </c>
      <c r="B42" s="801">
        <v>1655803.6527256882</v>
      </c>
      <c r="C42" s="802">
        <v>273618.51849569002</v>
      </c>
      <c r="D42" s="803">
        <v>298723.72454404749</v>
      </c>
      <c r="E42" s="803">
        <v>270005.87852761557</v>
      </c>
      <c r="F42" s="803">
        <v>0</v>
      </c>
      <c r="G42" s="803">
        <v>251584.13771206583</v>
      </c>
      <c r="H42" s="803">
        <v>275590.55716476095</v>
      </c>
      <c r="I42" s="804">
        <v>286280.83628150844</v>
      </c>
      <c r="J42" s="805">
        <v>11575</v>
      </c>
      <c r="K42" s="806">
        <v>1900</v>
      </c>
      <c r="L42" s="806">
        <v>2025</v>
      </c>
      <c r="M42" s="807">
        <v>1850</v>
      </c>
      <c r="N42" s="807">
        <v>0</v>
      </c>
      <c r="O42" s="806">
        <v>1750</v>
      </c>
      <c r="P42" s="806">
        <v>2000</v>
      </c>
      <c r="Q42" s="806">
        <v>2050</v>
      </c>
      <c r="R42" s="809">
        <v>143.04999159617176</v>
      </c>
      <c r="S42" s="810">
        <v>144.00974657667896</v>
      </c>
      <c r="T42" s="811">
        <v>147.51788866372715</v>
      </c>
      <c r="U42" s="811">
        <v>145.94912352844085</v>
      </c>
      <c r="V42" s="811" t="s">
        <v>288</v>
      </c>
      <c r="W42" s="811">
        <v>143.76236440689476</v>
      </c>
      <c r="X42" s="811">
        <v>137.79527858238046</v>
      </c>
      <c r="Y42" s="812">
        <v>139.64918843000413</v>
      </c>
      <c r="Z42" s="809">
        <v>49.096874957701701</v>
      </c>
      <c r="AA42" s="811">
        <v>49.436800179699858</v>
      </c>
      <c r="AB42" s="811">
        <v>50.691192061806063</v>
      </c>
      <c r="AC42" s="811">
        <v>50.133553129503504</v>
      </c>
      <c r="AD42" s="811">
        <v>0</v>
      </c>
      <c r="AE42" s="811">
        <v>49.353970183174624</v>
      </c>
      <c r="AF42" s="811">
        <v>47.22242820266333</v>
      </c>
      <c r="AG42" s="811">
        <v>47.880666269925108</v>
      </c>
      <c r="AH42" s="813">
        <v>568296.3276353972</v>
      </c>
      <c r="AI42" s="814">
        <v>93929.920341429737</v>
      </c>
      <c r="AJ42" s="815">
        <v>102649.66392515728</v>
      </c>
      <c r="AK42" s="815">
        <v>92747.073289581487</v>
      </c>
      <c r="AL42" s="815">
        <v>0</v>
      </c>
      <c r="AM42" s="815">
        <v>86369.447820555593</v>
      </c>
      <c r="AN42" s="815">
        <v>94444.85640532666</v>
      </c>
      <c r="AO42" s="816">
        <v>98155.365853346477</v>
      </c>
    </row>
    <row r="43" spans="1:41" ht="15.6" x14ac:dyDescent="0.3">
      <c r="A43" s="225" t="s">
        <v>299</v>
      </c>
      <c r="B43" s="801">
        <v>1742320.4909862801</v>
      </c>
      <c r="C43" s="802">
        <v>275876.64783389843</v>
      </c>
      <c r="D43" s="803">
        <v>305882.49366613658</v>
      </c>
      <c r="E43" s="803">
        <v>298000.78896773653</v>
      </c>
      <c r="F43" s="803">
        <v>0</v>
      </c>
      <c r="G43" s="803">
        <v>282469.34840389207</v>
      </c>
      <c r="H43" s="803">
        <v>286123.03928223083</v>
      </c>
      <c r="I43" s="804">
        <v>293968.17283238564</v>
      </c>
      <c r="J43" s="805">
        <v>12100</v>
      </c>
      <c r="K43" s="806">
        <v>1950</v>
      </c>
      <c r="L43" s="806">
        <v>2050</v>
      </c>
      <c r="M43" s="807">
        <v>2000</v>
      </c>
      <c r="N43" s="807">
        <v>0</v>
      </c>
      <c r="O43" s="806">
        <v>1950</v>
      </c>
      <c r="P43" s="806">
        <v>2050</v>
      </c>
      <c r="Q43" s="806">
        <v>2100</v>
      </c>
      <c r="R43" s="809">
        <v>143.9934290071306</v>
      </c>
      <c r="S43" s="810">
        <v>141.47520401738382</v>
      </c>
      <c r="T43" s="811">
        <v>149.21097252006663</v>
      </c>
      <c r="U43" s="811">
        <v>149.00039448386826</v>
      </c>
      <c r="V43" s="811" t="s">
        <v>288</v>
      </c>
      <c r="W43" s="811">
        <v>144.85607610456003</v>
      </c>
      <c r="X43" s="811">
        <v>139.57221428401505</v>
      </c>
      <c r="Y43" s="812">
        <v>139.98484420589793</v>
      </c>
      <c r="Z43" s="809">
        <v>49.767400036189834</v>
      </c>
      <c r="AA43" s="811">
        <v>48.865742433718651</v>
      </c>
      <c r="AB43" s="811">
        <v>51.646023910098968</v>
      </c>
      <c r="AC43" s="811">
        <v>51.56287019022848</v>
      </c>
      <c r="AD43" s="811">
        <v>0</v>
      </c>
      <c r="AE43" s="811">
        <v>50.072541070168036</v>
      </c>
      <c r="AF43" s="811">
        <v>48.184306495762847</v>
      </c>
      <c r="AG43" s="811">
        <v>48.322842806116263</v>
      </c>
      <c r="AH43" s="813">
        <v>602185.54043789697</v>
      </c>
      <c r="AI43" s="814">
        <v>95288.197745751371</v>
      </c>
      <c r="AJ43" s="815">
        <v>105874.34901570289</v>
      </c>
      <c r="AK43" s="815">
        <v>103125.74038045696</v>
      </c>
      <c r="AL43" s="815">
        <v>0</v>
      </c>
      <c r="AM43" s="815">
        <v>97641.455086827671</v>
      </c>
      <c r="AN43" s="815">
        <v>98777.82831631384</v>
      </c>
      <c r="AO43" s="816">
        <v>101477.96989284415</v>
      </c>
    </row>
    <row r="44" spans="1:41" ht="15.6" x14ac:dyDescent="0.3">
      <c r="A44" s="225" t="s">
        <v>100</v>
      </c>
      <c r="B44" s="801">
        <v>1749338.7250087534</v>
      </c>
      <c r="C44" s="802">
        <v>282898.3166430358</v>
      </c>
      <c r="D44" s="803">
        <v>316081.87756084872</v>
      </c>
      <c r="E44" s="803">
        <v>290697.14826727903</v>
      </c>
      <c r="F44" s="803">
        <v>0</v>
      </c>
      <c r="G44" s="803">
        <v>280131.00168601988</v>
      </c>
      <c r="H44" s="803">
        <v>285105.00878619472</v>
      </c>
      <c r="I44" s="804">
        <v>294425.37206537515</v>
      </c>
      <c r="J44" s="805">
        <v>12200</v>
      </c>
      <c r="K44" s="806">
        <v>2000</v>
      </c>
      <c r="L44" s="806">
        <v>2150</v>
      </c>
      <c r="M44" s="807">
        <v>1950</v>
      </c>
      <c r="N44" s="807">
        <v>0</v>
      </c>
      <c r="O44" s="806">
        <v>1950</v>
      </c>
      <c r="P44" s="806">
        <v>2050</v>
      </c>
      <c r="Q44" s="806">
        <v>2100</v>
      </c>
      <c r="R44" s="809">
        <v>143.38842008268469</v>
      </c>
      <c r="S44" s="810">
        <v>141.4491583215179</v>
      </c>
      <c r="T44" s="811">
        <v>147.01482677248777</v>
      </c>
      <c r="U44" s="811">
        <v>149.07546064988668</v>
      </c>
      <c r="V44" s="811" t="s">
        <v>288</v>
      </c>
      <c r="W44" s="811">
        <v>143.65692394154865</v>
      </c>
      <c r="X44" s="811">
        <v>139.0756140420462</v>
      </c>
      <c r="Y44" s="812">
        <v>140.20255812636913</v>
      </c>
      <c r="Z44" s="809">
        <v>49.987840742755438</v>
      </c>
      <c r="AA44" s="811">
        <v>49.285979068142709</v>
      </c>
      <c r="AB44" s="811">
        <v>51.295889203800293</v>
      </c>
      <c r="AC44" s="811">
        <v>52.040124060982151</v>
      </c>
      <c r="AD44" s="811">
        <v>0</v>
      </c>
      <c r="AE44" s="811">
        <v>50.082639783140138</v>
      </c>
      <c r="AF44" s="811">
        <v>48.435882497684524</v>
      </c>
      <c r="AG44" s="811">
        <v>48.83837548612788</v>
      </c>
      <c r="AH44" s="813">
        <v>609851.65706161631</v>
      </c>
      <c r="AI44" s="814">
        <v>98571.958136285422</v>
      </c>
      <c r="AJ44" s="815">
        <v>110286.16178817063</v>
      </c>
      <c r="AK44" s="815">
        <v>101478.2419189152</v>
      </c>
      <c r="AL44" s="815">
        <v>0</v>
      </c>
      <c r="AM44" s="815">
        <v>97661.147577123265</v>
      </c>
      <c r="AN44" s="815">
        <v>99293.559120253281</v>
      </c>
      <c r="AO44" s="816">
        <v>102560.58852086855</v>
      </c>
    </row>
    <row r="45" spans="1:41" ht="15.6" x14ac:dyDescent="0.3">
      <c r="A45" s="225" t="s">
        <v>101</v>
      </c>
      <c r="B45" s="801">
        <v>1807902.623839332</v>
      </c>
      <c r="C45" s="802">
        <v>283056.82086125226</v>
      </c>
      <c r="D45" s="803">
        <v>328033.97690348089</v>
      </c>
      <c r="E45" s="803">
        <v>317602.28381701105</v>
      </c>
      <c r="F45" s="803">
        <v>0</v>
      </c>
      <c r="G45" s="803">
        <v>298711.6218869685</v>
      </c>
      <c r="H45" s="803">
        <v>289163.63039880292</v>
      </c>
      <c r="I45" s="804">
        <v>291334.28997181641</v>
      </c>
      <c r="J45" s="805">
        <v>12400</v>
      </c>
      <c r="K45" s="806">
        <v>1950</v>
      </c>
      <c r="L45" s="806">
        <v>2200</v>
      </c>
      <c r="M45" s="807">
        <v>2100</v>
      </c>
      <c r="N45" s="807">
        <v>0</v>
      </c>
      <c r="O45" s="806">
        <v>2050</v>
      </c>
      <c r="P45" s="806">
        <v>2050</v>
      </c>
      <c r="Q45" s="806">
        <v>2050</v>
      </c>
      <c r="R45" s="809">
        <v>145.79859869672032</v>
      </c>
      <c r="S45" s="810">
        <v>145.15734403141141</v>
      </c>
      <c r="T45" s="811">
        <v>149.10635313794586</v>
      </c>
      <c r="U45" s="811">
        <v>151.23918277000527</v>
      </c>
      <c r="V45" s="811" t="s">
        <v>288</v>
      </c>
      <c r="W45" s="811">
        <v>145.7129862863261</v>
      </c>
      <c r="X45" s="811">
        <v>141.05542946283069</v>
      </c>
      <c r="Y45" s="812">
        <v>142.11428779112995</v>
      </c>
      <c r="Z45" s="809">
        <v>49.36317822146713</v>
      </c>
      <c r="AA45" s="811">
        <v>49.142936630785485</v>
      </c>
      <c r="AB45" s="811">
        <v>50.521001740655684</v>
      </c>
      <c r="AC45" s="811">
        <v>51.261108390265299</v>
      </c>
      <c r="AD45" s="811">
        <v>0</v>
      </c>
      <c r="AE45" s="811">
        <v>49.325866154989747</v>
      </c>
      <c r="AF45" s="811">
        <v>47.708077888500966</v>
      </c>
      <c r="AG45" s="811">
        <v>48.078325257563478</v>
      </c>
      <c r="AH45" s="813">
        <v>612103.40994619241</v>
      </c>
      <c r="AI45" s="814">
        <v>95828.726430031689</v>
      </c>
      <c r="AJ45" s="815">
        <v>111146.2038294425</v>
      </c>
      <c r="AK45" s="815">
        <v>107648.32761955712</v>
      </c>
      <c r="AL45" s="815">
        <v>0</v>
      </c>
      <c r="AM45" s="815">
        <v>101118.02561772898</v>
      </c>
      <c r="AN45" s="815">
        <v>97801.559671426978</v>
      </c>
      <c r="AO45" s="816">
        <v>98560.56677800513</v>
      </c>
    </row>
    <row r="46" spans="1:41" ht="15.6" x14ac:dyDescent="0.3">
      <c r="A46" s="225" t="s">
        <v>102</v>
      </c>
      <c r="B46" s="801">
        <v>1385265.2019625884</v>
      </c>
      <c r="C46" s="802">
        <v>279471.99835253158</v>
      </c>
      <c r="D46" s="803">
        <v>309025.9039813251</v>
      </c>
      <c r="E46" s="803">
        <v>268441.95744046854</v>
      </c>
      <c r="F46" s="803">
        <v>0</v>
      </c>
      <c r="G46" s="803">
        <v>264708.45931357652</v>
      </c>
      <c r="H46" s="803">
        <v>0</v>
      </c>
      <c r="I46" s="804">
        <v>263616.88287468662</v>
      </c>
      <c r="J46" s="805">
        <v>9850</v>
      </c>
      <c r="K46" s="806">
        <v>2000</v>
      </c>
      <c r="L46" s="806">
        <v>2150</v>
      </c>
      <c r="M46" s="807">
        <v>1850</v>
      </c>
      <c r="N46" s="807">
        <v>0</v>
      </c>
      <c r="O46" s="806">
        <v>1900</v>
      </c>
      <c r="P46" s="806">
        <v>0</v>
      </c>
      <c r="Q46" s="806">
        <v>1950</v>
      </c>
      <c r="R46" s="809">
        <v>140.63606111295314</v>
      </c>
      <c r="S46" s="810">
        <v>139.73599917626578</v>
      </c>
      <c r="T46" s="811">
        <v>143.73297859596516</v>
      </c>
      <c r="U46" s="811">
        <v>145.10376077863165</v>
      </c>
      <c r="V46" s="811" t="s">
        <v>288</v>
      </c>
      <c r="W46" s="811">
        <v>139.32024174398765</v>
      </c>
      <c r="X46" s="811" t="s">
        <v>288</v>
      </c>
      <c r="Y46" s="812">
        <v>135.18814506394185</v>
      </c>
      <c r="Z46" s="809">
        <v>48.219275707224838</v>
      </c>
      <c r="AA46" s="811">
        <v>47.886997547659142</v>
      </c>
      <c r="AB46" s="811">
        <v>49.319616999262749</v>
      </c>
      <c r="AC46" s="811">
        <v>49.820279799181336</v>
      </c>
      <c r="AD46" s="811">
        <v>0</v>
      </c>
      <c r="AE46" s="811">
        <v>47.705282126489458</v>
      </c>
      <c r="AF46" s="811">
        <v>0</v>
      </c>
      <c r="AG46" s="811">
        <v>46.328789950572322</v>
      </c>
      <c r="AH46" s="813">
        <v>474959.86571616464</v>
      </c>
      <c r="AI46" s="814">
        <v>95773.995095318285</v>
      </c>
      <c r="AJ46" s="815">
        <v>106037.17654841491</v>
      </c>
      <c r="AK46" s="815">
        <v>92167.517628485468</v>
      </c>
      <c r="AL46" s="815">
        <v>0</v>
      </c>
      <c r="AM46" s="815">
        <v>90640.036040329971</v>
      </c>
      <c r="AN46" s="815">
        <v>0</v>
      </c>
      <c r="AO46" s="816">
        <v>90341.140403616024</v>
      </c>
    </row>
    <row r="47" spans="1:41" ht="15.6" x14ac:dyDescent="0.3">
      <c r="A47" s="225" t="s">
        <v>103</v>
      </c>
      <c r="B47" s="801">
        <v>1795134.0809327131</v>
      </c>
      <c r="C47" s="802">
        <v>287462.95753442368</v>
      </c>
      <c r="D47" s="803">
        <v>315681.98145516851</v>
      </c>
      <c r="E47" s="803">
        <v>305671.62367464253</v>
      </c>
      <c r="F47" s="803">
        <v>0</v>
      </c>
      <c r="G47" s="803">
        <v>259154.65722571954</v>
      </c>
      <c r="H47" s="803">
        <v>315976.43033458217</v>
      </c>
      <c r="I47" s="804">
        <v>311186.43070817675</v>
      </c>
      <c r="J47" s="805">
        <v>12900</v>
      </c>
      <c r="K47" s="806">
        <v>2150</v>
      </c>
      <c r="L47" s="806">
        <v>2200</v>
      </c>
      <c r="M47" s="807">
        <v>2100</v>
      </c>
      <c r="N47" s="807">
        <v>0</v>
      </c>
      <c r="O47" s="806">
        <v>1850</v>
      </c>
      <c r="P47" s="806">
        <v>2325</v>
      </c>
      <c r="Q47" s="806">
        <v>2275</v>
      </c>
      <c r="R47" s="809">
        <v>139.15768069245837</v>
      </c>
      <c r="S47" s="810">
        <v>133.70370117880171</v>
      </c>
      <c r="T47" s="811">
        <v>143.49180975234933</v>
      </c>
      <c r="U47" s="811">
        <v>145.55791603554405</v>
      </c>
      <c r="V47" s="811" t="s">
        <v>288</v>
      </c>
      <c r="W47" s="811">
        <v>140.08359850038894</v>
      </c>
      <c r="X47" s="811">
        <v>135.90384100412138</v>
      </c>
      <c r="Y47" s="812">
        <v>136.78524426733043</v>
      </c>
      <c r="Z47" s="809">
        <v>49.403580402244458</v>
      </c>
      <c r="AA47" s="811">
        <v>47.39099292386549</v>
      </c>
      <c r="AB47" s="811">
        <v>51.007044940297959</v>
      </c>
      <c r="AC47" s="811">
        <v>51.753251676808119</v>
      </c>
      <c r="AD47" s="811">
        <v>0</v>
      </c>
      <c r="AE47" s="811">
        <v>49.771318257777857</v>
      </c>
      <c r="AF47" s="811">
        <v>48.198008861765821</v>
      </c>
      <c r="AG47" s="811">
        <v>48.519083794371717</v>
      </c>
      <c r="AH47" s="813">
        <v>637306.18718895351</v>
      </c>
      <c r="AI47" s="814">
        <v>101890.63478631081</v>
      </c>
      <c r="AJ47" s="815">
        <v>112215.49886865552</v>
      </c>
      <c r="AK47" s="815">
        <v>108681.82852129705</v>
      </c>
      <c r="AL47" s="815">
        <v>0</v>
      </c>
      <c r="AM47" s="815">
        <v>92076.93877688903</v>
      </c>
      <c r="AN47" s="815">
        <v>112060.37060360554</v>
      </c>
      <c r="AO47" s="816">
        <v>110380.91563219565</v>
      </c>
    </row>
    <row r="48" spans="1:41" ht="15.6" x14ac:dyDescent="0.3">
      <c r="A48" s="225" t="s">
        <v>104</v>
      </c>
      <c r="B48" s="801">
        <v>1423215.7911950336</v>
      </c>
      <c r="C48" s="802">
        <v>298153.68042320479</v>
      </c>
      <c r="D48" s="803" t="s">
        <v>445</v>
      </c>
      <c r="E48" s="803">
        <v>250005.96038228518</v>
      </c>
      <c r="F48" s="803">
        <v>0</v>
      </c>
      <c r="G48" s="803">
        <v>261286.14394947799</v>
      </c>
      <c r="H48" s="803">
        <v>310179.45365659695</v>
      </c>
      <c r="I48" s="804">
        <v>303590.55278346874</v>
      </c>
      <c r="J48" s="805">
        <v>10375</v>
      </c>
      <c r="K48" s="806">
        <v>2250</v>
      </c>
      <c r="L48" s="806">
        <v>0</v>
      </c>
      <c r="M48" s="807">
        <v>1750</v>
      </c>
      <c r="N48" s="807">
        <v>0</v>
      </c>
      <c r="O48" s="806">
        <v>1900</v>
      </c>
      <c r="P48" s="806">
        <v>2275</v>
      </c>
      <c r="Q48" s="806">
        <v>2200</v>
      </c>
      <c r="R48" s="809">
        <v>137.17742565735264</v>
      </c>
      <c r="S48" s="810">
        <v>132.51274685475769</v>
      </c>
      <c r="T48" s="811" t="s">
        <v>288</v>
      </c>
      <c r="U48" s="811">
        <v>142.86054878987724</v>
      </c>
      <c r="V48" s="811" t="s">
        <v>288</v>
      </c>
      <c r="W48" s="811">
        <v>137.51902313130421</v>
      </c>
      <c r="X48" s="811">
        <v>136.34261699191075</v>
      </c>
      <c r="Y48" s="812">
        <v>137.9957058106676</v>
      </c>
      <c r="Z48" s="809">
        <v>50.075769234384182</v>
      </c>
      <c r="AA48" s="811">
        <v>48.311375438530504</v>
      </c>
      <c r="AB48" s="811">
        <v>0</v>
      </c>
      <c r="AC48" s="811">
        <v>52.302801241089703</v>
      </c>
      <c r="AD48" s="811">
        <v>0</v>
      </c>
      <c r="AE48" s="811">
        <v>50.16463529984577</v>
      </c>
      <c r="AF48" s="811">
        <v>49.74560523865069</v>
      </c>
      <c r="AG48" s="811">
        <v>50.373431777499107</v>
      </c>
      <c r="AH48" s="813">
        <v>519536.10580673593</v>
      </c>
      <c r="AI48" s="814">
        <v>108700.59473669363</v>
      </c>
      <c r="AJ48" s="815">
        <v>0</v>
      </c>
      <c r="AK48" s="815">
        <v>91529.902171906986</v>
      </c>
      <c r="AL48" s="815">
        <v>0</v>
      </c>
      <c r="AM48" s="815">
        <v>95312.807069706963</v>
      </c>
      <c r="AN48" s="815">
        <v>113171.25191793032</v>
      </c>
      <c r="AO48" s="816">
        <v>110821.54991049804</v>
      </c>
    </row>
    <row r="49" spans="1:41" ht="15.6" x14ac:dyDescent="0.3">
      <c r="A49" s="225" t="s">
        <v>105</v>
      </c>
      <c r="B49" s="801">
        <v>1912342.1860521606</v>
      </c>
      <c r="C49" s="802">
        <v>314048.44420386141</v>
      </c>
      <c r="D49" s="803">
        <v>317186.33773187711</v>
      </c>
      <c r="E49" s="803">
        <v>285027.33935033326</v>
      </c>
      <c r="F49" s="803">
        <v>0</v>
      </c>
      <c r="G49" s="803">
        <v>281862.47715095698</v>
      </c>
      <c r="H49" s="803">
        <v>352373.42673276394</v>
      </c>
      <c r="I49" s="804">
        <v>361844.16088236775</v>
      </c>
      <c r="J49" s="805">
        <v>13175</v>
      </c>
      <c r="K49" s="806">
        <v>2100</v>
      </c>
      <c r="L49" s="806">
        <v>2200</v>
      </c>
      <c r="M49" s="807">
        <v>2000</v>
      </c>
      <c r="N49" s="807">
        <v>0</v>
      </c>
      <c r="O49" s="806">
        <v>2000</v>
      </c>
      <c r="P49" s="806">
        <v>2450</v>
      </c>
      <c r="Q49" s="806">
        <v>2425</v>
      </c>
      <c r="R49" s="809">
        <v>145.14931203431959</v>
      </c>
      <c r="S49" s="810">
        <v>149.54687819231495</v>
      </c>
      <c r="T49" s="811">
        <v>144.17560805994415</v>
      </c>
      <c r="U49" s="811">
        <v>142.51366967516662</v>
      </c>
      <c r="V49" s="811" t="s">
        <v>288</v>
      </c>
      <c r="W49" s="811">
        <v>140.93123857547849</v>
      </c>
      <c r="X49" s="811">
        <v>143.82588846235262</v>
      </c>
      <c r="Y49" s="812">
        <v>149.21408696180114</v>
      </c>
      <c r="Z49" s="809">
        <v>49.081353863500269</v>
      </c>
      <c r="AA49" s="811">
        <v>50.61913610160363</v>
      </c>
      <c r="AB49" s="811">
        <v>48.731326039766515</v>
      </c>
      <c r="AC49" s="811">
        <v>48.175131722890818</v>
      </c>
      <c r="AD49" s="811">
        <v>0</v>
      </c>
      <c r="AE49" s="811">
        <v>47.616185730158875</v>
      </c>
      <c r="AF49" s="811">
        <v>48.615994175283198</v>
      </c>
      <c r="AG49" s="811">
        <v>50.493160171224211</v>
      </c>
      <c r="AH49" s="813">
        <v>646646.837151616</v>
      </c>
      <c r="AI49" s="814">
        <v>106300.18581336763</v>
      </c>
      <c r="AJ49" s="815">
        <v>107208.91728748633</v>
      </c>
      <c r="AK49" s="815">
        <v>96350.263445781631</v>
      </c>
      <c r="AL49" s="815">
        <v>0</v>
      </c>
      <c r="AM49" s="815">
        <v>95232.37146031775</v>
      </c>
      <c r="AN49" s="815">
        <v>119109.18572944384</v>
      </c>
      <c r="AO49" s="816">
        <v>122445.91341521872</v>
      </c>
    </row>
    <row r="50" spans="1:41" ht="15.6" x14ac:dyDescent="0.3">
      <c r="A50" s="225" t="s">
        <v>106</v>
      </c>
      <c r="B50" s="801">
        <v>2100189.9525691038</v>
      </c>
      <c r="C50" s="802">
        <v>332532.45243354433</v>
      </c>
      <c r="D50" s="803">
        <v>358476.38927366125</v>
      </c>
      <c r="E50" s="803">
        <v>359017.3703899851</v>
      </c>
      <c r="F50" s="803">
        <v>0</v>
      </c>
      <c r="G50" s="803">
        <v>313477.93423638452</v>
      </c>
      <c r="H50" s="803">
        <v>362154.26999422093</v>
      </c>
      <c r="I50" s="804">
        <v>374531.53624130756</v>
      </c>
      <c r="J50" s="805">
        <v>14150</v>
      </c>
      <c r="K50" s="806">
        <v>2375</v>
      </c>
      <c r="L50" s="806">
        <v>2350</v>
      </c>
      <c r="M50" s="807">
        <v>2375</v>
      </c>
      <c r="N50" s="807">
        <v>0</v>
      </c>
      <c r="O50" s="806">
        <v>2100</v>
      </c>
      <c r="P50" s="806">
        <v>2475</v>
      </c>
      <c r="Q50" s="806">
        <v>2475</v>
      </c>
      <c r="R50" s="809">
        <v>148.42331820276351</v>
      </c>
      <c r="S50" s="810">
        <v>140.01366418254497</v>
      </c>
      <c r="T50" s="811">
        <v>152.54314437177075</v>
      </c>
      <c r="U50" s="811">
        <v>151.16520858525689</v>
      </c>
      <c r="V50" s="811" t="s">
        <v>288</v>
      </c>
      <c r="W50" s="811">
        <v>149.27520677923073</v>
      </c>
      <c r="X50" s="811">
        <v>146.32495757342261</v>
      </c>
      <c r="Y50" s="812">
        <v>151.32587322881113</v>
      </c>
      <c r="Z50" s="809">
        <v>50.993839169695001</v>
      </c>
      <c r="AA50" s="811">
        <v>48.001309625904241</v>
      </c>
      <c r="AB50" s="811">
        <v>52.470828558081799</v>
      </c>
      <c r="AC50" s="811">
        <v>51.945527975963934</v>
      </c>
      <c r="AD50" s="811">
        <v>0</v>
      </c>
      <c r="AE50" s="811">
        <v>51.299347455523602</v>
      </c>
      <c r="AF50" s="811">
        <v>50.261943918549548</v>
      </c>
      <c r="AG50" s="811">
        <v>52.022503830402165</v>
      </c>
      <c r="AH50" s="813">
        <v>721562.82425118424</v>
      </c>
      <c r="AI50" s="814">
        <v>114003.11036152257</v>
      </c>
      <c r="AJ50" s="815">
        <v>123306.44711149222</v>
      </c>
      <c r="AK50" s="815">
        <v>123370.62894291434</v>
      </c>
      <c r="AL50" s="815">
        <v>0</v>
      </c>
      <c r="AM50" s="815">
        <v>107728.62965659956</v>
      </c>
      <c r="AN50" s="815">
        <v>124398.31119841013</v>
      </c>
      <c r="AO50" s="816">
        <v>128755.69698024535</v>
      </c>
    </row>
    <row r="51" spans="1:41" ht="15.6" x14ac:dyDescent="0.3">
      <c r="A51" s="225" t="s">
        <v>107</v>
      </c>
      <c r="B51" s="801">
        <v>2057134.4186524898</v>
      </c>
      <c r="C51" s="802">
        <v>366903.94560280186</v>
      </c>
      <c r="D51" s="803">
        <v>362533.11291773757</v>
      </c>
      <c r="E51" s="803">
        <v>314127.61643550562</v>
      </c>
      <c r="F51" s="803">
        <v>0</v>
      </c>
      <c r="G51" s="803">
        <v>299286.66604160069</v>
      </c>
      <c r="H51" s="803">
        <v>350934.93481720693</v>
      </c>
      <c r="I51" s="804">
        <v>363348.14283763722</v>
      </c>
      <c r="J51" s="805">
        <v>13600</v>
      </c>
      <c r="K51" s="806">
        <v>2325</v>
      </c>
      <c r="L51" s="806">
        <v>2375</v>
      </c>
      <c r="M51" s="807">
        <v>2100</v>
      </c>
      <c r="N51" s="807">
        <v>0</v>
      </c>
      <c r="O51" s="806">
        <v>2000</v>
      </c>
      <c r="P51" s="806">
        <v>2400</v>
      </c>
      <c r="Q51" s="806">
        <v>2400</v>
      </c>
      <c r="R51" s="809">
        <v>151.25988372444777</v>
      </c>
      <c r="S51" s="810">
        <v>157.80814864636639</v>
      </c>
      <c r="T51" s="811">
        <v>152.64552122852109</v>
      </c>
      <c r="U51" s="811">
        <v>149.58457925500267</v>
      </c>
      <c r="V51" s="811" t="s">
        <v>288</v>
      </c>
      <c r="W51" s="811">
        <v>149.64333302080036</v>
      </c>
      <c r="X51" s="811">
        <v>146.22288950716955</v>
      </c>
      <c r="Y51" s="812">
        <v>151.39505951568216</v>
      </c>
      <c r="Z51" s="809">
        <v>49.447802012997776</v>
      </c>
      <c r="AA51" s="811">
        <v>51.662950265189139</v>
      </c>
      <c r="AB51" s="811">
        <v>49.91508175877118</v>
      </c>
      <c r="AC51" s="811">
        <v>48.900730487350025</v>
      </c>
      <c r="AD51" s="811">
        <v>0</v>
      </c>
      <c r="AE51" s="811">
        <v>48.854093662780855</v>
      </c>
      <c r="AF51" s="811">
        <v>47.777988227021567</v>
      </c>
      <c r="AG51" s="811">
        <v>49.482723224697907</v>
      </c>
      <c r="AH51" s="813">
        <v>672490.10737676977</v>
      </c>
      <c r="AI51" s="814">
        <v>120116.35936656475</v>
      </c>
      <c r="AJ51" s="815">
        <v>118548.31917708155</v>
      </c>
      <c r="AK51" s="815">
        <v>102691.53402343506</v>
      </c>
      <c r="AL51" s="815">
        <v>0</v>
      </c>
      <c r="AM51" s="815">
        <v>97708.18732556171</v>
      </c>
      <c r="AN51" s="815">
        <v>114667.17174485176</v>
      </c>
      <c r="AO51" s="816">
        <v>118758.53573927497</v>
      </c>
    </row>
    <row r="52" spans="1:41" ht="15.6" x14ac:dyDescent="0.3">
      <c r="A52" s="225" t="s">
        <v>108</v>
      </c>
      <c r="B52" s="801">
        <v>1922448.6437052218</v>
      </c>
      <c r="C52" s="802">
        <v>330999.2672672983</v>
      </c>
      <c r="D52" s="803">
        <v>339636.53074128047</v>
      </c>
      <c r="E52" s="803">
        <v>309108.93293983699</v>
      </c>
      <c r="F52" s="803">
        <v>0</v>
      </c>
      <c r="G52" s="803">
        <v>291338.12674411543</v>
      </c>
      <c r="H52" s="803">
        <v>331312.14367549156</v>
      </c>
      <c r="I52" s="804">
        <v>320053.64233719872</v>
      </c>
      <c r="J52" s="805">
        <v>13000</v>
      </c>
      <c r="K52" s="806">
        <v>2200</v>
      </c>
      <c r="L52" s="806">
        <v>2300</v>
      </c>
      <c r="M52" s="807">
        <v>2100</v>
      </c>
      <c r="N52" s="807">
        <v>0</v>
      </c>
      <c r="O52" s="806">
        <v>2000</v>
      </c>
      <c r="P52" s="806">
        <v>2250</v>
      </c>
      <c r="Q52" s="806">
        <v>2150</v>
      </c>
      <c r="R52" s="809">
        <v>147.88066490040168</v>
      </c>
      <c r="S52" s="810">
        <v>150.45421239422649</v>
      </c>
      <c r="T52" s="811">
        <v>147.66805684403499</v>
      </c>
      <c r="U52" s="811">
        <v>147.19472997135094</v>
      </c>
      <c r="V52" s="811" t="s">
        <v>288</v>
      </c>
      <c r="W52" s="811">
        <v>145.66906337205771</v>
      </c>
      <c r="X52" s="811">
        <v>147.2498416335518</v>
      </c>
      <c r="Y52" s="812">
        <v>148.86215922660406</v>
      </c>
      <c r="Z52" s="809">
        <v>48.510517826180703</v>
      </c>
      <c r="AA52" s="811">
        <v>49.409074952807366</v>
      </c>
      <c r="AB52" s="811">
        <v>48.414027999394968</v>
      </c>
      <c r="AC52" s="811">
        <v>48.283550888571114</v>
      </c>
      <c r="AD52" s="811">
        <v>0</v>
      </c>
      <c r="AE52" s="811">
        <v>47.737769298598167</v>
      </c>
      <c r="AF52" s="811">
        <v>48.315151322211342</v>
      </c>
      <c r="AG52" s="811">
        <v>48.839263491810826</v>
      </c>
      <c r="AH52" s="813">
        <v>630636.73174034909</v>
      </c>
      <c r="AI52" s="814">
        <v>108699.9648961762</v>
      </c>
      <c r="AJ52" s="815">
        <v>111352.26439860843</v>
      </c>
      <c r="AK52" s="815">
        <v>101395.45686599934</v>
      </c>
      <c r="AL52" s="815">
        <v>0</v>
      </c>
      <c r="AM52" s="815">
        <v>95475.538597196341</v>
      </c>
      <c r="AN52" s="815">
        <v>108709.09047497551</v>
      </c>
      <c r="AO52" s="816">
        <v>105004.41650739328</v>
      </c>
    </row>
    <row r="53" spans="1:41" ht="15.6" x14ac:dyDescent="0.3">
      <c r="A53" s="225" t="s">
        <v>109</v>
      </c>
      <c r="B53" s="801">
        <v>2039646.8223363128</v>
      </c>
      <c r="C53" s="802">
        <v>325688.15717555908</v>
      </c>
      <c r="D53" s="803">
        <v>302785.54928857501</v>
      </c>
      <c r="E53" s="803">
        <v>302223.96150260692</v>
      </c>
      <c r="F53" s="803">
        <v>0</v>
      </c>
      <c r="G53" s="803">
        <v>318689.99536040047</v>
      </c>
      <c r="H53" s="803">
        <v>398623.89073164214</v>
      </c>
      <c r="I53" s="804">
        <v>391635.26827752916</v>
      </c>
      <c r="J53" s="805">
        <v>12850</v>
      </c>
      <c r="K53" s="806">
        <v>2150</v>
      </c>
      <c r="L53" s="806">
        <v>1950</v>
      </c>
      <c r="M53" s="807">
        <v>1850</v>
      </c>
      <c r="N53" s="807">
        <v>0</v>
      </c>
      <c r="O53" s="806">
        <v>1900</v>
      </c>
      <c r="P53" s="806">
        <v>2500</v>
      </c>
      <c r="Q53" s="806">
        <v>2500</v>
      </c>
      <c r="R53" s="809">
        <v>158.72737917014109</v>
      </c>
      <c r="S53" s="810">
        <v>151.48286380258563</v>
      </c>
      <c r="T53" s="811">
        <v>155.27464066080771</v>
      </c>
      <c r="U53" s="811">
        <v>163.36430351492265</v>
      </c>
      <c r="V53" s="811" t="s">
        <v>288</v>
      </c>
      <c r="W53" s="811">
        <v>167.73157650547392</v>
      </c>
      <c r="X53" s="811">
        <v>159.44955629265687</v>
      </c>
      <c r="Y53" s="812">
        <v>156.65410731101167</v>
      </c>
      <c r="Z53" s="809">
        <v>49.593142363802812</v>
      </c>
      <c r="AA53" s="811">
        <v>47.233679975222273</v>
      </c>
      <c r="AB53" s="811">
        <v>48.463883542058802</v>
      </c>
      <c r="AC53" s="811">
        <v>51.062105146553321</v>
      </c>
      <c r="AD53" s="811">
        <v>0</v>
      </c>
      <c r="AE53" s="811">
        <v>52.5</v>
      </c>
      <c r="AF53" s="811">
        <v>49.85</v>
      </c>
      <c r="AG53" s="811">
        <v>48.95</v>
      </c>
      <c r="AH53" s="813">
        <v>637271.87937486614</v>
      </c>
      <c r="AI53" s="814">
        <v>101552.41194672789</v>
      </c>
      <c r="AJ53" s="815">
        <v>94504.572907014663</v>
      </c>
      <c r="AK53" s="815">
        <v>94464.894521123642</v>
      </c>
      <c r="AL53" s="815">
        <v>0</v>
      </c>
      <c r="AM53" s="815">
        <v>99750</v>
      </c>
      <c r="AN53" s="815">
        <v>124625</v>
      </c>
      <c r="AO53" s="816">
        <v>122375</v>
      </c>
    </row>
    <row r="54" spans="1:41" ht="15.6" x14ac:dyDescent="0.3">
      <c r="A54" s="225" t="s">
        <v>110</v>
      </c>
      <c r="B54" s="801">
        <v>2112649.5695703682</v>
      </c>
      <c r="C54" s="802">
        <v>397287.5148091942</v>
      </c>
      <c r="D54" s="803">
        <v>380454.30585092615</v>
      </c>
      <c r="E54" s="803">
        <v>260581.53587560914</v>
      </c>
      <c r="F54" s="803">
        <v>0</v>
      </c>
      <c r="G54" s="803">
        <v>311019.69884914532</v>
      </c>
      <c r="H54" s="803">
        <v>381208.96743637533</v>
      </c>
      <c r="I54" s="804">
        <v>382097.54674911796</v>
      </c>
      <c r="J54" s="805">
        <v>13900</v>
      </c>
      <c r="K54" s="806">
        <v>2475</v>
      </c>
      <c r="L54" s="806">
        <v>2400</v>
      </c>
      <c r="M54" s="807">
        <v>1775</v>
      </c>
      <c r="N54" s="807">
        <v>0</v>
      </c>
      <c r="O54" s="806">
        <v>2050</v>
      </c>
      <c r="P54" s="806">
        <v>2600</v>
      </c>
      <c r="Q54" s="806">
        <v>2600</v>
      </c>
      <c r="R54" s="809">
        <v>151.98917766693296</v>
      </c>
      <c r="S54" s="810">
        <v>160.52020800371483</v>
      </c>
      <c r="T54" s="811">
        <v>158.52262743788589</v>
      </c>
      <c r="U54" s="811">
        <v>146.80649908485023</v>
      </c>
      <c r="V54" s="811" t="s">
        <v>288</v>
      </c>
      <c r="W54" s="811">
        <v>151.71692626787578</v>
      </c>
      <c r="X54" s="811">
        <v>146.61883362937513</v>
      </c>
      <c r="Y54" s="812">
        <v>146.96059490350692</v>
      </c>
      <c r="Z54" s="809">
        <v>47.395179856115107</v>
      </c>
      <c r="AA54" s="811">
        <v>50.17</v>
      </c>
      <c r="AB54" s="811">
        <v>49.55</v>
      </c>
      <c r="AC54" s="811">
        <v>45.69</v>
      </c>
      <c r="AD54" s="811">
        <v>0</v>
      </c>
      <c r="AE54" s="811">
        <v>47.21</v>
      </c>
      <c r="AF54" s="811">
        <v>45.68</v>
      </c>
      <c r="AG54" s="811">
        <v>45.79</v>
      </c>
      <c r="AH54" s="813">
        <v>658793</v>
      </c>
      <c r="AI54" s="814">
        <v>124170.75</v>
      </c>
      <c r="AJ54" s="815">
        <v>118920</v>
      </c>
      <c r="AK54" s="815">
        <v>81099.75</v>
      </c>
      <c r="AL54" s="815">
        <v>0</v>
      </c>
      <c r="AM54" s="815">
        <v>96780.5</v>
      </c>
      <c r="AN54" s="815">
        <v>118768</v>
      </c>
      <c r="AO54" s="816">
        <v>119054</v>
      </c>
    </row>
    <row r="55" spans="1:41" ht="15.6" x14ac:dyDescent="0.3">
      <c r="A55" s="225" t="s">
        <v>111</v>
      </c>
      <c r="B55" s="801">
        <v>1039013.9006341085</v>
      </c>
      <c r="C55" s="802">
        <v>397905.25943587546</v>
      </c>
      <c r="D55" s="803">
        <v>393583.50499766407</v>
      </c>
      <c r="E55" s="803">
        <v>247525.13620056896</v>
      </c>
      <c r="F55" s="803"/>
      <c r="G55" s="803"/>
      <c r="H55" s="803"/>
      <c r="I55" s="804"/>
      <c r="J55" s="805">
        <v>6850</v>
      </c>
      <c r="K55" s="806">
        <v>2600</v>
      </c>
      <c r="L55" s="806">
        <v>2600</v>
      </c>
      <c r="M55" s="807">
        <v>1650</v>
      </c>
      <c r="N55" s="807"/>
      <c r="O55" s="806"/>
      <c r="P55" s="806"/>
      <c r="Q55" s="806"/>
      <c r="R55" s="809">
        <v>151.68086140643919</v>
      </c>
      <c r="S55" s="810">
        <v>153.04048439841364</v>
      </c>
      <c r="T55" s="811">
        <v>151.37827115294772</v>
      </c>
      <c r="U55" s="811">
        <v>150.01523406095089</v>
      </c>
      <c r="V55" s="811" t="s">
        <v>288</v>
      </c>
      <c r="W55" s="811" t="s">
        <v>288</v>
      </c>
      <c r="X55" s="811" t="s">
        <v>288</v>
      </c>
      <c r="Y55" s="812" t="s">
        <v>288</v>
      </c>
      <c r="Z55" s="809">
        <v>45.628978102189784</v>
      </c>
      <c r="AA55" s="811">
        <v>46.05</v>
      </c>
      <c r="AB55" s="811">
        <v>45.55</v>
      </c>
      <c r="AC55" s="811">
        <v>45.09</v>
      </c>
      <c r="AD55" s="811"/>
      <c r="AE55" s="811"/>
      <c r="AF55" s="811"/>
      <c r="AG55" s="811"/>
      <c r="AH55" s="813">
        <v>312558.5</v>
      </c>
      <c r="AI55" s="814">
        <v>119729.99999999999</v>
      </c>
      <c r="AJ55" s="815">
        <v>118429.99999999999</v>
      </c>
      <c r="AK55" s="815">
        <v>74398.5</v>
      </c>
      <c r="AL55" s="815"/>
      <c r="AM55" s="815"/>
      <c r="AN55" s="815"/>
      <c r="AO55" s="816"/>
    </row>
    <row r="56" spans="1:41" ht="15.6" x14ac:dyDescent="0.3">
      <c r="A56" s="225" t="s">
        <v>287</v>
      </c>
      <c r="B56" s="801">
        <v>981690.73569107219</v>
      </c>
      <c r="C56" s="802"/>
      <c r="D56" s="803"/>
      <c r="E56" s="803"/>
      <c r="F56" s="803">
        <v>0</v>
      </c>
      <c r="G56" s="803">
        <v>295222.27873814449</v>
      </c>
      <c r="H56" s="803">
        <v>342068.09645851637</v>
      </c>
      <c r="I56" s="804">
        <v>344400.36049441132</v>
      </c>
      <c r="J56" s="805">
        <v>6850</v>
      </c>
      <c r="K56" s="806"/>
      <c r="L56" s="806"/>
      <c r="M56" s="807"/>
      <c r="N56" s="807">
        <v>0</v>
      </c>
      <c r="O56" s="806">
        <v>2050</v>
      </c>
      <c r="P56" s="806">
        <v>2400</v>
      </c>
      <c r="Q56" s="806">
        <v>2400</v>
      </c>
      <c r="R56" s="809">
        <v>143.31251615928062</v>
      </c>
      <c r="S56" s="810"/>
      <c r="T56" s="811"/>
      <c r="U56" s="811"/>
      <c r="V56" s="811" t="s">
        <v>288</v>
      </c>
      <c r="W56" s="811">
        <v>144.01086767714366</v>
      </c>
      <c r="X56" s="811">
        <v>142.52837352438183</v>
      </c>
      <c r="Y56" s="812">
        <v>143.50015020600472</v>
      </c>
      <c r="Z56" s="809">
        <v>47.425084286963013</v>
      </c>
      <c r="AA56" s="811"/>
      <c r="AB56" s="811"/>
      <c r="AC56" s="811"/>
      <c r="AD56" s="811">
        <v>0</v>
      </c>
      <c r="AE56" s="811">
        <v>47.667519940559416</v>
      </c>
      <c r="AF56" s="811">
        <v>47.159796556133855</v>
      </c>
      <c r="AG56" s="811">
        <v>47.483291563678591</v>
      </c>
      <c r="AH56" s="813">
        <v>324861.82736569666</v>
      </c>
      <c r="AI56" s="814"/>
      <c r="AJ56" s="815"/>
      <c r="AK56" s="815"/>
      <c r="AL56" s="815">
        <v>0</v>
      </c>
      <c r="AM56" s="815">
        <v>97718.4158781468</v>
      </c>
      <c r="AN56" s="815">
        <v>113183.51173472125</v>
      </c>
      <c r="AO56" s="816">
        <v>113959.89975282861</v>
      </c>
    </row>
    <row r="57" spans="1:41" ht="15.6" x14ac:dyDescent="0.3">
      <c r="A57" s="225" t="s">
        <v>289</v>
      </c>
      <c r="B57" s="801">
        <v>1898123.2317856732</v>
      </c>
      <c r="C57" s="802">
        <v>305517.89961261005</v>
      </c>
      <c r="D57" s="803">
        <v>326699.55478720379</v>
      </c>
      <c r="E57" s="803">
        <v>311525.48073600157</v>
      </c>
      <c r="F57" s="803">
        <v>0</v>
      </c>
      <c r="G57" s="803">
        <v>289468.88546596188</v>
      </c>
      <c r="H57" s="803">
        <v>331324.01950487599</v>
      </c>
      <c r="I57" s="804">
        <v>333587.39167901973</v>
      </c>
      <c r="J57" s="805">
        <v>13575</v>
      </c>
      <c r="K57" s="806">
        <v>2200</v>
      </c>
      <c r="L57" s="806">
        <v>2300</v>
      </c>
      <c r="M57" s="807">
        <v>2200</v>
      </c>
      <c r="N57" s="807">
        <v>0</v>
      </c>
      <c r="O57" s="806">
        <v>2075</v>
      </c>
      <c r="P57" s="806">
        <v>2400</v>
      </c>
      <c r="Q57" s="806">
        <v>2400</v>
      </c>
      <c r="R57" s="809">
        <v>139.82491578531662</v>
      </c>
      <c r="S57" s="810">
        <v>138.87177255118638</v>
      </c>
      <c r="T57" s="811">
        <v>142.0432846900886</v>
      </c>
      <c r="U57" s="811">
        <v>141.60249124363708</v>
      </c>
      <c r="V57" s="811" t="s">
        <v>288</v>
      </c>
      <c r="W57" s="811">
        <v>139.50307733299368</v>
      </c>
      <c r="X57" s="811">
        <v>138.05167479369834</v>
      </c>
      <c r="Y57" s="812">
        <v>138.99474653292489</v>
      </c>
      <c r="Z57" s="809">
        <v>47.768290269072374</v>
      </c>
      <c r="AA57" s="811">
        <v>47.427510501468745</v>
      </c>
      <c r="AB57" s="811">
        <v>48.551764452751527</v>
      </c>
      <c r="AC57" s="811">
        <v>48.397471710849551</v>
      </c>
      <c r="AD57" s="811">
        <v>0</v>
      </c>
      <c r="AE57" s="811">
        <v>47.657381305936525</v>
      </c>
      <c r="AF57" s="811">
        <v>47.146676978357206</v>
      </c>
      <c r="AG57" s="811">
        <v>47.470595973480464</v>
      </c>
      <c r="AH57" s="813">
        <v>648454.54040265747</v>
      </c>
      <c r="AI57" s="814">
        <v>104340.52310323124</v>
      </c>
      <c r="AJ57" s="815">
        <v>111669.05824132852</v>
      </c>
      <c r="AK57" s="815">
        <v>106474.43776386901</v>
      </c>
      <c r="AL57" s="815">
        <v>0</v>
      </c>
      <c r="AM57" s="815">
        <v>98889.066209818295</v>
      </c>
      <c r="AN57" s="815">
        <v>113152.0247480573</v>
      </c>
      <c r="AO57" s="816">
        <v>113929.43033635311</v>
      </c>
    </row>
    <row r="58" spans="1:41" ht="15.6" x14ac:dyDescent="0.3">
      <c r="A58" s="225" t="s">
        <v>290</v>
      </c>
      <c r="B58" s="801">
        <v>1908004.4452036978</v>
      </c>
      <c r="C58" s="802">
        <v>304248.2279773815</v>
      </c>
      <c r="D58" s="803">
        <v>332484.37642116845</v>
      </c>
      <c r="E58" s="803">
        <v>317351.59986755537</v>
      </c>
      <c r="F58" s="803">
        <v>0</v>
      </c>
      <c r="G58" s="803">
        <v>291773.3697498407</v>
      </c>
      <c r="H58" s="803">
        <v>329945.77794105711</v>
      </c>
      <c r="I58" s="804">
        <v>332201.09324669477</v>
      </c>
      <c r="J58" s="805">
        <v>13700</v>
      </c>
      <c r="K58" s="806">
        <v>2200</v>
      </c>
      <c r="L58" s="806">
        <v>2350</v>
      </c>
      <c r="M58" s="807">
        <v>2250</v>
      </c>
      <c r="N58" s="807">
        <v>0</v>
      </c>
      <c r="O58" s="806">
        <v>2100</v>
      </c>
      <c r="P58" s="806">
        <v>2400</v>
      </c>
      <c r="Q58" s="806">
        <v>2400</v>
      </c>
      <c r="R58" s="809">
        <v>139.27039746012392</v>
      </c>
      <c r="S58" s="810">
        <v>138.29464908062795</v>
      </c>
      <c r="T58" s="811">
        <v>141.48271337070997</v>
      </c>
      <c r="U58" s="811">
        <v>141.04515549669128</v>
      </c>
      <c r="V58" s="811" t="s">
        <v>288</v>
      </c>
      <c r="W58" s="811">
        <v>138.93969988087653</v>
      </c>
      <c r="X58" s="811">
        <v>137.47740747544046</v>
      </c>
      <c r="Y58" s="812">
        <v>138.41712218612281</v>
      </c>
      <c r="Z58" s="809">
        <v>47.738114651273527</v>
      </c>
      <c r="AA58" s="811">
        <v>47.390301177743034</v>
      </c>
      <c r="AB58" s="811">
        <v>48.519233508596677</v>
      </c>
      <c r="AC58" s="811">
        <v>48.36530858898508</v>
      </c>
      <c r="AD58" s="811">
        <v>0</v>
      </c>
      <c r="AE58" s="811">
        <v>47.623022195505705</v>
      </c>
      <c r="AF58" s="811">
        <v>47.109566559923067</v>
      </c>
      <c r="AG58" s="811">
        <v>47.433357794423664</v>
      </c>
      <c r="AH58" s="813">
        <v>654012.17072244734</v>
      </c>
      <c r="AI58" s="814">
        <v>104258.66259103468</v>
      </c>
      <c r="AJ58" s="815">
        <v>114020.19874520219</v>
      </c>
      <c r="AK58" s="815">
        <v>108821.94432521643</v>
      </c>
      <c r="AL58" s="815">
        <v>0</v>
      </c>
      <c r="AM58" s="815">
        <v>100008.34661056197</v>
      </c>
      <c r="AN58" s="815">
        <v>113062.95974381536</v>
      </c>
      <c r="AO58" s="816">
        <v>113840.05870661679</v>
      </c>
    </row>
    <row r="59" spans="1:41" ht="15.6" x14ac:dyDescent="0.3">
      <c r="A59" s="225" t="s">
        <v>291</v>
      </c>
      <c r="B59" s="801">
        <v>1894864.3265936663</v>
      </c>
      <c r="C59" s="802">
        <v>300191.44474522886</v>
      </c>
      <c r="D59" s="803">
        <v>325056.34926104586</v>
      </c>
      <c r="E59" s="803">
        <v>312122.83960786526</v>
      </c>
      <c r="F59" s="803">
        <v>0</v>
      </c>
      <c r="G59" s="803">
        <v>292812.84799906256</v>
      </c>
      <c r="H59" s="803">
        <v>337850.17371418187</v>
      </c>
      <c r="I59" s="804">
        <v>326830.6712662818</v>
      </c>
      <c r="J59" s="805">
        <v>13818.85042735043</v>
      </c>
      <c r="K59" s="806">
        <v>2204.5778201486955</v>
      </c>
      <c r="L59" s="806">
        <v>2333.6069488304965</v>
      </c>
      <c r="M59" s="807">
        <v>2247.5875297092957</v>
      </c>
      <c r="N59" s="807">
        <v>0</v>
      </c>
      <c r="O59" s="806">
        <v>2140.063255807795</v>
      </c>
      <c r="P59" s="806">
        <v>2494.8933596827483</v>
      </c>
      <c r="Q59" s="806">
        <v>2398.1215131713971</v>
      </c>
      <c r="R59" s="809">
        <v>137.12170462771121</v>
      </c>
      <c r="S59" s="810">
        <v>136.16731602832755</v>
      </c>
      <c r="T59" s="811">
        <v>139.29352988254948</v>
      </c>
      <c r="U59" s="811">
        <v>138.87015988571329</v>
      </c>
      <c r="V59" s="811" t="s">
        <v>288</v>
      </c>
      <c r="W59" s="811">
        <v>136.82438928121147</v>
      </c>
      <c r="X59" s="811">
        <v>135.41667919511519</v>
      </c>
      <c r="Y59" s="812">
        <v>136.28611789319399</v>
      </c>
      <c r="Z59" s="809">
        <v>47.047985519813345</v>
      </c>
      <c r="AA59" s="811">
        <v>46.708948917932055</v>
      </c>
      <c r="AB59" s="811">
        <v>47.819596544536921</v>
      </c>
      <c r="AC59" s="811">
        <v>47.669218606880413</v>
      </c>
      <c r="AD59" s="811">
        <v>0</v>
      </c>
      <c r="AE59" s="811">
        <v>46.942433341575288</v>
      </c>
      <c r="AF59" s="811">
        <v>46.442128170324395</v>
      </c>
      <c r="AG59" s="811">
        <v>46.751068872506636</v>
      </c>
      <c r="AH59" s="813">
        <v>650149.07480644947</v>
      </c>
      <c r="AI59" s="814">
        <v>102973.51278693142</v>
      </c>
      <c r="AJ59" s="815">
        <v>111592.14278660215</v>
      </c>
      <c r="AK59" s="815">
        <v>107140.74129181074</v>
      </c>
      <c r="AL59" s="815">
        <v>0</v>
      </c>
      <c r="AM59" s="815">
        <v>100459.77673251201</v>
      </c>
      <c r="AN59" s="815">
        <v>115868.15718167744</v>
      </c>
      <c r="AO59" s="816">
        <v>112114.74402691581</v>
      </c>
    </row>
    <row r="60" spans="1:41" ht="15.6" x14ac:dyDescent="0.3">
      <c r="A60" s="225" t="s">
        <v>292</v>
      </c>
      <c r="B60" s="801">
        <v>1979583.7188143132</v>
      </c>
      <c r="C60" s="802">
        <v>313093.4137232455</v>
      </c>
      <c r="D60" s="803">
        <v>340279.1328295265</v>
      </c>
      <c r="E60" s="803">
        <v>325456.45721420209</v>
      </c>
      <c r="F60" s="803">
        <v>0</v>
      </c>
      <c r="G60" s="803">
        <v>305528.19932541286</v>
      </c>
      <c r="H60" s="803">
        <v>353259.42555811815</v>
      </c>
      <c r="I60" s="804">
        <v>341967.09016380814</v>
      </c>
      <c r="J60" s="805">
        <v>14049.703418803419</v>
      </c>
      <c r="K60" s="806">
        <v>2237.7406232332305</v>
      </c>
      <c r="L60" s="806">
        <v>2377.3268765173439</v>
      </c>
      <c r="M60" s="807">
        <v>2280.7934484020084</v>
      </c>
      <c r="N60" s="807">
        <v>0</v>
      </c>
      <c r="O60" s="806">
        <v>2173.1613854800626</v>
      </c>
      <c r="P60" s="806">
        <v>2538.7749709002628</v>
      </c>
      <c r="Q60" s="806">
        <v>2441.9061142705114</v>
      </c>
      <c r="R60" s="809">
        <v>140.89861257604466</v>
      </c>
      <c r="S60" s="810">
        <v>139.91497069524891</v>
      </c>
      <c r="T60" s="811">
        <v>143.13518943933244</v>
      </c>
      <c r="U60" s="811">
        <v>142.6944020039283</v>
      </c>
      <c r="V60" s="811" t="s">
        <v>288</v>
      </c>
      <c r="W60" s="811">
        <v>140.5915830121011</v>
      </c>
      <c r="X60" s="811">
        <v>139.14562322664247</v>
      </c>
      <c r="Y60" s="812">
        <v>140.04104751011957</v>
      </c>
      <c r="Z60" s="809">
        <v>48.755678065362318</v>
      </c>
      <c r="AA60" s="811">
        <v>48.40395255881522</v>
      </c>
      <c r="AB60" s="811">
        <v>49.555825522312155</v>
      </c>
      <c r="AC60" s="811">
        <v>49.398993113133628</v>
      </c>
      <c r="AD60" s="811">
        <v>0</v>
      </c>
      <c r="AE60" s="811">
        <v>48.646062437976163</v>
      </c>
      <c r="AF60" s="811">
        <v>48.127946318412825</v>
      </c>
      <c r="AG60" s="811">
        <v>48.448324622938905</v>
      </c>
      <c r="AH60" s="813">
        <v>685002.8168009998</v>
      </c>
      <c r="AI60" s="814">
        <v>108315.4909659149</v>
      </c>
      <c r="AJ60" s="815">
        <v>117810.39590219682</v>
      </c>
      <c r="AK60" s="815">
        <v>112668.89985009111</v>
      </c>
      <c r="AL60" s="815">
        <v>0</v>
      </c>
      <c r="AM60" s="815">
        <v>105715.74444586191</v>
      </c>
      <c r="AN60" s="815">
        <v>122186.02551401794</v>
      </c>
      <c r="AO60" s="816">
        <v>118306.26012291708</v>
      </c>
    </row>
    <row r="61" spans="1:41" ht="15.6" x14ac:dyDescent="0.3">
      <c r="A61" s="225" t="s">
        <v>293</v>
      </c>
      <c r="B61" s="801">
        <v>1997034.9273510827</v>
      </c>
      <c r="C61" s="802">
        <v>315972.84564907447</v>
      </c>
      <c r="D61" s="803">
        <v>343246.86442557001</v>
      </c>
      <c r="E61" s="803">
        <v>328389.71245139779</v>
      </c>
      <c r="F61" s="803">
        <v>0</v>
      </c>
      <c r="G61" s="803">
        <v>308426.22875322145</v>
      </c>
      <c r="H61" s="803">
        <v>356133.07289484894</v>
      </c>
      <c r="I61" s="804">
        <v>344866.20317697007</v>
      </c>
      <c r="J61" s="805">
        <v>14185.312820512821</v>
      </c>
      <c r="K61" s="806">
        <v>2260.1495661051558</v>
      </c>
      <c r="L61" s="806">
        <v>2400.104747320062</v>
      </c>
      <c r="M61" s="807">
        <v>2303.2126987866654</v>
      </c>
      <c r="N61" s="807">
        <v>0</v>
      </c>
      <c r="O61" s="806">
        <v>2195.5548670828916</v>
      </c>
      <c r="P61" s="806">
        <v>2561.5914948757222</v>
      </c>
      <c r="Q61" s="806">
        <v>2464.6994463423257</v>
      </c>
      <c r="R61" s="809">
        <v>140.78187436679221</v>
      </c>
      <c r="S61" s="810">
        <v>139.80174161375544</v>
      </c>
      <c r="T61" s="811">
        <v>143.01328506967738</v>
      </c>
      <c r="U61" s="811">
        <v>142.57897788788409</v>
      </c>
      <c r="V61" s="811" t="s">
        <v>288</v>
      </c>
      <c r="W61" s="811">
        <v>140.47757738935934</v>
      </c>
      <c r="X61" s="811">
        <v>139.02805096256265</v>
      </c>
      <c r="Y61" s="812">
        <v>139.92221391892627</v>
      </c>
      <c r="Z61" s="809">
        <v>48.525735824242673</v>
      </c>
      <c r="AA61" s="811">
        <v>48.176130011720872</v>
      </c>
      <c r="AB61" s="811">
        <v>49.321472980708329</v>
      </c>
      <c r="AC61" s="811">
        <v>49.166512081302521</v>
      </c>
      <c r="AD61" s="811">
        <v>0</v>
      </c>
      <c r="AE61" s="811">
        <v>48.417061513174914</v>
      </c>
      <c r="AF61" s="811">
        <v>47.900499407124897</v>
      </c>
      <c r="AG61" s="811">
        <v>48.219274761061818</v>
      </c>
      <c r="AH61" s="813">
        <v>688352.74251244788</v>
      </c>
      <c r="AI61" s="814">
        <v>108885.25934261651</v>
      </c>
      <c r="AJ61" s="815">
        <v>118376.70144581623</v>
      </c>
      <c r="AK61" s="815">
        <v>113240.93498070397</v>
      </c>
      <c r="AL61" s="815">
        <v>0</v>
      </c>
      <c r="AM61" s="815">
        <v>106302.31505510294</v>
      </c>
      <c r="AN61" s="815">
        <v>122701.5118815907</v>
      </c>
      <c r="AO61" s="816">
        <v>118846.01980661754</v>
      </c>
    </row>
    <row r="62" spans="1:41" ht="15.6" x14ac:dyDescent="0.3">
      <c r="A62" s="225" t="s">
        <v>294</v>
      </c>
      <c r="B62" s="801">
        <v>1845084.4022311228</v>
      </c>
      <c r="C62" s="802">
        <v>291835.75638521003</v>
      </c>
      <c r="D62" s="803">
        <v>317007.14091121359</v>
      </c>
      <c r="E62" s="803">
        <v>303758.91342979053</v>
      </c>
      <c r="F62" s="803">
        <v>0</v>
      </c>
      <c r="G62" s="803">
        <v>284191.84811323555</v>
      </c>
      <c r="H62" s="803">
        <v>329115.57970595371</v>
      </c>
      <c r="I62" s="804">
        <v>319175.16368571948</v>
      </c>
      <c r="J62" s="805">
        <v>13152.951282051283</v>
      </c>
      <c r="K62" s="806">
        <v>2094.9932830110374</v>
      </c>
      <c r="L62" s="806">
        <v>2224.5839253984936</v>
      </c>
      <c r="M62" s="807">
        <v>2138.079292634528</v>
      </c>
      <c r="N62" s="807">
        <v>0</v>
      </c>
      <c r="O62" s="806">
        <v>2030.3642685758011</v>
      </c>
      <c r="P62" s="806">
        <v>2375.7175725976945</v>
      </c>
      <c r="Q62" s="806">
        <v>2289.2129398337293</v>
      </c>
      <c r="R62" s="809">
        <v>140.27911779381051</v>
      </c>
      <c r="S62" s="810">
        <v>139.30152366205581</v>
      </c>
      <c r="T62" s="811">
        <v>142.50176731562399</v>
      </c>
      <c r="U62" s="811">
        <v>142.07092995858946</v>
      </c>
      <c r="V62" s="811" t="s">
        <v>288</v>
      </c>
      <c r="W62" s="811">
        <v>139.9708675490935</v>
      </c>
      <c r="X62" s="811">
        <v>138.53312510800137</v>
      </c>
      <c r="Y62" s="812">
        <v>139.42572057490725</v>
      </c>
      <c r="Z62" s="809">
        <v>47.858892579453702</v>
      </c>
      <c r="AA62" s="811">
        <v>47.513896294896455</v>
      </c>
      <c r="AB62" s="811">
        <v>48.643567414485965</v>
      </c>
      <c r="AC62" s="811">
        <v>48.491082938331537</v>
      </c>
      <c r="AD62" s="811">
        <v>0</v>
      </c>
      <c r="AE62" s="811">
        <v>47.75077715395625</v>
      </c>
      <c r="AF62" s="811">
        <v>47.242508000358072</v>
      </c>
      <c r="AG62" s="811">
        <v>47.557210784666701</v>
      </c>
      <c r="AH62" s="813">
        <v>629485.68251048017</v>
      </c>
      <c r="AI62" s="814">
        <v>99541.293587491091</v>
      </c>
      <c r="AJ62" s="815">
        <v>108211.69814430345</v>
      </c>
      <c r="AK62" s="815">
        <v>103677.78030787013</v>
      </c>
      <c r="AL62" s="815">
        <v>0</v>
      </c>
      <c r="AM62" s="815">
        <v>96951.471730118457</v>
      </c>
      <c r="AN62" s="815">
        <v>112234.85643003783</v>
      </c>
      <c r="AO62" s="816">
        <v>108868.58231065919</v>
      </c>
    </row>
    <row r="63" spans="1:41" ht="15.6" x14ac:dyDescent="0.3">
      <c r="A63" s="225" t="s">
        <v>295</v>
      </c>
      <c r="B63" s="801">
        <v>1854332.4833255112</v>
      </c>
      <c r="C63" s="802">
        <v>294303.20593306021</v>
      </c>
      <c r="D63" s="803">
        <v>318085.64522533165</v>
      </c>
      <c r="E63" s="803">
        <v>304803.28765282495</v>
      </c>
      <c r="F63" s="803">
        <v>0</v>
      </c>
      <c r="G63" s="803">
        <v>286624.72760754928</v>
      </c>
      <c r="H63" s="803">
        <v>330239.39934296731</v>
      </c>
      <c r="I63" s="804">
        <v>320276.21756377781</v>
      </c>
      <c r="J63" s="805">
        <v>13182.709401709404</v>
      </c>
      <c r="K63" s="806">
        <v>2106.8263652056758</v>
      </c>
      <c r="L63" s="806">
        <v>2226.0550292619259</v>
      </c>
      <c r="M63" s="807">
        <v>2139.6062902614626</v>
      </c>
      <c r="N63" s="807">
        <v>0</v>
      </c>
      <c r="O63" s="806">
        <v>2041.9898109553283</v>
      </c>
      <c r="P63" s="806">
        <v>2377.3403225127367</v>
      </c>
      <c r="Q63" s="806">
        <v>2290.8915835122734</v>
      </c>
      <c r="R63" s="809">
        <v>140.6639884730418</v>
      </c>
      <c r="S63" s="810">
        <v>139.6902994919229</v>
      </c>
      <c r="T63" s="811">
        <v>142.89208534561547</v>
      </c>
      <c r="U63" s="811">
        <v>142.4576516904788</v>
      </c>
      <c r="V63" s="811" t="s">
        <v>288</v>
      </c>
      <c r="W63" s="811">
        <v>140.36540538537469</v>
      </c>
      <c r="X63" s="811">
        <v>138.9112851095378</v>
      </c>
      <c r="Y63" s="812">
        <v>139.80417924131848</v>
      </c>
      <c r="Z63" s="809">
        <v>47.160863874156796</v>
      </c>
      <c r="AA63" s="811">
        <v>46.82227145957016</v>
      </c>
      <c r="AB63" s="811">
        <v>47.934107673260321</v>
      </c>
      <c r="AC63" s="811">
        <v>47.783419699137674</v>
      </c>
      <c r="AD63" s="811">
        <v>0</v>
      </c>
      <c r="AE63" s="811">
        <v>47.056392803204218</v>
      </c>
      <c r="AF63" s="811">
        <v>46.553324403205522</v>
      </c>
      <c r="AG63" s="811">
        <v>46.863034312263316</v>
      </c>
      <c r="AH63" s="813">
        <v>621707.9635865842</v>
      </c>
      <c r="AI63" s="814">
        <v>98646.395989839657</v>
      </c>
      <c r="AJ63" s="815">
        <v>106703.96145924382</v>
      </c>
      <c r="AK63" s="815">
        <v>102237.70535847846</v>
      </c>
      <c r="AL63" s="815">
        <v>0</v>
      </c>
      <c r="AM63" s="815">
        <v>96088.674644454659</v>
      </c>
      <c r="AN63" s="815">
        <v>110673.09525075667</v>
      </c>
      <c r="AO63" s="816">
        <v>107358.13088381091</v>
      </c>
    </row>
  </sheetData>
  <mergeCells count="10">
    <mergeCell ref="Z1:Z2"/>
    <mergeCell ref="AA1:AG1"/>
    <mergeCell ref="AH1:AH2"/>
    <mergeCell ref="AI1:AO1"/>
    <mergeCell ref="S1:Y1"/>
    <mergeCell ref="B1:B2"/>
    <mergeCell ref="C1:I1"/>
    <mergeCell ref="J1:J2"/>
    <mergeCell ref="K1:Q1"/>
    <mergeCell ref="R1:R2"/>
  </mergeCells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F6E0-7B19-4FD8-92D7-5435D253293C}">
  <sheetPr codeName="Sheet14"/>
  <dimension ref="A1:AO63"/>
  <sheetViews>
    <sheetView zoomScaleNormal="100" workbookViewId="0">
      <pane xSplit="1" ySplit="2" topLeftCell="Y38" activePane="bottomRight" state="frozen"/>
      <selection pane="topRight" activeCell="B1" sqref="B1"/>
      <selection pane="bottomLeft" activeCell="A3" sqref="A3"/>
      <selection pane="bottomRight" activeCell="E48" sqref="E48"/>
    </sheetView>
  </sheetViews>
  <sheetFormatPr defaultColWidth="9.44140625" defaultRowHeight="14.4" x14ac:dyDescent="0.3"/>
  <cols>
    <col min="2" max="2" width="13.44140625" customWidth="1"/>
    <col min="3" max="3" width="10" bestFit="1" customWidth="1"/>
    <col min="10" max="10" width="13.44140625" customWidth="1"/>
    <col min="11" max="11" width="10" bestFit="1" customWidth="1"/>
    <col min="18" max="18" width="13.44140625" customWidth="1"/>
    <col min="34" max="34" width="9.44140625" bestFit="1" customWidth="1"/>
  </cols>
  <sheetData>
    <row r="1" spans="1:41" ht="14.85" customHeight="1" x14ac:dyDescent="0.3">
      <c r="B1" s="984" t="s">
        <v>277</v>
      </c>
      <c r="C1" s="986" t="s">
        <v>278</v>
      </c>
      <c r="D1" s="987"/>
      <c r="E1" s="987"/>
      <c r="F1" s="987"/>
      <c r="G1" s="987"/>
      <c r="H1" s="987"/>
      <c r="I1" s="988"/>
      <c r="J1" s="984" t="s">
        <v>279</v>
      </c>
      <c r="K1" s="989" t="s">
        <v>280</v>
      </c>
      <c r="L1" s="990"/>
      <c r="M1" s="990"/>
      <c r="N1" s="990"/>
      <c r="O1" s="990"/>
      <c r="P1" s="990"/>
      <c r="Q1" s="991"/>
      <c r="R1" s="984" t="s">
        <v>281</v>
      </c>
      <c r="S1" s="995" t="s">
        <v>282</v>
      </c>
      <c r="T1" s="996"/>
      <c r="U1" s="996"/>
      <c r="V1" s="996"/>
      <c r="W1" s="996"/>
      <c r="X1" s="996"/>
      <c r="Y1" s="997"/>
      <c r="Z1" s="984" t="s">
        <v>283</v>
      </c>
      <c r="AA1" s="995" t="s">
        <v>284</v>
      </c>
      <c r="AB1" s="996"/>
      <c r="AC1" s="996"/>
      <c r="AD1" s="996"/>
      <c r="AE1" s="996"/>
      <c r="AF1" s="996"/>
      <c r="AG1" s="997"/>
      <c r="AH1" s="984" t="s">
        <v>285</v>
      </c>
      <c r="AI1" s="995" t="s">
        <v>286</v>
      </c>
      <c r="AJ1" s="996"/>
      <c r="AK1" s="996"/>
      <c r="AL1" s="996"/>
      <c r="AM1" s="996"/>
      <c r="AN1" s="996"/>
      <c r="AO1" s="997"/>
    </row>
    <row r="2" spans="1:41" ht="15" thickBot="1" x14ac:dyDescent="0.35">
      <c r="B2" s="985"/>
      <c r="C2" s="226" t="s">
        <v>116</v>
      </c>
      <c r="D2" s="220" t="s">
        <v>117</v>
      </c>
      <c r="E2" s="220" t="s">
        <v>118</v>
      </c>
      <c r="F2" s="220" t="s">
        <v>119</v>
      </c>
      <c r="G2" s="220" t="s">
        <v>113</v>
      </c>
      <c r="H2" s="220" t="s">
        <v>114</v>
      </c>
      <c r="I2" s="221" t="s">
        <v>115</v>
      </c>
      <c r="J2" s="985"/>
      <c r="K2" s="222" t="s">
        <v>116</v>
      </c>
      <c r="L2" s="223" t="s">
        <v>117</v>
      </c>
      <c r="M2" s="223" t="s">
        <v>118</v>
      </c>
      <c r="N2" s="223" t="s">
        <v>119</v>
      </c>
      <c r="O2" s="223" t="s">
        <v>113</v>
      </c>
      <c r="P2" s="223" t="s">
        <v>114</v>
      </c>
      <c r="Q2" s="224" t="s">
        <v>115</v>
      </c>
      <c r="R2" s="985"/>
      <c r="S2" s="228" t="s">
        <v>116</v>
      </c>
      <c r="T2" s="229" t="s">
        <v>117</v>
      </c>
      <c r="U2" s="229" t="s">
        <v>118</v>
      </c>
      <c r="V2" s="229" t="s">
        <v>119</v>
      </c>
      <c r="W2" s="229" t="s">
        <v>113</v>
      </c>
      <c r="X2" s="229" t="s">
        <v>114</v>
      </c>
      <c r="Y2" s="230" t="s">
        <v>115</v>
      </c>
      <c r="Z2" s="985"/>
      <c r="AA2" s="228" t="s">
        <v>116</v>
      </c>
      <c r="AB2" s="229" t="s">
        <v>117</v>
      </c>
      <c r="AC2" s="229" t="s">
        <v>118</v>
      </c>
      <c r="AD2" s="229" t="s">
        <v>119</v>
      </c>
      <c r="AE2" s="229" t="s">
        <v>113</v>
      </c>
      <c r="AF2" s="229" t="s">
        <v>114</v>
      </c>
      <c r="AG2" s="230" t="s">
        <v>115</v>
      </c>
      <c r="AH2" s="985"/>
      <c r="AI2" s="228" t="s">
        <v>116</v>
      </c>
      <c r="AJ2" s="229" t="s">
        <v>117</v>
      </c>
      <c r="AK2" s="229" t="s">
        <v>118</v>
      </c>
      <c r="AL2" s="229" t="s">
        <v>119</v>
      </c>
      <c r="AM2" s="229" t="s">
        <v>113</v>
      </c>
      <c r="AN2" s="229" t="s">
        <v>114</v>
      </c>
      <c r="AO2" s="230" t="s">
        <v>115</v>
      </c>
    </row>
    <row r="3" spans="1:41" ht="15.6" x14ac:dyDescent="0.3">
      <c r="A3" s="225" t="s">
        <v>287</v>
      </c>
      <c r="B3" s="801">
        <v>740809.17003180354</v>
      </c>
      <c r="C3" s="802">
        <v>229941.03941348114</v>
      </c>
      <c r="D3" s="803">
        <v>216935.37181312899</v>
      </c>
      <c r="E3" s="803">
        <v>0</v>
      </c>
      <c r="F3" s="803">
        <v>0</v>
      </c>
      <c r="G3" s="803">
        <v>99250.093990194669</v>
      </c>
      <c r="H3" s="803">
        <v>101231.23094357143</v>
      </c>
      <c r="I3" s="804">
        <v>93451.433871427304</v>
      </c>
      <c r="J3" s="805">
        <v>5350</v>
      </c>
      <c r="K3" s="806">
        <v>1600</v>
      </c>
      <c r="L3" s="807">
        <v>1650</v>
      </c>
      <c r="M3" s="807">
        <v>0</v>
      </c>
      <c r="N3" s="807">
        <v>0</v>
      </c>
      <c r="O3" s="807">
        <v>700</v>
      </c>
      <c r="P3" s="807">
        <v>750</v>
      </c>
      <c r="Q3" s="808">
        <v>650</v>
      </c>
      <c r="R3" s="809">
        <v>138.46900374426235</v>
      </c>
      <c r="S3" s="810">
        <v>143.7131496334257</v>
      </c>
      <c r="T3" s="811">
        <v>131.47598291704787</v>
      </c>
      <c r="U3" s="811" t="s">
        <v>288</v>
      </c>
      <c r="V3" s="811" t="s">
        <v>288</v>
      </c>
      <c r="W3" s="811">
        <v>141.78584855742096</v>
      </c>
      <c r="X3" s="811">
        <v>134.97497459142858</v>
      </c>
      <c r="Y3" s="812">
        <v>143.77143672527276</v>
      </c>
      <c r="Z3" s="809">
        <v>41.734819545133469</v>
      </c>
      <c r="AA3" s="810">
        <v>42.728610961412329</v>
      </c>
      <c r="AB3" s="811">
        <v>39.045859041577181</v>
      </c>
      <c r="AC3" s="811">
        <v>0</v>
      </c>
      <c r="AD3" s="811">
        <v>0</v>
      </c>
      <c r="AE3" s="811">
        <v>43.656842866525146</v>
      </c>
      <c r="AF3" s="811">
        <v>41.534592037673136</v>
      </c>
      <c r="AG3" s="812">
        <v>44.275547038122347</v>
      </c>
      <c r="AH3" s="813">
        <v>223281.28456646408</v>
      </c>
      <c r="AI3" s="814">
        <v>68365.777538259732</v>
      </c>
      <c r="AJ3" s="815">
        <v>64425.667418602352</v>
      </c>
      <c r="AK3" s="815">
        <v>0</v>
      </c>
      <c r="AL3" s="815">
        <v>0</v>
      </c>
      <c r="AM3" s="815">
        <v>30559.790006567604</v>
      </c>
      <c r="AN3" s="815">
        <v>31150.944028254853</v>
      </c>
      <c r="AO3" s="816">
        <v>28779.105574779525</v>
      </c>
    </row>
    <row r="4" spans="1:41" ht="15.6" x14ac:dyDescent="0.3">
      <c r="A4" s="225" t="s">
        <v>289</v>
      </c>
      <c r="B4" s="801">
        <v>595300.9086697849</v>
      </c>
      <c r="C4" s="802">
        <v>72256.148349408424</v>
      </c>
      <c r="D4" s="803">
        <v>143176.76305116838</v>
      </c>
      <c r="E4" s="803">
        <v>140553.62384672175</v>
      </c>
      <c r="F4" s="803">
        <v>0</v>
      </c>
      <c r="G4" s="803">
        <v>88517.580873995597</v>
      </c>
      <c r="H4" s="803">
        <v>75125.4114978258</v>
      </c>
      <c r="I4" s="804">
        <v>75671.381050664961</v>
      </c>
      <c r="J4" s="805">
        <v>4050</v>
      </c>
      <c r="K4" s="806">
        <v>500</v>
      </c>
      <c r="L4" s="807">
        <v>900</v>
      </c>
      <c r="M4" s="807">
        <v>900</v>
      </c>
      <c r="N4" s="807">
        <v>0</v>
      </c>
      <c r="O4" s="807">
        <v>650</v>
      </c>
      <c r="P4" s="807">
        <v>550</v>
      </c>
      <c r="Q4" s="808">
        <v>550</v>
      </c>
      <c r="R4" s="809">
        <v>146.98787868389749</v>
      </c>
      <c r="S4" s="810">
        <v>144.51229669881684</v>
      </c>
      <c r="T4" s="811">
        <v>159.08529227907599</v>
      </c>
      <c r="U4" s="811">
        <v>156.17069316302417</v>
      </c>
      <c r="V4" s="811" t="s">
        <v>288</v>
      </c>
      <c r="W4" s="811">
        <v>136.18089365230091</v>
      </c>
      <c r="X4" s="811">
        <v>136.59165726877418</v>
      </c>
      <c r="Y4" s="812">
        <v>137.58432918302719</v>
      </c>
      <c r="Z4" s="809">
        <v>49.849373065217328</v>
      </c>
      <c r="AA4" s="810">
        <v>49</v>
      </c>
      <c r="AB4" s="811">
        <v>54</v>
      </c>
      <c r="AC4" s="811">
        <v>53.000000000000007</v>
      </c>
      <c r="AD4" s="811">
        <v>0</v>
      </c>
      <c r="AE4" s="811">
        <v>46.14149263250934</v>
      </c>
      <c r="AF4" s="811">
        <v>46.282425776354415</v>
      </c>
      <c r="AG4" s="812">
        <v>46.623011865462168</v>
      </c>
      <c r="AH4" s="813">
        <v>201889.96091413018</v>
      </c>
      <c r="AI4" s="814">
        <v>24500</v>
      </c>
      <c r="AJ4" s="815">
        <v>48600</v>
      </c>
      <c r="AK4" s="815">
        <v>47700.000000000007</v>
      </c>
      <c r="AL4" s="815">
        <v>0</v>
      </c>
      <c r="AM4" s="815">
        <v>29991.970211131073</v>
      </c>
      <c r="AN4" s="815">
        <v>25455.334176994929</v>
      </c>
      <c r="AO4" s="816">
        <v>25642.656526004193</v>
      </c>
    </row>
    <row r="5" spans="1:41" ht="15.6" x14ac:dyDescent="0.3">
      <c r="A5" s="225" t="s">
        <v>290</v>
      </c>
      <c r="B5" s="801">
        <v>589076.15400121897</v>
      </c>
      <c r="C5" s="802">
        <v>83330.81458079374</v>
      </c>
      <c r="D5" s="803">
        <v>127417.84675900836</v>
      </c>
      <c r="E5" s="803">
        <v>129839.47164682615</v>
      </c>
      <c r="F5" s="803">
        <v>0</v>
      </c>
      <c r="G5" s="803">
        <v>90013.538649034381</v>
      </c>
      <c r="H5" s="803">
        <v>74404.18226134307</v>
      </c>
      <c r="I5" s="804">
        <v>84070.300104213253</v>
      </c>
      <c r="J5" s="805">
        <v>4350</v>
      </c>
      <c r="K5" s="806">
        <v>600</v>
      </c>
      <c r="L5" s="807">
        <v>900</v>
      </c>
      <c r="M5" s="807">
        <v>900</v>
      </c>
      <c r="N5" s="807">
        <v>0</v>
      </c>
      <c r="O5" s="807">
        <v>700</v>
      </c>
      <c r="P5" s="807">
        <v>600</v>
      </c>
      <c r="Q5" s="808">
        <v>650</v>
      </c>
      <c r="R5" s="809">
        <v>135.41980551752161</v>
      </c>
      <c r="S5" s="810">
        <v>138.88469096798957</v>
      </c>
      <c r="T5" s="811">
        <v>141.57538528778707</v>
      </c>
      <c r="U5" s="811">
        <v>144.2660796075846</v>
      </c>
      <c r="V5" s="811" t="s">
        <v>288</v>
      </c>
      <c r="W5" s="811">
        <v>128.59076949862055</v>
      </c>
      <c r="X5" s="811">
        <v>124.00697043557179</v>
      </c>
      <c r="Y5" s="812">
        <v>129.33892323725115</v>
      </c>
      <c r="Z5" s="809">
        <v>49.712270871880854</v>
      </c>
      <c r="AA5" s="810">
        <v>50.999999999999993</v>
      </c>
      <c r="AB5" s="811">
        <v>51.999999999999993</v>
      </c>
      <c r="AC5" s="811">
        <v>53.000000000000007</v>
      </c>
      <c r="AD5" s="811">
        <v>0</v>
      </c>
      <c r="AE5" s="811">
        <v>47.174250863939186</v>
      </c>
      <c r="AF5" s="811">
        <v>45.470676054522073</v>
      </c>
      <c r="AG5" s="812">
        <v>47.452303161863135</v>
      </c>
      <c r="AH5" s="813">
        <v>216248.37829268171</v>
      </c>
      <c r="AI5" s="814">
        <v>30599.999999999996</v>
      </c>
      <c r="AJ5" s="815">
        <v>46799.999999999993</v>
      </c>
      <c r="AK5" s="815">
        <v>47700.000000000007</v>
      </c>
      <c r="AL5" s="815">
        <v>0</v>
      </c>
      <c r="AM5" s="815">
        <v>33021.975604757426</v>
      </c>
      <c r="AN5" s="815">
        <v>27282.405632713242</v>
      </c>
      <c r="AO5" s="816">
        <v>30843.997055211039</v>
      </c>
    </row>
    <row r="6" spans="1:41" ht="15.6" x14ac:dyDescent="0.3">
      <c r="A6" s="225" t="s">
        <v>291</v>
      </c>
      <c r="B6" s="801">
        <v>604411.4402118721</v>
      </c>
      <c r="C6" s="802">
        <v>81005.805857601154</v>
      </c>
      <c r="D6" s="803">
        <v>141453.29723771187</v>
      </c>
      <c r="E6" s="803">
        <v>138814.4763117432</v>
      </c>
      <c r="F6" s="803">
        <v>0</v>
      </c>
      <c r="G6" s="803">
        <v>86726.880038976757</v>
      </c>
      <c r="H6" s="803">
        <v>75405.174908237997</v>
      </c>
      <c r="I6" s="804">
        <v>81005.805857601154</v>
      </c>
      <c r="J6" s="805">
        <v>4350</v>
      </c>
      <c r="K6" s="806">
        <v>600</v>
      </c>
      <c r="L6" s="807">
        <v>950</v>
      </c>
      <c r="M6" s="807">
        <v>950</v>
      </c>
      <c r="N6" s="807">
        <v>0</v>
      </c>
      <c r="O6" s="807">
        <v>650</v>
      </c>
      <c r="P6" s="807">
        <v>600</v>
      </c>
      <c r="Q6" s="808">
        <v>600</v>
      </c>
      <c r="R6" s="809">
        <v>138.94515866939588</v>
      </c>
      <c r="S6" s="810">
        <v>135.00967642933526</v>
      </c>
      <c r="T6" s="811">
        <v>148.89820761864408</v>
      </c>
      <c r="U6" s="811">
        <v>146.12050138078231</v>
      </c>
      <c r="V6" s="811" t="s">
        <v>288</v>
      </c>
      <c r="W6" s="811">
        <v>133.42596929073346</v>
      </c>
      <c r="X6" s="811">
        <v>125.67529151373</v>
      </c>
      <c r="Y6" s="812">
        <v>135.00967642933526</v>
      </c>
      <c r="Z6" s="809">
        <v>49.416810095472911</v>
      </c>
      <c r="AA6" s="810">
        <v>48.000000000000007</v>
      </c>
      <c r="AB6" s="811">
        <v>53</v>
      </c>
      <c r="AC6" s="811">
        <v>52</v>
      </c>
      <c r="AD6" s="811">
        <v>0</v>
      </c>
      <c r="AE6" s="811">
        <v>47.429850746268656</v>
      </c>
      <c r="AF6" s="811">
        <v>44.639534883720934</v>
      </c>
      <c r="AG6" s="812">
        <v>48.000000000000007</v>
      </c>
      <c r="AH6" s="813">
        <v>214963.12391530717</v>
      </c>
      <c r="AI6" s="814">
        <v>28800.000000000004</v>
      </c>
      <c r="AJ6" s="815">
        <v>50350</v>
      </c>
      <c r="AK6" s="815">
        <v>49400</v>
      </c>
      <c r="AL6" s="815">
        <v>0</v>
      </c>
      <c r="AM6" s="815">
        <v>30829.402985074626</v>
      </c>
      <c r="AN6" s="815">
        <v>26783.720930232561</v>
      </c>
      <c r="AO6" s="816">
        <v>28800.000000000004</v>
      </c>
    </row>
    <row r="7" spans="1:41" ht="15.6" x14ac:dyDescent="0.3">
      <c r="A7" s="225" t="s">
        <v>292</v>
      </c>
      <c r="B7" s="801">
        <v>558348.71615565033</v>
      </c>
      <c r="C7" s="802">
        <v>68103.241759119046</v>
      </c>
      <c r="D7" s="803">
        <v>116348.78434390026</v>
      </c>
      <c r="E7" s="803">
        <v>136618.65385263506</v>
      </c>
      <c r="F7" s="803">
        <v>0</v>
      </c>
      <c r="G7" s="803">
        <v>93473.778362698387</v>
      </c>
      <c r="H7" s="803">
        <v>70790.372259519063</v>
      </c>
      <c r="I7" s="804">
        <v>73013.885577778477</v>
      </c>
      <c r="J7" s="805">
        <v>4450</v>
      </c>
      <c r="K7" s="806">
        <v>550</v>
      </c>
      <c r="L7" s="807">
        <v>900</v>
      </c>
      <c r="M7" s="807">
        <v>1050</v>
      </c>
      <c r="N7" s="807">
        <v>0</v>
      </c>
      <c r="O7" s="807">
        <v>750</v>
      </c>
      <c r="P7" s="807">
        <v>600</v>
      </c>
      <c r="Q7" s="808">
        <v>600</v>
      </c>
      <c r="R7" s="809">
        <v>125.4716216080113</v>
      </c>
      <c r="S7" s="810">
        <v>123.824075925671</v>
      </c>
      <c r="T7" s="811">
        <v>129.27642704877806</v>
      </c>
      <c r="U7" s="811">
        <v>130.11300366917624</v>
      </c>
      <c r="V7" s="811" t="s">
        <v>288</v>
      </c>
      <c r="W7" s="811">
        <v>124.63170448359784</v>
      </c>
      <c r="X7" s="811">
        <v>117.98395376586511</v>
      </c>
      <c r="Y7" s="812">
        <v>121.68980929629747</v>
      </c>
      <c r="Z7" s="809">
        <v>47.591747435343699</v>
      </c>
      <c r="AA7" s="810">
        <v>46.958076019058964</v>
      </c>
      <c r="AB7" s="811">
        <v>49.05513414333091</v>
      </c>
      <c r="AC7" s="811">
        <v>49.376894381945597</v>
      </c>
      <c r="AD7" s="811">
        <v>0</v>
      </c>
      <c r="AE7" s="811">
        <v>47.268702387492368</v>
      </c>
      <c r="AF7" s="811">
        <v>44.711875188364395</v>
      </c>
      <c r="AG7" s="812">
        <v>46.137204238530686</v>
      </c>
      <c r="AH7" s="813">
        <v>211783.27608727946</v>
      </c>
      <c r="AI7" s="814">
        <v>25826.941810482429</v>
      </c>
      <c r="AJ7" s="815">
        <v>44149.620728997819</v>
      </c>
      <c r="AK7" s="815">
        <v>51845.739101042876</v>
      </c>
      <c r="AL7" s="815">
        <v>0</v>
      </c>
      <c r="AM7" s="815">
        <v>35451.526790619275</v>
      </c>
      <c r="AN7" s="815">
        <v>26827.125113018636</v>
      </c>
      <c r="AO7" s="816">
        <v>27682.322543118411</v>
      </c>
    </row>
    <row r="8" spans="1:41" ht="15.6" x14ac:dyDescent="0.3">
      <c r="A8" s="225" t="s">
        <v>293</v>
      </c>
      <c r="B8" s="801">
        <v>557117.02589892258</v>
      </c>
      <c r="C8" s="802">
        <v>62320.741103850414</v>
      </c>
      <c r="D8" s="803">
        <v>124957.46031023304</v>
      </c>
      <c r="E8" s="803">
        <v>137339.96946877553</v>
      </c>
      <c r="F8" s="803">
        <v>0</v>
      </c>
      <c r="G8" s="803">
        <v>93269.913258453627</v>
      </c>
      <c r="H8" s="803">
        <v>65563.046145262953</v>
      </c>
      <c r="I8" s="804">
        <v>73665.895612346998</v>
      </c>
      <c r="J8" s="805">
        <v>4400</v>
      </c>
      <c r="K8" s="806">
        <v>500</v>
      </c>
      <c r="L8" s="807">
        <v>950</v>
      </c>
      <c r="M8" s="807">
        <v>1050</v>
      </c>
      <c r="N8" s="807">
        <v>0</v>
      </c>
      <c r="O8" s="807">
        <v>750</v>
      </c>
      <c r="P8" s="807">
        <v>550</v>
      </c>
      <c r="Q8" s="808">
        <v>600</v>
      </c>
      <c r="R8" s="809">
        <v>126.61750588611876</v>
      </c>
      <c r="S8" s="810">
        <v>124.64148220770083</v>
      </c>
      <c r="T8" s="811">
        <v>131.53416874761373</v>
      </c>
      <c r="U8" s="811">
        <v>130.79997092264335</v>
      </c>
      <c r="V8" s="811" t="s">
        <v>288</v>
      </c>
      <c r="W8" s="811">
        <v>124.35988434460484</v>
      </c>
      <c r="X8" s="811">
        <v>119.20553844593265</v>
      </c>
      <c r="Y8" s="812">
        <v>122.776492687245</v>
      </c>
      <c r="Z8" s="809">
        <v>48.870078848938988</v>
      </c>
      <c r="AA8" s="810">
        <v>48.096622134424223</v>
      </c>
      <c r="AB8" s="811">
        <v>50.794562823884732</v>
      </c>
      <c r="AC8" s="811">
        <v>50.507182544130124</v>
      </c>
      <c r="AD8" s="811">
        <v>0</v>
      </c>
      <c r="AE8" s="811">
        <v>47.986398881341046</v>
      </c>
      <c r="AF8" s="811">
        <v>45.968880828393679</v>
      </c>
      <c r="AG8" s="812">
        <v>47.366626495783322</v>
      </c>
      <c r="AH8" s="813">
        <v>215028.34693533156</v>
      </c>
      <c r="AI8" s="814">
        <v>24048.311067212111</v>
      </c>
      <c r="AJ8" s="815">
        <v>48254.834682690496</v>
      </c>
      <c r="AK8" s="815">
        <v>53032.541671336628</v>
      </c>
      <c r="AL8" s="815">
        <v>0</v>
      </c>
      <c r="AM8" s="815">
        <v>35989.799161005787</v>
      </c>
      <c r="AN8" s="815">
        <v>25282.884455616524</v>
      </c>
      <c r="AO8" s="816">
        <v>28419.975897469994</v>
      </c>
    </row>
    <row r="9" spans="1:41" ht="15.6" x14ac:dyDescent="0.3">
      <c r="A9" s="225" t="s">
        <v>294</v>
      </c>
      <c r="B9" s="801">
        <v>562117.00364129397</v>
      </c>
      <c r="C9" s="802">
        <v>56705.052375896332</v>
      </c>
      <c r="D9" s="803">
        <v>134373.58350487641</v>
      </c>
      <c r="E9" s="803">
        <v>132328.46211869703</v>
      </c>
      <c r="F9" s="803">
        <v>0</v>
      </c>
      <c r="G9" s="803">
        <v>94201.132449085388</v>
      </c>
      <c r="H9" s="803">
        <v>71369.44482039375</v>
      </c>
      <c r="I9" s="804">
        <v>73139.328372344986</v>
      </c>
      <c r="J9" s="805">
        <v>4300</v>
      </c>
      <c r="K9" s="806">
        <v>450</v>
      </c>
      <c r="L9" s="807">
        <v>1000</v>
      </c>
      <c r="M9" s="807">
        <v>1000</v>
      </c>
      <c r="N9" s="807">
        <v>0</v>
      </c>
      <c r="O9" s="807">
        <v>750</v>
      </c>
      <c r="P9" s="807">
        <v>550</v>
      </c>
      <c r="Q9" s="808">
        <v>550</v>
      </c>
      <c r="R9" s="809">
        <v>130.72488456774278</v>
      </c>
      <c r="S9" s="810">
        <v>126.01122750199185</v>
      </c>
      <c r="T9" s="811">
        <v>134.37358350487642</v>
      </c>
      <c r="U9" s="811">
        <v>132.32846211869702</v>
      </c>
      <c r="V9" s="811" t="s">
        <v>288</v>
      </c>
      <c r="W9" s="811">
        <v>125.60150993211386</v>
      </c>
      <c r="X9" s="811">
        <v>129.76262694617046</v>
      </c>
      <c r="Y9" s="812">
        <v>132.98059704062726</v>
      </c>
      <c r="Z9" s="809">
        <v>49.784510520729846</v>
      </c>
      <c r="AA9" s="810">
        <v>47.963250099108983</v>
      </c>
      <c r="AB9" s="811">
        <v>51.194292961819038</v>
      </c>
      <c r="AC9" s="811">
        <v>50.40409999994187</v>
      </c>
      <c r="AD9" s="811">
        <v>0</v>
      </c>
      <c r="AE9" s="811">
        <v>47.804943632674814</v>
      </c>
      <c r="AF9" s="811">
        <v>49.412713909918601</v>
      </c>
      <c r="AG9" s="812">
        <v>50.656071559667367</v>
      </c>
      <c r="AH9" s="813">
        <v>214073.39523913834</v>
      </c>
      <c r="AI9" s="814">
        <v>21583.462544599042</v>
      </c>
      <c r="AJ9" s="815">
        <v>51194.292961819039</v>
      </c>
      <c r="AK9" s="815">
        <v>50404.099999941871</v>
      </c>
      <c r="AL9" s="815">
        <v>0</v>
      </c>
      <c r="AM9" s="815">
        <v>35853.707724506108</v>
      </c>
      <c r="AN9" s="815">
        <v>27176.992650455231</v>
      </c>
      <c r="AO9" s="816">
        <v>27860.839357817051</v>
      </c>
    </row>
    <row r="10" spans="1:41" ht="15.6" x14ac:dyDescent="0.3">
      <c r="A10" s="225" t="s">
        <v>295</v>
      </c>
      <c r="B10" s="801">
        <v>580977.89683237998</v>
      </c>
      <c r="C10" s="802">
        <v>67468.253137072534</v>
      </c>
      <c r="D10" s="803">
        <v>142155.39736059171</v>
      </c>
      <c r="E10" s="803">
        <v>138337.51413106319</v>
      </c>
      <c r="F10" s="803">
        <v>0</v>
      </c>
      <c r="G10" s="803">
        <v>99234.653542195534</v>
      </c>
      <c r="H10" s="803">
        <v>68523.896032776785</v>
      </c>
      <c r="I10" s="804">
        <v>65258.18262868029</v>
      </c>
      <c r="J10" s="805">
        <v>4300</v>
      </c>
      <c r="K10" s="806">
        <v>500</v>
      </c>
      <c r="L10" s="807">
        <v>1000</v>
      </c>
      <c r="M10" s="807">
        <v>1000</v>
      </c>
      <c r="N10" s="807">
        <v>0</v>
      </c>
      <c r="O10" s="807">
        <v>750</v>
      </c>
      <c r="P10" s="807">
        <v>550</v>
      </c>
      <c r="Q10" s="808">
        <v>500</v>
      </c>
      <c r="R10" s="809">
        <v>135.1111387982279</v>
      </c>
      <c r="S10" s="810">
        <v>134.93650627414507</v>
      </c>
      <c r="T10" s="811">
        <v>142.15539736059171</v>
      </c>
      <c r="U10" s="811">
        <v>138.33751413106319</v>
      </c>
      <c r="V10" s="811" t="s">
        <v>288</v>
      </c>
      <c r="W10" s="811">
        <v>132.31287138959405</v>
      </c>
      <c r="X10" s="811">
        <v>124.58890187777597</v>
      </c>
      <c r="Y10" s="812">
        <v>130.51636525736058</v>
      </c>
      <c r="Z10" s="809">
        <v>49.670925121018186</v>
      </c>
      <c r="AA10" s="810">
        <v>49.60583546338934</v>
      </c>
      <c r="AB10" s="811">
        <v>52.296486312906282</v>
      </c>
      <c r="AC10" s="811">
        <v>50.873471249806904</v>
      </c>
      <c r="AD10" s="811">
        <v>0</v>
      </c>
      <c r="AE10" s="811">
        <v>48.627944905628581</v>
      </c>
      <c r="AF10" s="811">
        <v>45.749039422813475</v>
      </c>
      <c r="AG10" s="812">
        <v>47.958344728403056</v>
      </c>
      <c r="AH10" s="813">
        <v>213584.97802037821</v>
      </c>
      <c r="AI10" s="814">
        <v>24802.91773169467</v>
      </c>
      <c r="AJ10" s="815">
        <v>52296.48631290628</v>
      </c>
      <c r="AK10" s="815">
        <v>50873.471249806906</v>
      </c>
      <c r="AL10" s="815">
        <v>0</v>
      </c>
      <c r="AM10" s="815">
        <v>36470.95867922144</v>
      </c>
      <c r="AN10" s="815">
        <v>25161.97168254741</v>
      </c>
      <c r="AO10" s="816">
        <v>23979.172364201528</v>
      </c>
    </row>
    <row r="11" spans="1:41" ht="15.6" x14ac:dyDescent="0.3">
      <c r="A11" s="225" t="s">
        <v>296</v>
      </c>
      <c r="B11" s="801">
        <v>670022.96937575412</v>
      </c>
      <c r="C11" s="802">
        <v>75679.633983878142</v>
      </c>
      <c r="D11" s="803">
        <v>174387.68943590447</v>
      </c>
      <c r="E11" s="803">
        <v>153203.79455617696</v>
      </c>
      <c r="F11" s="803">
        <v>0</v>
      </c>
      <c r="G11" s="803">
        <v>116768.24816819774</v>
      </c>
      <c r="H11" s="803">
        <v>69689.20603026099</v>
      </c>
      <c r="I11" s="804">
        <v>80294.397201335843</v>
      </c>
      <c r="J11" s="805">
        <v>4450</v>
      </c>
      <c r="K11" s="806">
        <v>500</v>
      </c>
      <c r="L11" s="807">
        <v>1100</v>
      </c>
      <c r="M11" s="807">
        <v>1000</v>
      </c>
      <c r="N11" s="807">
        <v>0</v>
      </c>
      <c r="O11" s="807">
        <v>800</v>
      </c>
      <c r="P11" s="807">
        <v>500</v>
      </c>
      <c r="Q11" s="808">
        <v>550</v>
      </c>
      <c r="R11" s="809">
        <v>150.56695941028184</v>
      </c>
      <c r="S11" s="810">
        <v>151.3592679677563</v>
      </c>
      <c r="T11" s="811">
        <v>158.53426312354952</v>
      </c>
      <c r="U11" s="811">
        <v>153.20379455617697</v>
      </c>
      <c r="V11" s="811" t="s">
        <v>288</v>
      </c>
      <c r="W11" s="811">
        <v>145.96031021024717</v>
      </c>
      <c r="X11" s="811">
        <v>139.37841206052198</v>
      </c>
      <c r="Y11" s="812">
        <v>145.98981309333789</v>
      </c>
      <c r="Z11" s="809">
        <v>48.967353350703945</v>
      </c>
      <c r="AA11" s="810">
        <v>49.228120184975303</v>
      </c>
      <c r="AB11" s="811">
        <v>51.589574892283395</v>
      </c>
      <c r="AC11" s="811">
        <v>49.835195994840348</v>
      </c>
      <c r="AD11" s="811">
        <v>0</v>
      </c>
      <c r="AE11" s="811">
        <v>47.451199931484496</v>
      </c>
      <c r="AF11" s="811">
        <v>45.284946988980224</v>
      </c>
      <c r="AG11" s="812">
        <v>47.460910003845655</v>
      </c>
      <c r="AH11" s="813">
        <v>217904.72241063256</v>
      </c>
      <c r="AI11" s="814">
        <v>24614.060092487653</v>
      </c>
      <c r="AJ11" s="815">
        <v>56748.532381511737</v>
      </c>
      <c r="AK11" s="815">
        <v>49835.195994840346</v>
      </c>
      <c r="AL11" s="815">
        <v>0</v>
      </c>
      <c r="AM11" s="815">
        <v>37960.959945187598</v>
      </c>
      <c r="AN11" s="815">
        <v>22642.47349449011</v>
      </c>
      <c r="AO11" s="816">
        <v>26103.500502115108</v>
      </c>
    </row>
    <row r="12" spans="1:41" ht="15.6" x14ac:dyDescent="0.3">
      <c r="A12" s="225" t="s">
        <v>297</v>
      </c>
      <c r="B12" s="801">
        <v>629929.37568458088</v>
      </c>
      <c r="C12" s="802">
        <v>65859.467022151061</v>
      </c>
      <c r="D12" s="803">
        <v>166351.73914168953</v>
      </c>
      <c r="E12" s="803">
        <v>146692.23615475337</v>
      </c>
      <c r="F12" s="803">
        <v>0</v>
      </c>
      <c r="G12" s="803">
        <v>106528.46514067969</v>
      </c>
      <c r="H12" s="803">
        <v>71831.12702760582</v>
      </c>
      <c r="I12" s="804">
        <v>72666.341197701404</v>
      </c>
      <c r="J12" s="805">
        <v>4300</v>
      </c>
      <c r="K12" s="806">
        <v>450</v>
      </c>
      <c r="L12" s="807">
        <v>1100</v>
      </c>
      <c r="M12" s="807">
        <v>1000</v>
      </c>
      <c r="N12" s="807">
        <v>0</v>
      </c>
      <c r="O12" s="807">
        <v>750</v>
      </c>
      <c r="P12" s="807">
        <v>500</v>
      </c>
      <c r="Q12" s="808">
        <v>500</v>
      </c>
      <c r="R12" s="809">
        <v>146.49520364757694</v>
      </c>
      <c r="S12" s="810">
        <v>146.35437116033569</v>
      </c>
      <c r="T12" s="811">
        <v>151.22885376517229</v>
      </c>
      <c r="U12" s="811">
        <v>146.69223615475337</v>
      </c>
      <c r="V12" s="811" t="s">
        <v>288</v>
      </c>
      <c r="W12" s="811">
        <v>142.03795352090626</v>
      </c>
      <c r="X12" s="811">
        <v>143.66225405521163</v>
      </c>
      <c r="Y12" s="812">
        <v>145.3326823954028</v>
      </c>
      <c r="Z12" s="809">
        <v>49.016523376272211</v>
      </c>
      <c r="AA12" s="810">
        <v>48.968819177924793</v>
      </c>
      <c r="AB12" s="811">
        <v>50.619953014848441</v>
      </c>
      <c r="AC12" s="811">
        <v>49.083264211340556</v>
      </c>
      <c r="AD12" s="811">
        <v>0</v>
      </c>
      <c r="AE12" s="811">
        <v>47.506718726138502</v>
      </c>
      <c r="AF12" s="811">
        <v>48.05691816081567</v>
      </c>
      <c r="AG12" s="812">
        <v>48.622742470437608</v>
      </c>
      <c r="AH12" s="813">
        <v>210771.05051797049</v>
      </c>
      <c r="AI12" s="814">
        <v>22035.968630066156</v>
      </c>
      <c r="AJ12" s="815">
        <v>55681.948316333284</v>
      </c>
      <c r="AK12" s="815">
        <v>49083.264211340553</v>
      </c>
      <c r="AL12" s="815">
        <v>0</v>
      </c>
      <c r="AM12" s="815">
        <v>35630.039044603873</v>
      </c>
      <c r="AN12" s="815">
        <v>24028.459080407836</v>
      </c>
      <c r="AO12" s="816">
        <v>24311.371235218805</v>
      </c>
    </row>
    <row r="13" spans="1:41" ht="15.6" x14ac:dyDescent="0.3">
      <c r="A13" s="225" t="s">
        <v>233</v>
      </c>
      <c r="B13" s="801">
        <v>585164.02529628831</v>
      </c>
      <c r="C13" s="802">
        <v>63001.565979240448</v>
      </c>
      <c r="D13" s="803">
        <v>151897.0139347933</v>
      </c>
      <c r="E13" s="803">
        <v>147342.82739363634</v>
      </c>
      <c r="F13" s="803">
        <v>0</v>
      </c>
      <c r="G13" s="803">
        <v>101907.51439174892</v>
      </c>
      <c r="H13" s="803">
        <v>58970.417866591226</v>
      </c>
      <c r="I13" s="804">
        <v>62044.68573027799</v>
      </c>
      <c r="J13" s="805">
        <v>4200</v>
      </c>
      <c r="K13" s="806">
        <v>450</v>
      </c>
      <c r="L13" s="807">
        <v>1050</v>
      </c>
      <c r="M13" s="807">
        <v>1050</v>
      </c>
      <c r="N13" s="807">
        <v>0</v>
      </c>
      <c r="O13" s="807">
        <v>750</v>
      </c>
      <c r="P13" s="807">
        <v>450</v>
      </c>
      <c r="Q13" s="808">
        <v>450</v>
      </c>
      <c r="R13" s="809">
        <v>139.3247679276877</v>
      </c>
      <c r="S13" s="810">
        <v>140.00347995386767</v>
      </c>
      <c r="T13" s="811">
        <v>144.66382279504123</v>
      </c>
      <c r="U13" s="811">
        <v>140.32650227965365</v>
      </c>
      <c r="V13" s="811" t="s">
        <v>288</v>
      </c>
      <c r="W13" s="811">
        <v>135.87668585566522</v>
      </c>
      <c r="X13" s="811">
        <v>131.04537303686939</v>
      </c>
      <c r="Y13" s="812">
        <v>137.87707940061776</v>
      </c>
      <c r="Z13" s="809">
        <v>48.849836335017827</v>
      </c>
      <c r="AA13" s="810">
        <v>49.090899756043285</v>
      </c>
      <c r="AB13" s="811">
        <v>50.74614991385738</v>
      </c>
      <c r="AC13" s="811">
        <v>49.205630103993414</v>
      </c>
      <c r="AD13" s="811">
        <v>0</v>
      </c>
      <c r="AE13" s="811">
        <v>47.625154248660017</v>
      </c>
      <c r="AF13" s="811">
        <v>45.909179356188965</v>
      </c>
      <c r="AG13" s="812">
        <v>48.335649558515634</v>
      </c>
      <c r="AH13" s="813">
        <v>205169.31260707488</v>
      </c>
      <c r="AI13" s="814">
        <v>22090.904890219477</v>
      </c>
      <c r="AJ13" s="815">
        <v>53283.457409550247</v>
      </c>
      <c r="AK13" s="815">
        <v>51665.911609193085</v>
      </c>
      <c r="AL13" s="815">
        <v>0</v>
      </c>
      <c r="AM13" s="815">
        <v>35718.86568649501</v>
      </c>
      <c r="AN13" s="815">
        <v>20659.130710285033</v>
      </c>
      <c r="AO13" s="816">
        <v>21751.042301332036</v>
      </c>
    </row>
    <row r="14" spans="1:41" ht="15.6" x14ac:dyDescent="0.3">
      <c r="A14" s="225" t="s">
        <v>234</v>
      </c>
      <c r="B14" s="801">
        <v>613830.47176784743</v>
      </c>
      <c r="C14" s="802">
        <v>64240.316269038478</v>
      </c>
      <c r="D14" s="803">
        <v>146115.21464173694</v>
      </c>
      <c r="E14" s="803">
        <v>150319.42048452297</v>
      </c>
      <c r="F14" s="803">
        <v>0</v>
      </c>
      <c r="G14" s="803">
        <v>103770.99836122025</v>
      </c>
      <c r="H14" s="803">
        <v>76348.471805775931</v>
      </c>
      <c r="I14" s="804">
        <v>73036.050205553009</v>
      </c>
      <c r="J14" s="805">
        <v>4300</v>
      </c>
      <c r="K14" s="806">
        <v>450</v>
      </c>
      <c r="L14" s="807">
        <v>1000</v>
      </c>
      <c r="M14" s="807">
        <v>1050</v>
      </c>
      <c r="N14" s="807">
        <v>0</v>
      </c>
      <c r="O14" s="807">
        <v>750</v>
      </c>
      <c r="P14" s="807">
        <v>550</v>
      </c>
      <c r="Q14" s="808">
        <v>500</v>
      </c>
      <c r="R14" s="809">
        <v>142.75127250415056</v>
      </c>
      <c r="S14" s="810">
        <v>142.75625837564107</v>
      </c>
      <c r="T14" s="811">
        <v>146.11521464173694</v>
      </c>
      <c r="U14" s="811">
        <v>143.16135284240283</v>
      </c>
      <c r="V14" s="811" t="s">
        <v>288</v>
      </c>
      <c r="W14" s="811">
        <v>138.36133114829366</v>
      </c>
      <c r="X14" s="811">
        <v>138.81540328322896</v>
      </c>
      <c r="Y14" s="812">
        <v>146.07210041110602</v>
      </c>
      <c r="Z14" s="809">
        <v>47.580742734330748</v>
      </c>
      <c r="AA14" s="810">
        <v>47.582425992349663</v>
      </c>
      <c r="AB14" s="811">
        <v>48.716428359018387</v>
      </c>
      <c r="AC14" s="811">
        <v>47.719188143339551</v>
      </c>
      <c r="AD14" s="811">
        <v>0</v>
      </c>
      <c r="AE14" s="811">
        <v>46.098674052065682</v>
      </c>
      <c r="AF14" s="811">
        <v>46.251971336955144</v>
      </c>
      <c r="AG14" s="812">
        <v>48.701872754330687</v>
      </c>
      <c r="AH14" s="813">
        <v>204597.19375762221</v>
      </c>
      <c r="AI14" s="814">
        <v>21412.091696557349</v>
      </c>
      <c r="AJ14" s="815">
        <v>48716.428359018384</v>
      </c>
      <c r="AK14" s="815">
        <v>50105.147550506532</v>
      </c>
      <c r="AL14" s="815">
        <v>0</v>
      </c>
      <c r="AM14" s="815">
        <v>34574.005539049263</v>
      </c>
      <c r="AN14" s="815">
        <v>25438.584235325328</v>
      </c>
      <c r="AO14" s="816">
        <v>24350.936377165344</v>
      </c>
    </row>
    <row r="15" spans="1:41" ht="15.6" x14ac:dyDescent="0.3">
      <c r="A15" s="225" t="s">
        <v>235</v>
      </c>
      <c r="B15" s="801">
        <v>552548.35437958571</v>
      </c>
      <c r="C15" s="802">
        <v>59922.236402508483</v>
      </c>
      <c r="D15" s="803">
        <v>137273.36472342993</v>
      </c>
      <c r="E15" s="803">
        <v>142702.48214249747</v>
      </c>
      <c r="F15" s="803">
        <v>0</v>
      </c>
      <c r="G15" s="803">
        <v>91247.934196186558</v>
      </c>
      <c r="H15" s="803">
        <v>62683.584828372856</v>
      </c>
      <c r="I15" s="804">
        <v>58718.752086590408</v>
      </c>
      <c r="J15" s="805">
        <v>4150</v>
      </c>
      <c r="K15" s="806">
        <v>450</v>
      </c>
      <c r="L15" s="807">
        <v>1000</v>
      </c>
      <c r="M15" s="807">
        <v>1050</v>
      </c>
      <c r="N15" s="807">
        <v>0</v>
      </c>
      <c r="O15" s="807">
        <v>700</v>
      </c>
      <c r="P15" s="807">
        <v>500</v>
      </c>
      <c r="Q15" s="808">
        <v>450</v>
      </c>
      <c r="R15" s="809">
        <v>133.14418177821344</v>
      </c>
      <c r="S15" s="810">
        <v>133.16052533890775</v>
      </c>
      <c r="T15" s="811">
        <v>137.27336472342992</v>
      </c>
      <c r="U15" s="811">
        <v>135.90712584999758</v>
      </c>
      <c r="V15" s="811" t="s">
        <v>288</v>
      </c>
      <c r="W15" s="811">
        <v>130.35419170883793</v>
      </c>
      <c r="X15" s="811">
        <v>125.36716965674572</v>
      </c>
      <c r="Y15" s="812">
        <v>130.48611574797869</v>
      </c>
      <c r="Z15" s="809">
        <v>49.911092624175978</v>
      </c>
      <c r="AA15" s="810">
        <v>49.917305554642709</v>
      </c>
      <c r="AB15" s="811">
        <v>51.480782791628215</v>
      </c>
      <c r="AC15" s="811">
        <v>50.961413280887072</v>
      </c>
      <c r="AD15" s="811">
        <v>0</v>
      </c>
      <c r="AE15" s="811">
        <v>48.850490554155932</v>
      </c>
      <c r="AF15" s="811">
        <v>46.954696741216466</v>
      </c>
      <c r="AG15" s="812">
        <v>48.900640879253473</v>
      </c>
      <c r="AH15" s="813">
        <v>207131.03439033031</v>
      </c>
      <c r="AI15" s="814">
        <v>22462.78749958922</v>
      </c>
      <c r="AJ15" s="815">
        <v>51480.782791628219</v>
      </c>
      <c r="AK15" s="815">
        <v>53509.483944931424</v>
      </c>
      <c r="AL15" s="815">
        <v>0</v>
      </c>
      <c r="AM15" s="815">
        <v>34195.343387909154</v>
      </c>
      <c r="AN15" s="815">
        <v>23477.348370608233</v>
      </c>
      <c r="AO15" s="816">
        <v>22005.288395664062</v>
      </c>
    </row>
    <row r="16" spans="1:41" ht="15.6" x14ac:dyDescent="0.3">
      <c r="A16" s="225" t="s">
        <v>236</v>
      </c>
      <c r="B16" s="801">
        <v>562487.81932324218</v>
      </c>
      <c r="C16" s="802">
        <v>67530.133877939283</v>
      </c>
      <c r="D16" s="803">
        <v>141447.74797306143</v>
      </c>
      <c r="E16" s="803">
        <v>131932.6127523593</v>
      </c>
      <c r="F16" s="803">
        <v>0</v>
      </c>
      <c r="G16" s="803">
        <v>93799.223974755776</v>
      </c>
      <c r="H16" s="803">
        <v>62110.446203807689</v>
      </c>
      <c r="I16" s="804">
        <v>65667.654541318712</v>
      </c>
      <c r="J16" s="805">
        <v>4100</v>
      </c>
      <c r="K16" s="806">
        <v>450</v>
      </c>
      <c r="L16" s="807">
        <v>1000</v>
      </c>
      <c r="M16" s="807">
        <v>950</v>
      </c>
      <c r="N16" s="807">
        <v>0</v>
      </c>
      <c r="O16" s="807">
        <v>700</v>
      </c>
      <c r="P16" s="807">
        <v>500</v>
      </c>
      <c r="Q16" s="808">
        <v>500</v>
      </c>
      <c r="R16" s="809">
        <v>137.19215105444931</v>
      </c>
      <c r="S16" s="810">
        <v>150.06696417319841</v>
      </c>
      <c r="T16" s="811">
        <v>141.44774797306144</v>
      </c>
      <c r="U16" s="811">
        <v>138.87643447616767</v>
      </c>
      <c r="V16" s="811" t="s">
        <v>288</v>
      </c>
      <c r="W16" s="811">
        <v>133.99889139250826</v>
      </c>
      <c r="X16" s="811">
        <v>124.22089240761538</v>
      </c>
      <c r="Y16" s="812">
        <v>131.33530908263742</v>
      </c>
      <c r="Z16" s="809">
        <v>49.079685444421465</v>
      </c>
      <c r="AA16" s="810">
        <v>53.746849862614077</v>
      </c>
      <c r="AB16" s="811">
        <v>50.622354090057414</v>
      </c>
      <c r="AC16" s="811">
        <v>49.690244027563004</v>
      </c>
      <c r="AD16" s="811">
        <v>0</v>
      </c>
      <c r="AE16" s="811">
        <v>47.922117739570062</v>
      </c>
      <c r="AF16" s="811">
        <v>44.377559187729155</v>
      </c>
      <c r="AG16" s="812">
        <v>46.956559912291532</v>
      </c>
      <c r="AH16" s="813">
        <v>201226.710322128</v>
      </c>
      <c r="AI16" s="814">
        <v>24186.082438176334</v>
      </c>
      <c r="AJ16" s="815">
        <v>50622.354090057415</v>
      </c>
      <c r="AK16" s="815">
        <v>47205.731826184856</v>
      </c>
      <c r="AL16" s="815">
        <v>0</v>
      </c>
      <c r="AM16" s="815">
        <v>33545.482417699044</v>
      </c>
      <c r="AN16" s="815">
        <v>22188.779593864576</v>
      </c>
      <c r="AO16" s="816">
        <v>23478.279956145765</v>
      </c>
    </row>
    <row r="17" spans="1:41" ht="15.6" x14ac:dyDescent="0.3">
      <c r="A17" s="225" t="s">
        <v>237</v>
      </c>
      <c r="B17" s="801">
        <v>552780.80152938142</v>
      </c>
      <c r="C17" s="802">
        <v>65053.87025338511</v>
      </c>
      <c r="D17" s="803">
        <v>136709.16915921227</v>
      </c>
      <c r="E17" s="803">
        <v>126027.29731761743</v>
      </c>
      <c r="F17" s="803">
        <v>0</v>
      </c>
      <c r="G17" s="803">
        <v>93942.524365358622</v>
      </c>
      <c r="H17" s="803">
        <v>63854.108308862014</v>
      </c>
      <c r="I17" s="804">
        <v>67193.832124946057</v>
      </c>
      <c r="J17" s="805">
        <v>4450</v>
      </c>
      <c r="K17" s="806">
        <v>500</v>
      </c>
      <c r="L17" s="807">
        <v>1100</v>
      </c>
      <c r="M17" s="807">
        <v>1000</v>
      </c>
      <c r="N17" s="807">
        <v>0</v>
      </c>
      <c r="O17" s="807">
        <v>750</v>
      </c>
      <c r="P17" s="807">
        <v>550</v>
      </c>
      <c r="Q17" s="808">
        <v>550</v>
      </c>
      <c r="R17" s="809">
        <v>124.22040483806325</v>
      </c>
      <c r="S17" s="810">
        <v>130.10774050677023</v>
      </c>
      <c r="T17" s="811">
        <v>124.28106287201115</v>
      </c>
      <c r="U17" s="811">
        <v>126.02729731761742</v>
      </c>
      <c r="V17" s="811" t="s">
        <v>288</v>
      </c>
      <c r="W17" s="811">
        <v>125.2566991538115</v>
      </c>
      <c r="X17" s="811">
        <v>116.09837874338548</v>
      </c>
      <c r="Y17" s="812">
        <v>122.17060386353829</v>
      </c>
      <c r="Z17" s="809">
        <v>47.505266389084397</v>
      </c>
      <c r="AA17" s="810">
        <v>49.789157175242181</v>
      </c>
      <c r="AB17" s="811">
        <v>47.528797631846118</v>
      </c>
      <c r="AC17" s="811">
        <v>48.206219301887813</v>
      </c>
      <c r="AD17" s="811">
        <v>0</v>
      </c>
      <c r="AE17" s="811">
        <v>47.90727897553591</v>
      </c>
      <c r="AF17" s="811">
        <v>44.354465822171633</v>
      </c>
      <c r="AG17" s="812">
        <v>46.710081296435689</v>
      </c>
      <c r="AH17" s="813">
        <v>211398.43543142558</v>
      </c>
      <c r="AI17" s="814">
        <v>24894.57858762109</v>
      </c>
      <c r="AJ17" s="815">
        <v>52281.677395030732</v>
      </c>
      <c r="AK17" s="815">
        <v>48206.219301887817</v>
      </c>
      <c r="AL17" s="815">
        <v>0</v>
      </c>
      <c r="AM17" s="815">
        <v>35930.459231651934</v>
      </c>
      <c r="AN17" s="815">
        <v>24394.956202194397</v>
      </c>
      <c r="AO17" s="816">
        <v>25690.544713039628</v>
      </c>
    </row>
    <row r="18" spans="1:41" ht="15.6" x14ac:dyDescent="0.3">
      <c r="A18" s="225" t="s">
        <v>238</v>
      </c>
      <c r="B18" s="801">
        <v>492913.71877295198</v>
      </c>
      <c r="C18" s="802">
        <v>69951.556764906141</v>
      </c>
      <c r="D18" s="803">
        <v>139379.90816715517</v>
      </c>
      <c r="E18" s="803">
        <v>126847.83293162673</v>
      </c>
      <c r="F18" s="803">
        <v>0</v>
      </c>
      <c r="G18" s="803">
        <v>0</v>
      </c>
      <c r="H18" s="803">
        <v>87696.269502412179</v>
      </c>
      <c r="I18" s="804">
        <v>69038.151406851684</v>
      </c>
      <c r="J18" s="805">
        <v>3800</v>
      </c>
      <c r="K18" s="806">
        <v>550</v>
      </c>
      <c r="L18" s="807">
        <v>1050</v>
      </c>
      <c r="M18" s="807">
        <v>950</v>
      </c>
      <c r="N18" s="807">
        <v>0</v>
      </c>
      <c r="O18" s="807">
        <v>0</v>
      </c>
      <c r="P18" s="807">
        <v>700</v>
      </c>
      <c r="Q18" s="808">
        <v>550</v>
      </c>
      <c r="R18" s="809">
        <v>129.71413651919789</v>
      </c>
      <c r="S18" s="810">
        <v>127.18464866346571</v>
      </c>
      <c r="T18" s="811">
        <v>132.74276968300492</v>
      </c>
      <c r="U18" s="811">
        <v>133.52403466487024</v>
      </c>
      <c r="V18" s="811" t="s">
        <v>288</v>
      </c>
      <c r="W18" s="811" t="s">
        <v>288</v>
      </c>
      <c r="X18" s="811">
        <v>125.28038500344597</v>
      </c>
      <c r="Y18" s="812">
        <v>125.52391164882124</v>
      </c>
      <c r="Z18" s="809">
        <v>48.253554124174279</v>
      </c>
      <c r="AA18" s="810">
        <v>47.29969931648008</v>
      </c>
      <c r="AB18" s="811">
        <v>49.395633655211697</v>
      </c>
      <c r="AC18" s="811">
        <v>49.690244027562997</v>
      </c>
      <c r="AD18" s="811">
        <v>0</v>
      </c>
      <c r="AE18" s="811">
        <v>0</v>
      </c>
      <c r="AF18" s="811">
        <v>46.581612829877272</v>
      </c>
      <c r="AG18" s="812">
        <v>46.67344527768541</v>
      </c>
      <c r="AH18" s="813">
        <v>183363.50567186225</v>
      </c>
      <c r="AI18" s="814">
        <v>26014.834624064042</v>
      </c>
      <c r="AJ18" s="815">
        <v>51865.415337972285</v>
      </c>
      <c r="AK18" s="815">
        <v>47205.731826184849</v>
      </c>
      <c r="AL18" s="815">
        <v>0</v>
      </c>
      <c r="AM18" s="815">
        <v>0</v>
      </c>
      <c r="AN18" s="815">
        <v>32607.128980914091</v>
      </c>
      <c r="AO18" s="816">
        <v>25670.394902726974</v>
      </c>
    </row>
    <row r="19" spans="1:41" ht="15.6" x14ac:dyDescent="0.3">
      <c r="A19" s="225" t="s">
        <v>239</v>
      </c>
      <c r="B19" s="801">
        <v>516741.96657731157</v>
      </c>
      <c r="C19" s="802">
        <v>71543.609862150624</v>
      </c>
      <c r="D19" s="803">
        <v>129133.11038168774</v>
      </c>
      <c r="E19" s="803">
        <v>114250.79543860469</v>
      </c>
      <c r="F19" s="803">
        <v>0</v>
      </c>
      <c r="G19" s="803">
        <v>84066.563188585002</v>
      </c>
      <c r="H19" s="803">
        <v>59531.675310845698</v>
      </c>
      <c r="I19" s="804">
        <v>58216.21239543784</v>
      </c>
      <c r="J19" s="805">
        <v>4150</v>
      </c>
      <c r="K19" s="806">
        <v>550</v>
      </c>
      <c r="L19" s="807">
        <v>1000</v>
      </c>
      <c r="M19" s="807">
        <v>900</v>
      </c>
      <c r="N19" s="807">
        <v>0</v>
      </c>
      <c r="O19" s="807">
        <v>700</v>
      </c>
      <c r="P19" s="807">
        <v>500</v>
      </c>
      <c r="Q19" s="808">
        <v>500</v>
      </c>
      <c r="R19" s="809">
        <v>124.51613652465339</v>
      </c>
      <c r="S19" s="810">
        <v>130.07929065845568</v>
      </c>
      <c r="T19" s="811">
        <v>129.13311038168774</v>
      </c>
      <c r="U19" s="811">
        <v>126.94532826511633</v>
      </c>
      <c r="V19" s="811" t="s">
        <v>288</v>
      </c>
      <c r="W19" s="811">
        <v>120.09509026940715</v>
      </c>
      <c r="X19" s="811">
        <v>119.0633506216914</v>
      </c>
      <c r="Y19" s="812">
        <v>116.43242479087569</v>
      </c>
      <c r="Z19" s="809">
        <v>45.300388154488886</v>
      </c>
      <c r="AA19" s="810">
        <v>47.350287557401174</v>
      </c>
      <c r="AB19" s="811">
        <v>47.001641027439163</v>
      </c>
      <c r="AC19" s="811">
        <v>46.19549164768133</v>
      </c>
      <c r="AD19" s="811">
        <v>0</v>
      </c>
      <c r="AE19" s="811">
        <v>43.67133027456947</v>
      </c>
      <c r="AF19" s="811">
        <v>43.2911570065015</v>
      </c>
      <c r="AG19" s="812">
        <v>42.321718957512992</v>
      </c>
      <c r="AH19" s="813">
        <v>187996.61084112889</v>
      </c>
      <c r="AI19" s="814">
        <v>26042.658156570647</v>
      </c>
      <c r="AJ19" s="815">
        <v>47001.64102743916</v>
      </c>
      <c r="AK19" s="815">
        <v>41575.942482913197</v>
      </c>
      <c r="AL19" s="815">
        <v>0</v>
      </c>
      <c r="AM19" s="815">
        <v>30569.93119219863</v>
      </c>
      <c r="AN19" s="815">
        <v>21645.578503250748</v>
      </c>
      <c r="AO19" s="816">
        <v>21160.859478756494</v>
      </c>
    </row>
    <row r="20" spans="1:41" ht="15.6" x14ac:dyDescent="0.3">
      <c r="A20" s="225" t="s">
        <v>240</v>
      </c>
      <c r="B20" s="801">
        <v>536731.36935258983</v>
      </c>
      <c r="C20" s="802">
        <v>61295.561545160272</v>
      </c>
      <c r="D20" s="803">
        <v>135919.38473608164</v>
      </c>
      <c r="E20" s="803">
        <v>120827.23692148038</v>
      </c>
      <c r="F20" s="803">
        <v>0</v>
      </c>
      <c r="G20" s="803">
        <v>90275.715288839085</v>
      </c>
      <c r="H20" s="803">
        <v>61402.379748026986</v>
      </c>
      <c r="I20" s="804">
        <v>67011.091113001457</v>
      </c>
      <c r="J20" s="805">
        <v>4150</v>
      </c>
      <c r="K20" s="806">
        <v>500</v>
      </c>
      <c r="L20" s="807">
        <v>1000</v>
      </c>
      <c r="M20" s="807">
        <v>900</v>
      </c>
      <c r="N20" s="807">
        <v>0</v>
      </c>
      <c r="O20" s="807">
        <v>700</v>
      </c>
      <c r="P20" s="807">
        <v>500</v>
      </c>
      <c r="Q20" s="806">
        <v>550</v>
      </c>
      <c r="R20" s="809">
        <v>129.3328600849614</v>
      </c>
      <c r="S20" s="810">
        <v>122.59112309032054</v>
      </c>
      <c r="T20" s="811">
        <v>135.91938473608164</v>
      </c>
      <c r="U20" s="811">
        <v>134.25248546831153</v>
      </c>
      <c r="V20" s="811" t="s">
        <v>288</v>
      </c>
      <c r="W20" s="811">
        <v>128.9653075554844</v>
      </c>
      <c r="X20" s="811">
        <v>122.80475949605398</v>
      </c>
      <c r="Y20" s="812">
        <v>121.83834747818447</v>
      </c>
      <c r="Z20" s="809">
        <v>46.426488046172224</v>
      </c>
      <c r="AA20" s="810">
        <v>43.975975562652401</v>
      </c>
      <c r="AB20" s="811">
        <v>48.820583350306954</v>
      </c>
      <c r="AC20" s="811">
        <v>48.214692395544446</v>
      </c>
      <c r="AD20" s="811">
        <v>0</v>
      </c>
      <c r="AE20" s="811">
        <v>46.292888639587737</v>
      </c>
      <c r="AF20" s="811">
        <v>44.053628944800096</v>
      </c>
      <c r="AG20" s="812">
        <v>43.702353788872877</v>
      </c>
      <c r="AH20" s="813">
        <v>192669.92539161473</v>
      </c>
      <c r="AI20" s="814">
        <v>21987.987781326199</v>
      </c>
      <c r="AJ20" s="815">
        <v>48820.583350306952</v>
      </c>
      <c r="AK20" s="815">
        <v>43393.223155990003</v>
      </c>
      <c r="AL20" s="815">
        <v>0</v>
      </c>
      <c r="AM20" s="815">
        <v>32405.022047711416</v>
      </c>
      <c r="AN20" s="815">
        <v>22026.814472400049</v>
      </c>
      <c r="AO20" s="816">
        <v>24036.294583880081</v>
      </c>
    </row>
    <row r="21" spans="1:41" ht="15.6" x14ac:dyDescent="0.3">
      <c r="A21" s="225" t="s">
        <v>241</v>
      </c>
      <c r="B21" s="801">
        <v>620226.67438372725</v>
      </c>
      <c r="C21" s="802">
        <v>61894.178659965226</v>
      </c>
      <c r="D21" s="803">
        <v>159252.32062269779</v>
      </c>
      <c r="E21" s="803">
        <v>142174.40935931771</v>
      </c>
      <c r="F21" s="803">
        <v>0</v>
      </c>
      <c r="G21" s="803">
        <v>102062.63512885984</v>
      </c>
      <c r="H21" s="803">
        <v>76698.213415375663</v>
      </c>
      <c r="I21" s="804">
        <v>78144.91719751108</v>
      </c>
      <c r="J21" s="805">
        <v>4550</v>
      </c>
      <c r="K21" s="806">
        <v>500</v>
      </c>
      <c r="L21" s="806">
        <v>1100</v>
      </c>
      <c r="M21" s="807">
        <v>1000</v>
      </c>
      <c r="N21" s="807">
        <v>0</v>
      </c>
      <c r="O21" s="806">
        <v>750</v>
      </c>
      <c r="P21" s="806">
        <v>600</v>
      </c>
      <c r="Q21" s="806">
        <v>600</v>
      </c>
      <c r="R21" s="809">
        <v>136.31355480961039</v>
      </c>
      <c r="S21" s="810">
        <v>123.78835731993045</v>
      </c>
      <c r="T21" s="811">
        <v>144.77483692972527</v>
      </c>
      <c r="U21" s="811">
        <v>142.17440935931771</v>
      </c>
      <c r="V21" s="811" t="s">
        <v>288</v>
      </c>
      <c r="W21" s="811">
        <v>136.08351350514644</v>
      </c>
      <c r="X21" s="811">
        <v>127.83035569229277</v>
      </c>
      <c r="Y21" s="812">
        <v>130.24152866251848</v>
      </c>
      <c r="Z21" s="809">
        <v>50.065396674185081</v>
      </c>
      <c r="AA21" s="810">
        <v>45.407163214718942</v>
      </c>
      <c r="AB21" s="811">
        <v>53.212223501816112</v>
      </c>
      <c r="AC21" s="811">
        <v>52.245101128905709</v>
      </c>
      <c r="AD21" s="811">
        <v>0</v>
      </c>
      <c r="AE21" s="811">
        <v>49.979842246608499</v>
      </c>
      <c r="AF21" s="811">
        <v>46.91041871841535</v>
      </c>
      <c r="AG21" s="812">
        <v>47.80715560545606</v>
      </c>
      <c r="AH21" s="813">
        <v>227797.55486754212</v>
      </c>
      <c r="AI21" s="814">
        <v>22703.581607359472</v>
      </c>
      <c r="AJ21" s="815">
        <v>58533.44585199772</v>
      </c>
      <c r="AK21" s="815">
        <v>52245.101128905706</v>
      </c>
      <c r="AL21" s="815">
        <v>0</v>
      </c>
      <c r="AM21" s="815">
        <v>37484.881684956374</v>
      </c>
      <c r="AN21" s="815">
        <v>28146.251231049209</v>
      </c>
      <c r="AO21" s="816">
        <v>28684.293363273635</v>
      </c>
    </row>
    <row r="22" spans="1:41" ht="15.6" x14ac:dyDescent="0.3">
      <c r="A22" s="225" t="s">
        <v>242</v>
      </c>
      <c r="B22" s="801">
        <v>685316.41024262051</v>
      </c>
      <c r="C22" s="802">
        <v>86520.497766437184</v>
      </c>
      <c r="D22" s="803">
        <v>172101.71864706703</v>
      </c>
      <c r="E22" s="803">
        <v>155543.18454770208</v>
      </c>
      <c r="F22" s="803">
        <v>0</v>
      </c>
      <c r="G22" s="803">
        <v>106814.25254432822</v>
      </c>
      <c r="H22" s="803">
        <v>81911.217995444909</v>
      </c>
      <c r="I22" s="804">
        <v>82425.538741641081</v>
      </c>
      <c r="J22" s="805">
        <v>5050</v>
      </c>
      <c r="K22" s="806">
        <v>650</v>
      </c>
      <c r="L22" s="806">
        <v>1200</v>
      </c>
      <c r="M22" s="807">
        <v>1100</v>
      </c>
      <c r="N22" s="807">
        <v>0</v>
      </c>
      <c r="O22" s="806">
        <v>800</v>
      </c>
      <c r="P22" s="806">
        <v>650</v>
      </c>
      <c r="Q22" s="806">
        <v>650</v>
      </c>
      <c r="R22" s="809">
        <v>135.70621985002387</v>
      </c>
      <c r="S22" s="810">
        <v>133.10845810221105</v>
      </c>
      <c r="T22" s="811">
        <v>143.41809887255584</v>
      </c>
      <c r="U22" s="811">
        <v>141.40289504336553</v>
      </c>
      <c r="V22" s="811" t="s">
        <v>288</v>
      </c>
      <c r="W22" s="811">
        <v>133.51781568041028</v>
      </c>
      <c r="X22" s="811">
        <v>126.01725845453063</v>
      </c>
      <c r="Y22" s="812">
        <v>126.80852114098627</v>
      </c>
      <c r="Z22" s="809">
        <v>50.07779048377445</v>
      </c>
      <c r="AA22" s="810">
        <v>49.107096258977116</v>
      </c>
      <c r="AB22" s="811">
        <v>52.959454453078131</v>
      </c>
      <c r="AC22" s="811">
        <v>52.206442087555587</v>
      </c>
      <c r="AD22" s="811">
        <v>0</v>
      </c>
      <c r="AE22" s="811">
        <v>49.260059107617707</v>
      </c>
      <c r="AF22" s="811">
        <v>46.457358826095223</v>
      </c>
      <c r="AG22" s="812">
        <v>46.753026479484454</v>
      </c>
      <c r="AH22" s="813">
        <v>252892.84194306098</v>
      </c>
      <c r="AI22" s="814">
        <v>31919.612568335124</v>
      </c>
      <c r="AJ22" s="815">
        <v>63551.345343693756</v>
      </c>
      <c r="AK22" s="815">
        <v>57427.086296311143</v>
      </c>
      <c r="AL22" s="815">
        <v>0</v>
      </c>
      <c r="AM22" s="815">
        <v>39408.047286094166</v>
      </c>
      <c r="AN22" s="815">
        <v>30197.283236961895</v>
      </c>
      <c r="AO22" s="816">
        <v>30389.467211664894</v>
      </c>
    </row>
    <row r="23" spans="1:41" ht="15.6" x14ac:dyDescent="0.3">
      <c r="A23" s="225" t="s">
        <v>243</v>
      </c>
      <c r="B23" s="801">
        <v>581015.7015204872</v>
      </c>
      <c r="C23" s="802">
        <v>78007.574540888789</v>
      </c>
      <c r="D23" s="803">
        <v>146284.70460472634</v>
      </c>
      <c r="E23" s="803">
        <v>125543.51683848188</v>
      </c>
      <c r="F23" s="803">
        <v>0</v>
      </c>
      <c r="G23" s="803">
        <v>91048.712926330161</v>
      </c>
      <c r="H23" s="803">
        <v>65463.222252334162</v>
      </c>
      <c r="I23" s="804">
        <v>74667.970357725833</v>
      </c>
      <c r="J23" s="805">
        <v>4400</v>
      </c>
      <c r="K23" s="806">
        <v>600</v>
      </c>
      <c r="L23" s="806">
        <v>1050</v>
      </c>
      <c r="M23" s="807">
        <v>900</v>
      </c>
      <c r="N23" s="807">
        <v>0</v>
      </c>
      <c r="O23" s="806">
        <v>700</v>
      </c>
      <c r="P23" s="806">
        <v>550</v>
      </c>
      <c r="Q23" s="806">
        <v>600</v>
      </c>
      <c r="R23" s="809">
        <v>132.049023072838</v>
      </c>
      <c r="S23" s="810">
        <v>130.01262423481464</v>
      </c>
      <c r="T23" s="811">
        <v>139.31876629021556</v>
      </c>
      <c r="U23" s="811">
        <v>139.4927964872021</v>
      </c>
      <c r="V23" s="811" t="s">
        <v>288</v>
      </c>
      <c r="W23" s="811">
        <v>130.06958989475737</v>
      </c>
      <c r="X23" s="811">
        <v>119.02404045878939</v>
      </c>
      <c r="Y23" s="812">
        <v>124.44661726287639</v>
      </c>
      <c r="Z23" s="809">
        <v>48.665393816818501</v>
      </c>
      <c r="AA23" s="810">
        <v>47.906080226006011</v>
      </c>
      <c r="AB23" s="811">
        <v>51.376068525329821</v>
      </c>
      <c r="AC23" s="811">
        <v>51.440959297862342</v>
      </c>
      <c r="AD23" s="811">
        <v>0</v>
      </c>
      <c r="AE23" s="811">
        <v>47.927321055158174</v>
      </c>
      <c r="AF23" s="811">
        <v>43.808758596704443</v>
      </c>
      <c r="AG23" s="812">
        <v>45.830678953212043</v>
      </c>
      <c r="AH23" s="813">
        <v>214127.73279400141</v>
      </c>
      <c r="AI23" s="814">
        <v>28743.648135603606</v>
      </c>
      <c r="AJ23" s="815">
        <v>53944.871951596309</v>
      </c>
      <c r="AK23" s="815">
        <v>46296.863368076105</v>
      </c>
      <c r="AL23" s="815">
        <v>0</v>
      </c>
      <c r="AM23" s="815">
        <v>33549.124738610721</v>
      </c>
      <c r="AN23" s="815">
        <v>24094.817228187443</v>
      </c>
      <c r="AO23" s="816">
        <v>27498.407371927227</v>
      </c>
    </row>
    <row r="24" spans="1:41" ht="15.6" x14ac:dyDescent="0.3">
      <c r="A24" s="225" t="s">
        <v>244</v>
      </c>
      <c r="B24" s="801">
        <v>538451.31037298881</v>
      </c>
      <c r="C24" s="802">
        <v>0</v>
      </c>
      <c r="D24" s="803">
        <v>120252.71928745297</v>
      </c>
      <c r="E24" s="803">
        <v>155007.76984710307</v>
      </c>
      <c r="F24" s="803">
        <v>0</v>
      </c>
      <c r="G24" s="803">
        <v>104360.78961735361</v>
      </c>
      <c r="H24" s="803">
        <v>77598.472640548571</v>
      </c>
      <c r="I24" s="804">
        <v>81231.558980530564</v>
      </c>
      <c r="J24" s="805">
        <v>4050</v>
      </c>
      <c r="K24" s="806">
        <v>0</v>
      </c>
      <c r="L24" s="806">
        <v>850</v>
      </c>
      <c r="M24" s="807">
        <v>1100</v>
      </c>
      <c r="N24" s="807">
        <v>0</v>
      </c>
      <c r="O24" s="806">
        <v>800</v>
      </c>
      <c r="P24" s="806">
        <v>650</v>
      </c>
      <c r="Q24" s="806">
        <v>650</v>
      </c>
      <c r="R24" s="809">
        <v>132.95094083283675</v>
      </c>
      <c r="S24" s="810" t="s">
        <v>288</v>
      </c>
      <c r="T24" s="811">
        <v>141.47378739700349</v>
      </c>
      <c r="U24" s="811">
        <v>140.91615440645734</v>
      </c>
      <c r="V24" s="811" t="s">
        <v>288</v>
      </c>
      <c r="W24" s="811">
        <v>130.45098702169201</v>
      </c>
      <c r="X24" s="811">
        <v>119.38226560084395</v>
      </c>
      <c r="Y24" s="812">
        <v>124.97162920081625</v>
      </c>
      <c r="Z24" s="809">
        <v>50.697338660293909</v>
      </c>
      <c r="AA24" s="810">
        <v>0</v>
      </c>
      <c r="AB24" s="811">
        <v>53.989050314939441</v>
      </c>
      <c r="AC24" s="811">
        <v>53.773680133137383</v>
      </c>
      <c r="AD24" s="811">
        <v>0</v>
      </c>
      <c r="AE24" s="811">
        <v>49.731801262164637</v>
      </c>
      <c r="AF24" s="811">
        <v>45.456816486982042</v>
      </c>
      <c r="AG24" s="812">
        <v>47.615552205801009</v>
      </c>
      <c r="AH24" s="813">
        <v>205324.22157419033</v>
      </c>
      <c r="AI24" s="814">
        <v>0</v>
      </c>
      <c r="AJ24" s="815">
        <v>45890.692767698521</v>
      </c>
      <c r="AK24" s="815">
        <v>59151.048146451118</v>
      </c>
      <c r="AL24" s="815">
        <v>0</v>
      </c>
      <c r="AM24" s="815">
        <v>39785.441009731709</v>
      </c>
      <c r="AN24" s="815">
        <v>29546.930716538329</v>
      </c>
      <c r="AO24" s="816">
        <v>30950.108933770654</v>
      </c>
    </row>
    <row r="25" spans="1:41" ht="15.6" x14ac:dyDescent="0.3">
      <c r="A25" s="225" t="s">
        <v>245</v>
      </c>
      <c r="B25" s="801">
        <v>583514.14897116274</v>
      </c>
      <c r="C25" s="802">
        <v>91755.116653297096</v>
      </c>
      <c r="D25" s="803">
        <v>146132.40973866041</v>
      </c>
      <c r="E25" s="803">
        <v>138266.87540831495</v>
      </c>
      <c r="F25" s="803">
        <v>0</v>
      </c>
      <c r="G25" s="803">
        <v>0</v>
      </c>
      <c r="H25" s="803">
        <v>107156.18472473885</v>
      </c>
      <c r="I25" s="804">
        <v>100203.56244615134</v>
      </c>
      <c r="J25" s="805">
        <v>4200</v>
      </c>
      <c r="K25" s="806">
        <v>600</v>
      </c>
      <c r="L25" s="806">
        <v>1000</v>
      </c>
      <c r="M25" s="807">
        <v>950</v>
      </c>
      <c r="N25" s="807">
        <v>0</v>
      </c>
      <c r="O25" s="806">
        <v>0</v>
      </c>
      <c r="P25" s="806">
        <v>850</v>
      </c>
      <c r="Q25" s="806">
        <v>800</v>
      </c>
      <c r="R25" s="809">
        <v>138.93194023122922</v>
      </c>
      <c r="S25" s="810">
        <v>152.92519442216184</v>
      </c>
      <c r="T25" s="811">
        <v>146.13240973866041</v>
      </c>
      <c r="U25" s="811">
        <v>145.54407937717363</v>
      </c>
      <c r="V25" s="811" t="s">
        <v>288</v>
      </c>
      <c r="W25" s="811" t="s">
        <v>288</v>
      </c>
      <c r="X25" s="811">
        <v>126.06609967616335</v>
      </c>
      <c r="Y25" s="812">
        <v>125.25445305768918</v>
      </c>
      <c r="Z25" s="809">
        <v>46.337856884136627</v>
      </c>
      <c r="AA25" s="810">
        <v>51.05920829402632</v>
      </c>
      <c r="AB25" s="811">
        <v>48.767309418687653</v>
      </c>
      <c r="AC25" s="811">
        <v>48.568805600791855</v>
      </c>
      <c r="AD25" s="811">
        <v>0</v>
      </c>
      <c r="AE25" s="811">
        <v>0</v>
      </c>
      <c r="AF25" s="811">
        <v>41.996897046257224</v>
      </c>
      <c r="AG25" s="812">
        <v>41.723045885249348</v>
      </c>
      <c r="AH25" s="813">
        <v>194618.99891337383</v>
      </c>
      <c r="AI25" s="814">
        <v>30635.524976415792</v>
      </c>
      <c r="AJ25" s="815">
        <v>48767.309418687655</v>
      </c>
      <c r="AK25" s="815">
        <v>46140.365320752258</v>
      </c>
      <c r="AL25" s="815">
        <v>0</v>
      </c>
      <c r="AM25" s="815">
        <v>0</v>
      </c>
      <c r="AN25" s="815">
        <v>35697.362489318642</v>
      </c>
      <c r="AO25" s="816">
        <v>33378.436708199479</v>
      </c>
    </row>
    <row r="26" spans="1:41" ht="15.6" x14ac:dyDescent="0.3">
      <c r="A26" s="225" t="s">
        <v>246</v>
      </c>
      <c r="B26" s="801">
        <v>658986.29324311367</v>
      </c>
      <c r="C26" s="802">
        <v>74190.605492742063</v>
      </c>
      <c r="D26" s="803">
        <v>148585.69114359625</v>
      </c>
      <c r="E26" s="803">
        <v>161947.13866738646</v>
      </c>
      <c r="F26" s="803">
        <v>0</v>
      </c>
      <c r="G26" s="803">
        <v>102182.07684762204</v>
      </c>
      <c r="H26" s="803">
        <v>85904.717926525424</v>
      </c>
      <c r="I26" s="804">
        <v>86176.063165241372</v>
      </c>
      <c r="J26" s="805">
        <v>4625</v>
      </c>
      <c r="K26" s="806">
        <v>500</v>
      </c>
      <c r="L26" s="806">
        <v>1000</v>
      </c>
      <c r="M26" s="807">
        <v>1075</v>
      </c>
      <c r="N26" s="807">
        <v>0</v>
      </c>
      <c r="O26" s="806">
        <v>750</v>
      </c>
      <c r="P26" s="806">
        <v>650</v>
      </c>
      <c r="Q26" s="806">
        <v>650</v>
      </c>
      <c r="R26" s="809">
        <v>142.48352286337592</v>
      </c>
      <c r="S26" s="810">
        <v>148.38121098548413</v>
      </c>
      <c r="T26" s="811">
        <v>148.58569114359625</v>
      </c>
      <c r="U26" s="811">
        <v>150.64850108594089</v>
      </c>
      <c r="V26" s="811" t="s">
        <v>288</v>
      </c>
      <c r="W26" s="811">
        <v>136.24276913016271</v>
      </c>
      <c r="X26" s="811">
        <v>132.1611045023468</v>
      </c>
      <c r="Y26" s="812">
        <v>132.57855871575595</v>
      </c>
      <c r="Z26" s="809">
        <v>49.144207226653499</v>
      </c>
      <c r="AA26" s="810">
        <v>51.2</v>
      </c>
      <c r="AB26" s="811">
        <v>51.271276883862996</v>
      </c>
      <c r="AC26" s="811">
        <v>51.990323005742958</v>
      </c>
      <c r="AD26" s="811">
        <v>0</v>
      </c>
      <c r="AE26" s="811">
        <v>46.968830000977356</v>
      </c>
      <c r="AF26" s="811">
        <v>45.546059506614817</v>
      </c>
      <c r="AG26" s="812">
        <v>45.691574043389409</v>
      </c>
      <c r="AH26" s="813">
        <v>227291.95842327244</v>
      </c>
      <c r="AI26" s="814">
        <v>25600</v>
      </c>
      <c r="AJ26" s="815">
        <v>51271.276883862993</v>
      </c>
      <c r="AK26" s="815">
        <v>55889.597231173677</v>
      </c>
      <c r="AL26" s="815">
        <v>0</v>
      </c>
      <c r="AM26" s="815">
        <v>35226.622500733014</v>
      </c>
      <c r="AN26" s="815">
        <v>29604.93867929963</v>
      </c>
      <c r="AO26" s="816">
        <v>29699.523128203116</v>
      </c>
    </row>
    <row r="27" spans="1:41" ht="15.6" x14ac:dyDescent="0.3">
      <c r="A27" s="225" t="s">
        <v>247</v>
      </c>
      <c r="B27" s="801">
        <v>619808.56184837082</v>
      </c>
      <c r="C27" s="802">
        <v>78793.228628155819</v>
      </c>
      <c r="D27" s="803">
        <v>163581.12853010738</v>
      </c>
      <c r="E27" s="803">
        <v>149143.16789392097</v>
      </c>
      <c r="F27" s="803">
        <v>0</v>
      </c>
      <c r="G27" s="803">
        <v>51272.084499079298</v>
      </c>
      <c r="H27" s="803">
        <v>99329.492545856934</v>
      </c>
      <c r="I27" s="804">
        <v>77689.459751250281</v>
      </c>
      <c r="J27" s="805">
        <v>4425</v>
      </c>
      <c r="K27" s="806">
        <v>600</v>
      </c>
      <c r="L27" s="806">
        <v>1100</v>
      </c>
      <c r="M27" s="807">
        <v>1000</v>
      </c>
      <c r="N27" s="807">
        <v>0</v>
      </c>
      <c r="O27" s="806">
        <v>375</v>
      </c>
      <c r="P27" s="806">
        <v>750</v>
      </c>
      <c r="Q27" s="806">
        <v>600</v>
      </c>
      <c r="R27" s="809">
        <v>140.06973149115726</v>
      </c>
      <c r="S27" s="810">
        <v>131.32204771359304</v>
      </c>
      <c r="T27" s="811">
        <v>148.71011684555216</v>
      </c>
      <c r="U27" s="811">
        <v>149.14316789392097</v>
      </c>
      <c r="V27" s="811" t="s">
        <v>288</v>
      </c>
      <c r="W27" s="811">
        <v>136.72555866421146</v>
      </c>
      <c r="X27" s="811">
        <v>132.43932339447591</v>
      </c>
      <c r="Y27" s="812">
        <v>129.48243291875048</v>
      </c>
      <c r="Z27" s="809">
        <v>49.293623876143577</v>
      </c>
      <c r="AA27" s="810">
        <v>46.177633595938651</v>
      </c>
      <c r="AB27" s="811">
        <v>52.371393656822185</v>
      </c>
      <c r="AC27" s="811">
        <v>52.525649673827587</v>
      </c>
      <c r="AD27" s="811">
        <v>0</v>
      </c>
      <c r="AE27" s="811">
        <v>48.102404544368646</v>
      </c>
      <c r="AF27" s="811">
        <v>46.575615536126001</v>
      </c>
      <c r="AG27" s="812">
        <v>45.522349069678981</v>
      </c>
      <c r="AH27" s="813">
        <v>218124.28565193532</v>
      </c>
      <c r="AI27" s="814">
        <v>27706.580157563192</v>
      </c>
      <c r="AJ27" s="815">
        <v>57608.533022504402</v>
      </c>
      <c r="AK27" s="815">
        <v>52525.649673827589</v>
      </c>
      <c r="AL27" s="815">
        <v>0</v>
      </c>
      <c r="AM27" s="815">
        <v>18038.401704138243</v>
      </c>
      <c r="AN27" s="815">
        <v>34931.711652094498</v>
      </c>
      <c r="AO27" s="816">
        <v>27313.409441807387</v>
      </c>
    </row>
    <row r="28" spans="1:41" ht="15.6" x14ac:dyDescent="0.3">
      <c r="A28" s="225" t="s">
        <v>248</v>
      </c>
      <c r="B28" s="801">
        <v>632417.24639772763</v>
      </c>
      <c r="C28" s="802">
        <v>82298.451478004194</v>
      </c>
      <c r="D28" s="803">
        <v>157477.22820068477</v>
      </c>
      <c r="E28" s="803">
        <v>146916.95800858652</v>
      </c>
      <c r="F28" s="803">
        <v>0</v>
      </c>
      <c r="G28" s="803">
        <v>90913.603812890637</v>
      </c>
      <c r="H28" s="803">
        <v>78279.177321812705</v>
      </c>
      <c r="I28" s="804">
        <v>76531.827575748845</v>
      </c>
      <c r="J28" s="805">
        <v>4550</v>
      </c>
      <c r="K28" s="806">
        <v>600</v>
      </c>
      <c r="L28" s="806">
        <v>1075</v>
      </c>
      <c r="M28" s="807">
        <v>1000</v>
      </c>
      <c r="N28" s="807">
        <v>0</v>
      </c>
      <c r="O28" s="806">
        <v>675</v>
      </c>
      <c r="P28" s="806">
        <v>600</v>
      </c>
      <c r="Q28" s="806">
        <v>600</v>
      </c>
      <c r="R28" s="809">
        <v>138.99280140609397</v>
      </c>
      <c r="S28" s="810">
        <v>137.16408579667365</v>
      </c>
      <c r="T28" s="811">
        <v>146.4904448378463</v>
      </c>
      <c r="U28" s="811">
        <v>146.91695800858651</v>
      </c>
      <c r="V28" s="811" t="s">
        <v>288</v>
      </c>
      <c r="W28" s="811">
        <v>134.68682046354169</v>
      </c>
      <c r="X28" s="811">
        <v>130.46529553635452</v>
      </c>
      <c r="Y28" s="812">
        <v>127.55304595958141</v>
      </c>
      <c r="Z28" s="809">
        <v>48.088139289380713</v>
      </c>
      <c r="AA28" s="810">
        <v>47.44768316544446</v>
      </c>
      <c r="AB28" s="811">
        <v>50.713977679024147</v>
      </c>
      <c r="AC28" s="811">
        <v>50.86335190141984</v>
      </c>
      <c r="AD28" s="811">
        <v>0</v>
      </c>
      <c r="AE28" s="811">
        <v>46.580090771610067</v>
      </c>
      <c r="AF28" s="811">
        <v>45.101620593940645</v>
      </c>
      <c r="AG28" s="812">
        <v>44.08168722307262</v>
      </c>
      <c r="AH28" s="813">
        <v>218801.03376668223</v>
      </c>
      <c r="AI28" s="814">
        <v>28468.609899266674</v>
      </c>
      <c r="AJ28" s="815">
        <v>54517.52600495096</v>
      </c>
      <c r="AK28" s="815">
        <v>50863.351901419839</v>
      </c>
      <c r="AL28" s="815">
        <v>0</v>
      </c>
      <c r="AM28" s="815">
        <v>31441.561270836795</v>
      </c>
      <c r="AN28" s="815">
        <v>27060.972356364386</v>
      </c>
      <c r="AO28" s="816">
        <v>26449.012333843573</v>
      </c>
    </row>
    <row r="29" spans="1:41" ht="15.6" x14ac:dyDescent="0.3">
      <c r="A29" s="225" t="s">
        <v>249</v>
      </c>
      <c r="B29" s="801">
        <v>546329.95865843445</v>
      </c>
      <c r="C29" s="802">
        <v>74435.453230375031</v>
      </c>
      <c r="D29" s="803">
        <v>147029.74269627791</v>
      </c>
      <c r="E29" s="803">
        <v>133569.3222078571</v>
      </c>
      <c r="F29" s="803">
        <v>0</v>
      </c>
      <c r="G29" s="803">
        <v>71958.311136489356</v>
      </c>
      <c r="H29" s="803">
        <v>60668.051437059163</v>
      </c>
      <c r="I29" s="804">
        <v>58669.077950375853</v>
      </c>
      <c r="J29" s="805">
        <v>4150</v>
      </c>
      <c r="K29" s="806">
        <v>600</v>
      </c>
      <c r="L29" s="806">
        <v>1050</v>
      </c>
      <c r="M29" s="807">
        <v>950</v>
      </c>
      <c r="N29" s="807">
        <v>0</v>
      </c>
      <c r="O29" s="806">
        <v>550</v>
      </c>
      <c r="P29" s="806">
        <v>500</v>
      </c>
      <c r="Q29" s="806">
        <v>500</v>
      </c>
      <c r="R29" s="809">
        <v>131.64577317070709</v>
      </c>
      <c r="S29" s="810">
        <v>124.05908871729171</v>
      </c>
      <c r="T29" s="811">
        <v>140.02832637740752</v>
      </c>
      <c r="U29" s="811">
        <v>140.59928653458641</v>
      </c>
      <c r="V29" s="811" t="s">
        <v>288</v>
      </c>
      <c r="W29" s="811">
        <v>130.8332929754352</v>
      </c>
      <c r="X29" s="811">
        <v>121.33610287411832</v>
      </c>
      <c r="Y29" s="812">
        <v>117.3381559007517</v>
      </c>
      <c r="Z29" s="809">
        <v>48.126569133161482</v>
      </c>
      <c r="AA29" s="810">
        <v>45.310992465385787</v>
      </c>
      <c r="AB29" s="811">
        <v>51.237509277053853</v>
      </c>
      <c r="AC29" s="811">
        <v>51.449404487228136</v>
      </c>
      <c r="AD29" s="811">
        <v>0</v>
      </c>
      <c r="AE29" s="811">
        <v>47.825040804827289</v>
      </c>
      <c r="AF29" s="811">
        <v>44.30043568609716</v>
      </c>
      <c r="AG29" s="812">
        <v>42.816714267823592</v>
      </c>
      <c r="AH29" s="813">
        <v>199725.26190262014</v>
      </c>
      <c r="AI29" s="814">
        <v>27186.595479231473</v>
      </c>
      <c r="AJ29" s="815">
        <v>53799.384740906542</v>
      </c>
      <c r="AK29" s="815">
        <v>48876.934262866729</v>
      </c>
      <c r="AL29" s="815">
        <v>0</v>
      </c>
      <c r="AM29" s="815">
        <v>26303.772442655008</v>
      </c>
      <c r="AN29" s="815">
        <v>22150.21784304858</v>
      </c>
      <c r="AO29" s="816">
        <v>21408.357133911795</v>
      </c>
    </row>
    <row r="30" spans="1:41" ht="15.6" x14ac:dyDescent="0.3">
      <c r="A30" s="225" t="s">
        <v>250</v>
      </c>
      <c r="B30" s="801">
        <v>446526.54799301596</v>
      </c>
      <c r="C30" s="802">
        <v>55761.292195839393</v>
      </c>
      <c r="D30" s="803">
        <v>116203.18361548854</v>
      </c>
      <c r="E30" s="803">
        <v>101813.18649535117</v>
      </c>
      <c r="F30" s="803">
        <v>0</v>
      </c>
      <c r="G30" s="803">
        <v>61763.458194196435</v>
      </c>
      <c r="H30" s="803">
        <v>59171.221383019139</v>
      </c>
      <c r="I30" s="804">
        <v>51814.206109121355</v>
      </c>
      <c r="J30" s="805">
        <v>3500</v>
      </c>
      <c r="K30" s="806">
        <v>450</v>
      </c>
      <c r="L30" s="806">
        <v>850</v>
      </c>
      <c r="M30" s="807">
        <v>750</v>
      </c>
      <c r="N30" s="807">
        <v>0</v>
      </c>
      <c r="O30" s="806">
        <v>500</v>
      </c>
      <c r="P30" s="806">
        <v>500</v>
      </c>
      <c r="Q30" s="806">
        <v>450</v>
      </c>
      <c r="R30" s="809">
        <v>127.57901371229028</v>
      </c>
      <c r="S30" s="810">
        <v>123.91398265742087</v>
      </c>
      <c r="T30" s="811">
        <v>136.7096277829277</v>
      </c>
      <c r="U30" s="811">
        <v>135.75091532713489</v>
      </c>
      <c r="V30" s="811" t="s">
        <v>288</v>
      </c>
      <c r="W30" s="811">
        <v>123.52691638839288</v>
      </c>
      <c r="X30" s="811">
        <v>118.34244276603827</v>
      </c>
      <c r="Y30" s="812">
        <v>115.14268024249191</v>
      </c>
      <c r="Z30" s="809">
        <v>47.819946949000006</v>
      </c>
      <c r="AA30" s="810">
        <v>46.446197571962699</v>
      </c>
      <c r="AB30" s="811">
        <v>51.242339611905599</v>
      </c>
      <c r="AC30" s="811">
        <v>50.882989140058037</v>
      </c>
      <c r="AD30" s="811">
        <v>0</v>
      </c>
      <c r="AE30" s="811">
        <v>46.301115023414333</v>
      </c>
      <c r="AF30" s="811">
        <v>44.357838881316333</v>
      </c>
      <c r="AG30" s="812">
        <v>43.158484303529335</v>
      </c>
      <c r="AH30" s="813">
        <v>167369.81432150002</v>
      </c>
      <c r="AI30" s="814">
        <v>20900.788907383216</v>
      </c>
      <c r="AJ30" s="815">
        <v>43555.988670119761</v>
      </c>
      <c r="AK30" s="815">
        <v>38162.241855043525</v>
      </c>
      <c r="AL30" s="815">
        <v>0</v>
      </c>
      <c r="AM30" s="815">
        <v>23150.557511707168</v>
      </c>
      <c r="AN30" s="815">
        <v>22178.919440658166</v>
      </c>
      <c r="AO30" s="816">
        <v>19421.317936588199</v>
      </c>
    </row>
    <row r="31" spans="1:41" ht="15.6" x14ac:dyDescent="0.3">
      <c r="A31" s="225" t="s">
        <v>251</v>
      </c>
      <c r="B31" s="801">
        <v>409657.72643991746</v>
      </c>
      <c r="C31" s="802">
        <v>53913.373397166586</v>
      </c>
      <c r="D31" s="803">
        <v>100070.6295622398</v>
      </c>
      <c r="E31" s="803">
        <v>92737.757254568918</v>
      </c>
      <c r="F31" s="803">
        <v>0</v>
      </c>
      <c r="G31" s="803">
        <v>54857.87164048558</v>
      </c>
      <c r="H31" s="803">
        <v>51795.826357472637</v>
      </c>
      <c r="I31" s="804">
        <v>56282.268227983994</v>
      </c>
      <c r="J31" s="805">
        <v>3300</v>
      </c>
      <c r="K31" s="806">
        <v>450</v>
      </c>
      <c r="L31" s="806">
        <v>750</v>
      </c>
      <c r="M31" s="807">
        <v>700</v>
      </c>
      <c r="N31" s="807">
        <v>0</v>
      </c>
      <c r="O31" s="806">
        <v>450</v>
      </c>
      <c r="P31" s="806">
        <v>450</v>
      </c>
      <c r="Q31" s="806">
        <v>500</v>
      </c>
      <c r="R31" s="809">
        <v>124.13870498179317</v>
      </c>
      <c r="S31" s="810">
        <v>119.80749643814796</v>
      </c>
      <c r="T31" s="811">
        <v>133.42750608298641</v>
      </c>
      <c r="U31" s="811">
        <v>132.48251036366989</v>
      </c>
      <c r="V31" s="811" t="s">
        <v>288</v>
      </c>
      <c r="W31" s="811">
        <v>121.90638142330128</v>
      </c>
      <c r="X31" s="811">
        <v>115.10183634993919</v>
      </c>
      <c r="Y31" s="812">
        <v>112.56453645596798</v>
      </c>
      <c r="Z31" s="809">
        <v>46.53132712129883</v>
      </c>
      <c r="AA31" s="810">
        <v>44.907845696996233</v>
      </c>
      <c r="AB31" s="811">
        <v>50.013079590584638</v>
      </c>
      <c r="AC31" s="811">
        <v>49.658863675812583</v>
      </c>
      <c r="AD31" s="811">
        <v>0</v>
      </c>
      <c r="AE31" s="811">
        <v>45.694577795163966</v>
      </c>
      <c r="AF31" s="811">
        <v>43.144007344419606</v>
      </c>
      <c r="AG31" s="812">
        <v>42.192942715635802</v>
      </c>
      <c r="AH31" s="813">
        <v>153553.37950028613</v>
      </c>
      <c r="AI31" s="814">
        <v>20208.530563648306</v>
      </c>
      <c r="AJ31" s="815">
        <v>37509.809692938477</v>
      </c>
      <c r="AK31" s="815">
        <v>34761.204573068811</v>
      </c>
      <c r="AL31" s="815">
        <v>0</v>
      </c>
      <c r="AM31" s="815">
        <v>20562.560007823784</v>
      </c>
      <c r="AN31" s="815">
        <v>19414.803304988822</v>
      </c>
      <c r="AO31" s="816">
        <v>21096.4713578179</v>
      </c>
    </row>
    <row r="32" spans="1:41" ht="15.6" x14ac:dyDescent="0.3">
      <c r="A32" s="225" t="s">
        <v>197</v>
      </c>
      <c r="B32" s="801">
        <v>385908.91760590224</v>
      </c>
      <c r="C32" s="802">
        <v>0</v>
      </c>
      <c r="D32" s="803">
        <v>121568.27847887232</v>
      </c>
      <c r="E32" s="803">
        <v>100873.78036953755</v>
      </c>
      <c r="F32" s="803">
        <v>0</v>
      </c>
      <c r="G32" s="803">
        <v>56832.063042125985</v>
      </c>
      <c r="H32" s="803">
        <v>53734.80997057497</v>
      </c>
      <c r="I32" s="804">
        <v>52899.985744791462</v>
      </c>
      <c r="J32" s="805">
        <v>3000</v>
      </c>
      <c r="K32" s="806">
        <v>0</v>
      </c>
      <c r="L32" s="806">
        <v>900</v>
      </c>
      <c r="M32" s="807">
        <v>750</v>
      </c>
      <c r="N32" s="807">
        <v>0</v>
      </c>
      <c r="O32" s="806">
        <v>450</v>
      </c>
      <c r="P32" s="806">
        <v>450</v>
      </c>
      <c r="Q32" s="806">
        <v>450</v>
      </c>
      <c r="R32" s="809">
        <v>128.63630586863408</v>
      </c>
      <c r="S32" s="810" t="s">
        <v>288</v>
      </c>
      <c r="T32" s="811">
        <v>135.0758649765248</v>
      </c>
      <c r="U32" s="811">
        <v>134.49837382605006</v>
      </c>
      <c r="V32" s="811" t="s">
        <v>288</v>
      </c>
      <c r="W32" s="811">
        <v>126.29347342694663</v>
      </c>
      <c r="X32" s="811">
        <v>119.41068882349994</v>
      </c>
      <c r="Y32" s="812">
        <v>117.55552387731436</v>
      </c>
      <c r="Z32" s="809">
        <v>46.94135414513967</v>
      </c>
      <c r="AA32" s="810">
        <v>0</v>
      </c>
      <c r="AB32" s="811">
        <v>49.327323297789491</v>
      </c>
      <c r="AC32" s="811">
        <v>49.11335273740243</v>
      </c>
      <c r="AD32" s="811">
        <v>0</v>
      </c>
      <c r="AE32" s="811">
        <v>46.073293794727803</v>
      </c>
      <c r="AF32" s="811">
        <v>43.52310185254435</v>
      </c>
      <c r="AG32" s="812">
        <v>42.835730829075956</v>
      </c>
      <c r="AH32" s="813">
        <v>140824.06243541901</v>
      </c>
      <c r="AI32" s="814">
        <v>0</v>
      </c>
      <c r="AJ32" s="815">
        <v>44394.59096801054</v>
      </c>
      <c r="AK32" s="815">
        <v>36835.01455305182</v>
      </c>
      <c r="AL32" s="815">
        <v>0</v>
      </c>
      <c r="AM32" s="815">
        <v>20732.982207627512</v>
      </c>
      <c r="AN32" s="815">
        <v>19585.395833644958</v>
      </c>
      <c r="AO32" s="816">
        <v>19276.078873084181</v>
      </c>
    </row>
    <row r="33" spans="1:41" ht="15.6" x14ac:dyDescent="0.3">
      <c r="A33" s="225" t="s">
        <v>198</v>
      </c>
      <c r="B33" s="801">
        <v>411413.22260000627</v>
      </c>
      <c r="C33" s="802">
        <v>56058.047915700379</v>
      </c>
      <c r="D33" s="803">
        <v>94248.275457587777</v>
      </c>
      <c r="E33" s="803">
        <v>86722.308549892623</v>
      </c>
      <c r="F33" s="803">
        <v>0</v>
      </c>
      <c r="G33" s="803">
        <v>65448.463887019345</v>
      </c>
      <c r="H33" s="803">
        <v>55265.639374445367</v>
      </c>
      <c r="I33" s="804">
        <v>53670.487415360803</v>
      </c>
      <c r="J33" s="805">
        <v>3200</v>
      </c>
      <c r="K33" s="806">
        <v>450</v>
      </c>
      <c r="L33" s="806">
        <v>700</v>
      </c>
      <c r="M33" s="807">
        <v>650</v>
      </c>
      <c r="N33" s="807">
        <v>0</v>
      </c>
      <c r="O33" s="806">
        <v>500</v>
      </c>
      <c r="P33" s="806">
        <v>450</v>
      </c>
      <c r="Q33" s="806">
        <v>450</v>
      </c>
      <c r="R33" s="809">
        <v>128.56663206250195</v>
      </c>
      <c r="S33" s="810">
        <v>124.57343981266752</v>
      </c>
      <c r="T33" s="811">
        <v>134.64039351083969</v>
      </c>
      <c r="U33" s="811">
        <v>133.41893623060403</v>
      </c>
      <c r="V33" s="811" t="s">
        <v>288</v>
      </c>
      <c r="W33" s="811">
        <v>130.89692777403869</v>
      </c>
      <c r="X33" s="811">
        <v>122.81253194321192</v>
      </c>
      <c r="Y33" s="812">
        <v>119.26774981191289</v>
      </c>
      <c r="Z33" s="809">
        <v>46.219537112191446</v>
      </c>
      <c r="AA33" s="810">
        <v>44.7619390114873</v>
      </c>
      <c r="AB33" s="811">
        <v>48.436586179036183</v>
      </c>
      <c r="AC33" s="811">
        <v>47.990728904862479</v>
      </c>
      <c r="AD33" s="811">
        <v>0</v>
      </c>
      <c r="AE33" s="811">
        <v>47.07014344184055</v>
      </c>
      <c r="AF33" s="811">
        <v>44.119171069087365</v>
      </c>
      <c r="AG33" s="812">
        <v>42.825251974106237</v>
      </c>
      <c r="AH33" s="813">
        <v>147902.51875901263</v>
      </c>
      <c r="AI33" s="814">
        <v>20142.872555169284</v>
      </c>
      <c r="AJ33" s="815">
        <v>33905.610325325331</v>
      </c>
      <c r="AK33" s="815">
        <v>31193.973788160612</v>
      </c>
      <c r="AL33" s="815">
        <v>0</v>
      </c>
      <c r="AM33" s="815">
        <v>23535.071720920274</v>
      </c>
      <c r="AN33" s="815">
        <v>19853.626981089314</v>
      </c>
      <c r="AO33" s="816">
        <v>19271.363388347807</v>
      </c>
    </row>
    <row r="34" spans="1:41" ht="15.6" x14ac:dyDescent="0.3">
      <c r="A34" s="225" t="s">
        <v>199</v>
      </c>
      <c r="B34" s="801">
        <v>426502.99617741437</v>
      </c>
      <c r="C34" s="802">
        <v>58127.956045571918</v>
      </c>
      <c r="D34" s="803">
        <v>102374.39751779579</v>
      </c>
      <c r="E34" s="803">
        <v>91604.026268150905</v>
      </c>
      <c r="F34" s="803">
        <v>0</v>
      </c>
      <c r="G34" s="803">
        <v>65034.265204688214</v>
      </c>
      <c r="H34" s="803">
        <v>54926.12021379744</v>
      </c>
      <c r="I34" s="804">
        <v>54436.23092741015</v>
      </c>
      <c r="J34" s="805">
        <v>3500</v>
      </c>
      <c r="K34" s="806">
        <v>500</v>
      </c>
      <c r="L34" s="806">
        <v>800</v>
      </c>
      <c r="M34" s="807">
        <v>725</v>
      </c>
      <c r="N34" s="807">
        <v>0</v>
      </c>
      <c r="O34" s="806">
        <v>525</v>
      </c>
      <c r="P34" s="806">
        <v>475</v>
      </c>
      <c r="Q34" s="806">
        <v>475</v>
      </c>
      <c r="R34" s="809">
        <v>121.85799890783268</v>
      </c>
      <c r="S34" s="810">
        <v>116.25591209114384</v>
      </c>
      <c r="T34" s="811">
        <v>127.96799689724475</v>
      </c>
      <c r="U34" s="811">
        <v>126.35038105951848</v>
      </c>
      <c r="V34" s="811" t="s">
        <v>288</v>
      </c>
      <c r="W34" s="811">
        <v>123.87479086607279</v>
      </c>
      <c r="X34" s="811">
        <v>115.63393729220513</v>
      </c>
      <c r="Y34" s="812">
        <v>114.60259142612664</v>
      </c>
      <c r="Z34" s="809">
        <v>44.774330442013337</v>
      </c>
      <c r="AA34" s="810">
        <v>42.715953572678814</v>
      </c>
      <c r="AB34" s="811">
        <v>47.019329304869167</v>
      </c>
      <c r="AC34" s="811">
        <v>46.424968108265482</v>
      </c>
      <c r="AD34" s="811">
        <v>0</v>
      </c>
      <c r="AE34" s="811">
        <v>45.51536107094509</v>
      </c>
      <c r="AF34" s="811">
        <v>42.487421138009921</v>
      </c>
      <c r="AG34" s="812">
        <v>42.108473337933788</v>
      </c>
      <c r="AH34" s="813">
        <v>156710.15654704667</v>
      </c>
      <c r="AI34" s="814">
        <v>21357.976786339408</v>
      </c>
      <c r="AJ34" s="815">
        <v>37615.463443895336</v>
      </c>
      <c r="AK34" s="815">
        <v>33658.101878492474</v>
      </c>
      <c r="AL34" s="815">
        <v>0</v>
      </c>
      <c r="AM34" s="815">
        <v>23895.564562246171</v>
      </c>
      <c r="AN34" s="815">
        <v>20181.525040554712</v>
      </c>
      <c r="AO34" s="816">
        <v>20001.52483551855</v>
      </c>
    </row>
    <row r="35" spans="1:41" ht="15.6" x14ac:dyDescent="0.3">
      <c r="A35" s="225" t="s">
        <v>200</v>
      </c>
      <c r="B35" s="801">
        <v>387790.40733891056</v>
      </c>
      <c r="C35" s="802">
        <v>46396.898937618535</v>
      </c>
      <c r="D35" s="803">
        <v>96404.630735990868</v>
      </c>
      <c r="E35" s="803">
        <v>87281.816687571336</v>
      </c>
      <c r="F35" s="803">
        <v>0</v>
      </c>
      <c r="G35" s="803">
        <v>0</v>
      </c>
      <c r="H35" s="803">
        <v>94279.213411821765</v>
      </c>
      <c r="I35" s="804">
        <v>63427.847565908029</v>
      </c>
      <c r="J35" s="805">
        <v>3175</v>
      </c>
      <c r="K35" s="806">
        <v>400</v>
      </c>
      <c r="L35" s="806">
        <v>750</v>
      </c>
      <c r="M35" s="807">
        <v>675</v>
      </c>
      <c r="N35" s="807">
        <v>0</v>
      </c>
      <c r="O35" s="806">
        <v>0</v>
      </c>
      <c r="P35" s="806">
        <v>800</v>
      </c>
      <c r="Q35" s="806">
        <v>550</v>
      </c>
      <c r="R35" s="809">
        <v>122.13871097288522</v>
      </c>
      <c r="S35" s="810">
        <v>115.99224734404633</v>
      </c>
      <c r="T35" s="811">
        <v>128.53950764798782</v>
      </c>
      <c r="U35" s="811">
        <v>129.30639509269827</v>
      </c>
      <c r="V35" s="811" t="s">
        <v>288</v>
      </c>
      <c r="W35" s="811" t="s">
        <v>288</v>
      </c>
      <c r="X35" s="811">
        <v>117.8490167647772</v>
      </c>
      <c r="Y35" s="812">
        <v>115.32335921074187</v>
      </c>
      <c r="Z35" s="809">
        <v>43.75036563508101</v>
      </c>
      <c r="AA35" s="810">
        <v>41.513077117834108</v>
      </c>
      <c r="AB35" s="811">
        <v>46.080230377995704</v>
      </c>
      <c r="AC35" s="811">
        <v>46.359374383016949</v>
      </c>
      <c r="AD35" s="811">
        <v>0</v>
      </c>
      <c r="AE35" s="811">
        <v>0</v>
      </c>
      <c r="AF35" s="811">
        <v>42.18893386327801</v>
      </c>
      <c r="AG35" s="812">
        <v>41.269604475623503</v>
      </c>
      <c r="AH35" s="813">
        <v>138907.4108913822</v>
      </c>
      <c r="AI35" s="814">
        <v>16605.230847133644</v>
      </c>
      <c r="AJ35" s="815">
        <v>34560.172783496775</v>
      </c>
      <c r="AK35" s="815">
        <v>31292.577708536439</v>
      </c>
      <c r="AL35" s="815">
        <v>0</v>
      </c>
      <c r="AM35" s="815">
        <v>0</v>
      </c>
      <c r="AN35" s="815">
        <v>33751.147090622406</v>
      </c>
      <c r="AO35" s="816">
        <v>22698.282461592928</v>
      </c>
    </row>
    <row r="36" spans="1:41" ht="15.6" x14ac:dyDescent="0.3">
      <c r="A36" s="225" t="s">
        <v>201</v>
      </c>
      <c r="B36" s="801">
        <v>467801.31136867072</v>
      </c>
      <c r="C36" s="802">
        <v>56075.922584400221</v>
      </c>
      <c r="D36" s="803">
        <v>107933.69861355537</v>
      </c>
      <c r="E36" s="803">
        <v>101997.34748119325</v>
      </c>
      <c r="F36" s="803">
        <v>0</v>
      </c>
      <c r="G36" s="803">
        <v>83135.087987523555</v>
      </c>
      <c r="H36" s="803">
        <v>59972.459571589075</v>
      </c>
      <c r="I36" s="804">
        <v>58686.795130409278</v>
      </c>
      <c r="J36" s="805">
        <v>3725</v>
      </c>
      <c r="K36" s="806">
        <v>475</v>
      </c>
      <c r="L36" s="806">
        <v>825</v>
      </c>
      <c r="M36" s="807">
        <v>775</v>
      </c>
      <c r="N36" s="807">
        <v>0</v>
      </c>
      <c r="O36" s="806">
        <v>650</v>
      </c>
      <c r="P36" s="806">
        <v>500</v>
      </c>
      <c r="Q36" s="806">
        <v>500</v>
      </c>
      <c r="R36" s="809">
        <v>125.5842446627304</v>
      </c>
      <c r="S36" s="810">
        <v>118.05457386189521</v>
      </c>
      <c r="T36" s="811">
        <v>130.82872559218833</v>
      </c>
      <c r="U36" s="811">
        <v>131.60948062089452</v>
      </c>
      <c r="V36" s="811" t="s">
        <v>288</v>
      </c>
      <c r="W36" s="811">
        <v>127.90013536542085</v>
      </c>
      <c r="X36" s="811">
        <v>119.94491914317815</v>
      </c>
      <c r="Y36" s="812">
        <v>117.37359026081856</v>
      </c>
      <c r="Z36" s="809">
        <v>44.314601094395329</v>
      </c>
      <c r="AA36" s="810">
        <v>41.615846988449839</v>
      </c>
      <c r="AB36" s="811">
        <v>46.194306703883264</v>
      </c>
      <c r="AC36" s="811">
        <v>46.474141758454927</v>
      </c>
      <c r="AD36" s="811">
        <v>0</v>
      </c>
      <c r="AE36" s="811">
        <v>45.144653258443938</v>
      </c>
      <c r="AF36" s="811">
        <v>42.293376886430394</v>
      </c>
      <c r="AG36" s="812">
        <v>41.371771604797836</v>
      </c>
      <c r="AH36" s="813">
        <v>165071.88907662261</v>
      </c>
      <c r="AI36" s="814">
        <v>19767.527319513672</v>
      </c>
      <c r="AJ36" s="815">
        <v>38110.30303070369</v>
      </c>
      <c r="AK36" s="815">
        <v>36017.459862802571</v>
      </c>
      <c r="AL36" s="815">
        <v>0</v>
      </c>
      <c r="AM36" s="815">
        <v>29344.024617988558</v>
      </c>
      <c r="AN36" s="815">
        <v>21146.688443215196</v>
      </c>
      <c r="AO36" s="816">
        <v>20685.88580239892</v>
      </c>
    </row>
    <row r="37" spans="1:41" ht="15.6" x14ac:dyDescent="0.3">
      <c r="A37" s="225" t="s">
        <v>202</v>
      </c>
      <c r="B37" s="801">
        <v>612139.59381044947</v>
      </c>
      <c r="C37" s="802">
        <v>66148.937125197175</v>
      </c>
      <c r="D37" s="803">
        <v>151793.52797922885</v>
      </c>
      <c r="E37" s="803">
        <v>143457.90998106331</v>
      </c>
      <c r="F37" s="803">
        <v>0</v>
      </c>
      <c r="G37" s="803">
        <v>92944.77256395467</v>
      </c>
      <c r="H37" s="803">
        <v>79516.262713836972</v>
      </c>
      <c r="I37" s="804">
        <v>78278.183447168398</v>
      </c>
      <c r="J37" s="805">
        <v>4700</v>
      </c>
      <c r="K37" s="806">
        <v>550</v>
      </c>
      <c r="L37" s="806">
        <v>1100</v>
      </c>
      <c r="M37" s="807">
        <v>1050</v>
      </c>
      <c r="N37" s="807">
        <v>0</v>
      </c>
      <c r="O37" s="806">
        <v>700</v>
      </c>
      <c r="P37" s="806">
        <v>650</v>
      </c>
      <c r="Q37" s="806">
        <v>650</v>
      </c>
      <c r="R37" s="809">
        <v>130.24246676818075</v>
      </c>
      <c r="S37" s="810">
        <v>120.27079477308577</v>
      </c>
      <c r="T37" s="811">
        <v>137.99411634475351</v>
      </c>
      <c r="U37" s="811">
        <v>136.62658093434601</v>
      </c>
      <c r="V37" s="811" t="s">
        <v>288</v>
      </c>
      <c r="W37" s="811">
        <v>132.77824651993524</v>
      </c>
      <c r="X37" s="811">
        <v>122.33271186744149</v>
      </c>
      <c r="Y37" s="812">
        <v>120.42797453410523</v>
      </c>
      <c r="Z37" s="809">
        <v>47.53716205947115</v>
      </c>
      <c r="AA37" s="810">
        <v>43.849245165510688</v>
      </c>
      <c r="AB37" s="811">
        <v>50.404027259566632</v>
      </c>
      <c r="AC37" s="811">
        <v>49.898258824181696</v>
      </c>
      <c r="AD37" s="811">
        <v>0</v>
      </c>
      <c r="AE37" s="811">
        <v>48.474993246704202</v>
      </c>
      <c r="AF37" s="811">
        <v>44.61182328580594</v>
      </c>
      <c r="AG37" s="812">
        <v>43.907376429388748</v>
      </c>
      <c r="AH37" s="813">
        <v>223424.66167951442</v>
      </c>
      <c r="AI37" s="814">
        <v>24117.084841030879</v>
      </c>
      <c r="AJ37" s="815">
        <v>55444.429985523297</v>
      </c>
      <c r="AK37" s="815">
        <v>52393.171765390784</v>
      </c>
      <c r="AL37" s="815">
        <v>0</v>
      </c>
      <c r="AM37" s="815">
        <v>33932.49527269294</v>
      </c>
      <c r="AN37" s="815">
        <v>28997.68513577386</v>
      </c>
      <c r="AO37" s="816">
        <v>28539.794679102684</v>
      </c>
    </row>
    <row r="38" spans="1:41" ht="15.6" x14ac:dyDescent="0.3">
      <c r="A38" s="225" t="s">
        <v>203</v>
      </c>
      <c r="B38" s="801">
        <v>636908.23328283953</v>
      </c>
      <c r="C38" s="802">
        <v>76840.583987408376</v>
      </c>
      <c r="D38" s="803">
        <v>155965.73875565222</v>
      </c>
      <c r="E38" s="803">
        <v>142638.96972272388</v>
      </c>
      <c r="F38" s="803">
        <v>0</v>
      </c>
      <c r="G38" s="803">
        <v>100040.59727783834</v>
      </c>
      <c r="H38" s="803">
        <v>78937.24963615353</v>
      </c>
      <c r="I38" s="804">
        <v>82485.093903063171</v>
      </c>
      <c r="J38" s="805">
        <v>4975</v>
      </c>
      <c r="K38" s="806">
        <v>650</v>
      </c>
      <c r="L38" s="806">
        <v>1150</v>
      </c>
      <c r="M38" s="807">
        <v>1050</v>
      </c>
      <c r="N38" s="807">
        <v>0</v>
      </c>
      <c r="O38" s="806">
        <v>750</v>
      </c>
      <c r="P38" s="806">
        <v>675</v>
      </c>
      <c r="Q38" s="806">
        <v>700</v>
      </c>
      <c r="R38" s="809">
        <v>128.02175543373659</v>
      </c>
      <c r="S38" s="810">
        <v>118.21628305755135</v>
      </c>
      <c r="T38" s="811">
        <v>135.6223815266541</v>
      </c>
      <c r="U38" s="811">
        <v>135.84663783116559</v>
      </c>
      <c r="V38" s="811" t="s">
        <v>288</v>
      </c>
      <c r="W38" s="811">
        <v>133.38746303711778</v>
      </c>
      <c r="X38" s="811">
        <v>116.94407353504226</v>
      </c>
      <c r="Y38" s="812">
        <v>117.83584843294739</v>
      </c>
      <c r="Z38" s="809">
        <v>49.133619896786158</v>
      </c>
      <c r="AA38" s="810">
        <v>45.319213073743406</v>
      </c>
      <c r="AB38" s="811">
        <v>52.090323961205783</v>
      </c>
      <c r="AC38" s="811">
        <v>52.177561449133094</v>
      </c>
      <c r="AD38" s="811">
        <v>0</v>
      </c>
      <c r="AE38" s="811">
        <v>51.220922874916837</v>
      </c>
      <c r="AF38" s="811">
        <v>44.824313440474896</v>
      </c>
      <c r="AG38" s="812">
        <v>45.171220975847596</v>
      </c>
      <c r="AH38" s="813">
        <v>244439.75898651112</v>
      </c>
      <c r="AI38" s="814">
        <v>29457.488497933213</v>
      </c>
      <c r="AJ38" s="815">
        <v>59903.872555386653</v>
      </c>
      <c r="AK38" s="815">
        <v>54786.439521589746</v>
      </c>
      <c r="AL38" s="815">
        <v>0</v>
      </c>
      <c r="AM38" s="815">
        <v>38415.69215618763</v>
      </c>
      <c r="AN38" s="815">
        <v>30256.411572320554</v>
      </c>
      <c r="AO38" s="816">
        <v>31619.854683093319</v>
      </c>
    </row>
    <row r="39" spans="1:41" ht="15.6" x14ac:dyDescent="0.3">
      <c r="A39" s="225" t="s">
        <v>204</v>
      </c>
      <c r="B39" s="801">
        <v>614815.69144602213</v>
      </c>
      <c r="C39" s="802">
        <v>72541.851410307805</v>
      </c>
      <c r="D39" s="803">
        <v>149773.34130733504</v>
      </c>
      <c r="E39" s="803">
        <v>137082.19349296609</v>
      </c>
      <c r="F39" s="803">
        <v>0</v>
      </c>
      <c r="G39" s="803">
        <v>97233.949344138382</v>
      </c>
      <c r="H39" s="803">
        <v>77305.735969975096</v>
      </c>
      <c r="I39" s="804">
        <v>80878.619921299716</v>
      </c>
      <c r="J39" s="805">
        <v>5000</v>
      </c>
      <c r="K39" s="806">
        <v>650</v>
      </c>
      <c r="L39" s="806">
        <v>1150</v>
      </c>
      <c r="M39" s="807">
        <v>1050</v>
      </c>
      <c r="N39" s="807">
        <v>0</v>
      </c>
      <c r="O39" s="806">
        <v>750</v>
      </c>
      <c r="P39" s="806">
        <v>700</v>
      </c>
      <c r="Q39" s="806">
        <v>700</v>
      </c>
      <c r="R39" s="809">
        <v>122.96313828920442</v>
      </c>
      <c r="S39" s="810">
        <v>111.60284832355048</v>
      </c>
      <c r="T39" s="811">
        <v>130.23768809333481</v>
      </c>
      <c r="U39" s="811">
        <v>130.55446999330104</v>
      </c>
      <c r="V39" s="811" t="s">
        <v>288</v>
      </c>
      <c r="W39" s="811">
        <v>129.64526579218452</v>
      </c>
      <c r="X39" s="811">
        <v>110.43676567139299</v>
      </c>
      <c r="Y39" s="812">
        <v>115.54088560185674</v>
      </c>
      <c r="Z39" s="809">
        <v>47.831947260041915</v>
      </c>
      <c r="AA39" s="810">
        <v>43.349411722876283</v>
      </c>
      <c r="AB39" s="811">
        <v>50.702334205488057</v>
      </c>
      <c r="AC39" s="811">
        <v>50.827329793489994</v>
      </c>
      <c r="AD39" s="811">
        <v>0</v>
      </c>
      <c r="AE39" s="811">
        <v>50.468576614269494</v>
      </c>
      <c r="AF39" s="811">
        <v>42.889299618046977</v>
      </c>
      <c r="AG39" s="812">
        <v>44.903279810756096</v>
      </c>
      <c r="AH39" s="813">
        <v>239159.73630020957</v>
      </c>
      <c r="AI39" s="814">
        <v>28177.117619869583</v>
      </c>
      <c r="AJ39" s="815">
        <v>58307.684336311264</v>
      </c>
      <c r="AK39" s="815">
        <v>53368.696283164492</v>
      </c>
      <c r="AL39" s="815">
        <v>0</v>
      </c>
      <c r="AM39" s="815">
        <v>37851.432460702119</v>
      </c>
      <c r="AN39" s="815">
        <v>30022.509732632883</v>
      </c>
      <c r="AO39" s="816">
        <v>31432.295867529268</v>
      </c>
    </row>
    <row r="40" spans="1:41" ht="15.6" x14ac:dyDescent="0.3">
      <c r="A40" s="225" t="s">
        <v>205</v>
      </c>
      <c r="B40" s="801">
        <v>552326.30976597453</v>
      </c>
      <c r="C40" s="802">
        <v>73820.695444493089</v>
      </c>
      <c r="D40" s="803">
        <v>131296.42911912463</v>
      </c>
      <c r="E40" s="803">
        <v>129235.78677990352</v>
      </c>
      <c r="F40" s="803">
        <v>0</v>
      </c>
      <c r="G40" s="803">
        <v>90098.790826047887</v>
      </c>
      <c r="H40" s="803">
        <v>60827.431891017572</v>
      </c>
      <c r="I40" s="804">
        <v>67047.175705387781</v>
      </c>
      <c r="J40" s="805">
        <v>4650</v>
      </c>
      <c r="K40" s="806">
        <v>650</v>
      </c>
      <c r="L40" s="806">
        <v>1000</v>
      </c>
      <c r="M40" s="807">
        <v>1000</v>
      </c>
      <c r="N40" s="807">
        <v>0</v>
      </c>
      <c r="O40" s="806">
        <v>750</v>
      </c>
      <c r="P40" s="806">
        <v>600</v>
      </c>
      <c r="Q40" s="806">
        <v>650</v>
      </c>
      <c r="R40" s="809">
        <v>118.77985156257516</v>
      </c>
      <c r="S40" s="810">
        <v>113.57030068383553</v>
      </c>
      <c r="T40" s="811">
        <v>131.29642911912464</v>
      </c>
      <c r="U40" s="811">
        <v>129.23578677990352</v>
      </c>
      <c r="V40" s="811" t="s">
        <v>288</v>
      </c>
      <c r="W40" s="811">
        <v>120.13172110139718</v>
      </c>
      <c r="X40" s="811">
        <v>101.37905315169596</v>
      </c>
      <c r="Y40" s="812">
        <v>103.14950108521197</v>
      </c>
      <c r="Z40" s="809">
        <v>46.279930585377649</v>
      </c>
      <c r="AA40" s="810">
        <v>44.220177487823612</v>
      </c>
      <c r="AB40" s="811">
        <v>51.228737112652702</v>
      </c>
      <c r="AC40" s="811">
        <v>50.413999999999994</v>
      </c>
      <c r="AD40" s="811">
        <v>0</v>
      </c>
      <c r="AE40" s="811">
        <v>46.814432989690722</v>
      </c>
      <c r="AF40" s="811">
        <v>39.4</v>
      </c>
      <c r="AG40" s="812">
        <v>40.1</v>
      </c>
      <c r="AH40" s="813">
        <v>215201.67722200608</v>
      </c>
      <c r="AI40" s="814">
        <v>28743.115367085349</v>
      </c>
      <c r="AJ40" s="815">
        <v>51228.7371126527</v>
      </c>
      <c r="AK40" s="815">
        <v>50413.999999999993</v>
      </c>
      <c r="AL40" s="815">
        <v>0</v>
      </c>
      <c r="AM40" s="815">
        <v>35110.824742268043</v>
      </c>
      <c r="AN40" s="815">
        <v>23640</v>
      </c>
      <c r="AO40" s="816">
        <v>26065</v>
      </c>
    </row>
    <row r="41" spans="1:41" ht="15.6" x14ac:dyDescent="0.3">
      <c r="A41" s="225" t="s">
        <v>206</v>
      </c>
      <c r="B41" s="801">
        <v>692865.69149987132</v>
      </c>
      <c r="C41" s="802">
        <v>98224.782945181811</v>
      </c>
      <c r="D41" s="803">
        <v>158996.97529134178</v>
      </c>
      <c r="E41" s="803">
        <v>167296.37320782492</v>
      </c>
      <c r="F41" s="803">
        <v>0</v>
      </c>
      <c r="G41" s="803">
        <v>110407.04794826428</v>
      </c>
      <c r="H41" s="803">
        <v>77437.500529142111</v>
      </c>
      <c r="I41" s="804">
        <v>80503.011578116493</v>
      </c>
      <c r="J41" s="805">
        <v>4500</v>
      </c>
      <c r="K41" s="806">
        <v>700</v>
      </c>
      <c r="L41" s="806">
        <v>950</v>
      </c>
      <c r="M41" s="807">
        <v>1000</v>
      </c>
      <c r="N41" s="807">
        <v>0</v>
      </c>
      <c r="O41" s="806">
        <v>700</v>
      </c>
      <c r="P41" s="806">
        <v>550</v>
      </c>
      <c r="Q41" s="806">
        <v>600</v>
      </c>
      <c r="R41" s="809">
        <v>153.97015366663808</v>
      </c>
      <c r="S41" s="810">
        <v>140.32111849311687</v>
      </c>
      <c r="T41" s="811">
        <v>167.36523714878081</v>
      </c>
      <c r="U41" s="811">
        <v>167.29637320782493</v>
      </c>
      <c r="V41" s="811" t="s">
        <v>288</v>
      </c>
      <c r="W41" s="811">
        <v>157.72435421180612</v>
      </c>
      <c r="X41" s="811">
        <v>140.7954555075311</v>
      </c>
      <c r="Y41" s="812">
        <v>134.17168596352749</v>
      </c>
      <c r="Z41" s="809">
        <v>47.72943485668624</v>
      </c>
      <c r="AA41" s="810">
        <v>43.450322526418688</v>
      </c>
      <c r="AB41" s="811">
        <v>51.928930730548288</v>
      </c>
      <c r="AC41" s="811">
        <v>51.907341179703934</v>
      </c>
      <c r="AD41" s="811">
        <v>0</v>
      </c>
      <c r="AE41" s="811">
        <v>48.906415180855291</v>
      </c>
      <c r="AF41" s="811">
        <v>43.599032038943051</v>
      </c>
      <c r="AG41" s="812">
        <v>41.522412441421395</v>
      </c>
      <c r="AH41" s="813">
        <v>214782.45685508809</v>
      </c>
      <c r="AI41" s="814">
        <v>30415.225768493081</v>
      </c>
      <c r="AJ41" s="815">
        <v>49332.484194020872</v>
      </c>
      <c r="AK41" s="815">
        <v>51907.341179703937</v>
      </c>
      <c r="AL41" s="815">
        <v>0</v>
      </c>
      <c r="AM41" s="815">
        <v>34234.490626598701</v>
      </c>
      <c r="AN41" s="815">
        <v>23979.467621418677</v>
      </c>
      <c r="AO41" s="816">
        <v>24913.447464852838</v>
      </c>
    </row>
    <row r="42" spans="1:41" ht="15.6" x14ac:dyDescent="0.3">
      <c r="A42" s="225" t="s">
        <v>298</v>
      </c>
      <c r="B42" s="801">
        <v>593706.44920489728</v>
      </c>
      <c r="C42" s="802">
        <v>82558.399567478395</v>
      </c>
      <c r="D42" s="803">
        <v>137181.10210408818</v>
      </c>
      <c r="E42" s="803">
        <v>126454.08735233247</v>
      </c>
      <c r="F42" s="803">
        <v>0</v>
      </c>
      <c r="G42" s="803">
        <v>96849.227902966057</v>
      </c>
      <c r="H42" s="803">
        <v>71056.209871927102</v>
      </c>
      <c r="I42" s="804">
        <v>79607.422406105004</v>
      </c>
      <c r="J42" s="805">
        <v>4650</v>
      </c>
      <c r="K42" s="806">
        <v>650</v>
      </c>
      <c r="L42" s="806">
        <v>975</v>
      </c>
      <c r="M42" s="807">
        <v>925</v>
      </c>
      <c r="N42" s="807">
        <v>0</v>
      </c>
      <c r="O42" s="806">
        <v>750</v>
      </c>
      <c r="P42" s="806">
        <v>625</v>
      </c>
      <c r="Q42" s="806">
        <v>725</v>
      </c>
      <c r="R42" s="809">
        <v>127.67880628062306</v>
      </c>
      <c r="S42" s="810">
        <v>127.01292241150523</v>
      </c>
      <c r="T42" s="811">
        <v>140.69856626060326</v>
      </c>
      <c r="U42" s="811">
        <v>136.70712146198105</v>
      </c>
      <c r="V42" s="811" t="s">
        <v>288</v>
      </c>
      <c r="W42" s="811">
        <v>129.1323038706214</v>
      </c>
      <c r="X42" s="811">
        <v>113.68993579508336</v>
      </c>
      <c r="Y42" s="812">
        <v>109.80334124980001</v>
      </c>
      <c r="Z42" s="809">
        <v>44.162720227567242</v>
      </c>
      <c r="AA42" s="810">
        <v>43.928866968859573</v>
      </c>
      <c r="AB42" s="811">
        <v>48.735159116864565</v>
      </c>
      <c r="AC42" s="811">
        <v>47.333394610470691</v>
      </c>
      <c r="AD42" s="811">
        <v>0</v>
      </c>
      <c r="AE42" s="811">
        <v>44.673177326333089</v>
      </c>
      <c r="AF42" s="811">
        <v>39.249937232813259</v>
      </c>
      <c r="AG42" s="812">
        <v>37.884995323506921</v>
      </c>
      <c r="AH42" s="813">
        <v>205356.64905818767</v>
      </c>
      <c r="AI42" s="814">
        <v>28553.763529758722</v>
      </c>
      <c r="AJ42" s="815">
        <v>47516.780138942951</v>
      </c>
      <c r="AK42" s="815">
        <v>43783.390014685392</v>
      </c>
      <c r="AL42" s="815">
        <v>0</v>
      </c>
      <c r="AM42" s="815">
        <v>33504.882994749816</v>
      </c>
      <c r="AN42" s="815">
        <v>24531.210770508285</v>
      </c>
      <c r="AO42" s="816">
        <v>27466.621609542519</v>
      </c>
    </row>
    <row r="43" spans="1:41" ht="15.6" x14ac:dyDescent="0.3">
      <c r="A43" s="225" t="s">
        <v>299</v>
      </c>
      <c r="B43" s="801">
        <v>658366.47212850512</v>
      </c>
      <c r="C43" s="802">
        <v>79612.887990782838</v>
      </c>
      <c r="D43" s="803">
        <v>158623.34666959787</v>
      </c>
      <c r="E43" s="803">
        <v>140644.42746257919</v>
      </c>
      <c r="F43" s="803">
        <v>0</v>
      </c>
      <c r="G43" s="803">
        <v>108331.61991798486</v>
      </c>
      <c r="H43" s="803">
        <v>80952.067320189453</v>
      </c>
      <c r="I43" s="804">
        <v>90202.122767370878</v>
      </c>
      <c r="J43" s="805">
        <v>4750</v>
      </c>
      <c r="K43" s="806">
        <v>650</v>
      </c>
      <c r="L43" s="806">
        <v>1025</v>
      </c>
      <c r="M43" s="807">
        <v>925</v>
      </c>
      <c r="N43" s="807">
        <v>0</v>
      </c>
      <c r="O43" s="806">
        <v>750</v>
      </c>
      <c r="P43" s="806">
        <v>650</v>
      </c>
      <c r="Q43" s="806">
        <v>750</v>
      </c>
      <c r="R43" s="809">
        <v>138.6034678165274</v>
      </c>
      <c r="S43" s="810">
        <v>122.48136613966591</v>
      </c>
      <c r="T43" s="811">
        <v>154.75448455570523</v>
      </c>
      <c r="U43" s="811">
        <v>152.04802968927478</v>
      </c>
      <c r="V43" s="811" t="s">
        <v>288</v>
      </c>
      <c r="W43" s="811">
        <v>144.44215989064648</v>
      </c>
      <c r="X43" s="811">
        <v>124.5416420310607</v>
      </c>
      <c r="Y43" s="812">
        <v>120.26949702316116</v>
      </c>
      <c r="Z43" s="809">
        <v>46.138273912501198</v>
      </c>
      <c r="AA43" s="810">
        <v>40.693676263215501</v>
      </c>
      <c r="AB43" s="811">
        <v>51.592636472309863</v>
      </c>
      <c r="AC43" s="811">
        <v>50.678639147456515</v>
      </c>
      <c r="AD43" s="811">
        <v>0</v>
      </c>
      <c r="AE43" s="811">
        <v>48.110059587769335</v>
      </c>
      <c r="AF43" s="811">
        <v>41.389452378513631</v>
      </c>
      <c r="AG43" s="812">
        <v>39.946705574553164</v>
      </c>
      <c r="AH43" s="813">
        <v>219156.80108438068</v>
      </c>
      <c r="AI43" s="814">
        <v>26450.889571090076</v>
      </c>
      <c r="AJ43" s="815">
        <v>52882.452384117612</v>
      </c>
      <c r="AK43" s="815">
        <v>46877.741211397275</v>
      </c>
      <c r="AL43" s="815">
        <v>0</v>
      </c>
      <c r="AM43" s="815">
        <v>36082.544690827002</v>
      </c>
      <c r="AN43" s="815">
        <v>26903.14404603386</v>
      </c>
      <c r="AO43" s="816">
        <v>29960.029180914873</v>
      </c>
    </row>
    <row r="44" spans="1:41" ht="15.6" x14ac:dyDescent="0.3">
      <c r="A44" s="225" t="s">
        <v>100</v>
      </c>
      <c r="B44" s="801">
        <v>568728.64951454476</v>
      </c>
      <c r="C44" s="802">
        <v>72742.292616627106</v>
      </c>
      <c r="D44" s="803">
        <v>139435.66777731368</v>
      </c>
      <c r="E44" s="803">
        <v>124628.47734893166</v>
      </c>
      <c r="F44" s="803">
        <v>0</v>
      </c>
      <c r="G44" s="803">
        <v>92103.404208568449</v>
      </c>
      <c r="H44" s="803">
        <v>69324.838827271175</v>
      </c>
      <c r="I44" s="804">
        <v>70493.968735832677</v>
      </c>
      <c r="J44" s="805">
        <v>4400</v>
      </c>
      <c r="K44" s="806">
        <v>600</v>
      </c>
      <c r="L44" s="806">
        <v>1000</v>
      </c>
      <c r="M44" s="807">
        <v>900</v>
      </c>
      <c r="N44" s="807">
        <v>0</v>
      </c>
      <c r="O44" s="806">
        <v>700</v>
      </c>
      <c r="P44" s="806">
        <v>600</v>
      </c>
      <c r="Q44" s="806">
        <v>600</v>
      </c>
      <c r="R44" s="809">
        <v>129.25651125330563</v>
      </c>
      <c r="S44" s="810">
        <v>121.23715436104517</v>
      </c>
      <c r="T44" s="811">
        <v>139.43566777731368</v>
      </c>
      <c r="U44" s="811">
        <v>138.4760859432574</v>
      </c>
      <c r="V44" s="811" t="s">
        <v>288</v>
      </c>
      <c r="W44" s="811">
        <v>131.57629172652636</v>
      </c>
      <c r="X44" s="811">
        <v>115.54139804545196</v>
      </c>
      <c r="Y44" s="812">
        <v>117.48994789305446</v>
      </c>
      <c r="Z44" s="809">
        <v>47.794249358000485</v>
      </c>
      <c r="AA44" s="810">
        <v>44.782867462521828</v>
      </c>
      <c r="AB44" s="811">
        <v>51.616666551731477</v>
      </c>
      <c r="AC44" s="811">
        <v>51.256330005904942</v>
      </c>
      <c r="AD44" s="811">
        <v>0</v>
      </c>
      <c r="AE44" s="811">
        <v>48.665359724130212</v>
      </c>
      <c r="AF44" s="811">
        <v>42.644030436027933</v>
      </c>
      <c r="AG44" s="812">
        <v>43.375738453558739</v>
      </c>
      <c r="AH44" s="813">
        <v>210294.69717520213</v>
      </c>
      <c r="AI44" s="814">
        <v>26869.720477513096</v>
      </c>
      <c r="AJ44" s="815">
        <v>51616.666551731476</v>
      </c>
      <c r="AK44" s="815">
        <v>46130.697005314447</v>
      </c>
      <c r="AL44" s="815">
        <v>0</v>
      </c>
      <c r="AM44" s="815">
        <v>34065.751806891145</v>
      </c>
      <c r="AN44" s="815">
        <v>25586.41826161676</v>
      </c>
      <c r="AO44" s="816">
        <v>26025.443072135244</v>
      </c>
    </row>
    <row r="45" spans="1:41" ht="15.6" x14ac:dyDescent="0.3">
      <c r="A45" s="225" t="s">
        <v>101</v>
      </c>
      <c r="B45" s="801">
        <v>629942.52455512853</v>
      </c>
      <c r="C45" s="802">
        <v>73179.979084106482</v>
      </c>
      <c r="D45" s="803">
        <v>155663.72798946191</v>
      </c>
      <c r="E45" s="803">
        <v>140538.39990629844</v>
      </c>
      <c r="F45" s="803">
        <v>0</v>
      </c>
      <c r="G45" s="803">
        <v>106696.63757817062</v>
      </c>
      <c r="H45" s="803">
        <v>76360.91048289102</v>
      </c>
      <c r="I45" s="804">
        <v>77502.869514200036</v>
      </c>
      <c r="J45" s="805">
        <v>4775</v>
      </c>
      <c r="K45" s="806">
        <v>575</v>
      </c>
      <c r="L45" s="806">
        <v>1100</v>
      </c>
      <c r="M45" s="807">
        <v>1000</v>
      </c>
      <c r="N45" s="807">
        <v>0</v>
      </c>
      <c r="O45" s="806">
        <v>800</v>
      </c>
      <c r="P45" s="806">
        <v>650</v>
      </c>
      <c r="Q45" s="806">
        <v>650</v>
      </c>
      <c r="R45" s="809">
        <v>131.92513603248764</v>
      </c>
      <c r="S45" s="810">
        <v>127.26952884192431</v>
      </c>
      <c r="T45" s="811">
        <v>141.51247999041993</v>
      </c>
      <c r="U45" s="811">
        <v>140.53839990629842</v>
      </c>
      <c r="V45" s="811" t="s">
        <v>288</v>
      </c>
      <c r="W45" s="811">
        <v>133.37079697271326</v>
      </c>
      <c r="X45" s="811">
        <v>117.47832381983234</v>
      </c>
      <c r="Y45" s="812">
        <v>119.23518386800005</v>
      </c>
      <c r="Z45" s="809">
        <v>46.026531976939722</v>
      </c>
      <c r="AA45" s="810">
        <v>44.377521222287918</v>
      </c>
      <c r="AB45" s="811">
        <v>49.422358267272315</v>
      </c>
      <c r="AC45" s="811">
        <v>49.077340212943263</v>
      </c>
      <c r="AD45" s="811">
        <v>0</v>
      </c>
      <c r="AE45" s="811">
        <v>46.538583432407052</v>
      </c>
      <c r="AF45" s="811">
        <v>40.909487575644114</v>
      </c>
      <c r="AG45" s="812">
        <v>41.531765400053118</v>
      </c>
      <c r="AH45" s="813">
        <v>219776.69018988719</v>
      </c>
      <c r="AI45" s="814">
        <v>25517.074702815553</v>
      </c>
      <c r="AJ45" s="815">
        <v>54364.594093999549</v>
      </c>
      <c r="AK45" s="815">
        <v>49077.340212943265</v>
      </c>
      <c r="AL45" s="815">
        <v>0</v>
      </c>
      <c r="AM45" s="815">
        <v>37230.866745925639</v>
      </c>
      <c r="AN45" s="815">
        <v>26591.166924168676</v>
      </c>
      <c r="AO45" s="816">
        <v>26995.647510034527</v>
      </c>
    </row>
    <row r="46" spans="1:41" ht="15.6" x14ac:dyDescent="0.3">
      <c r="A46" s="225" t="s">
        <v>102</v>
      </c>
      <c r="B46" s="801">
        <v>530671.47735092405</v>
      </c>
      <c r="C46" s="802">
        <v>72685.932356681107</v>
      </c>
      <c r="D46" s="803">
        <v>137526.47828160034</v>
      </c>
      <c r="E46" s="803">
        <v>126896.11198050897</v>
      </c>
      <c r="F46" s="803">
        <v>0</v>
      </c>
      <c r="G46" s="803">
        <v>104571.7287335913</v>
      </c>
      <c r="H46" s="803">
        <v>0</v>
      </c>
      <c r="I46" s="804">
        <v>88991.225998542432</v>
      </c>
      <c r="J46" s="805">
        <v>4000</v>
      </c>
      <c r="K46" s="806">
        <v>600</v>
      </c>
      <c r="L46" s="806">
        <v>950</v>
      </c>
      <c r="M46" s="807">
        <v>900</v>
      </c>
      <c r="N46" s="807">
        <v>0</v>
      </c>
      <c r="O46" s="806">
        <v>800</v>
      </c>
      <c r="P46" s="806">
        <v>0</v>
      </c>
      <c r="Q46" s="806">
        <v>750</v>
      </c>
      <c r="R46" s="809">
        <v>132.66786933773102</v>
      </c>
      <c r="S46" s="810">
        <v>121.14322059446852</v>
      </c>
      <c r="T46" s="811">
        <v>144.76471398063194</v>
      </c>
      <c r="U46" s="811">
        <v>140.9956799783433</v>
      </c>
      <c r="V46" s="811" t="s">
        <v>288</v>
      </c>
      <c r="W46" s="811">
        <v>130.71466091698912</v>
      </c>
      <c r="X46" s="811" t="s">
        <v>288</v>
      </c>
      <c r="Y46" s="812">
        <v>118.65496799805658</v>
      </c>
      <c r="Z46" s="809">
        <v>47.853253335964801</v>
      </c>
      <c r="AA46" s="810">
        <v>43.631967861485002</v>
      </c>
      <c r="AB46" s="811">
        <v>52.284124568198159</v>
      </c>
      <c r="AC46" s="811">
        <v>50.903590649888258</v>
      </c>
      <c r="AD46" s="811">
        <v>0</v>
      </c>
      <c r="AE46" s="811">
        <v>47.137825862313619</v>
      </c>
      <c r="AF46" s="811">
        <v>0</v>
      </c>
      <c r="AG46" s="812">
        <v>42.720562683239464</v>
      </c>
      <c r="AH46" s="813">
        <v>191413.0133438592</v>
      </c>
      <c r="AI46" s="814">
        <v>26179.180716891002</v>
      </c>
      <c r="AJ46" s="815">
        <v>49669.918339788252</v>
      </c>
      <c r="AK46" s="815">
        <v>45813.231584899433</v>
      </c>
      <c r="AL46" s="815">
        <v>0</v>
      </c>
      <c r="AM46" s="815">
        <v>37710.260689850897</v>
      </c>
      <c r="AN46" s="815">
        <v>0</v>
      </c>
      <c r="AO46" s="816">
        <v>32040.422012429597</v>
      </c>
    </row>
    <row r="47" spans="1:41" ht="15.6" x14ac:dyDescent="0.3">
      <c r="A47" s="225" t="s">
        <v>103</v>
      </c>
      <c r="B47" s="801">
        <v>624228.46694213117</v>
      </c>
      <c r="C47" s="802">
        <v>75542.955082123561</v>
      </c>
      <c r="D47" s="803">
        <v>153188.61501239164</v>
      </c>
      <c r="E47" s="803">
        <v>135638.62949434304</v>
      </c>
      <c r="F47" s="803">
        <v>0</v>
      </c>
      <c r="G47" s="803">
        <v>91171.589323929424</v>
      </c>
      <c r="H47" s="803">
        <v>88775.313348555806</v>
      </c>
      <c r="I47" s="804">
        <v>79911.364680787694</v>
      </c>
      <c r="J47" s="805">
        <v>4975</v>
      </c>
      <c r="K47" s="806">
        <v>650</v>
      </c>
      <c r="L47" s="806">
        <v>1100</v>
      </c>
      <c r="M47" s="807">
        <v>1000</v>
      </c>
      <c r="N47" s="807">
        <v>0</v>
      </c>
      <c r="O47" s="806">
        <v>725</v>
      </c>
      <c r="P47" s="806">
        <v>800</v>
      </c>
      <c r="Q47" s="806">
        <v>700</v>
      </c>
      <c r="R47" s="809">
        <v>125.47305868183541</v>
      </c>
      <c r="S47" s="810">
        <v>116.21993089557471</v>
      </c>
      <c r="T47" s="811">
        <v>139.26237728399241</v>
      </c>
      <c r="U47" s="811">
        <v>135.63862949434304</v>
      </c>
      <c r="V47" s="811" t="s">
        <v>288</v>
      </c>
      <c r="W47" s="811">
        <v>125.75391630886817</v>
      </c>
      <c r="X47" s="811">
        <v>110.96914168569475</v>
      </c>
      <c r="Y47" s="812">
        <v>114.15909240112528</v>
      </c>
      <c r="Z47" s="809">
        <v>48.854347313915355</v>
      </c>
      <c r="AA47" s="810">
        <v>45.192516549830685</v>
      </c>
      <c r="AB47" s="811">
        <v>54.31132923824569</v>
      </c>
      <c r="AC47" s="811">
        <v>52.877268081419899</v>
      </c>
      <c r="AD47" s="811">
        <v>0</v>
      </c>
      <c r="AE47" s="811">
        <v>48.965493849741158</v>
      </c>
      <c r="AF47" s="811">
        <v>43.114570377617241</v>
      </c>
      <c r="AG47" s="812">
        <v>44.376960775275187</v>
      </c>
      <c r="AH47" s="813">
        <v>243050.37788672888</v>
      </c>
      <c r="AI47" s="814">
        <v>29375.135757389944</v>
      </c>
      <c r="AJ47" s="815">
        <v>59742.46216207026</v>
      </c>
      <c r="AK47" s="815">
        <v>52877.268081419897</v>
      </c>
      <c r="AL47" s="815">
        <v>0</v>
      </c>
      <c r="AM47" s="815">
        <v>35499.98304106234</v>
      </c>
      <c r="AN47" s="815">
        <v>34491.65630209379</v>
      </c>
      <c r="AO47" s="816">
        <v>31063.872542692632</v>
      </c>
    </row>
    <row r="48" spans="1:41" ht="15.6" x14ac:dyDescent="0.3">
      <c r="A48" s="225" t="s">
        <v>104</v>
      </c>
      <c r="B48" s="801">
        <v>485216.41939386021</v>
      </c>
      <c r="C48" s="802">
        <v>103100.10837054381</v>
      </c>
      <c r="D48" s="803">
        <v>0</v>
      </c>
      <c r="E48" s="803">
        <v>134350.51962225302</v>
      </c>
      <c r="F48" s="803">
        <v>0</v>
      </c>
      <c r="G48" s="803">
        <v>88207.337130155036</v>
      </c>
      <c r="H48" s="803">
        <v>80585.146231001199</v>
      </c>
      <c r="I48" s="804">
        <v>78973.308039907148</v>
      </c>
      <c r="J48" s="805">
        <v>3850</v>
      </c>
      <c r="K48" s="806">
        <v>850</v>
      </c>
      <c r="L48" s="806">
        <v>0</v>
      </c>
      <c r="M48" s="807">
        <v>1000</v>
      </c>
      <c r="N48" s="807">
        <v>0</v>
      </c>
      <c r="O48" s="806">
        <v>700</v>
      </c>
      <c r="P48" s="806">
        <v>650</v>
      </c>
      <c r="Q48" s="806">
        <v>650</v>
      </c>
      <c r="R48" s="809">
        <v>126.03023880360006</v>
      </c>
      <c r="S48" s="810">
        <v>121.29424514181625</v>
      </c>
      <c r="T48" s="811" t="s">
        <v>288</v>
      </c>
      <c r="U48" s="811">
        <v>134.35051962225302</v>
      </c>
      <c r="V48" s="811" t="s">
        <v>288</v>
      </c>
      <c r="W48" s="811">
        <v>126.0104816145072</v>
      </c>
      <c r="X48" s="811">
        <v>123.97714804769416</v>
      </c>
      <c r="Y48" s="812">
        <v>121.49739698447253</v>
      </c>
      <c r="Z48" s="809">
        <v>48.80588376671983</v>
      </c>
      <c r="AA48" s="810">
        <v>46.944759345471603</v>
      </c>
      <c r="AB48" s="811">
        <v>0</v>
      </c>
      <c r="AC48" s="811">
        <v>52.075541399117448</v>
      </c>
      <c r="AD48" s="811">
        <v>0</v>
      </c>
      <c r="AE48" s="811">
        <v>48.798119696549577</v>
      </c>
      <c r="AF48" s="811">
        <v>47.999071592183206</v>
      </c>
      <c r="AG48" s="812">
        <v>47.024592825537276</v>
      </c>
      <c r="AH48" s="813">
        <v>187902.65250187134</v>
      </c>
      <c r="AI48" s="814">
        <v>39903.045443650859</v>
      </c>
      <c r="AJ48" s="815">
        <v>0</v>
      </c>
      <c r="AK48" s="815">
        <v>52075.54139911745</v>
      </c>
      <c r="AL48" s="815">
        <v>0</v>
      </c>
      <c r="AM48" s="815">
        <v>34158.683787584705</v>
      </c>
      <c r="AN48" s="815">
        <v>31199.396534919084</v>
      </c>
      <c r="AO48" s="816">
        <v>30565.985336599231</v>
      </c>
    </row>
    <row r="49" spans="1:41" ht="15.6" x14ac:dyDescent="0.3">
      <c r="A49" s="225" t="s">
        <v>105</v>
      </c>
      <c r="B49" s="801">
        <v>801587.34183308179</v>
      </c>
      <c r="C49" s="802">
        <v>84560.508093158671</v>
      </c>
      <c r="D49" s="803">
        <v>150882.94472574646</v>
      </c>
      <c r="E49" s="803">
        <v>150970.49110670117</v>
      </c>
      <c r="F49" s="803">
        <v>0</v>
      </c>
      <c r="G49" s="803">
        <v>109377.50085489551</v>
      </c>
      <c r="H49" s="803">
        <v>152156.13769384639</v>
      </c>
      <c r="I49" s="804">
        <v>153639.7593587336</v>
      </c>
      <c r="J49" s="805">
        <v>5225</v>
      </c>
      <c r="K49" s="806">
        <v>600</v>
      </c>
      <c r="L49" s="806">
        <v>950</v>
      </c>
      <c r="M49" s="807">
        <v>950</v>
      </c>
      <c r="N49" s="807">
        <v>0</v>
      </c>
      <c r="O49" s="806">
        <v>725</v>
      </c>
      <c r="P49" s="806">
        <v>1000</v>
      </c>
      <c r="Q49" s="806">
        <v>1000</v>
      </c>
      <c r="R49" s="809">
        <v>153.4138453269056</v>
      </c>
      <c r="S49" s="810">
        <v>140.93418015526444</v>
      </c>
      <c r="T49" s="811">
        <v>158.82415234289101</v>
      </c>
      <c r="U49" s="811">
        <v>158.91630642810651</v>
      </c>
      <c r="V49" s="811" t="s">
        <v>288</v>
      </c>
      <c r="W49" s="811">
        <v>150.86551842054553</v>
      </c>
      <c r="X49" s="811">
        <v>152.1561376938464</v>
      </c>
      <c r="Y49" s="812">
        <v>153.63975935873361</v>
      </c>
      <c r="Z49" s="809">
        <v>49.886235052643691</v>
      </c>
      <c r="AA49" s="810">
        <v>45.779065237513166</v>
      </c>
      <c r="AB49" s="811">
        <v>51.666815650041386</v>
      </c>
      <c r="AC49" s="811">
        <v>51.69714438658459</v>
      </c>
      <c r="AD49" s="811">
        <v>0</v>
      </c>
      <c r="AE49" s="811">
        <v>49.047557796087879</v>
      </c>
      <c r="AF49" s="811">
        <v>49.472312182461366</v>
      </c>
      <c r="AG49" s="812">
        <v>49.960585388135613</v>
      </c>
      <c r="AH49" s="813">
        <v>260655.57815006329</v>
      </c>
      <c r="AI49" s="814">
        <v>27467.439142507901</v>
      </c>
      <c r="AJ49" s="815">
        <v>49083.474867539313</v>
      </c>
      <c r="AK49" s="815">
        <v>49112.287167255359</v>
      </c>
      <c r="AL49" s="815">
        <v>0</v>
      </c>
      <c r="AM49" s="815">
        <v>35559.479402163714</v>
      </c>
      <c r="AN49" s="815">
        <v>49472.312182461363</v>
      </c>
      <c r="AO49" s="816">
        <v>49960.585388135616</v>
      </c>
    </row>
    <row r="50" spans="1:41" ht="15.6" x14ac:dyDescent="0.3">
      <c r="A50" s="225" t="s">
        <v>106</v>
      </c>
      <c r="B50" s="801">
        <v>1029482.451117848</v>
      </c>
      <c r="C50" s="802">
        <v>148508.93499110555</v>
      </c>
      <c r="D50" s="803">
        <v>194736.15719799441</v>
      </c>
      <c r="E50" s="803">
        <v>179261.19286911492</v>
      </c>
      <c r="F50" s="803">
        <v>0</v>
      </c>
      <c r="G50" s="803">
        <v>143171.34618600152</v>
      </c>
      <c r="H50" s="803">
        <v>205652.20543518238</v>
      </c>
      <c r="I50" s="804">
        <v>158152.61443844927</v>
      </c>
      <c r="J50" s="805">
        <v>6725</v>
      </c>
      <c r="K50" s="806">
        <v>1000</v>
      </c>
      <c r="L50" s="806">
        <v>1250</v>
      </c>
      <c r="M50" s="807">
        <v>1150</v>
      </c>
      <c r="N50" s="807">
        <v>0</v>
      </c>
      <c r="O50" s="806">
        <v>1000</v>
      </c>
      <c r="P50" s="806">
        <v>1250</v>
      </c>
      <c r="Q50" s="806">
        <v>1075</v>
      </c>
      <c r="R50" s="809">
        <v>153.08289235953131</v>
      </c>
      <c r="S50" s="810">
        <v>148.50893499110555</v>
      </c>
      <c r="T50" s="811">
        <v>155.78892575839552</v>
      </c>
      <c r="U50" s="811">
        <v>155.87929814705646</v>
      </c>
      <c r="V50" s="811" t="s">
        <v>288</v>
      </c>
      <c r="W50" s="811">
        <v>143.17134618600153</v>
      </c>
      <c r="X50" s="811">
        <v>164.52176434814589</v>
      </c>
      <c r="Y50" s="812">
        <v>147.1187111055342</v>
      </c>
      <c r="Z50" s="809">
        <v>52.206638302224043</v>
      </c>
      <c r="AA50" s="810">
        <v>50.627842014407008</v>
      </c>
      <c r="AB50" s="811">
        <v>53.14068187559171</v>
      </c>
      <c r="AC50" s="811">
        <v>53.171875780616709</v>
      </c>
      <c r="AD50" s="811">
        <v>0</v>
      </c>
      <c r="AE50" s="811">
        <v>48.785462492122043</v>
      </c>
      <c r="AF50" s="811">
        <v>56.155002306905345</v>
      </c>
      <c r="AG50" s="812">
        <v>50.147977395439199</v>
      </c>
      <c r="AH50" s="813">
        <v>351089.6425824567</v>
      </c>
      <c r="AI50" s="814">
        <v>50627.842014407011</v>
      </c>
      <c r="AJ50" s="815">
        <v>66425.852344489642</v>
      </c>
      <c r="AK50" s="815">
        <v>61147.657147709215</v>
      </c>
      <c r="AL50" s="815">
        <v>0</v>
      </c>
      <c r="AM50" s="815">
        <v>48785.462492122046</v>
      </c>
      <c r="AN50" s="815">
        <v>70193.752883631678</v>
      </c>
      <c r="AO50" s="816">
        <v>53909.075700097135</v>
      </c>
    </row>
    <row r="51" spans="1:41" ht="15.6" x14ac:dyDescent="0.3">
      <c r="A51" s="225" t="s">
        <v>107</v>
      </c>
      <c r="B51" s="801">
        <v>734762.09707318316</v>
      </c>
      <c r="C51" s="802">
        <v>138717.57150429729</v>
      </c>
      <c r="D51" s="803">
        <v>155992.42797169686</v>
      </c>
      <c r="E51" s="803">
        <v>148709.99731712308</v>
      </c>
      <c r="F51" s="803">
        <v>0</v>
      </c>
      <c r="G51" s="803">
        <v>104957.76204704648</v>
      </c>
      <c r="H51" s="803">
        <v>94109.157764256539</v>
      </c>
      <c r="I51" s="804">
        <v>92275.180468762876</v>
      </c>
      <c r="J51" s="805">
        <v>5225</v>
      </c>
      <c r="K51" s="806">
        <v>950</v>
      </c>
      <c r="L51" s="806">
        <v>1050</v>
      </c>
      <c r="M51" s="807">
        <v>1000</v>
      </c>
      <c r="N51" s="807">
        <v>0</v>
      </c>
      <c r="O51" s="806">
        <v>750</v>
      </c>
      <c r="P51" s="806">
        <v>750</v>
      </c>
      <c r="Q51" s="806">
        <v>725</v>
      </c>
      <c r="R51" s="809">
        <v>140.62432479869534</v>
      </c>
      <c r="S51" s="810">
        <v>146.01849632031295</v>
      </c>
      <c r="T51" s="811">
        <v>148.56421711590178</v>
      </c>
      <c r="U51" s="811">
        <v>148.70999731712308</v>
      </c>
      <c r="V51" s="811" t="s">
        <v>288</v>
      </c>
      <c r="W51" s="811">
        <v>139.94368272939531</v>
      </c>
      <c r="X51" s="811">
        <v>125.47887701900872</v>
      </c>
      <c r="Y51" s="812">
        <v>127.27611099139708</v>
      </c>
      <c r="Z51" s="809">
        <v>48.735571815907505</v>
      </c>
      <c r="AA51" s="810">
        <v>50.627842014407001</v>
      </c>
      <c r="AB51" s="811">
        <v>51.520878428968132</v>
      </c>
      <c r="AC51" s="811">
        <v>51.572017983800016</v>
      </c>
      <c r="AD51" s="811">
        <v>0</v>
      </c>
      <c r="AE51" s="811">
        <v>48.496803230514942</v>
      </c>
      <c r="AF51" s="811">
        <v>43.422563254430216</v>
      </c>
      <c r="AG51" s="812">
        <v>44.053031208971916</v>
      </c>
      <c r="AH51" s="813">
        <v>254643.36273811673</v>
      </c>
      <c r="AI51" s="814">
        <v>48096.449913686651</v>
      </c>
      <c r="AJ51" s="815">
        <v>54096.922350416542</v>
      </c>
      <c r="AK51" s="815">
        <v>51572.017983800019</v>
      </c>
      <c r="AL51" s="815">
        <v>0</v>
      </c>
      <c r="AM51" s="815">
        <v>36372.602422886208</v>
      </c>
      <c r="AN51" s="815">
        <v>32566.922440822662</v>
      </c>
      <c r="AO51" s="816">
        <v>31938.44762650464</v>
      </c>
    </row>
    <row r="52" spans="1:41" ht="15.6" x14ac:dyDescent="0.3">
      <c r="A52" s="225" t="s">
        <v>108</v>
      </c>
      <c r="B52" s="801">
        <v>623872.85261752328</v>
      </c>
      <c r="C52" s="802">
        <v>78463.781598869566</v>
      </c>
      <c r="D52" s="803">
        <v>141436.5399136843</v>
      </c>
      <c r="E52" s="803">
        <v>137743.82169394611</v>
      </c>
      <c r="F52" s="803">
        <v>0</v>
      </c>
      <c r="G52" s="803">
        <v>113070.95834533434</v>
      </c>
      <c r="H52" s="803">
        <v>76994.925487661341</v>
      </c>
      <c r="I52" s="804">
        <v>76162.825578027594</v>
      </c>
      <c r="J52" s="805">
        <v>4580</v>
      </c>
      <c r="K52" s="806">
        <v>625</v>
      </c>
      <c r="L52" s="806">
        <v>975</v>
      </c>
      <c r="M52" s="807">
        <v>950</v>
      </c>
      <c r="N52" s="807">
        <v>0</v>
      </c>
      <c r="O52" s="806">
        <v>830</v>
      </c>
      <c r="P52" s="806">
        <v>600</v>
      </c>
      <c r="Q52" s="806">
        <v>600</v>
      </c>
      <c r="R52" s="809">
        <v>136.21678004749415</v>
      </c>
      <c r="S52" s="810">
        <v>125.54205055819131</v>
      </c>
      <c r="T52" s="811">
        <v>145.06311786018904</v>
      </c>
      <c r="U52" s="811">
        <v>144.99349651994328</v>
      </c>
      <c r="V52" s="811" t="s">
        <v>288</v>
      </c>
      <c r="W52" s="811">
        <v>136.23007029558354</v>
      </c>
      <c r="X52" s="811">
        <v>128.32487581276891</v>
      </c>
      <c r="Y52" s="812">
        <v>126.93804263004598</v>
      </c>
      <c r="Z52" s="809">
        <v>44.904221345870432</v>
      </c>
      <c r="AA52" s="810">
        <v>41.340876081131235</v>
      </c>
      <c r="AB52" s="811">
        <v>47.857228818962689</v>
      </c>
      <c r="AC52" s="811">
        <v>47.833988429279927</v>
      </c>
      <c r="AD52" s="811">
        <v>0</v>
      </c>
      <c r="AE52" s="811">
        <v>44.908657780783749</v>
      </c>
      <c r="AF52" s="811">
        <v>42.269814580550147</v>
      </c>
      <c r="AG52" s="812">
        <v>41.806874001157375</v>
      </c>
      <c r="AH52" s="813">
        <v>205661.33376408659</v>
      </c>
      <c r="AI52" s="814">
        <v>25838.047550707022</v>
      </c>
      <c r="AJ52" s="815">
        <v>46660.798098488624</v>
      </c>
      <c r="AK52" s="815">
        <v>45442.289007815933</v>
      </c>
      <c r="AL52" s="815">
        <v>0</v>
      </c>
      <c r="AM52" s="815">
        <v>37274.185958050512</v>
      </c>
      <c r="AN52" s="815">
        <v>25361.88874833009</v>
      </c>
      <c r="AO52" s="816">
        <v>25084.124400694425</v>
      </c>
    </row>
    <row r="53" spans="1:41" ht="15.6" x14ac:dyDescent="0.3">
      <c r="A53" s="225" t="s">
        <v>109</v>
      </c>
      <c r="B53" s="801">
        <v>740059.91991145676</v>
      </c>
      <c r="C53" s="802">
        <v>72384.170462944516</v>
      </c>
      <c r="D53" s="803">
        <v>174636.43244083846</v>
      </c>
      <c r="E53" s="803">
        <v>153538.65980328602</v>
      </c>
      <c r="F53" s="803">
        <v>0</v>
      </c>
      <c r="G53" s="803">
        <v>106333.78006243677</v>
      </c>
      <c r="H53" s="803">
        <v>121523.95951399321</v>
      </c>
      <c r="I53" s="804">
        <v>111642.91762795775</v>
      </c>
      <c r="J53" s="805">
        <v>5300</v>
      </c>
      <c r="K53" s="806">
        <v>575</v>
      </c>
      <c r="L53" s="806">
        <v>1175</v>
      </c>
      <c r="M53" s="807">
        <v>1000</v>
      </c>
      <c r="N53" s="807">
        <v>0</v>
      </c>
      <c r="O53" s="806">
        <v>750</v>
      </c>
      <c r="P53" s="806">
        <v>900</v>
      </c>
      <c r="Q53" s="806">
        <v>900</v>
      </c>
      <c r="R53" s="809">
        <v>139.63394715310505</v>
      </c>
      <c r="S53" s="810">
        <v>125.88551384859916</v>
      </c>
      <c r="T53" s="811">
        <v>148.62675101347955</v>
      </c>
      <c r="U53" s="811">
        <v>153.53865980328601</v>
      </c>
      <c r="V53" s="811" t="s">
        <v>288</v>
      </c>
      <c r="W53" s="811">
        <v>141.77837341658235</v>
      </c>
      <c r="X53" s="811">
        <v>135.02662168221468</v>
      </c>
      <c r="Y53" s="812">
        <v>124.04768625328639</v>
      </c>
      <c r="Z53" s="809">
        <v>47.03949618409515</v>
      </c>
      <c r="AA53" s="810">
        <v>42.356060263398483</v>
      </c>
      <c r="AB53" s="811">
        <v>50.102915825782908</v>
      </c>
      <c r="AC53" s="811">
        <v>51.776169028955216</v>
      </c>
      <c r="AD53" s="811">
        <v>0</v>
      </c>
      <c r="AE53" s="811">
        <v>47.769999999999996</v>
      </c>
      <c r="AF53" s="811">
        <v>45.47</v>
      </c>
      <c r="AG53" s="812">
        <v>41.73</v>
      </c>
      <c r="AH53" s="813">
        <v>249309.32977570427</v>
      </c>
      <c r="AI53" s="814">
        <v>24354.734651454128</v>
      </c>
      <c r="AJ53" s="815">
        <v>58870.926095294919</v>
      </c>
      <c r="AK53" s="815">
        <v>51776.169028955213</v>
      </c>
      <c r="AL53" s="815">
        <v>0</v>
      </c>
      <c r="AM53" s="815">
        <v>35827.5</v>
      </c>
      <c r="AN53" s="815">
        <v>40923</v>
      </c>
      <c r="AO53" s="816">
        <v>37557</v>
      </c>
    </row>
    <row r="54" spans="1:41" ht="15.6" x14ac:dyDescent="0.3">
      <c r="A54" s="225" t="s">
        <v>110</v>
      </c>
      <c r="B54" s="801">
        <v>1051772.0748078595</v>
      </c>
      <c r="C54" s="802">
        <v>214471.71871598499</v>
      </c>
      <c r="D54" s="803">
        <v>257804.50299603739</v>
      </c>
      <c r="E54" s="803">
        <v>232587.30934466055</v>
      </c>
      <c r="F54" s="803">
        <v>0</v>
      </c>
      <c r="G54" s="803">
        <v>103816.02639893233</v>
      </c>
      <c r="H54" s="803">
        <v>123074.82639001161</v>
      </c>
      <c r="I54" s="804">
        <v>120017.69096223261</v>
      </c>
      <c r="J54" s="805">
        <v>8025</v>
      </c>
      <c r="K54" s="806">
        <v>1550</v>
      </c>
      <c r="L54" s="806">
        <v>1925</v>
      </c>
      <c r="M54" s="807">
        <v>1975</v>
      </c>
      <c r="N54" s="807">
        <v>0</v>
      </c>
      <c r="O54" s="806">
        <v>775</v>
      </c>
      <c r="P54" s="806">
        <v>900</v>
      </c>
      <c r="Q54" s="806">
        <v>900</v>
      </c>
      <c r="R54" s="809">
        <v>131.0619407860261</v>
      </c>
      <c r="S54" s="810">
        <v>138.36885078450644</v>
      </c>
      <c r="T54" s="811">
        <v>133.92441714079865</v>
      </c>
      <c r="U54" s="811">
        <v>117.76572625046104</v>
      </c>
      <c r="V54" s="811" t="s">
        <v>288</v>
      </c>
      <c r="W54" s="811">
        <v>133.95616309539656</v>
      </c>
      <c r="X54" s="811">
        <v>136.7498071000129</v>
      </c>
      <c r="Y54" s="812">
        <v>133.35298995803623</v>
      </c>
      <c r="Z54" s="809">
        <v>40.798317757009343</v>
      </c>
      <c r="AA54" s="810">
        <v>43.099999999999994</v>
      </c>
      <c r="AB54" s="811">
        <v>41.7</v>
      </c>
      <c r="AC54" s="811">
        <v>36.61</v>
      </c>
      <c r="AD54" s="811">
        <v>0</v>
      </c>
      <c r="AE54" s="811">
        <v>41.71</v>
      </c>
      <c r="AF54" s="811">
        <v>42.59</v>
      </c>
      <c r="AG54" s="812">
        <v>41.52</v>
      </c>
      <c r="AH54" s="813">
        <v>327406.5</v>
      </c>
      <c r="AI54" s="814">
        <v>66804.999999999985</v>
      </c>
      <c r="AJ54" s="815">
        <v>80272.5</v>
      </c>
      <c r="AK54" s="815">
        <v>72304.75</v>
      </c>
      <c r="AL54" s="815">
        <v>0</v>
      </c>
      <c r="AM54" s="815">
        <v>32325.25</v>
      </c>
      <c r="AN54" s="815">
        <v>38331</v>
      </c>
      <c r="AO54" s="816">
        <v>37368</v>
      </c>
    </row>
    <row r="55" spans="1:41" ht="15.6" x14ac:dyDescent="0.3">
      <c r="A55" s="225" t="s">
        <v>111</v>
      </c>
      <c r="B55" s="801">
        <v>631736.80358241696</v>
      </c>
      <c r="C55" s="802">
        <v>155505.21256937197</v>
      </c>
      <c r="D55" s="803">
        <v>247432.93558912023</v>
      </c>
      <c r="E55" s="803">
        <v>228798.65542392482</v>
      </c>
      <c r="F55" s="803"/>
      <c r="G55" s="803"/>
      <c r="H55" s="803"/>
      <c r="I55" s="804"/>
      <c r="J55" s="805">
        <v>4950</v>
      </c>
      <c r="K55" s="806">
        <v>1150</v>
      </c>
      <c r="L55" s="806">
        <v>1850</v>
      </c>
      <c r="M55" s="807">
        <v>1950</v>
      </c>
      <c r="N55" s="807"/>
      <c r="O55" s="806"/>
      <c r="P55" s="806"/>
      <c r="Q55" s="806"/>
      <c r="R55" s="809">
        <v>127.62359668331656</v>
      </c>
      <c r="S55" s="810">
        <v>135.22192397336693</v>
      </c>
      <c r="T55" s="811">
        <v>133.74753275087579</v>
      </c>
      <c r="U55" s="811">
        <v>117.33264380714094</v>
      </c>
      <c r="V55" s="811" t="s">
        <v>288</v>
      </c>
      <c r="W55" s="811" t="s">
        <v>288</v>
      </c>
      <c r="X55" s="811" t="s">
        <v>288</v>
      </c>
      <c r="Y55" s="812" t="s">
        <v>288</v>
      </c>
      <c r="Z55" s="809">
        <v>38.480909090909094</v>
      </c>
      <c r="AA55" s="810">
        <v>40.799999999999997</v>
      </c>
      <c r="AB55" s="811">
        <v>40.35</v>
      </c>
      <c r="AC55" s="811">
        <v>35.340000000000003</v>
      </c>
      <c r="AD55" s="811"/>
      <c r="AE55" s="811"/>
      <c r="AF55" s="811"/>
      <c r="AG55" s="812"/>
      <c r="AH55" s="813">
        <v>190480.5</v>
      </c>
      <c r="AI55" s="814">
        <v>46920</v>
      </c>
      <c r="AJ55" s="815">
        <v>74647.5</v>
      </c>
      <c r="AK55" s="815">
        <v>68913</v>
      </c>
      <c r="AL55" s="815"/>
      <c r="AM55" s="815"/>
      <c r="AN55" s="815"/>
      <c r="AO55" s="816"/>
    </row>
    <row r="56" spans="1:41" ht="15.6" x14ac:dyDescent="0.3">
      <c r="A56" s="225" t="s">
        <v>287</v>
      </c>
      <c r="B56" s="801">
        <v>274163.65600579855</v>
      </c>
      <c r="C56" s="802"/>
      <c r="D56" s="803"/>
      <c r="E56" s="803"/>
      <c r="F56" s="803">
        <v>0</v>
      </c>
      <c r="G56" s="803">
        <v>105930.80535265824</v>
      </c>
      <c r="H56" s="803">
        <v>86509.624642874303</v>
      </c>
      <c r="I56" s="804">
        <v>81723.226010266008</v>
      </c>
      <c r="J56" s="805">
        <v>2100</v>
      </c>
      <c r="K56" s="806"/>
      <c r="L56" s="806"/>
      <c r="M56" s="807"/>
      <c r="N56" s="807">
        <v>0</v>
      </c>
      <c r="O56" s="806">
        <v>775</v>
      </c>
      <c r="P56" s="806">
        <v>675</v>
      </c>
      <c r="Q56" s="806">
        <v>650</v>
      </c>
      <c r="R56" s="809">
        <v>130.55412190752313</v>
      </c>
      <c r="S56" s="810"/>
      <c r="T56" s="811"/>
      <c r="U56" s="811"/>
      <c r="V56" s="811" t="s">
        <v>288</v>
      </c>
      <c r="W56" s="811">
        <v>136.68491013246225</v>
      </c>
      <c r="X56" s="811">
        <v>128.16240687833229</v>
      </c>
      <c r="Y56" s="812">
        <v>125.72804001579385</v>
      </c>
      <c r="Z56" s="809">
        <v>44.842051932721958</v>
      </c>
      <c r="AA56" s="810"/>
      <c r="AB56" s="811"/>
      <c r="AC56" s="811"/>
      <c r="AD56" s="811">
        <v>0</v>
      </c>
      <c r="AE56" s="811">
        <v>46.973021695986034</v>
      </c>
      <c r="AF56" s="811">
        <v>44.010727766472428</v>
      </c>
      <c r="AG56" s="812">
        <v>43.164578464550821</v>
      </c>
      <c r="AH56" s="813">
        <v>94168.309058716113</v>
      </c>
      <c r="AI56" s="814"/>
      <c r="AJ56" s="815"/>
      <c r="AK56" s="815"/>
      <c r="AL56" s="815">
        <v>0</v>
      </c>
      <c r="AM56" s="815">
        <v>36404.091814389176</v>
      </c>
      <c r="AN56" s="815">
        <v>29707.241242368887</v>
      </c>
      <c r="AO56" s="816">
        <v>28056.976001958035</v>
      </c>
    </row>
    <row r="57" spans="1:41" ht="15.6" x14ac:dyDescent="0.3">
      <c r="A57" s="225" t="s">
        <v>289</v>
      </c>
      <c r="B57" s="801">
        <v>626292.4519465036</v>
      </c>
      <c r="C57" s="802">
        <v>74406.291096479777</v>
      </c>
      <c r="D57" s="803">
        <v>139350.78688931052</v>
      </c>
      <c r="E57" s="803">
        <v>139765.05453594725</v>
      </c>
      <c r="F57" s="803">
        <v>0</v>
      </c>
      <c r="G57" s="803">
        <v>105402.66383722702</v>
      </c>
      <c r="H57" s="803">
        <v>86066.500911046081</v>
      </c>
      <c r="I57" s="804">
        <v>81301.154676492952</v>
      </c>
      <c r="J57" s="805">
        <v>4650</v>
      </c>
      <c r="K57" s="806">
        <v>600</v>
      </c>
      <c r="L57" s="806">
        <v>975</v>
      </c>
      <c r="M57" s="807">
        <v>975</v>
      </c>
      <c r="N57" s="807">
        <v>0</v>
      </c>
      <c r="O57" s="806">
        <v>775</v>
      </c>
      <c r="P57" s="806">
        <v>675</v>
      </c>
      <c r="Q57" s="806">
        <v>650</v>
      </c>
      <c r="R57" s="809">
        <v>134.68654880569969</v>
      </c>
      <c r="S57" s="810">
        <v>124.01048516079963</v>
      </c>
      <c r="T57" s="811">
        <v>142.92388398903643</v>
      </c>
      <c r="U57" s="811">
        <v>143.34877388302283</v>
      </c>
      <c r="V57" s="811" t="s">
        <v>288</v>
      </c>
      <c r="W57" s="811">
        <v>136.0034372093252</v>
      </c>
      <c r="X57" s="811">
        <v>127.50592727562382</v>
      </c>
      <c r="Y57" s="812">
        <v>125.07869950229684</v>
      </c>
      <c r="Z57" s="809">
        <v>46.278421359591356</v>
      </c>
      <c r="AA57" s="810">
        <v>42.567582233649951</v>
      </c>
      <c r="AB57" s="811">
        <v>49.141595157400396</v>
      </c>
      <c r="AC57" s="811">
        <v>49.289280493050768</v>
      </c>
      <c r="AD57" s="811">
        <v>0</v>
      </c>
      <c r="AE57" s="811">
        <v>46.736151959109307</v>
      </c>
      <c r="AF57" s="811">
        <v>43.782545331809182</v>
      </c>
      <c r="AG57" s="812">
        <v>42.938877469906167</v>
      </c>
      <c r="AH57" s="813">
        <v>215194.65932209979</v>
      </c>
      <c r="AI57" s="814">
        <v>25540.549340189969</v>
      </c>
      <c r="AJ57" s="815">
        <v>47913.055278465385</v>
      </c>
      <c r="AK57" s="815">
        <v>48057.048480724501</v>
      </c>
      <c r="AL57" s="815">
        <v>0</v>
      </c>
      <c r="AM57" s="815">
        <v>36220.517768309714</v>
      </c>
      <c r="AN57" s="815">
        <v>29553.218098971196</v>
      </c>
      <c r="AO57" s="816">
        <v>27910.27035543901</v>
      </c>
    </row>
    <row r="58" spans="1:41" ht="15.6" x14ac:dyDescent="0.3">
      <c r="A58" s="225" t="s">
        <v>290</v>
      </c>
      <c r="B58" s="801">
        <v>595731.19875635044</v>
      </c>
      <c r="C58" s="802">
        <v>73955.801752145693</v>
      </c>
      <c r="D58" s="803">
        <v>131111.3044595205</v>
      </c>
      <c r="E58" s="803">
        <v>131500.69398427533</v>
      </c>
      <c r="F58" s="803">
        <v>0</v>
      </c>
      <c r="G58" s="803">
        <v>99815.259472898484</v>
      </c>
      <c r="H58" s="803">
        <v>81887.083413524684</v>
      </c>
      <c r="I58" s="804">
        <v>77461.055673985684</v>
      </c>
      <c r="J58" s="805">
        <v>4825</v>
      </c>
      <c r="K58" s="806">
        <v>650</v>
      </c>
      <c r="L58" s="806">
        <v>1000</v>
      </c>
      <c r="M58" s="807">
        <v>1000</v>
      </c>
      <c r="N58" s="807">
        <v>0</v>
      </c>
      <c r="O58" s="806">
        <v>800</v>
      </c>
      <c r="P58" s="806">
        <v>700</v>
      </c>
      <c r="Q58" s="806">
        <v>675</v>
      </c>
      <c r="R58" s="809">
        <v>123.46760595986538</v>
      </c>
      <c r="S58" s="810">
        <v>113.7781565417626</v>
      </c>
      <c r="T58" s="811">
        <v>131.11130445952051</v>
      </c>
      <c r="U58" s="811">
        <v>131.50069398427533</v>
      </c>
      <c r="V58" s="811" t="s">
        <v>288</v>
      </c>
      <c r="W58" s="811">
        <v>124.7690743411231</v>
      </c>
      <c r="X58" s="811">
        <v>116.98154773360669</v>
      </c>
      <c r="Y58" s="812">
        <v>114.75711951701582</v>
      </c>
      <c r="Z58" s="809">
        <v>46.544385158443987</v>
      </c>
      <c r="AA58" s="810">
        <v>42.845440460294299</v>
      </c>
      <c r="AB58" s="811">
        <v>49.462364996052784</v>
      </c>
      <c r="AC58" s="811">
        <v>49.611014341950174</v>
      </c>
      <c r="AD58" s="811">
        <v>0</v>
      </c>
      <c r="AE58" s="811">
        <v>47.041220361450328</v>
      </c>
      <c r="AF58" s="811">
        <v>44.068334182514818</v>
      </c>
      <c r="AG58" s="812">
        <v>43.219159311670147</v>
      </c>
      <c r="AH58" s="813">
        <v>224576.65838949225</v>
      </c>
      <c r="AI58" s="814">
        <v>27849.536299191295</v>
      </c>
      <c r="AJ58" s="815">
        <v>49462.364996052784</v>
      </c>
      <c r="AK58" s="815">
        <v>49611.014341950176</v>
      </c>
      <c r="AL58" s="815">
        <v>0</v>
      </c>
      <c r="AM58" s="815">
        <v>37632.976289160266</v>
      </c>
      <c r="AN58" s="815">
        <v>30847.833927760374</v>
      </c>
      <c r="AO58" s="816">
        <v>29172.932535377349</v>
      </c>
    </row>
    <row r="59" spans="1:41" ht="15.6" x14ac:dyDescent="0.3">
      <c r="A59" s="225" t="s">
        <v>291</v>
      </c>
      <c r="B59" s="801">
        <v>602459.52319240652</v>
      </c>
      <c r="C59" s="802">
        <v>72449.136224179994</v>
      </c>
      <c r="D59" s="803">
        <v>134359.28590155311</v>
      </c>
      <c r="E59" s="803">
        <v>136066.63038970518</v>
      </c>
      <c r="F59" s="803">
        <v>0</v>
      </c>
      <c r="G59" s="803">
        <v>99308.999308934537</v>
      </c>
      <c r="H59" s="803">
        <v>82635.987991829592</v>
      </c>
      <c r="I59" s="804">
        <v>77639.48337620408</v>
      </c>
      <c r="J59" s="805">
        <v>4900</v>
      </c>
      <c r="K59" s="806">
        <v>640</v>
      </c>
      <c r="L59" s="806">
        <v>1030</v>
      </c>
      <c r="M59" s="807">
        <v>1040</v>
      </c>
      <c r="N59" s="807">
        <v>0</v>
      </c>
      <c r="O59" s="806">
        <v>800</v>
      </c>
      <c r="P59" s="806">
        <v>710</v>
      </c>
      <c r="Q59" s="806">
        <v>680</v>
      </c>
      <c r="R59" s="809">
        <v>122.95092310049112</v>
      </c>
      <c r="S59" s="810">
        <v>113.20177535028124</v>
      </c>
      <c r="T59" s="811">
        <v>130.44590864228456</v>
      </c>
      <c r="U59" s="811">
        <v>130.83329845163959</v>
      </c>
      <c r="V59" s="811" t="s">
        <v>288</v>
      </c>
      <c r="W59" s="811">
        <v>124.13624913616817</v>
      </c>
      <c r="X59" s="811">
        <v>116.38871548145013</v>
      </c>
      <c r="Y59" s="812">
        <v>114.17571084735894</v>
      </c>
      <c r="Z59" s="809">
        <v>46.230381320506361</v>
      </c>
      <c r="AA59" s="810">
        <v>42.518022800721511</v>
      </c>
      <c r="AB59" s="811">
        <v>49.084381910572517</v>
      </c>
      <c r="AC59" s="811">
        <v>49.231895303136092</v>
      </c>
      <c r="AD59" s="811">
        <v>0</v>
      </c>
      <c r="AE59" s="811">
        <v>46.681739256606342</v>
      </c>
      <c r="AF59" s="811">
        <v>43.731571374517038</v>
      </c>
      <c r="AG59" s="812">
        <v>42.88888575540588</v>
      </c>
      <c r="AH59" s="813">
        <v>226528.86847048116</v>
      </c>
      <c r="AI59" s="814">
        <v>27211.534592461765</v>
      </c>
      <c r="AJ59" s="815">
        <v>50556.913367889691</v>
      </c>
      <c r="AK59" s="815">
        <v>51201.171115261539</v>
      </c>
      <c r="AL59" s="815">
        <v>0</v>
      </c>
      <c r="AM59" s="815">
        <v>37345.391405285074</v>
      </c>
      <c r="AN59" s="815">
        <v>31049.415675907097</v>
      </c>
      <c r="AO59" s="816">
        <v>29164.442313675998</v>
      </c>
    </row>
    <row r="60" spans="1:41" ht="15.6" x14ac:dyDescent="0.3">
      <c r="A60" s="225" t="s">
        <v>292</v>
      </c>
      <c r="B60" s="801">
        <v>625522.35407647863</v>
      </c>
      <c r="C60" s="802">
        <v>75308.514303640244</v>
      </c>
      <c r="D60" s="803">
        <v>138854.35107363906</v>
      </c>
      <c r="E60" s="803">
        <v>141945.03338743365</v>
      </c>
      <c r="F60" s="803">
        <v>0</v>
      </c>
      <c r="G60" s="803">
        <v>104184.25435853253</v>
      </c>
      <c r="H60" s="803">
        <v>85767.87065370346</v>
      </c>
      <c r="I60" s="804">
        <v>79462.330299529654</v>
      </c>
      <c r="J60" s="805">
        <v>4970</v>
      </c>
      <c r="K60" s="806">
        <v>650</v>
      </c>
      <c r="L60" s="806">
        <v>1040</v>
      </c>
      <c r="M60" s="807">
        <v>1060</v>
      </c>
      <c r="N60" s="807">
        <v>0</v>
      </c>
      <c r="O60" s="806">
        <v>820</v>
      </c>
      <c r="P60" s="806">
        <v>720</v>
      </c>
      <c r="Q60" s="806">
        <v>680</v>
      </c>
      <c r="R60" s="809">
        <v>125.85962858681663</v>
      </c>
      <c r="S60" s="810">
        <v>115.85925277483115</v>
      </c>
      <c r="T60" s="811">
        <v>133.51379910926832</v>
      </c>
      <c r="U60" s="811">
        <v>133.91040885606949</v>
      </c>
      <c r="V60" s="811" t="s">
        <v>288</v>
      </c>
      <c r="W60" s="811">
        <v>127.05396872991773</v>
      </c>
      <c r="X60" s="811">
        <v>119.12204257458814</v>
      </c>
      <c r="Y60" s="812">
        <v>116.85636808754361</v>
      </c>
      <c r="Z60" s="809">
        <v>47.332980456270562</v>
      </c>
      <c r="AA60" s="810">
        <v>43.525359602849768</v>
      </c>
      <c r="AB60" s="811">
        <v>50.2472888627603</v>
      </c>
      <c r="AC60" s="811">
        <v>50.398297141947189</v>
      </c>
      <c r="AD60" s="811">
        <v>0</v>
      </c>
      <c r="AE60" s="811">
        <v>47.787722810002819</v>
      </c>
      <c r="AF60" s="811">
        <v>44.767659563916609</v>
      </c>
      <c r="AG60" s="812">
        <v>43.905009040963769</v>
      </c>
      <c r="AH60" s="813">
        <v>235244.91286766471</v>
      </c>
      <c r="AI60" s="814">
        <v>28291.483741852349</v>
      </c>
      <c r="AJ60" s="815">
        <v>52257.180417270712</v>
      </c>
      <c r="AK60" s="815">
        <v>53422.194970464021</v>
      </c>
      <c r="AL60" s="815">
        <v>0</v>
      </c>
      <c r="AM60" s="815">
        <v>39185.932704202314</v>
      </c>
      <c r="AN60" s="815">
        <v>32232.71488601996</v>
      </c>
      <c r="AO60" s="816">
        <v>29855.406147855363</v>
      </c>
    </row>
    <row r="61" spans="1:41" ht="15.6" x14ac:dyDescent="0.3">
      <c r="A61" s="225" t="s">
        <v>293</v>
      </c>
      <c r="B61" s="801">
        <v>603575.12443971925</v>
      </c>
      <c r="C61" s="802">
        <v>72925.454279596102</v>
      </c>
      <c r="D61" s="803">
        <v>134727.01806683946</v>
      </c>
      <c r="E61" s="803">
        <v>136465.12084924913</v>
      </c>
      <c r="F61" s="803">
        <v>0</v>
      </c>
      <c r="G61" s="803">
        <v>100281.94080084392</v>
      </c>
      <c r="H61" s="803">
        <v>82120.00133246521</v>
      </c>
      <c r="I61" s="804">
        <v>77055.589110725472</v>
      </c>
      <c r="J61" s="805">
        <v>4800</v>
      </c>
      <c r="K61" s="806">
        <v>630</v>
      </c>
      <c r="L61" s="806">
        <v>1010</v>
      </c>
      <c r="M61" s="807">
        <v>1020</v>
      </c>
      <c r="N61" s="807">
        <v>0</v>
      </c>
      <c r="O61" s="806">
        <v>790</v>
      </c>
      <c r="P61" s="806">
        <v>690</v>
      </c>
      <c r="Q61" s="806">
        <v>660</v>
      </c>
      <c r="R61" s="809">
        <v>125.74481759160818</v>
      </c>
      <c r="S61" s="810">
        <v>115.75468933269222</v>
      </c>
      <c r="T61" s="811">
        <v>133.39308719489057</v>
      </c>
      <c r="U61" s="811">
        <v>133.78933416593051</v>
      </c>
      <c r="V61" s="811" t="s">
        <v>288</v>
      </c>
      <c r="W61" s="811">
        <v>126.9391655706885</v>
      </c>
      <c r="X61" s="811">
        <v>119.01449468473218</v>
      </c>
      <c r="Y61" s="812">
        <v>116.75089259200828</v>
      </c>
      <c r="Z61" s="809">
        <v>47.498743032036934</v>
      </c>
      <c r="AA61" s="810">
        <v>43.678174629885874</v>
      </c>
      <c r="AB61" s="811">
        <v>50.423704195709114</v>
      </c>
      <c r="AC61" s="811">
        <v>50.575242656254119</v>
      </c>
      <c r="AD61" s="811">
        <v>0</v>
      </c>
      <c r="AE61" s="811">
        <v>47.955502748407426</v>
      </c>
      <c r="AF61" s="811">
        <v>44.924836234460535</v>
      </c>
      <c r="AG61" s="812">
        <v>44.059156995279032</v>
      </c>
      <c r="AH61" s="813">
        <v>227993.96655377728</v>
      </c>
      <c r="AI61" s="814">
        <v>27517.2500168281</v>
      </c>
      <c r="AJ61" s="815">
        <v>50927.941237666208</v>
      </c>
      <c r="AK61" s="815">
        <v>51586.747509379202</v>
      </c>
      <c r="AL61" s="815">
        <v>0</v>
      </c>
      <c r="AM61" s="815">
        <v>37884.847171241869</v>
      </c>
      <c r="AN61" s="815">
        <v>30998.13700177777</v>
      </c>
      <c r="AO61" s="816">
        <v>29079.043616884162</v>
      </c>
    </row>
    <row r="62" spans="1:41" ht="15.6" x14ac:dyDescent="0.3">
      <c r="A62" s="225" t="s">
        <v>294</v>
      </c>
      <c r="B62" s="801">
        <v>578534.6440745577</v>
      </c>
      <c r="C62" s="802">
        <v>69864.09447770768</v>
      </c>
      <c r="D62" s="803">
        <v>129341.14870793805</v>
      </c>
      <c r="E62" s="803">
        <v>131049.03883592185</v>
      </c>
      <c r="F62" s="803">
        <v>0</v>
      </c>
      <c r="G62" s="803">
        <v>95452.94061671813</v>
      </c>
      <c r="H62" s="803">
        <v>78896.647225822846</v>
      </c>
      <c r="I62" s="804">
        <v>73930.774210449148</v>
      </c>
      <c r="J62" s="805">
        <v>4650</v>
      </c>
      <c r="K62" s="806">
        <v>610</v>
      </c>
      <c r="L62" s="806">
        <v>980</v>
      </c>
      <c r="M62" s="807">
        <v>990</v>
      </c>
      <c r="N62" s="807">
        <v>0</v>
      </c>
      <c r="O62" s="806">
        <v>760</v>
      </c>
      <c r="P62" s="806">
        <v>670</v>
      </c>
      <c r="Q62" s="806">
        <v>640</v>
      </c>
      <c r="R62" s="809">
        <v>124.41605248915219</v>
      </c>
      <c r="S62" s="810">
        <v>114.53130242247161</v>
      </c>
      <c r="T62" s="811">
        <v>131.98076398769189</v>
      </c>
      <c r="U62" s="811">
        <v>132.37276650093116</v>
      </c>
      <c r="V62" s="811" t="s">
        <v>288</v>
      </c>
      <c r="W62" s="811">
        <v>125.59597449568174</v>
      </c>
      <c r="X62" s="811">
        <v>117.75618988928782</v>
      </c>
      <c r="Y62" s="812">
        <v>115.51683470382679</v>
      </c>
      <c r="Z62" s="809">
        <v>46.973573499279127</v>
      </c>
      <c r="AA62" s="810">
        <v>43.19467327376028</v>
      </c>
      <c r="AB62" s="811">
        <v>49.865532304001469</v>
      </c>
      <c r="AC62" s="811">
        <v>50.015393289427607</v>
      </c>
      <c r="AD62" s="811">
        <v>0</v>
      </c>
      <c r="AE62" s="811">
        <v>47.424652940488151</v>
      </c>
      <c r="AF62" s="811">
        <v>44.427534792100829</v>
      </c>
      <c r="AG62" s="812">
        <v>43.571438304251316</v>
      </c>
      <c r="AH62" s="813">
        <v>218427.11677164794</v>
      </c>
      <c r="AI62" s="814">
        <v>26348.750696993771</v>
      </c>
      <c r="AJ62" s="815">
        <v>48868.221657921436</v>
      </c>
      <c r="AK62" s="815">
        <v>49515.239356533333</v>
      </c>
      <c r="AL62" s="815">
        <v>0</v>
      </c>
      <c r="AM62" s="815">
        <v>36042.736234770993</v>
      </c>
      <c r="AN62" s="815">
        <v>29766.448310707554</v>
      </c>
      <c r="AO62" s="816">
        <v>27885.720514720844</v>
      </c>
    </row>
    <row r="63" spans="1:41" ht="15.6" x14ac:dyDescent="0.3">
      <c r="A63" s="225" t="s">
        <v>295</v>
      </c>
      <c r="B63" s="801">
        <v>656184.87980234216</v>
      </c>
      <c r="C63" s="802">
        <v>79275.077532876312</v>
      </c>
      <c r="D63" s="803">
        <v>146478.67347305251</v>
      </c>
      <c r="E63" s="803">
        <v>148368.79622910477</v>
      </c>
      <c r="F63" s="803">
        <v>0</v>
      </c>
      <c r="G63" s="803">
        <v>109023.89380844368</v>
      </c>
      <c r="H63" s="803">
        <v>89272.84151069833</v>
      </c>
      <c r="I63" s="804">
        <v>83765.597248166538</v>
      </c>
      <c r="J63" s="805">
        <v>4800</v>
      </c>
      <c r="K63" s="806">
        <v>630</v>
      </c>
      <c r="L63" s="806">
        <v>1010</v>
      </c>
      <c r="M63" s="807">
        <v>1020</v>
      </c>
      <c r="N63" s="807">
        <v>0</v>
      </c>
      <c r="O63" s="806">
        <v>790</v>
      </c>
      <c r="P63" s="806">
        <v>690</v>
      </c>
      <c r="Q63" s="806">
        <v>660</v>
      </c>
      <c r="R63" s="809">
        <v>136.70518329215463</v>
      </c>
      <c r="S63" s="810">
        <v>125.83345640139098</v>
      </c>
      <c r="T63" s="811">
        <v>145.02838957727971</v>
      </c>
      <c r="U63" s="811">
        <v>145.45960414618116</v>
      </c>
      <c r="V63" s="811" t="s">
        <v>288</v>
      </c>
      <c r="W63" s="811">
        <v>138.0049288714477</v>
      </c>
      <c r="X63" s="811">
        <v>129.38092972564976</v>
      </c>
      <c r="Y63" s="812">
        <v>126.91757158813111</v>
      </c>
      <c r="Z63" s="809">
        <v>45.676540068234281</v>
      </c>
      <c r="AA63" s="810">
        <v>42.002540830263307</v>
      </c>
      <c r="AB63" s="811">
        <v>48.489290411972632</v>
      </c>
      <c r="AC63" s="811">
        <v>48.635015374847839</v>
      </c>
      <c r="AD63" s="811">
        <v>0</v>
      </c>
      <c r="AE63" s="811">
        <v>46.115777028089845</v>
      </c>
      <c r="AF63" s="811">
        <v>43.201376527756963</v>
      </c>
      <c r="AG63" s="812">
        <v>42.368907499512503</v>
      </c>
      <c r="AH63" s="813">
        <v>219247.39232752455</v>
      </c>
      <c r="AI63" s="814">
        <v>26461.600723065883</v>
      </c>
      <c r="AJ63" s="815">
        <v>48974.183316092356</v>
      </c>
      <c r="AK63" s="815">
        <v>49607.715682344795</v>
      </c>
      <c r="AL63" s="815">
        <v>0</v>
      </c>
      <c r="AM63" s="815">
        <v>36431.46385219098</v>
      </c>
      <c r="AN63" s="815">
        <v>29808.949804152304</v>
      </c>
      <c r="AO63" s="816">
        <v>27963.478949678251</v>
      </c>
    </row>
  </sheetData>
  <mergeCells count="10">
    <mergeCell ref="B1:B2"/>
    <mergeCell ref="Z1:Z2"/>
    <mergeCell ref="AA1:AG1"/>
    <mergeCell ref="AH1:AH2"/>
    <mergeCell ref="AI1:AO1"/>
    <mergeCell ref="C1:I1"/>
    <mergeCell ref="J1:J2"/>
    <mergeCell ref="K1:Q1"/>
    <mergeCell ref="R1:R2"/>
    <mergeCell ref="S1:Y1"/>
  </mergeCells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BE6A3-B3C8-4765-9180-3FBA35F73305}">
  <sheetPr codeName="Sheet12"/>
  <dimension ref="A1:PL59"/>
  <sheetViews>
    <sheetView showGridLines="0" zoomScale="90" zoomScaleNormal="90" workbookViewId="0">
      <pane xSplit="4" ySplit="3" topLeftCell="OP4" activePane="bottomRight" state="frozen"/>
      <selection pane="topRight" activeCell="D1" sqref="D1"/>
      <selection pane="bottomLeft" activeCell="A4" sqref="A4"/>
      <selection pane="bottomRight" activeCell="OX25" sqref="OX25"/>
    </sheetView>
  </sheetViews>
  <sheetFormatPr defaultRowHeight="14.4" outlineLevelRow="1" x14ac:dyDescent="0.3"/>
  <cols>
    <col min="1" max="1" width="2.5546875" customWidth="1"/>
    <col min="2" max="2" width="12" customWidth="1"/>
    <col min="3" max="3" width="6.44140625" customWidth="1"/>
    <col min="4" max="4" width="13.5546875" bestFit="1" customWidth="1"/>
    <col min="5" max="5" width="6.44140625" customWidth="1"/>
    <col min="6" max="6" width="6" customWidth="1"/>
    <col min="7" max="11" width="6.44140625" customWidth="1"/>
    <col min="12" max="12" width="5.109375" customWidth="1"/>
    <col min="13" max="19" width="6.44140625" customWidth="1"/>
    <col min="20" max="20" width="6.109375" customWidth="1"/>
    <col min="21" max="27" width="6.44140625" customWidth="1"/>
    <col min="28" max="28" width="6.109375" customWidth="1"/>
    <col min="29" max="35" width="6.44140625" customWidth="1"/>
    <col min="36" max="36" width="6.109375" customWidth="1"/>
    <col min="37" max="43" width="6.44140625" customWidth="1"/>
    <col min="44" max="44" width="5.5546875" customWidth="1"/>
    <col min="45" max="45" width="6.44140625" style="735" customWidth="1"/>
    <col min="46" max="51" width="6.44140625" customWidth="1"/>
    <col min="52" max="52" width="6.109375" customWidth="1"/>
    <col min="53" max="53" width="6.5546875" style="735" customWidth="1"/>
    <col min="54" max="54" width="6.5546875" customWidth="1"/>
    <col min="55" max="59" width="6.44140625" customWidth="1"/>
    <col min="60" max="60" width="6.109375" customWidth="1"/>
    <col min="61" max="67" width="6.44140625" customWidth="1"/>
    <col min="68" max="68" width="6.109375" customWidth="1"/>
    <col min="69" max="75" width="6.44140625" customWidth="1"/>
    <col min="76" max="76" width="5" customWidth="1"/>
    <col min="77" max="83" width="6.44140625" customWidth="1"/>
    <col min="84" max="84" width="6.109375" customWidth="1"/>
    <col min="85" max="91" width="6.44140625" customWidth="1"/>
    <col min="92" max="92" width="6.109375" customWidth="1"/>
    <col min="93" max="99" width="6.44140625" customWidth="1"/>
    <col min="100" max="100" width="6.109375" customWidth="1"/>
    <col min="101" max="107" width="6.44140625" customWidth="1"/>
    <col min="108" max="108" width="5" customWidth="1"/>
    <col min="109" max="115" width="6.44140625" customWidth="1"/>
    <col min="116" max="116" width="6.109375" customWidth="1"/>
    <col min="117" max="123" width="6.44140625" customWidth="1"/>
    <col min="124" max="124" width="6.109375" customWidth="1"/>
    <col min="125" max="125" width="6.44140625" customWidth="1"/>
    <col min="126" max="127" width="6.109375" customWidth="1"/>
    <col min="128" max="131" width="6.44140625" customWidth="1"/>
    <col min="132" max="132" width="6.109375" customWidth="1"/>
    <col min="133" max="139" width="6.44140625" customWidth="1"/>
    <col min="140" max="140" width="5" customWidth="1"/>
    <col min="141" max="147" width="6.44140625" customWidth="1"/>
    <col min="148" max="148" width="5" customWidth="1"/>
    <col min="149" max="155" width="6.44140625" customWidth="1"/>
    <col min="156" max="156" width="6.109375" customWidth="1"/>
    <col min="157" max="163" width="6.44140625" customWidth="1"/>
    <col min="164" max="164" width="6.109375" customWidth="1"/>
    <col min="165" max="165" width="6.5546875" customWidth="1"/>
    <col min="166" max="168" width="6.44140625" customWidth="1"/>
    <col min="169" max="169" width="6.109375" customWidth="1"/>
    <col min="170" max="171" width="6.44140625" customWidth="1"/>
    <col min="172" max="172" width="6.109375" customWidth="1"/>
    <col min="173" max="179" width="6.44140625" customWidth="1"/>
    <col min="180" max="180" width="5.109375" customWidth="1"/>
    <col min="181" max="181" width="6.44140625" customWidth="1"/>
    <col min="182" max="182" width="5" customWidth="1"/>
    <col min="183" max="183" width="6" customWidth="1"/>
    <col min="184" max="187" width="6.44140625" customWidth="1"/>
    <col min="188" max="188" width="6.109375" customWidth="1"/>
    <col min="189" max="195" width="6.44140625" customWidth="1"/>
    <col min="196" max="196" width="6.109375" customWidth="1"/>
    <col min="197" max="197" width="7.88671875" customWidth="1"/>
    <col min="198" max="203" width="6.44140625" customWidth="1"/>
    <col min="204" max="204" width="6.109375" customWidth="1"/>
    <col min="205" max="205" width="7.88671875" customWidth="1"/>
    <col min="206" max="211" width="6.44140625" customWidth="1"/>
    <col min="212" max="212" width="5" customWidth="1"/>
    <col min="213" max="219" width="6.44140625" customWidth="1"/>
    <col min="220" max="220" width="6.109375" customWidth="1"/>
    <col min="221" max="221" width="6.44140625" customWidth="1"/>
    <col min="222" max="222" width="6.109375" customWidth="1"/>
    <col min="223" max="227" width="6.44140625" customWidth="1"/>
    <col min="228" max="228" width="6.109375" customWidth="1"/>
    <col min="229" max="229" width="6.44140625" customWidth="1"/>
    <col min="230" max="230" width="6.109375" customWidth="1"/>
    <col min="231" max="232" width="6.44140625" customWidth="1"/>
    <col min="233" max="233" width="6.109375" customWidth="1"/>
    <col min="234" max="235" width="6.44140625" customWidth="1"/>
    <col min="236" max="236" width="6.109375" customWidth="1"/>
    <col min="237" max="237" width="6.44140625" customWidth="1"/>
    <col min="238" max="238" width="6.109375" customWidth="1"/>
    <col min="239" max="240" width="6.44140625" customWidth="1"/>
    <col min="241" max="241" width="6.109375" customWidth="1"/>
    <col min="242" max="243" width="6.44140625" customWidth="1"/>
    <col min="244" max="244" width="6.109375" customWidth="1"/>
    <col min="245" max="245" width="6.44140625" customWidth="1"/>
    <col min="246" max="247" width="6" customWidth="1"/>
    <col min="248" max="249" width="5.5546875" customWidth="1"/>
    <col min="250" max="251" width="6.44140625" customWidth="1"/>
    <col min="252" max="252" width="5" customWidth="1"/>
    <col min="253" max="253" width="6.44140625" customWidth="1"/>
    <col min="254" max="255" width="6" customWidth="1"/>
    <col min="256" max="257" width="6.109375" customWidth="1"/>
    <col min="258" max="259" width="6.44140625" customWidth="1"/>
    <col min="260" max="260" width="6.109375" customWidth="1"/>
    <col min="261" max="261" width="6.44140625" customWidth="1"/>
    <col min="262" max="263" width="6.109375" customWidth="1"/>
    <col min="264" max="267" width="6.44140625" customWidth="1"/>
    <col min="268" max="268" width="6.109375" customWidth="1"/>
    <col min="269" max="269" width="6.5546875" style="33" customWidth="1"/>
    <col min="270" max="270" width="6.5546875" customWidth="1"/>
    <col min="271" max="275" width="6.44140625" customWidth="1"/>
    <col min="276" max="276" width="6.109375" customWidth="1"/>
    <col min="277" max="277" width="6.5546875" customWidth="1"/>
    <col min="278" max="283" width="6.44140625" customWidth="1"/>
    <col min="284" max="284" width="5" customWidth="1"/>
    <col min="285" max="285" width="6.44140625" style="33" customWidth="1"/>
    <col min="286" max="291" width="6.44140625" customWidth="1"/>
    <col min="292" max="292" width="6.109375" customWidth="1"/>
    <col min="293" max="293" width="6.5546875" style="33" customWidth="1"/>
    <col min="294" max="294" width="6.5546875" customWidth="1"/>
    <col min="295" max="299" width="6.44140625" customWidth="1"/>
    <col min="300" max="300" width="6.109375" customWidth="1"/>
    <col min="301" max="301" width="6.44140625" style="33" customWidth="1"/>
    <col min="302" max="302" width="6.5546875" customWidth="1"/>
    <col min="303" max="307" width="6.44140625" customWidth="1"/>
    <col min="308" max="308" width="6.109375" customWidth="1"/>
    <col min="309" max="309" width="6.44140625" style="33" customWidth="1"/>
    <col min="310" max="315" width="6.44140625" customWidth="1"/>
    <col min="316" max="316" width="5" customWidth="1"/>
    <col min="317" max="323" width="6.44140625" customWidth="1"/>
    <col min="324" max="324" width="5" customWidth="1"/>
    <col min="325" max="331" width="6.44140625" customWidth="1"/>
    <col min="332" max="332" width="6.109375" customWidth="1"/>
    <col min="333" max="339" width="6.44140625" customWidth="1"/>
    <col min="340" max="340" width="6.109375" customWidth="1"/>
    <col min="341" max="347" width="6.44140625" customWidth="1"/>
    <col min="348" max="348" width="6.109375" customWidth="1"/>
    <col min="349" max="349" width="6.5546875" customWidth="1"/>
    <col min="350" max="350" width="6.44140625" customWidth="1"/>
    <col min="351" max="351" width="5" customWidth="1"/>
    <col min="352" max="355" width="6.44140625" customWidth="1"/>
    <col min="356" max="356" width="5" customWidth="1"/>
    <col min="357" max="357" width="6.5546875" customWidth="1"/>
    <col min="358" max="361" width="6.44140625" customWidth="1"/>
    <col min="362" max="362" width="6.109375" customWidth="1"/>
    <col min="363" max="363" width="6.44140625" customWidth="1"/>
    <col min="364" max="364" width="6.109375" customWidth="1"/>
    <col min="365" max="371" width="6.44140625" customWidth="1"/>
    <col min="372" max="372" width="6.109375" customWidth="1"/>
    <col min="373" max="373" width="7.5546875" customWidth="1"/>
    <col min="374" max="379" width="6.44140625" customWidth="1"/>
    <col min="380" max="380" width="6.109375" customWidth="1"/>
    <col min="381" max="381" width="7.5546875" style="735" customWidth="1"/>
    <col min="382" max="382" width="6.5546875" customWidth="1"/>
    <col min="383" max="387" width="6.44140625" customWidth="1"/>
    <col min="388" max="388" width="5" customWidth="1"/>
    <col min="389" max="390" width="6.44140625" customWidth="1"/>
    <col min="391" max="394" width="6.5546875" customWidth="1"/>
    <col min="395" max="395" width="6.109375" customWidth="1"/>
    <col min="396" max="396" width="6" customWidth="1"/>
    <col min="397" max="397" width="6.44140625" customWidth="1"/>
    <col min="398" max="403" width="9.109375" customWidth="1"/>
    <col min="404" max="404" width="7.109375" customWidth="1"/>
    <col min="405" max="405" width="8.109375" customWidth="1"/>
    <col min="406" max="407" width="7.5546875" customWidth="1"/>
    <col min="408" max="408" width="7.44140625" customWidth="1"/>
    <col min="409" max="409" width="8.44140625" customWidth="1"/>
    <col min="410" max="410" width="6.88671875" customWidth="1"/>
    <col min="411" max="411" width="7.88671875" customWidth="1"/>
    <col min="412" max="412" width="7.5546875" customWidth="1"/>
    <col min="413" max="413" width="9.109375" customWidth="1"/>
    <col min="414" max="414" width="8.44140625" customWidth="1"/>
    <col min="415" max="415" width="8.109375" customWidth="1"/>
    <col min="416" max="416" width="7.109375" customWidth="1"/>
    <col min="417" max="417" width="7.5546875" customWidth="1"/>
    <col min="418" max="418" width="6.88671875" customWidth="1"/>
    <col min="419" max="419" width="7.5546875" customWidth="1"/>
    <col min="420" max="420" width="7.88671875" customWidth="1"/>
  </cols>
  <sheetData>
    <row r="1" spans="1:428" s="743" customFormat="1" ht="16.2" thickBot="1" x14ac:dyDescent="0.35">
      <c r="C1" s="744" t="s">
        <v>300</v>
      </c>
      <c r="D1" s="744">
        <v>0.99</v>
      </c>
      <c r="F1" s="745">
        <v>44564</v>
      </c>
      <c r="G1" s="745">
        <f t="shared" ref="G1" si="0">F1+1</f>
        <v>44565</v>
      </c>
      <c r="H1" s="745">
        <f t="shared" ref="H1" si="1">G1+1</f>
        <v>44566</v>
      </c>
      <c r="I1" s="745">
        <f t="shared" ref="I1" si="2">H1+1</f>
        <v>44567</v>
      </c>
      <c r="J1" s="745">
        <f t="shared" ref="J1" si="3">I1+1</f>
        <v>44568</v>
      </c>
      <c r="K1" s="745">
        <f t="shared" ref="K1" si="4">J1+1</f>
        <v>44569</v>
      </c>
      <c r="L1" s="745">
        <f t="shared" ref="L1" si="5">K1+1</f>
        <v>44570</v>
      </c>
      <c r="N1" s="745">
        <f>L1+1</f>
        <v>44571</v>
      </c>
      <c r="O1" s="745">
        <f t="shared" ref="O1" si="6">N1+1</f>
        <v>44572</v>
      </c>
      <c r="P1" s="745">
        <f t="shared" ref="P1" si="7">O1+1</f>
        <v>44573</v>
      </c>
      <c r="Q1" s="745">
        <f t="shared" ref="Q1" si="8">P1+1</f>
        <v>44574</v>
      </c>
      <c r="R1" s="745">
        <f t="shared" ref="R1" si="9">Q1+1</f>
        <v>44575</v>
      </c>
      <c r="S1" s="745">
        <f t="shared" ref="S1" si="10">R1+1</f>
        <v>44576</v>
      </c>
      <c r="T1" s="745">
        <f t="shared" ref="T1" si="11">S1+1</f>
        <v>44577</v>
      </c>
      <c r="V1" s="745">
        <f>T1+1</f>
        <v>44578</v>
      </c>
      <c r="W1" s="745">
        <f t="shared" ref="W1" si="12">V1+1</f>
        <v>44579</v>
      </c>
      <c r="X1" s="745">
        <f t="shared" ref="X1" si="13">W1+1</f>
        <v>44580</v>
      </c>
      <c r="Y1" s="745">
        <f t="shared" ref="Y1" si="14">X1+1</f>
        <v>44581</v>
      </c>
      <c r="Z1" s="745">
        <f t="shared" ref="Z1" si="15">Y1+1</f>
        <v>44582</v>
      </c>
      <c r="AA1" s="745">
        <f t="shared" ref="AA1" si="16">Z1+1</f>
        <v>44583</v>
      </c>
      <c r="AB1" s="745">
        <f t="shared" ref="AB1" si="17">AA1+1</f>
        <v>44584</v>
      </c>
      <c r="AD1" s="745">
        <f>AB1+1</f>
        <v>44585</v>
      </c>
      <c r="AE1" s="745">
        <f t="shared" ref="AE1" si="18">AD1+1</f>
        <v>44586</v>
      </c>
      <c r="AF1" s="745">
        <f t="shared" ref="AF1" si="19">AE1+1</f>
        <v>44587</v>
      </c>
      <c r="AG1" s="745">
        <f t="shared" ref="AG1" si="20">AF1+1</f>
        <v>44588</v>
      </c>
      <c r="AH1" s="745">
        <f t="shared" ref="AH1" si="21">AG1+1</f>
        <v>44589</v>
      </c>
      <c r="AI1" s="745">
        <f t="shared" ref="AI1" si="22">AH1+1</f>
        <v>44590</v>
      </c>
      <c r="AJ1" s="745">
        <f t="shared" ref="AJ1" si="23">AI1+1</f>
        <v>44591</v>
      </c>
      <c r="AL1" s="745">
        <f>AJ1+1</f>
        <v>44592</v>
      </c>
      <c r="AM1" s="745">
        <f t="shared" ref="AM1" si="24">AL1+1</f>
        <v>44593</v>
      </c>
      <c r="AN1" s="745">
        <f t="shared" ref="AN1" si="25">AM1+1</f>
        <v>44594</v>
      </c>
      <c r="AO1" s="745">
        <f t="shared" ref="AO1" si="26">AN1+1</f>
        <v>44595</v>
      </c>
      <c r="AP1" s="745">
        <f t="shared" ref="AP1" si="27">AO1+1</f>
        <v>44596</v>
      </c>
      <c r="AQ1" s="745">
        <f t="shared" ref="AQ1" si="28">AP1+1</f>
        <v>44597</v>
      </c>
      <c r="AR1" s="745">
        <f t="shared" ref="AR1" si="29">AQ1+1</f>
        <v>44598</v>
      </c>
      <c r="AS1" s="746"/>
      <c r="AT1" s="745">
        <f>AR1+1</f>
        <v>44599</v>
      </c>
      <c r="AU1" s="745">
        <f t="shared" ref="AU1" si="30">AT1+1</f>
        <v>44600</v>
      </c>
      <c r="AV1" s="745">
        <f t="shared" ref="AV1" si="31">AU1+1</f>
        <v>44601</v>
      </c>
      <c r="AW1" s="745">
        <f t="shared" ref="AW1" si="32">AV1+1</f>
        <v>44602</v>
      </c>
      <c r="AX1" s="745">
        <f t="shared" ref="AX1" si="33">AW1+1</f>
        <v>44603</v>
      </c>
      <c r="AY1" s="745">
        <f t="shared" ref="AY1" si="34">AX1+1</f>
        <v>44604</v>
      </c>
      <c r="AZ1" s="745">
        <f t="shared" ref="AZ1" si="35">AY1+1</f>
        <v>44605</v>
      </c>
      <c r="BA1" s="746"/>
      <c r="BB1" s="745">
        <f>AZ1+1</f>
        <v>44606</v>
      </c>
      <c r="BC1" s="745">
        <f t="shared" ref="BC1" si="36">BB1+1</f>
        <v>44607</v>
      </c>
      <c r="BD1" s="745">
        <f t="shared" ref="BD1" si="37">BC1+1</f>
        <v>44608</v>
      </c>
      <c r="BE1" s="745">
        <f t="shared" ref="BE1" si="38">BD1+1</f>
        <v>44609</v>
      </c>
      <c r="BF1" s="745">
        <f t="shared" ref="BF1" si="39">BE1+1</f>
        <v>44610</v>
      </c>
      <c r="BG1" s="745">
        <f t="shared" ref="BG1" si="40">BF1+1</f>
        <v>44611</v>
      </c>
      <c r="BH1" s="745">
        <f t="shared" ref="BH1" si="41">BG1+1</f>
        <v>44612</v>
      </c>
      <c r="BJ1" s="745">
        <f>BH1+1</f>
        <v>44613</v>
      </c>
      <c r="BK1" s="745">
        <f t="shared" ref="BK1" si="42">BJ1+1</f>
        <v>44614</v>
      </c>
      <c r="BL1" s="745">
        <f t="shared" ref="BL1" si="43">BK1+1</f>
        <v>44615</v>
      </c>
      <c r="BM1" s="745">
        <f t="shared" ref="BM1" si="44">BL1+1</f>
        <v>44616</v>
      </c>
      <c r="BN1" s="745">
        <f t="shared" ref="BN1" si="45">BM1+1</f>
        <v>44617</v>
      </c>
      <c r="BO1" s="745">
        <f t="shared" ref="BO1" si="46">BN1+1</f>
        <v>44618</v>
      </c>
      <c r="BP1" s="745">
        <f t="shared" ref="BP1" si="47">BO1+1</f>
        <v>44619</v>
      </c>
      <c r="BR1" s="745">
        <f>BP1+1</f>
        <v>44620</v>
      </c>
      <c r="BS1" s="745">
        <f t="shared" ref="BS1" si="48">BR1+1</f>
        <v>44621</v>
      </c>
      <c r="BT1" s="745">
        <f t="shared" ref="BT1" si="49">BS1+1</f>
        <v>44622</v>
      </c>
      <c r="BU1" s="745">
        <f t="shared" ref="BU1" si="50">BT1+1</f>
        <v>44623</v>
      </c>
      <c r="BV1" s="745">
        <f t="shared" ref="BV1" si="51">BU1+1</f>
        <v>44624</v>
      </c>
      <c r="BW1" s="745">
        <f t="shared" ref="BW1" si="52">BV1+1</f>
        <v>44625</v>
      </c>
      <c r="BX1" s="745">
        <f t="shared" ref="BX1" si="53">BW1+1</f>
        <v>44626</v>
      </c>
      <c r="BZ1" s="745">
        <f>BX1+1</f>
        <v>44627</v>
      </c>
      <c r="CA1" s="745">
        <f t="shared" ref="CA1" si="54">BZ1+1</f>
        <v>44628</v>
      </c>
      <c r="CB1" s="745">
        <f t="shared" ref="CB1" si="55">CA1+1</f>
        <v>44629</v>
      </c>
      <c r="CC1" s="745">
        <f t="shared" ref="CC1" si="56">CB1+1</f>
        <v>44630</v>
      </c>
      <c r="CD1" s="745">
        <f t="shared" ref="CD1" si="57">CC1+1</f>
        <v>44631</v>
      </c>
      <c r="CE1" s="745">
        <f t="shared" ref="CE1" si="58">CD1+1</f>
        <v>44632</v>
      </c>
      <c r="CF1" s="745">
        <f t="shared" ref="CF1" si="59">CE1+1</f>
        <v>44633</v>
      </c>
      <c r="CH1" s="745">
        <f>CF1+1</f>
        <v>44634</v>
      </c>
      <c r="CI1" s="745">
        <f t="shared" ref="CI1" si="60">CH1+1</f>
        <v>44635</v>
      </c>
      <c r="CJ1" s="745">
        <f t="shared" ref="CJ1" si="61">CI1+1</f>
        <v>44636</v>
      </c>
      <c r="CK1" s="745">
        <f t="shared" ref="CK1" si="62">CJ1+1</f>
        <v>44637</v>
      </c>
      <c r="CL1" s="745">
        <f t="shared" ref="CL1" si="63">CK1+1</f>
        <v>44638</v>
      </c>
      <c r="CM1" s="745">
        <f t="shared" ref="CM1" si="64">CL1+1</f>
        <v>44639</v>
      </c>
      <c r="CN1" s="745">
        <f t="shared" ref="CN1" si="65">CM1+1</f>
        <v>44640</v>
      </c>
      <c r="CP1" s="745">
        <f>CN1+1</f>
        <v>44641</v>
      </c>
      <c r="CQ1" s="745">
        <f t="shared" ref="CQ1" si="66">CP1+1</f>
        <v>44642</v>
      </c>
      <c r="CR1" s="745">
        <f t="shared" ref="CR1" si="67">CQ1+1</f>
        <v>44643</v>
      </c>
      <c r="CS1" s="745">
        <f t="shared" ref="CS1" si="68">CR1+1</f>
        <v>44644</v>
      </c>
      <c r="CT1" s="745">
        <f t="shared" ref="CT1" si="69">CS1+1</f>
        <v>44645</v>
      </c>
      <c r="CU1" s="745">
        <f t="shared" ref="CU1" si="70">CT1+1</f>
        <v>44646</v>
      </c>
      <c r="CV1" s="745">
        <f t="shared" ref="CV1" si="71">CU1+1</f>
        <v>44647</v>
      </c>
      <c r="CX1" s="745">
        <f>CV1+1</f>
        <v>44648</v>
      </c>
      <c r="CY1" s="745">
        <f t="shared" ref="CY1:DD1" si="72">CX1+1</f>
        <v>44649</v>
      </c>
      <c r="CZ1" s="745">
        <f t="shared" si="72"/>
        <v>44650</v>
      </c>
      <c r="DA1" s="745">
        <f t="shared" si="72"/>
        <v>44651</v>
      </c>
      <c r="DB1" s="745">
        <f t="shared" si="72"/>
        <v>44652</v>
      </c>
      <c r="DC1" s="745">
        <f t="shared" si="72"/>
        <v>44653</v>
      </c>
      <c r="DD1" s="745">
        <f t="shared" si="72"/>
        <v>44654</v>
      </c>
      <c r="DF1" s="745">
        <f>DD1+1</f>
        <v>44655</v>
      </c>
      <c r="DG1" s="745">
        <f t="shared" ref="DG1:DL1" si="73">DF1+1</f>
        <v>44656</v>
      </c>
      <c r="DH1" s="745">
        <f t="shared" si="73"/>
        <v>44657</v>
      </c>
      <c r="DI1" s="745">
        <f t="shared" si="73"/>
        <v>44658</v>
      </c>
      <c r="DJ1" s="745">
        <f t="shared" si="73"/>
        <v>44659</v>
      </c>
      <c r="DK1" s="745">
        <f t="shared" si="73"/>
        <v>44660</v>
      </c>
      <c r="DL1" s="745">
        <f t="shared" si="73"/>
        <v>44661</v>
      </c>
      <c r="DN1" s="745">
        <f>DL1+1</f>
        <v>44662</v>
      </c>
      <c r="DO1" s="745">
        <f t="shared" ref="DO1:DT1" si="74">DN1+1</f>
        <v>44663</v>
      </c>
      <c r="DP1" s="745">
        <f t="shared" si="74"/>
        <v>44664</v>
      </c>
      <c r="DQ1" s="745">
        <f t="shared" si="74"/>
        <v>44665</v>
      </c>
      <c r="DR1" s="745">
        <f t="shared" si="74"/>
        <v>44666</v>
      </c>
      <c r="DS1" s="745">
        <f t="shared" si="74"/>
        <v>44667</v>
      </c>
      <c r="DT1" s="745">
        <f t="shared" si="74"/>
        <v>44668</v>
      </c>
      <c r="DV1" s="745">
        <f>DT1+1</f>
        <v>44669</v>
      </c>
      <c r="DW1" s="745">
        <f t="shared" ref="DW1:EB1" si="75">DV1+1</f>
        <v>44670</v>
      </c>
      <c r="DX1" s="745">
        <f t="shared" si="75"/>
        <v>44671</v>
      </c>
      <c r="DY1" s="745">
        <f t="shared" si="75"/>
        <v>44672</v>
      </c>
      <c r="DZ1" s="745">
        <f t="shared" si="75"/>
        <v>44673</v>
      </c>
      <c r="EA1" s="745">
        <f t="shared" si="75"/>
        <v>44674</v>
      </c>
      <c r="EB1" s="745">
        <f t="shared" si="75"/>
        <v>44675</v>
      </c>
      <c r="ED1" s="745">
        <f>EB1+1</f>
        <v>44676</v>
      </c>
      <c r="EE1" s="745">
        <f t="shared" ref="EE1:EJ1" si="76">ED1+1</f>
        <v>44677</v>
      </c>
      <c r="EF1" s="745">
        <f t="shared" si="76"/>
        <v>44678</v>
      </c>
      <c r="EG1" s="745">
        <f t="shared" si="76"/>
        <v>44679</v>
      </c>
      <c r="EH1" s="745">
        <f t="shared" si="76"/>
        <v>44680</v>
      </c>
      <c r="EI1" s="745">
        <f t="shared" si="76"/>
        <v>44681</v>
      </c>
      <c r="EJ1" s="745">
        <f t="shared" si="76"/>
        <v>44682</v>
      </c>
      <c r="EL1" s="745">
        <f>EJ1+1</f>
        <v>44683</v>
      </c>
      <c r="EM1" s="745">
        <f t="shared" ref="EM1:ER1" si="77">EL1+1</f>
        <v>44684</v>
      </c>
      <c r="EN1" s="745">
        <f t="shared" si="77"/>
        <v>44685</v>
      </c>
      <c r="EO1" s="745">
        <f t="shared" si="77"/>
        <v>44686</v>
      </c>
      <c r="EP1" s="745">
        <f t="shared" si="77"/>
        <v>44687</v>
      </c>
      <c r="EQ1" s="745">
        <f t="shared" si="77"/>
        <v>44688</v>
      </c>
      <c r="ER1" s="745">
        <f t="shared" si="77"/>
        <v>44689</v>
      </c>
      <c r="ET1" s="745">
        <f>ER1+1</f>
        <v>44690</v>
      </c>
      <c r="EU1" s="745">
        <f t="shared" ref="EU1:EZ1" si="78">ET1+1</f>
        <v>44691</v>
      </c>
      <c r="EV1" s="745">
        <f t="shared" si="78"/>
        <v>44692</v>
      </c>
      <c r="EW1" s="745">
        <f t="shared" si="78"/>
        <v>44693</v>
      </c>
      <c r="EX1" s="745">
        <f t="shared" si="78"/>
        <v>44694</v>
      </c>
      <c r="EY1" s="745">
        <f t="shared" si="78"/>
        <v>44695</v>
      </c>
      <c r="EZ1" s="745">
        <f t="shared" si="78"/>
        <v>44696</v>
      </c>
      <c r="FB1" s="745">
        <f>EZ1+1</f>
        <v>44697</v>
      </c>
      <c r="FC1" s="745">
        <f t="shared" ref="FC1:FH1" si="79">FB1+1</f>
        <v>44698</v>
      </c>
      <c r="FD1" s="745">
        <f t="shared" si="79"/>
        <v>44699</v>
      </c>
      <c r="FE1" s="745">
        <f t="shared" si="79"/>
        <v>44700</v>
      </c>
      <c r="FF1" s="745">
        <f t="shared" si="79"/>
        <v>44701</v>
      </c>
      <c r="FG1" s="745">
        <f t="shared" si="79"/>
        <v>44702</v>
      </c>
      <c r="FH1" s="745">
        <f t="shared" si="79"/>
        <v>44703</v>
      </c>
      <c r="FJ1" s="745">
        <f>FH1+1</f>
        <v>44704</v>
      </c>
      <c r="FK1" s="745">
        <f t="shared" ref="FK1:FP1" si="80">FJ1+1</f>
        <v>44705</v>
      </c>
      <c r="FL1" s="745">
        <f t="shared" si="80"/>
        <v>44706</v>
      </c>
      <c r="FM1" s="745">
        <f t="shared" si="80"/>
        <v>44707</v>
      </c>
      <c r="FN1" s="745">
        <f t="shared" si="80"/>
        <v>44708</v>
      </c>
      <c r="FO1" s="745">
        <f t="shared" si="80"/>
        <v>44709</v>
      </c>
      <c r="FP1" s="745">
        <f t="shared" si="80"/>
        <v>44710</v>
      </c>
      <c r="FR1" s="745">
        <f>FP1+1</f>
        <v>44711</v>
      </c>
      <c r="FS1" s="745">
        <f t="shared" ref="FS1:FX1" si="81">FR1+1</f>
        <v>44712</v>
      </c>
      <c r="FT1" s="745">
        <f t="shared" si="81"/>
        <v>44713</v>
      </c>
      <c r="FU1" s="745">
        <f t="shared" si="81"/>
        <v>44714</v>
      </c>
      <c r="FV1" s="745">
        <f t="shared" si="81"/>
        <v>44715</v>
      </c>
      <c r="FW1" s="745">
        <f t="shared" si="81"/>
        <v>44716</v>
      </c>
      <c r="FX1" s="745">
        <f t="shared" si="81"/>
        <v>44717</v>
      </c>
      <c r="FZ1" s="745">
        <f>FX1+1</f>
        <v>44718</v>
      </c>
      <c r="GA1" s="745">
        <f t="shared" ref="GA1" si="82">FZ1+1</f>
        <v>44719</v>
      </c>
      <c r="GB1" s="745">
        <f t="shared" ref="GB1" si="83">GA1+1</f>
        <v>44720</v>
      </c>
      <c r="GC1" s="745">
        <f t="shared" ref="GC1" si="84">GB1+1</f>
        <v>44721</v>
      </c>
      <c r="GD1" s="745">
        <f t="shared" ref="GD1" si="85">GC1+1</f>
        <v>44722</v>
      </c>
      <c r="GE1" s="745">
        <f t="shared" ref="GE1" si="86">GD1+1</f>
        <v>44723</v>
      </c>
      <c r="GF1" s="745">
        <f t="shared" ref="GF1" si="87">GE1+1</f>
        <v>44724</v>
      </c>
      <c r="GH1" s="745">
        <f>GF1+1</f>
        <v>44725</v>
      </c>
      <c r="GI1" s="745">
        <f t="shared" ref="GI1" si="88">GH1+1</f>
        <v>44726</v>
      </c>
      <c r="GJ1" s="745">
        <f t="shared" ref="GJ1" si="89">GI1+1</f>
        <v>44727</v>
      </c>
      <c r="GK1" s="745">
        <f t="shared" ref="GK1" si="90">GJ1+1</f>
        <v>44728</v>
      </c>
      <c r="GL1" s="745">
        <f t="shared" ref="GL1" si="91">GK1+1</f>
        <v>44729</v>
      </c>
      <c r="GM1" s="745">
        <f t="shared" ref="GM1" si="92">GL1+1</f>
        <v>44730</v>
      </c>
      <c r="GN1" s="745">
        <f t="shared" ref="GN1" si="93">GM1+1</f>
        <v>44731</v>
      </c>
      <c r="GP1" s="745">
        <f>GN1+1</f>
        <v>44732</v>
      </c>
      <c r="GQ1" s="745">
        <f t="shared" ref="GQ1" si="94">GP1+1</f>
        <v>44733</v>
      </c>
      <c r="GR1" s="745">
        <f t="shared" ref="GR1" si="95">GQ1+1</f>
        <v>44734</v>
      </c>
      <c r="GS1" s="745">
        <f t="shared" ref="GS1" si="96">GR1+1</f>
        <v>44735</v>
      </c>
      <c r="GT1" s="745">
        <f t="shared" ref="GT1" si="97">GS1+1</f>
        <v>44736</v>
      </c>
      <c r="GU1" s="745">
        <f t="shared" ref="GU1" si="98">GT1+1</f>
        <v>44737</v>
      </c>
      <c r="GV1" s="745">
        <f t="shared" ref="GV1" si="99">GU1+1</f>
        <v>44738</v>
      </c>
      <c r="GX1" s="745">
        <f>GV1+1</f>
        <v>44739</v>
      </c>
      <c r="GY1" s="745">
        <f t="shared" ref="GY1" si="100">GX1+1</f>
        <v>44740</v>
      </c>
      <c r="GZ1" s="745">
        <f t="shared" ref="GZ1" si="101">GY1+1</f>
        <v>44741</v>
      </c>
      <c r="HA1" s="745">
        <f t="shared" ref="HA1" si="102">GZ1+1</f>
        <v>44742</v>
      </c>
      <c r="HB1" s="745">
        <f t="shared" ref="HB1" si="103">HA1+1</f>
        <v>44743</v>
      </c>
      <c r="HC1" s="745">
        <f t="shared" ref="HC1" si="104">HB1+1</f>
        <v>44744</v>
      </c>
      <c r="HD1" s="745">
        <f t="shared" ref="HD1" si="105">HC1+1</f>
        <v>44745</v>
      </c>
      <c r="HF1" s="745">
        <f>HD1+1</f>
        <v>44746</v>
      </c>
      <c r="HG1" s="745">
        <f t="shared" ref="HG1" si="106">HF1+1</f>
        <v>44747</v>
      </c>
      <c r="HH1" s="745">
        <f t="shared" ref="HH1" si="107">HG1+1</f>
        <v>44748</v>
      </c>
      <c r="HI1" s="745">
        <f t="shared" ref="HI1" si="108">HH1+1</f>
        <v>44749</v>
      </c>
      <c r="HJ1" s="745">
        <f t="shared" ref="HJ1" si="109">HI1+1</f>
        <v>44750</v>
      </c>
      <c r="HK1" s="745">
        <f t="shared" ref="HK1" si="110">HJ1+1</f>
        <v>44751</v>
      </c>
      <c r="HL1" s="745">
        <f t="shared" ref="HL1" si="111">HK1+1</f>
        <v>44752</v>
      </c>
      <c r="HN1" s="745">
        <f>HL1+1</f>
        <v>44753</v>
      </c>
      <c r="HO1" s="745">
        <f t="shared" ref="HO1" si="112">HN1+1</f>
        <v>44754</v>
      </c>
      <c r="HP1" s="745">
        <f t="shared" ref="HP1" si="113">HO1+1</f>
        <v>44755</v>
      </c>
      <c r="HQ1" s="745">
        <f t="shared" ref="HQ1" si="114">HP1+1</f>
        <v>44756</v>
      </c>
      <c r="HR1" s="745">
        <f t="shared" ref="HR1" si="115">HQ1+1</f>
        <v>44757</v>
      </c>
      <c r="HS1" s="745">
        <f t="shared" ref="HS1" si="116">HR1+1</f>
        <v>44758</v>
      </c>
      <c r="HT1" s="745">
        <f t="shared" ref="HT1" si="117">HS1+1</f>
        <v>44759</v>
      </c>
      <c r="HV1" s="745">
        <f>HT1+1</f>
        <v>44760</v>
      </c>
      <c r="HW1" s="745">
        <f t="shared" ref="HW1" si="118">HV1+1</f>
        <v>44761</v>
      </c>
      <c r="HX1" s="745">
        <f t="shared" ref="HX1" si="119">HW1+1</f>
        <v>44762</v>
      </c>
      <c r="HY1" s="745">
        <f t="shared" ref="HY1" si="120">HX1+1</f>
        <v>44763</v>
      </c>
      <c r="HZ1" s="745">
        <f t="shared" ref="HZ1" si="121">HY1+1</f>
        <v>44764</v>
      </c>
      <c r="IA1" s="745">
        <f t="shared" ref="IA1" si="122">HZ1+1</f>
        <v>44765</v>
      </c>
      <c r="IB1" s="745">
        <f t="shared" ref="IB1" si="123">IA1+1</f>
        <v>44766</v>
      </c>
      <c r="ID1" s="745">
        <f>IB1+1</f>
        <v>44767</v>
      </c>
      <c r="IE1" s="745">
        <f t="shared" ref="IE1" si="124">ID1+1</f>
        <v>44768</v>
      </c>
      <c r="IF1" s="745">
        <f t="shared" ref="IF1" si="125">IE1+1</f>
        <v>44769</v>
      </c>
      <c r="IG1" s="745">
        <f t="shared" ref="IG1" si="126">IF1+1</f>
        <v>44770</v>
      </c>
      <c r="IH1" s="745">
        <f t="shared" ref="IH1" si="127">IG1+1</f>
        <v>44771</v>
      </c>
      <c r="II1" s="745">
        <f t="shared" ref="II1" si="128">IH1+1</f>
        <v>44772</v>
      </c>
      <c r="IJ1" s="745">
        <f t="shared" ref="IJ1" si="129">II1+1</f>
        <v>44773</v>
      </c>
      <c r="IL1" s="745">
        <f>IJ1+1</f>
        <v>44774</v>
      </c>
      <c r="IM1" s="745">
        <f t="shared" ref="IM1" si="130">IL1+1</f>
        <v>44775</v>
      </c>
      <c r="IN1" s="745">
        <f t="shared" ref="IN1" si="131">IM1+1</f>
        <v>44776</v>
      </c>
      <c r="IO1" s="745">
        <f t="shared" ref="IO1" si="132">IN1+1</f>
        <v>44777</v>
      </c>
      <c r="IP1" s="745">
        <f t="shared" ref="IP1" si="133">IO1+1</f>
        <v>44778</v>
      </c>
      <c r="IQ1" s="745">
        <f t="shared" ref="IQ1" si="134">IP1+1</f>
        <v>44779</v>
      </c>
      <c r="IR1" s="745">
        <f t="shared" ref="IR1" si="135">IQ1+1</f>
        <v>44780</v>
      </c>
      <c r="IT1" s="745">
        <f>IR1+1</f>
        <v>44781</v>
      </c>
      <c r="IU1" s="745">
        <f t="shared" ref="IU1" si="136">IT1+1</f>
        <v>44782</v>
      </c>
      <c r="IV1" s="745">
        <f t="shared" ref="IV1" si="137">IU1+1</f>
        <v>44783</v>
      </c>
      <c r="IW1" s="745">
        <f t="shared" ref="IW1" si="138">IV1+1</f>
        <v>44784</v>
      </c>
      <c r="IX1" s="745">
        <f t="shared" ref="IX1" si="139">IW1+1</f>
        <v>44785</v>
      </c>
      <c r="IY1" s="745">
        <f t="shared" ref="IY1" si="140">IX1+1</f>
        <v>44786</v>
      </c>
      <c r="IZ1" s="745">
        <f t="shared" ref="IZ1" si="141">IY1+1</f>
        <v>44787</v>
      </c>
      <c r="JB1" s="745">
        <f>IZ1+1</f>
        <v>44788</v>
      </c>
      <c r="JC1" s="745">
        <f t="shared" ref="JC1" si="142">JB1+1</f>
        <v>44789</v>
      </c>
      <c r="JD1" s="745">
        <f t="shared" ref="JD1" si="143">JC1+1</f>
        <v>44790</v>
      </c>
      <c r="JE1" s="745">
        <f t="shared" ref="JE1" si="144">JD1+1</f>
        <v>44791</v>
      </c>
      <c r="JF1" s="745">
        <f t="shared" ref="JF1" si="145">JE1+1</f>
        <v>44792</v>
      </c>
      <c r="JG1" s="745">
        <f t="shared" ref="JG1" si="146">JF1+1</f>
        <v>44793</v>
      </c>
      <c r="JH1" s="745">
        <f t="shared" ref="JH1" si="147">JG1+1</f>
        <v>44794</v>
      </c>
      <c r="JI1" s="752"/>
      <c r="JJ1" s="745">
        <f>JH1+1</f>
        <v>44795</v>
      </c>
      <c r="JK1" s="745">
        <f t="shared" ref="JK1" si="148">JJ1+1</f>
        <v>44796</v>
      </c>
      <c r="JL1" s="745">
        <f t="shared" ref="JL1" si="149">JK1+1</f>
        <v>44797</v>
      </c>
      <c r="JM1" s="745">
        <f t="shared" ref="JM1" si="150">JL1+1</f>
        <v>44798</v>
      </c>
      <c r="JN1" s="745">
        <f t="shared" ref="JN1" si="151">JM1+1</f>
        <v>44799</v>
      </c>
      <c r="JO1" s="745">
        <f t="shared" ref="JO1" si="152">JN1+1</f>
        <v>44800</v>
      </c>
      <c r="JP1" s="745">
        <f t="shared" ref="JP1" si="153">JO1+1</f>
        <v>44801</v>
      </c>
      <c r="JR1" s="745">
        <f>JP1+1</f>
        <v>44802</v>
      </c>
      <c r="JS1" s="745">
        <f t="shared" ref="JS1" si="154">JR1+1</f>
        <v>44803</v>
      </c>
      <c r="JT1" s="745">
        <f t="shared" ref="JT1" si="155">JS1+1</f>
        <v>44804</v>
      </c>
      <c r="JU1" s="745">
        <f t="shared" ref="JU1" si="156">JT1+1</f>
        <v>44805</v>
      </c>
      <c r="JV1" s="745">
        <f t="shared" ref="JV1" si="157">JU1+1</f>
        <v>44806</v>
      </c>
      <c r="JW1" s="745">
        <f t="shared" ref="JW1" si="158">JV1+1</f>
        <v>44807</v>
      </c>
      <c r="JX1" s="745">
        <f t="shared" ref="JX1" si="159">JW1+1</f>
        <v>44808</v>
      </c>
      <c r="JY1" s="752"/>
      <c r="JZ1" s="745">
        <f>JX1+1</f>
        <v>44809</v>
      </c>
      <c r="KA1" s="745">
        <f t="shared" ref="KA1" si="160">JZ1+1</f>
        <v>44810</v>
      </c>
      <c r="KB1" s="745">
        <f t="shared" ref="KB1" si="161">KA1+1</f>
        <v>44811</v>
      </c>
      <c r="KC1" s="745">
        <f t="shared" ref="KC1" si="162">KB1+1</f>
        <v>44812</v>
      </c>
      <c r="KD1" s="745">
        <f t="shared" ref="KD1" si="163">KC1+1</f>
        <v>44813</v>
      </c>
      <c r="KE1" s="745">
        <f t="shared" ref="KE1" si="164">KD1+1</f>
        <v>44814</v>
      </c>
      <c r="KF1" s="745">
        <f t="shared" ref="KF1" si="165">KE1+1</f>
        <v>44815</v>
      </c>
      <c r="KG1" s="752"/>
      <c r="KH1" s="745">
        <f>KF1+1</f>
        <v>44816</v>
      </c>
      <c r="KI1" s="745">
        <f t="shared" ref="KI1" si="166">KH1+1</f>
        <v>44817</v>
      </c>
      <c r="KJ1" s="745">
        <f t="shared" ref="KJ1" si="167">KI1+1</f>
        <v>44818</v>
      </c>
      <c r="KK1" s="745">
        <f t="shared" ref="KK1" si="168">KJ1+1</f>
        <v>44819</v>
      </c>
      <c r="KL1" s="745">
        <f t="shared" ref="KL1" si="169">KK1+1</f>
        <v>44820</v>
      </c>
      <c r="KM1" s="745">
        <f t="shared" ref="KM1" si="170">KL1+1</f>
        <v>44821</v>
      </c>
      <c r="KN1" s="745">
        <f t="shared" ref="KN1" si="171">KM1+1</f>
        <v>44822</v>
      </c>
      <c r="KO1" s="752"/>
      <c r="KP1" s="745">
        <f>KN1+1</f>
        <v>44823</v>
      </c>
      <c r="KQ1" s="745">
        <f t="shared" ref="KQ1" si="172">KP1+1</f>
        <v>44824</v>
      </c>
      <c r="KR1" s="745">
        <f t="shared" ref="KR1" si="173">KQ1+1</f>
        <v>44825</v>
      </c>
      <c r="KS1" s="745">
        <f t="shared" ref="KS1" si="174">KR1+1</f>
        <v>44826</v>
      </c>
      <c r="KT1" s="745">
        <f t="shared" ref="KT1" si="175">KS1+1</f>
        <v>44827</v>
      </c>
      <c r="KU1" s="745">
        <f t="shared" ref="KU1" si="176">KT1+1</f>
        <v>44828</v>
      </c>
      <c r="KV1" s="745">
        <f t="shared" ref="KV1" si="177">KU1+1</f>
        <v>44829</v>
      </c>
      <c r="KW1" s="752"/>
      <c r="KX1" s="745">
        <f>KV1+1</f>
        <v>44830</v>
      </c>
      <c r="KY1" s="745">
        <f t="shared" ref="KY1" si="178">KX1+1</f>
        <v>44831</v>
      </c>
      <c r="KZ1" s="745">
        <f t="shared" ref="KZ1" si="179">KY1+1</f>
        <v>44832</v>
      </c>
      <c r="LA1" s="745">
        <f t="shared" ref="LA1" si="180">KZ1+1</f>
        <v>44833</v>
      </c>
      <c r="LB1" s="745">
        <f t="shared" ref="LB1" si="181">LA1+1</f>
        <v>44834</v>
      </c>
      <c r="LC1" s="745">
        <f t="shared" ref="LC1" si="182">LB1+1</f>
        <v>44835</v>
      </c>
      <c r="LD1" s="745">
        <f t="shared" ref="LD1" si="183">LC1+1</f>
        <v>44836</v>
      </c>
      <c r="LF1" s="745">
        <f>LD1+1</f>
        <v>44837</v>
      </c>
      <c r="LG1" s="745">
        <f t="shared" ref="LG1" si="184">LF1+1</f>
        <v>44838</v>
      </c>
      <c r="LH1" s="745">
        <f t="shared" ref="LH1" si="185">LG1+1</f>
        <v>44839</v>
      </c>
      <c r="LI1" s="745">
        <f t="shared" ref="LI1" si="186">LH1+1</f>
        <v>44840</v>
      </c>
      <c r="LJ1" s="745">
        <f t="shared" ref="LJ1" si="187">LI1+1</f>
        <v>44841</v>
      </c>
      <c r="LK1" s="745">
        <f t="shared" ref="LK1" si="188">LJ1+1</f>
        <v>44842</v>
      </c>
      <c r="LL1" s="745">
        <f t="shared" ref="LL1" si="189">LK1+1</f>
        <v>44843</v>
      </c>
      <c r="LN1" s="745">
        <f>LL1+1</f>
        <v>44844</v>
      </c>
      <c r="LO1" s="745">
        <f t="shared" ref="LO1" si="190">LN1+1</f>
        <v>44845</v>
      </c>
      <c r="LP1" s="745">
        <f t="shared" ref="LP1" si="191">LO1+1</f>
        <v>44846</v>
      </c>
      <c r="LQ1" s="745">
        <f t="shared" ref="LQ1" si="192">LP1+1</f>
        <v>44847</v>
      </c>
      <c r="LR1" s="745">
        <f t="shared" ref="LR1" si="193">LQ1+1</f>
        <v>44848</v>
      </c>
      <c r="LS1" s="745">
        <f t="shared" ref="LS1" si="194">LR1+1</f>
        <v>44849</v>
      </c>
      <c r="LT1" s="745">
        <f t="shared" ref="LT1" si="195">LS1+1</f>
        <v>44850</v>
      </c>
      <c r="LV1" s="745">
        <f>LT1+1</f>
        <v>44851</v>
      </c>
      <c r="LW1" s="745">
        <f t="shared" ref="LW1" si="196">LV1+1</f>
        <v>44852</v>
      </c>
      <c r="LX1" s="745">
        <f t="shared" ref="LX1" si="197">LW1+1</f>
        <v>44853</v>
      </c>
      <c r="LY1" s="745">
        <f t="shared" ref="LY1" si="198">LX1+1</f>
        <v>44854</v>
      </c>
      <c r="LZ1" s="745">
        <f t="shared" ref="LZ1" si="199">LY1+1</f>
        <v>44855</v>
      </c>
      <c r="MA1" s="745">
        <f t="shared" ref="MA1" si="200">LZ1+1</f>
        <v>44856</v>
      </c>
      <c r="MB1" s="745">
        <f t="shared" ref="MB1" si="201">MA1+1</f>
        <v>44857</v>
      </c>
      <c r="MD1" s="745">
        <f>MB1+1</f>
        <v>44858</v>
      </c>
      <c r="ME1" s="745">
        <f t="shared" ref="ME1" si="202">MD1+1</f>
        <v>44859</v>
      </c>
      <c r="MF1" s="745">
        <f t="shared" ref="MF1" si="203">ME1+1</f>
        <v>44860</v>
      </c>
      <c r="MG1" s="745">
        <f t="shared" ref="MG1" si="204">MF1+1</f>
        <v>44861</v>
      </c>
      <c r="MH1" s="745">
        <f t="shared" ref="MH1" si="205">MG1+1</f>
        <v>44862</v>
      </c>
      <c r="MI1" s="745">
        <f t="shared" ref="MI1" si="206">MH1+1</f>
        <v>44863</v>
      </c>
      <c r="MJ1" s="745">
        <f t="shared" ref="MJ1" si="207">MI1+1</f>
        <v>44864</v>
      </c>
      <c r="ML1" s="745">
        <f>MJ1+1</f>
        <v>44865</v>
      </c>
      <c r="MM1" s="745">
        <f t="shared" ref="MM1" si="208">ML1+1</f>
        <v>44866</v>
      </c>
      <c r="MN1" s="745">
        <f t="shared" ref="MN1" si="209">MM1+1</f>
        <v>44867</v>
      </c>
      <c r="MO1" s="745">
        <f t="shared" ref="MO1" si="210">MN1+1</f>
        <v>44868</v>
      </c>
      <c r="MP1" s="745">
        <f t="shared" ref="MP1" si="211">MO1+1</f>
        <v>44869</v>
      </c>
      <c r="MQ1" s="745">
        <f t="shared" ref="MQ1" si="212">MP1+1</f>
        <v>44870</v>
      </c>
      <c r="MR1" s="745">
        <f t="shared" ref="MR1" si="213">MQ1+1</f>
        <v>44871</v>
      </c>
      <c r="MT1" s="745">
        <f>MR1+1</f>
        <v>44872</v>
      </c>
      <c r="MU1" s="745">
        <f t="shared" ref="MU1" si="214">MT1+1</f>
        <v>44873</v>
      </c>
      <c r="MV1" s="745">
        <f t="shared" ref="MV1" si="215">MU1+1</f>
        <v>44874</v>
      </c>
      <c r="MW1" s="745">
        <f t="shared" ref="MW1" si="216">MV1+1</f>
        <v>44875</v>
      </c>
      <c r="MX1" s="745">
        <f t="shared" ref="MX1" si="217">MW1+1</f>
        <v>44876</v>
      </c>
      <c r="MY1" s="745">
        <f t="shared" ref="MY1" si="218">MX1+1</f>
        <v>44877</v>
      </c>
      <c r="MZ1" s="745">
        <f t="shared" ref="MZ1" si="219">MY1+1</f>
        <v>44878</v>
      </c>
      <c r="NB1" s="745">
        <f>MZ1+1</f>
        <v>44879</v>
      </c>
      <c r="NC1" s="745">
        <f t="shared" ref="NC1" si="220">NB1+1</f>
        <v>44880</v>
      </c>
      <c r="ND1" s="745">
        <f t="shared" ref="ND1" si="221">NC1+1</f>
        <v>44881</v>
      </c>
      <c r="NE1" s="745">
        <f t="shared" ref="NE1" si="222">ND1+1</f>
        <v>44882</v>
      </c>
      <c r="NF1" s="745">
        <f t="shared" ref="NF1" si="223">NE1+1</f>
        <v>44883</v>
      </c>
      <c r="NG1" s="745">
        <f t="shared" ref="NG1" si="224">NF1+1</f>
        <v>44884</v>
      </c>
      <c r="NH1" s="745">
        <f t="shared" ref="NH1" si="225">NG1+1</f>
        <v>44885</v>
      </c>
      <c r="NJ1" s="745">
        <f>NH1+1</f>
        <v>44886</v>
      </c>
      <c r="NK1" s="745">
        <f t="shared" ref="NK1" si="226">NJ1+1</f>
        <v>44887</v>
      </c>
      <c r="NL1" s="745">
        <f t="shared" ref="NL1" si="227">NK1+1</f>
        <v>44888</v>
      </c>
      <c r="NM1" s="745">
        <f t="shared" ref="NM1" si="228">NL1+1</f>
        <v>44889</v>
      </c>
      <c r="NN1" s="745">
        <f t="shared" ref="NN1" si="229">NM1+1</f>
        <v>44890</v>
      </c>
      <c r="NO1" s="745">
        <f t="shared" ref="NO1" si="230">NN1+1</f>
        <v>44891</v>
      </c>
      <c r="NP1" s="745">
        <f t="shared" ref="NP1" si="231">NO1+1</f>
        <v>44892</v>
      </c>
      <c r="NQ1" s="746"/>
      <c r="NR1" s="745">
        <f>NP1+1</f>
        <v>44893</v>
      </c>
      <c r="NS1" s="745">
        <f t="shared" ref="NS1" si="232">NR1+1</f>
        <v>44894</v>
      </c>
      <c r="NT1" s="745">
        <f t="shared" ref="NT1" si="233">NS1+1</f>
        <v>44895</v>
      </c>
      <c r="NU1" s="745">
        <f t="shared" ref="NU1" si="234">NT1+1</f>
        <v>44896</v>
      </c>
      <c r="NV1" s="745">
        <f t="shared" ref="NV1" si="235">NU1+1</f>
        <v>44897</v>
      </c>
      <c r="NW1" s="745">
        <f t="shared" ref="NW1" si="236">NV1+1</f>
        <v>44898</v>
      </c>
      <c r="NX1" s="745">
        <f t="shared" ref="NX1" si="237">NW1+1</f>
        <v>44899</v>
      </c>
      <c r="NZ1" s="745">
        <f>NX1+1</f>
        <v>44900</v>
      </c>
      <c r="OA1" s="745">
        <f t="shared" ref="OA1" si="238">NZ1+1</f>
        <v>44901</v>
      </c>
      <c r="OB1" s="745">
        <f t="shared" ref="OB1" si="239">OA1+1</f>
        <v>44902</v>
      </c>
      <c r="OC1" s="745">
        <f t="shared" ref="OC1" si="240">OB1+1</f>
        <v>44903</v>
      </c>
      <c r="OD1" s="745">
        <f t="shared" ref="OD1" si="241">OC1+1</f>
        <v>44904</v>
      </c>
      <c r="OE1" s="745">
        <f t="shared" ref="OE1" si="242">OD1+1</f>
        <v>44905</v>
      </c>
      <c r="OF1" s="745">
        <f t="shared" ref="OF1" si="243">OE1+1</f>
        <v>44906</v>
      </c>
      <c r="OH1" s="745">
        <f>OF1+1</f>
        <v>44907</v>
      </c>
      <c r="OI1" s="745">
        <f t="shared" ref="OI1" si="244">OH1+1</f>
        <v>44908</v>
      </c>
      <c r="OJ1" s="745">
        <f t="shared" ref="OJ1" si="245">OI1+1</f>
        <v>44909</v>
      </c>
      <c r="OK1" s="745">
        <f t="shared" ref="OK1" si="246">OJ1+1</f>
        <v>44910</v>
      </c>
      <c r="OL1" s="745">
        <f t="shared" ref="OL1" si="247">OK1+1</f>
        <v>44911</v>
      </c>
      <c r="OM1" s="745">
        <f t="shared" ref="OM1" si="248">OL1+1</f>
        <v>44912</v>
      </c>
      <c r="ON1" s="745">
        <f t="shared" ref="ON1" si="249">OM1+1</f>
        <v>44913</v>
      </c>
      <c r="OP1" s="745">
        <f>ON1+1</f>
        <v>44914</v>
      </c>
      <c r="OQ1" s="745">
        <f t="shared" ref="OQ1" si="250">OP1+1</f>
        <v>44915</v>
      </c>
      <c r="OR1" s="745">
        <f t="shared" ref="OR1" si="251">OQ1+1</f>
        <v>44916</v>
      </c>
      <c r="OS1" s="745">
        <f t="shared" ref="OS1" si="252">OR1+1</f>
        <v>44917</v>
      </c>
      <c r="OT1" s="745">
        <f t="shared" ref="OT1" si="253">OS1+1</f>
        <v>44918</v>
      </c>
      <c r="OU1" s="745">
        <f t="shared" ref="OU1" si="254">OT1+1</f>
        <v>44919</v>
      </c>
      <c r="OV1" s="745">
        <f t="shared" ref="OV1" si="255">OU1+1</f>
        <v>44920</v>
      </c>
      <c r="OX1" s="745">
        <f>OV1+1</f>
        <v>44921</v>
      </c>
      <c r="OY1" s="745">
        <f t="shared" ref="OY1" si="256">OX1+1</f>
        <v>44922</v>
      </c>
      <c r="OZ1" s="745">
        <f t="shared" ref="OZ1" si="257">OY1+1</f>
        <v>44923</v>
      </c>
      <c r="PA1" s="745">
        <f t="shared" ref="PA1" si="258">OZ1+1</f>
        <v>44924</v>
      </c>
      <c r="PB1" s="745">
        <f t="shared" ref="PB1" si="259">PA1+1</f>
        <v>44925</v>
      </c>
      <c r="PC1" s="745">
        <f>PB1+1</f>
        <v>44926</v>
      </c>
      <c r="PD1" s="745"/>
      <c r="PE1" s="745">
        <f t="shared" ref="PE1:PL1" si="260">PD1+1</f>
        <v>1</v>
      </c>
      <c r="PF1" s="745">
        <f t="shared" si="260"/>
        <v>2</v>
      </c>
      <c r="PG1" s="745">
        <f t="shared" si="260"/>
        <v>3</v>
      </c>
      <c r="PH1" s="745">
        <f t="shared" si="260"/>
        <v>4</v>
      </c>
      <c r="PI1" s="745">
        <f t="shared" si="260"/>
        <v>5</v>
      </c>
      <c r="PJ1" s="745">
        <f t="shared" si="260"/>
        <v>6</v>
      </c>
      <c r="PK1" s="745">
        <f t="shared" si="260"/>
        <v>7</v>
      </c>
      <c r="PL1" s="745">
        <f t="shared" si="260"/>
        <v>8</v>
      </c>
    </row>
    <row r="2" spans="1:428" x14ac:dyDescent="0.3">
      <c r="B2" s="242"/>
      <c r="C2" s="242"/>
      <c r="D2" s="242"/>
      <c r="E2" s="243" t="s">
        <v>287</v>
      </c>
      <c r="F2" s="244"/>
      <c r="G2" s="244"/>
      <c r="H2" s="244"/>
      <c r="I2" s="244"/>
      <c r="J2" s="244"/>
      <c r="K2" s="244"/>
      <c r="L2" s="245"/>
      <c r="M2" s="243" t="s">
        <v>289</v>
      </c>
      <c r="N2" s="244"/>
      <c r="O2" s="244"/>
      <c r="P2" s="244"/>
      <c r="Q2" s="244"/>
      <c r="R2" s="244"/>
      <c r="S2" s="244"/>
      <c r="T2" s="245"/>
      <c r="U2" s="243" t="s">
        <v>290</v>
      </c>
      <c r="V2" s="244"/>
      <c r="W2" s="244"/>
      <c r="X2" s="244"/>
      <c r="Y2" s="244"/>
      <c r="Z2" s="244"/>
      <c r="AA2" s="244"/>
      <c r="AB2" s="245"/>
      <c r="AC2" s="243" t="s">
        <v>291</v>
      </c>
      <c r="AD2" s="244"/>
      <c r="AE2" s="244"/>
      <c r="AF2" s="244"/>
      <c r="AG2" s="244"/>
      <c r="AH2" s="244"/>
      <c r="AI2" s="244"/>
      <c r="AJ2" s="245"/>
      <c r="AK2" s="243" t="s">
        <v>292</v>
      </c>
      <c r="AL2" s="244"/>
      <c r="AM2" s="244"/>
      <c r="AN2" s="244"/>
      <c r="AO2" s="244"/>
      <c r="AP2" s="244"/>
      <c r="AQ2" s="244"/>
      <c r="AR2" s="245"/>
      <c r="AS2" s="736" t="s">
        <v>293</v>
      </c>
      <c r="AT2" s="244"/>
      <c r="AU2" s="244"/>
      <c r="AV2" s="244"/>
      <c r="AW2" s="244"/>
      <c r="AX2" s="244"/>
      <c r="AY2" s="244"/>
      <c r="AZ2" s="245"/>
      <c r="BA2" s="736" t="s">
        <v>294</v>
      </c>
      <c r="BB2" s="244"/>
      <c r="BC2" s="244"/>
      <c r="BD2" s="244"/>
      <c r="BE2" s="244"/>
      <c r="BF2" s="244"/>
      <c r="BG2" s="244"/>
      <c r="BH2" s="245"/>
      <c r="BI2" s="243" t="s">
        <v>295</v>
      </c>
      <c r="BJ2" s="244"/>
      <c r="BK2" s="244"/>
      <c r="BL2" s="244"/>
      <c r="BM2" s="244"/>
      <c r="BN2" s="244"/>
      <c r="BO2" s="244"/>
      <c r="BP2" s="245"/>
      <c r="BQ2" s="243" t="s">
        <v>296</v>
      </c>
      <c r="BR2" s="244"/>
      <c r="BS2" s="244"/>
      <c r="BT2" s="244"/>
      <c r="BU2" s="244"/>
      <c r="BV2" s="244"/>
      <c r="BW2" s="244"/>
      <c r="BX2" s="245"/>
      <c r="BY2" s="243" t="s">
        <v>297</v>
      </c>
      <c r="BZ2" s="244"/>
      <c r="CA2" s="244"/>
      <c r="CB2" s="244"/>
      <c r="CC2" s="244"/>
      <c r="CD2" s="244"/>
      <c r="CE2" s="244"/>
      <c r="CF2" s="245"/>
      <c r="CG2" s="243" t="s">
        <v>233</v>
      </c>
      <c r="CH2" s="244"/>
      <c r="CI2" s="244"/>
      <c r="CJ2" s="244"/>
      <c r="CK2" s="244"/>
      <c r="CL2" s="244"/>
      <c r="CM2" s="244"/>
      <c r="CN2" s="245"/>
      <c r="CO2" s="243" t="s">
        <v>234</v>
      </c>
      <c r="CP2" s="244"/>
      <c r="CQ2" s="244"/>
      <c r="CR2" s="244"/>
      <c r="CS2" s="244"/>
      <c r="CT2" s="244"/>
      <c r="CU2" s="244"/>
      <c r="CV2" s="245"/>
      <c r="CW2" s="243" t="s">
        <v>235</v>
      </c>
      <c r="CX2" s="244"/>
      <c r="CY2" s="244"/>
      <c r="CZ2" s="244"/>
      <c r="DA2" s="244"/>
      <c r="DB2" s="244"/>
      <c r="DC2" s="244"/>
      <c r="DD2" s="245"/>
      <c r="DE2" s="243" t="s">
        <v>236</v>
      </c>
      <c r="DF2" s="244"/>
      <c r="DG2" s="244"/>
      <c r="DH2" s="244"/>
      <c r="DI2" s="244"/>
      <c r="DJ2" s="244"/>
      <c r="DK2" s="244"/>
      <c r="DL2" s="245"/>
      <c r="DM2" s="243" t="s">
        <v>237</v>
      </c>
      <c r="DN2" s="244"/>
      <c r="DO2" s="244"/>
      <c r="DP2" s="244"/>
      <c r="DQ2" s="244"/>
      <c r="DR2" s="244"/>
      <c r="DS2" s="244"/>
      <c r="DT2" s="245"/>
      <c r="DU2" s="243" t="s">
        <v>238</v>
      </c>
      <c r="DV2" s="244"/>
      <c r="DW2" s="244"/>
      <c r="DX2" s="244"/>
      <c r="DY2" s="244"/>
      <c r="DZ2" s="244"/>
      <c r="EA2" s="244"/>
      <c r="EB2" s="245"/>
      <c r="EC2" s="243" t="s">
        <v>239</v>
      </c>
      <c r="ED2" s="244"/>
      <c r="EE2" s="244"/>
      <c r="EF2" s="244"/>
      <c r="EG2" s="244"/>
      <c r="EH2" s="244"/>
      <c r="EI2" s="244"/>
      <c r="EJ2" s="245"/>
      <c r="EK2" s="243" t="s">
        <v>240</v>
      </c>
      <c r="EL2" s="244"/>
      <c r="EM2" s="244"/>
      <c r="EN2" s="244"/>
      <c r="EO2" s="244"/>
      <c r="EP2" s="244"/>
      <c r="EQ2" s="244"/>
      <c r="ER2" s="245"/>
      <c r="ES2" s="243" t="s">
        <v>241</v>
      </c>
      <c r="ET2" s="244"/>
      <c r="EU2" s="244"/>
      <c r="EV2" s="244"/>
      <c r="EW2" s="244"/>
      <c r="EX2" s="244"/>
      <c r="EY2" s="244"/>
      <c r="EZ2" s="245"/>
      <c r="FA2" s="243" t="s">
        <v>242</v>
      </c>
      <c r="FB2" s="244"/>
      <c r="FC2" s="244"/>
      <c r="FD2" s="244"/>
      <c r="FE2" s="244"/>
      <c r="FF2" s="244"/>
      <c r="FG2" s="244"/>
      <c r="FH2" s="245"/>
      <c r="FI2" s="243" t="s">
        <v>243</v>
      </c>
      <c r="FJ2" s="244"/>
      <c r="FK2" s="244"/>
      <c r="FL2" s="244"/>
      <c r="FM2" s="244"/>
      <c r="FN2" s="244"/>
      <c r="FO2" s="244"/>
      <c r="FP2" s="245"/>
      <c r="FQ2" s="243" t="s">
        <v>244</v>
      </c>
      <c r="FR2" s="244"/>
      <c r="FS2" s="244"/>
      <c r="FT2" s="244"/>
      <c r="FU2" s="244"/>
      <c r="FV2" s="244"/>
      <c r="FW2" s="244"/>
      <c r="FX2" s="245"/>
      <c r="FY2" s="243" t="s">
        <v>245</v>
      </c>
      <c r="FZ2" s="244"/>
      <c r="GA2" s="244"/>
      <c r="GB2" s="244"/>
      <c r="GC2" s="244"/>
      <c r="GD2" s="244"/>
      <c r="GE2" s="244"/>
      <c r="GF2" s="245"/>
      <c r="GG2" s="243" t="s">
        <v>246</v>
      </c>
      <c r="GH2" s="244"/>
      <c r="GI2" s="244"/>
      <c r="GJ2" s="244"/>
      <c r="GK2" s="244"/>
      <c r="GL2" s="244"/>
      <c r="GM2" s="244"/>
      <c r="GN2" s="245"/>
      <c r="GO2" s="243" t="s">
        <v>247</v>
      </c>
      <c r="GP2" s="244"/>
      <c r="GQ2" s="244"/>
      <c r="GR2" s="244"/>
      <c r="GS2" s="244"/>
      <c r="GT2" s="244"/>
      <c r="GU2" s="244"/>
      <c r="GV2" s="245"/>
      <c r="GW2" s="243" t="s">
        <v>248</v>
      </c>
      <c r="GX2" s="244"/>
      <c r="GY2" s="244"/>
      <c r="GZ2" s="244"/>
      <c r="HA2" s="244"/>
      <c r="HB2" s="244"/>
      <c r="HC2" s="244"/>
      <c r="HD2" s="245"/>
      <c r="HE2" s="243" t="s">
        <v>249</v>
      </c>
      <c r="HF2" s="244"/>
      <c r="HG2" s="244"/>
      <c r="HH2" s="244"/>
      <c r="HI2" s="244"/>
      <c r="HJ2" s="244"/>
      <c r="HK2" s="244"/>
      <c r="HL2" s="245"/>
      <c r="HM2" s="243" t="s">
        <v>250</v>
      </c>
      <c r="HN2" s="244"/>
      <c r="HO2" s="244"/>
      <c r="HP2" s="244"/>
      <c r="HQ2" s="244"/>
      <c r="HR2" s="244"/>
      <c r="HS2" s="244"/>
      <c r="HT2" s="245"/>
      <c r="HU2" s="243" t="s">
        <v>251</v>
      </c>
      <c r="HV2" s="244"/>
      <c r="HW2" s="244"/>
      <c r="HX2" s="244"/>
      <c r="HY2" s="244"/>
      <c r="HZ2" s="244"/>
      <c r="IA2" s="244"/>
      <c r="IB2" s="245"/>
      <c r="IC2" s="243" t="s">
        <v>197</v>
      </c>
      <c r="ID2" s="244"/>
      <c r="IE2" s="244"/>
      <c r="IF2" s="244"/>
      <c r="IG2" s="244"/>
      <c r="IH2" s="244"/>
      <c r="II2" s="244"/>
      <c r="IJ2" s="245"/>
      <c r="IK2" s="243" t="s">
        <v>198</v>
      </c>
      <c r="IL2" s="244"/>
      <c r="IM2" s="244"/>
      <c r="IN2" s="244"/>
      <c r="IO2" s="244"/>
      <c r="IP2" s="244"/>
      <c r="IQ2" s="244"/>
      <c r="IR2" s="245"/>
      <c r="IS2" s="243" t="s">
        <v>199</v>
      </c>
      <c r="IT2" s="244"/>
      <c r="IU2" s="244"/>
      <c r="IV2" s="244"/>
      <c r="IW2" s="244"/>
      <c r="IX2" s="244"/>
      <c r="IY2" s="244"/>
      <c r="IZ2" s="245"/>
      <c r="JA2" s="243" t="s">
        <v>200</v>
      </c>
      <c r="JB2" s="244"/>
      <c r="JC2" s="244"/>
      <c r="JD2" s="244"/>
      <c r="JE2" s="244"/>
      <c r="JF2" s="244"/>
      <c r="JG2" s="244"/>
      <c r="JH2" s="245"/>
      <c r="JI2" s="753" t="s">
        <v>201</v>
      </c>
      <c r="JJ2" s="244"/>
      <c r="JK2" s="244"/>
      <c r="JL2" s="244"/>
      <c r="JM2" s="244"/>
      <c r="JN2" s="244"/>
      <c r="JO2" s="244"/>
      <c r="JP2" s="245"/>
      <c r="JQ2" s="243" t="s">
        <v>202</v>
      </c>
      <c r="JR2" s="244"/>
      <c r="JS2" s="244"/>
      <c r="JT2" s="244"/>
      <c r="JU2" s="244"/>
      <c r="JV2" s="244"/>
      <c r="JW2" s="244"/>
      <c r="JX2" s="245"/>
      <c r="JY2" s="753" t="s">
        <v>203</v>
      </c>
      <c r="JZ2" s="244"/>
      <c r="KA2" s="244"/>
      <c r="KB2" s="244"/>
      <c r="KC2" s="244"/>
      <c r="KD2" s="244"/>
      <c r="KE2" s="244"/>
      <c r="KF2" s="245"/>
      <c r="KG2" s="753" t="s">
        <v>204</v>
      </c>
      <c r="KH2" s="244"/>
      <c r="KI2" s="244"/>
      <c r="KJ2" s="244"/>
      <c r="KK2" s="244"/>
      <c r="KL2" s="244"/>
      <c r="KM2" s="244"/>
      <c r="KN2" s="245"/>
      <c r="KO2" s="753" t="s">
        <v>205</v>
      </c>
      <c r="KP2" s="244"/>
      <c r="KQ2" s="244"/>
      <c r="KR2" s="244"/>
      <c r="KS2" s="244"/>
      <c r="KT2" s="244"/>
      <c r="KU2" s="244"/>
      <c r="KV2" s="245"/>
      <c r="KW2" s="753" t="s">
        <v>206</v>
      </c>
      <c r="KX2" s="244"/>
      <c r="KY2" s="244"/>
      <c r="KZ2" s="244"/>
      <c r="LA2" s="244"/>
      <c r="LB2" s="244"/>
      <c r="LC2" s="244"/>
      <c r="LD2" s="245"/>
      <c r="LE2" s="243" t="s">
        <v>298</v>
      </c>
      <c r="LF2" s="244"/>
      <c r="LG2" s="244"/>
      <c r="LH2" s="244"/>
      <c r="LI2" s="244"/>
      <c r="LJ2" s="244"/>
      <c r="LK2" s="244"/>
      <c r="LL2" s="245"/>
      <c r="LM2" s="243" t="s">
        <v>299</v>
      </c>
      <c r="LN2" s="244"/>
      <c r="LO2" s="244"/>
      <c r="LP2" s="244"/>
      <c r="LQ2" s="244"/>
      <c r="LR2" s="244"/>
      <c r="LS2" s="244"/>
      <c r="LT2" s="245"/>
      <c r="LU2" s="243" t="s">
        <v>100</v>
      </c>
      <c r="LV2" s="244"/>
      <c r="LW2" s="244"/>
      <c r="LX2" s="244"/>
      <c r="LY2" s="244"/>
      <c r="LZ2" s="244"/>
      <c r="MA2" s="244"/>
      <c r="MB2" s="245"/>
      <c r="MC2" s="243" t="s">
        <v>101</v>
      </c>
      <c r="MD2" s="244"/>
      <c r="ME2" s="244"/>
      <c r="MF2" s="244"/>
      <c r="MG2" s="244"/>
      <c r="MH2" s="244"/>
      <c r="MI2" s="244"/>
      <c r="MJ2" s="245"/>
      <c r="MK2" s="243" t="s">
        <v>102</v>
      </c>
      <c r="ML2" s="244"/>
      <c r="MM2" s="244"/>
      <c r="MN2" s="244"/>
      <c r="MO2" s="244"/>
      <c r="MP2" s="244"/>
      <c r="MQ2" s="244"/>
      <c r="MR2" s="245"/>
      <c r="MS2" s="243" t="s">
        <v>103</v>
      </c>
      <c r="MT2" s="244"/>
      <c r="MU2" s="244"/>
      <c r="MV2" s="244"/>
      <c r="MW2" s="244"/>
      <c r="MX2" s="244"/>
      <c r="MY2" s="244"/>
      <c r="MZ2" s="245"/>
      <c r="NA2" s="243" t="s">
        <v>104</v>
      </c>
      <c r="NB2" s="244"/>
      <c r="NC2" s="244"/>
      <c r="ND2" s="244"/>
      <c r="NE2" s="244"/>
      <c r="NF2" s="244"/>
      <c r="NG2" s="244"/>
      <c r="NH2" s="245"/>
      <c r="NI2" s="243" t="s">
        <v>105</v>
      </c>
      <c r="NJ2" s="244"/>
      <c r="NK2" s="244"/>
      <c r="NL2" s="244"/>
      <c r="NM2" s="244"/>
      <c r="NN2" s="244"/>
      <c r="NO2" s="244"/>
      <c r="NP2" s="245"/>
      <c r="NQ2" s="736" t="s">
        <v>106</v>
      </c>
      <c r="NR2" s="244"/>
      <c r="NS2" s="244"/>
      <c r="NT2" s="244"/>
      <c r="NU2" s="244"/>
      <c r="NV2" s="244"/>
      <c r="NW2" s="244"/>
      <c r="NX2" s="245"/>
      <c r="NY2" s="243" t="s">
        <v>107</v>
      </c>
      <c r="NZ2" s="244"/>
      <c r="OA2" s="244"/>
      <c r="OB2" s="244"/>
      <c r="OC2" s="244"/>
      <c r="OD2" s="244"/>
      <c r="OE2" s="244"/>
      <c r="OF2" s="245"/>
      <c r="OG2" s="243" t="s">
        <v>108</v>
      </c>
      <c r="OH2" s="244"/>
      <c r="OI2" s="244"/>
      <c r="OJ2" s="244"/>
      <c r="OK2" s="244"/>
      <c r="OL2" s="244"/>
      <c r="OM2" s="244"/>
      <c r="ON2" s="245"/>
      <c r="OO2" s="243" t="s">
        <v>109</v>
      </c>
      <c r="OP2" s="244"/>
      <c r="OQ2" s="244"/>
      <c r="OR2" s="244"/>
      <c r="OS2" s="244"/>
      <c r="OT2" s="244"/>
      <c r="OU2" s="244"/>
      <c r="OV2" s="245"/>
      <c r="OW2" s="243" t="s">
        <v>110</v>
      </c>
      <c r="OX2" s="244"/>
      <c r="OY2" s="244"/>
      <c r="OZ2" s="244"/>
      <c r="PA2" s="244"/>
      <c r="PB2" s="244"/>
      <c r="PC2" s="244"/>
      <c r="PD2" s="245"/>
      <c r="PE2" s="243" t="s">
        <v>110</v>
      </c>
      <c r="PF2" s="244"/>
      <c r="PG2" s="244"/>
      <c r="PH2" s="244"/>
      <c r="PI2" s="244"/>
      <c r="PJ2" s="244"/>
      <c r="PK2" s="244"/>
      <c r="PL2" s="245"/>
    </row>
    <row r="3" spans="1:428" ht="17.25" customHeight="1" thickBot="1" x14ac:dyDescent="0.35">
      <c r="B3" s="242"/>
      <c r="C3" s="242"/>
      <c r="D3" s="277"/>
      <c r="E3" s="246" t="s">
        <v>216</v>
      </c>
      <c r="F3" s="247" t="s">
        <v>113</v>
      </c>
      <c r="G3" s="247" t="s">
        <v>114</v>
      </c>
      <c r="H3" s="247" t="s">
        <v>115</v>
      </c>
      <c r="I3" s="248" t="s">
        <v>116</v>
      </c>
      <c r="J3" s="247" t="s">
        <v>117</v>
      </c>
      <c r="K3" s="247" t="s">
        <v>118</v>
      </c>
      <c r="L3" s="249" t="s">
        <v>119</v>
      </c>
      <c r="M3" s="246" t="s">
        <v>216</v>
      </c>
      <c r="N3" s="247" t="s">
        <v>113</v>
      </c>
      <c r="O3" s="247" t="s">
        <v>114</v>
      </c>
      <c r="P3" s="247" t="s">
        <v>115</v>
      </c>
      <c r="Q3" s="248" t="s">
        <v>116</v>
      </c>
      <c r="R3" s="247" t="s">
        <v>117</v>
      </c>
      <c r="S3" s="247" t="s">
        <v>118</v>
      </c>
      <c r="T3" s="249" t="s">
        <v>119</v>
      </c>
      <c r="U3" s="246" t="s">
        <v>216</v>
      </c>
      <c r="V3" s="247" t="s">
        <v>113</v>
      </c>
      <c r="W3" s="247" t="s">
        <v>114</v>
      </c>
      <c r="X3" s="247" t="s">
        <v>115</v>
      </c>
      <c r="Y3" s="248" t="s">
        <v>116</v>
      </c>
      <c r="Z3" s="247" t="s">
        <v>117</v>
      </c>
      <c r="AA3" s="247" t="s">
        <v>118</v>
      </c>
      <c r="AB3" s="249" t="s">
        <v>119</v>
      </c>
      <c r="AC3" s="246" t="s">
        <v>216</v>
      </c>
      <c r="AD3" s="247" t="s">
        <v>113</v>
      </c>
      <c r="AE3" s="247" t="s">
        <v>114</v>
      </c>
      <c r="AF3" s="247" t="s">
        <v>115</v>
      </c>
      <c r="AG3" s="248" t="s">
        <v>116</v>
      </c>
      <c r="AH3" s="247" t="s">
        <v>117</v>
      </c>
      <c r="AI3" s="247" t="s">
        <v>118</v>
      </c>
      <c r="AJ3" s="249" t="s">
        <v>119</v>
      </c>
      <c r="AK3" s="246" t="s">
        <v>216</v>
      </c>
      <c r="AL3" s="247" t="s">
        <v>113</v>
      </c>
      <c r="AM3" s="247" t="s">
        <v>114</v>
      </c>
      <c r="AN3" s="247" t="s">
        <v>115</v>
      </c>
      <c r="AO3" s="248" t="s">
        <v>116</v>
      </c>
      <c r="AP3" s="247" t="s">
        <v>117</v>
      </c>
      <c r="AQ3" s="247" t="s">
        <v>118</v>
      </c>
      <c r="AR3" s="249" t="s">
        <v>119</v>
      </c>
      <c r="AS3" s="737" t="s">
        <v>216</v>
      </c>
      <c r="AT3" s="247" t="s">
        <v>113</v>
      </c>
      <c r="AU3" s="247" t="s">
        <v>114</v>
      </c>
      <c r="AV3" s="247" t="s">
        <v>115</v>
      </c>
      <c r="AW3" s="248" t="s">
        <v>116</v>
      </c>
      <c r="AX3" s="247" t="s">
        <v>117</v>
      </c>
      <c r="AY3" s="247" t="s">
        <v>118</v>
      </c>
      <c r="AZ3" s="249" t="s">
        <v>119</v>
      </c>
      <c r="BA3" s="737" t="s">
        <v>216</v>
      </c>
      <c r="BB3" s="247" t="s">
        <v>113</v>
      </c>
      <c r="BC3" s="247" t="s">
        <v>114</v>
      </c>
      <c r="BD3" s="247" t="s">
        <v>115</v>
      </c>
      <c r="BE3" s="248" t="s">
        <v>116</v>
      </c>
      <c r="BF3" s="247" t="s">
        <v>117</v>
      </c>
      <c r="BG3" s="247" t="s">
        <v>118</v>
      </c>
      <c r="BH3" s="249" t="s">
        <v>119</v>
      </c>
      <c r="BI3" s="246" t="s">
        <v>216</v>
      </c>
      <c r="BJ3" s="247" t="s">
        <v>113</v>
      </c>
      <c r="BK3" s="247" t="s">
        <v>114</v>
      </c>
      <c r="BL3" s="247" t="s">
        <v>115</v>
      </c>
      <c r="BM3" s="248" t="s">
        <v>116</v>
      </c>
      <c r="BN3" s="247" t="s">
        <v>117</v>
      </c>
      <c r="BO3" s="247" t="s">
        <v>118</v>
      </c>
      <c r="BP3" s="249" t="s">
        <v>119</v>
      </c>
      <c r="BQ3" s="246" t="s">
        <v>216</v>
      </c>
      <c r="BR3" s="247" t="s">
        <v>113</v>
      </c>
      <c r="BS3" s="247" t="s">
        <v>114</v>
      </c>
      <c r="BT3" s="247" t="s">
        <v>115</v>
      </c>
      <c r="BU3" s="248" t="s">
        <v>116</v>
      </c>
      <c r="BV3" s="247" t="s">
        <v>117</v>
      </c>
      <c r="BW3" s="247" t="s">
        <v>118</v>
      </c>
      <c r="BX3" s="249" t="s">
        <v>119</v>
      </c>
      <c r="BY3" s="246" t="s">
        <v>216</v>
      </c>
      <c r="BZ3" s="247" t="s">
        <v>113</v>
      </c>
      <c r="CA3" s="247" t="s">
        <v>114</v>
      </c>
      <c r="CB3" s="247" t="s">
        <v>115</v>
      </c>
      <c r="CC3" s="248" t="s">
        <v>116</v>
      </c>
      <c r="CD3" s="247" t="s">
        <v>117</v>
      </c>
      <c r="CE3" s="247" t="s">
        <v>118</v>
      </c>
      <c r="CF3" s="249" t="s">
        <v>119</v>
      </c>
      <c r="CG3" s="246" t="s">
        <v>216</v>
      </c>
      <c r="CH3" s="247" t="s">
        <v>113</v>
      </c>
      <c r="CI3" s="247" t="s">
        <v>114</v>
      </c>
      <c r="CJ3" s="247" t="s">
        <v>115</v>
      </c>
      <c r="CK3" s="248" t="s">
        <v>116</v>
      </c>
      <c r="CL3" s="247" t="s">
        <v>117</v>
      </c>
      <c r="CM3" s="247" t="s">
        <v>118</v>
      </c>
      <c r="CN3" s="249" t="s">
        <v>119</v>
      </c>
      <c r="CO3" s="246" t="s">
        <v>216</v>
      </c>
      <c r="CP3" s="247" t="s">
        <v>113</v>
      </c>
      <c r="CQ3" s="247" t="s">
        <v>114</v>
      </c>
      <c r="CR3" s="247" t="s">
        <v>115</v>
      </c>
      <c r="CS3" s="248" t="s">
        <v>116</v>
      </c>
      <c r="CT3" s="247" t="s">
        <v>117</v>
      </c>
      <c r="CU3" s="247" t="s">
        <v>118</v>
      </c>
      <c r="CV3" s="249" t="s">
        <v>119</v>
      </c>
      <c r="CW3" s="246" t="s">
        <v>216</v>
      </c>
      <c r="CX3" s="247" t="s">
        <v>113</v>
      </c>
      <c r="CY3" s="247" t="s">
        <v>114</v>
      </c>
      <c r="CZ3" s="247" t="s">
        <v>115</v>
      </c>
      <c r="DA3" s="248" t="s">
        <v>116</v>
      </c>
      <c r="DB3" s="247" t="s">
        <v>117</v>
      </c>
      <c r="DC3" s="247" t="s">
        <v>118</v>
      </c>
      <c r="DD3" s="249" t="s">
        <v>119</v>
      </c>
      <c r="DE3" s="246" t="s">
        <v>216</v>
      </c>
      <c r="DF3" s="247" t="s">
        <v>113</v>
      </c>
      <c r="DG3" s="247" t="s">
        <v>114</v>
      </c>
      <c r="DH3" s="247" t="s">
        <v>115</v>
      </c>
      <c r="DI3" s="248" t="s">
        <v>116</v>
      </c>
      <c r="DJ3" s="247" t="s">
        <v>117</v>
      </c>
      <c r="DK3" s="247" t="s">
        <v>118</v>
      </c>
      <c r="DL3" s="249" t="s">
        <v>119</v>
      </c>
      <c r="DM3" s="246" t="s">
        <v>216</v>
      </c>
      <c r="DN3" s="247" t="s">
        <v>113</v>
      </c>
      <c r="DO3" s="247" t="s">
        <v>114</v>
      </c>
      <c r="DP3" s="247" t="s">
        <v>115</v>
      </c>
      <c r="DQ3" s="248" t="s">
        <v>116</v>
      </c>
      <c r="DR3" s="247" t="s">
        <v>117</v>
      </c>
      <c r="DS3" s="247" t="s">
        <v>118</v>
      </c>
      <c r="DT3" s="249" t="s">
        <v>119</v>
      </c>
      <c r="DU3" s="246" t="s">
        <v>216</v>
      </c>
      <c r="DV3" s="247" t="s">
        <v>113</v>
      </c>
      <c r="DW3" s="247" t="s">
        <v>114</v>
      </c>
      <c r="DX3" s="247" t="s">
        <v>115</v>
      </c>
      <c r="DY3" s="248" t="s">
        <v>116</v>
      </c>
      <c r="DZ3" s="247" t="s">
        <v>117</v>
      </c>
      <c r="EA3" s="247" t="s">
        <v>118</v>
      </c>
      <c r="EB3" s="249" t="s">
        <v>119</v>
      </c>
      <c r="EC3" s="246" t="s">
        <v>216</v>
      </c>
      <c r="ED3" s="247" t="s">
        <v>113</v>
      </c>
      <c r="EE3" s="247" t="s">
        <v>114</v>
      </c>
      <c r="EF3" s="247" t="s">
        <v>115</v>
      </c>
      <c r="EG3" s="248" t="s">
        <v>116</v>
      </c>
      <c r="EH3" s="247" t="s">
        <v>117</v>
      </c>
      <c r="EI3" s="247" t="s">
        <v>118</v>
      </c>
      <c r="EJ3" s="249" t="s">
        <v>119</v>
      </c>
      <c r="EK3" s="246" t="s">
        <v>216</v>
      </c>
      <c r="EL3" s="247" t="s">
        <v>113</v>
      </c>
      <c r="EM3" s="247" t="s">
        <v>114</v>
      </c>
      <c r="EN3" s="247" t="s">
        <v>115</v>
      </c>
      <c r="EO3" s="248" t="s">
        <v>116</v>
      </c>
      <c r="EP3" s="247" t="s">
        <v>117</v>
      </c>
      <c r="EQ3" s="247" t="s">
        <v>118</v>
      </c>
      <c r="ER3" s="249" t="s">
        <v>119</v>
      </c>
      <c r="ES3" s="246" t="s">
        <v>216</v>
      </c>
      <c r="ET3" s="247" t="s">
        <v>113</v>
      </c>
      <c r="EU3" s="247" t="s">
        <v>114</v>
      </c>
      <c r="EV3" s="247" t="s">
        <v>115</v>
      </c>
      <c r="EW3" s="248" t="s">
        <v>116</v>
      </c>
      <c r="EX3" s="247" t="s">
        <v>117</v>
      </c>
      <c r="EY3" s="247" t="s">
        <v>118</v>
      </c>
      <c r="EZ3" s="249" t="s">
        <v>119</v>
      </c>
      <c r="FA3" s="246" t="s">
        <v>216</v>
      </c>
      <c r="FB3" s="247" t="s">
        <v>113</v>
      </c>
      <c r="FC3" s="247" t="s">
        <v>114</v>
      </c>
      <c r="FD3" s="247" t="s">
        <v>115</v>
      </c>
      <c r="FE3" s="248" t="s">
        <v>116</v>
      </c>
      <c r="FF3" s="247" t="s">
        <v>117</v>
      </c>
      <c r="FG3" s="247" t="s">
        <v>118</v>
      </c>
      <c r="FH3" s="249" t="s">
        <v>119</v>
      </c>
      <c r="FI3" s="246" t="s">
        <v>216</v>
      </c>
      <c r="FJ3" s="247" t="s">
        <v>113</v>
      </c>
      <c r="FK3" s="247" t="s">
        <v>114</v>
      </c>
      <c r="FL3" s="247" t="s">
        <v>115</v>
      </c>
      <c r="FM3" s="248" t="s">
        <v>116</v>
      </c>
      <c r="FN3" s="247" t="s">
        <v>117</v>
      </c>
      <c r="FO3" s="247" t="s">
        <v>118</v>
      </c>
      <c r="FP3" s="249" t="s">
        <v>119</v>
      </c>
      <c r="FQ3" s="246" t="s">
        <v>216</v>
      </c>
      <c r="FR3" s="247" t="s">
        <v>113</v>
      </c>
      <c r="FS3" s="247" t="s">
        <v>114</v>
      </c>
      <c r="FT3" s="247" t="s">
        <v>115</v>
      </c>
      <c r="FU3" s="248" t="s">
        <v>116</v>
      </c>
      <c r="FV3" s="247" t="s">
        <v>117</v>
      </c>
      <c r="FW3" s="247" t="s">
        <v>118</v>
      </c>
      <c r="FX3" s="249" t="s">
        <v>119</v>
      </c>
      <c r="FY3" s="246" t="s">
        <v>216</v>
      </c>
      <c r="FZ3" s="247" t="s">
        <v>113</v>
      </c>
      <c r="GA3" s="247" t="s">
        <v>114</v>
      </c>
      <c r="GB3" s="247" t="s">
        <v>115</v>
      </c>
      <c r="GC3" s="248" t="s">
        <v>116</v>
      </c>
      <c r="GD3" s="247" t="s">
        <v>117</v>
      </c>
      <c r="GE3" s="247" t="s">
        <v>118</v>
      </c>
      <c r="GF3" s="249" t="s">
        <v>119</v>
      </c>
      <c r="GG3" s="246" t="s">
        <v>216</v>
      </c>
      <c r="GH3" s="247" t="s">
        <v>113</v>
      </c>
      <c r="GI3" s="247" t="s">
        <v>114</v>
      </c>
      <c r="GJ3" s="247" t="s">
        <v>115</v>
      </c>
      <c r="GK3" s="248" t="s">
        <v>116</v>
      </c>
      <c r="GL3" s="247" t="s">
        <v>117</v>
      </c>
      <c r="GM3" s="247" t="s">
        <v>118</v>
      </c>
      <c r="GN3" s="249" t="s">
        <v>119</v>
      </c>
      <c r="GO3" s="246" t="s">
        <v>216</v>
      </c>
      <c r="GP3" s="247" t="s">
        <v>113</v>
      </c>
      <c r="GQ3" s="247" t="s">
        <v>114</v>
      </c>
      <c r="GR3" s="247" t="s">
        <v>115</v>
      </c>
      <c r="GS3" s="248" t="s">
        <v>116</v>
      </c>
      <c r="GT3" s="247" t="s">
        <v>117</v>
      </c>
      <c r="GU3" s="247" t="s">
        <v>118</v>
      </c>
      <c r="GV3" s="249" t="s">
        <v>119</v>
      </c>
      <c r="GW3" s="246" t="s">
        <v>216</v>
      </c>
      <c r="GX3" s="247" t="s">
        <v>113</v>
      </c>
      <c r="GY3" s="247" t="s">
        <v>114</v>
      </c>
      <c r="GZ3" s="247" t="s">
        <v>115</v>
      </c>
      <c r="HA3" s="248" t="s">
        <v>116</v>
      </c>
      <c r="HB3" s="247" t="s">
        <v>117</v>
      </c>
      <c r="HC3" s="247" t="s">
        <v>118</v>
      </c>
      <c r="HD3" s="249" t="s">
        <v>119</v>
      </c>
      <c r="HE3" s="246" t="s">
        <v>216</v>
      </c>
      <c r="HF3" s="247" t="s">
        <v>113</v>
      </c>
      <c r="HG3" s="247" t="s">
        <v>114</v>
      </c>
      <c r="HH3" s="247" t="s">
        <v>115</v>
      </c>
      <c r="HI3" s="248" t="s">
        <v>116</v>
      </c>
      <c r="HJ3" s="247" t="s">
        <v>117</v>
      </c>
      <c r="HK3" s="247" t="s">
        <v>118</v>
      </c>
      <c r="HL3" s="249" t="s">
        <v>119</v>
      </c>
      <c r="HM3" s="246" t="s">
        <v>216</v>
      </c>
      <c r="HN3" s="247" t="s">
        <v>113</v>
      </c>
      <c r="HO3" s="247" t="s">
        <v>114</v>
      </c>
      <c r="HP3" s="247" t="s">
        <v>115</v>
      </c>
      <c r="HQ3" s="248" t="s">
        <v>116</v>
      </c>
      <c r="HR3" s="247" t="s">
        <v>117</v>
      </c>
      <c r="HS3" s="247" t="s">
        <v>118</v>
      </c>
      <c r="HT3" s="249" t="s">
        <v>119</v>
      </c>
      <c r="HU3" s="246" t="s">
        <v>216</v>
      </c>
      <c r="HV3" s="247" t="s">
        <v>113</v>
      </c>
      <c r="HW3" s="247" t="s">
        <v>114</v>
      </c>
      <c r="HX3" s="247" t="s">
        <v>115</v>
      </c>
      <c r="HY3" s="248" t="s">
        <v>116</v>
      </c>
      <c r="HZ3" s="247" t="s">
        <v>117</v>
      </c>
      <c r="IA3" s="247" t="s">
        <v>118</v>
      </c>
      <c r="IB3" s="249" t="s">
        <v>119</v>
      </c>
      <c r="IC3" s="246" t="s">
        <v>216</v>
      </c>
      <c r="ID3" s="247" t="s">
        <v>113</v>
      </c>
      <c r="IE3" s="247" t="s">
        <v>114</v>
      </c>
      <c r="IF3" s="247" t="s">
        <v>115</v>
      </c>
      <c r="IG3" s="248" t="s">
        <v>116</v>
      </c>
      <c r="IH3" s="247" t="s">
        <v>117</v>
      </c>
      <c r="II3" s="247" t="s">
        <v>118</v>
      </c>
      <c r="IJ3" s="249" t="s">
        <v>119</v>
      </c>
      <c r="IK3" s="246" t="s">
        <v>216</v>
      </c>
      <c r="IL3" s="247" t="s">
        <v>113</v>
      </c>
      <c r="IM3" s="247" t="s">
        <v>114</v>
      </c>
      <c r="IN3" s="247" t="s">
        <v>115</v>
      </c>
      <c r="IO3" s="248" t="s">
        <v>116</v>
      </c>
      <c r="IP3" s="247" t="s">
        <v>117</v>
      </c>
      <c r="IQ3" s="247" t="s">
        <v>118</v>
      </c>
      <c r="IR3" s="249" t="s">
        <v>119</v>
      </c>
      <c r="IS3" s="246" t="s">
        <v>216</v>
      </c>
      <c r="IT3" s="247" t="s">
        <v>113</v>
      </c>
      <c r="IU3" s="247" t="s">
        <v>114</v>
      </c>
      <c r="IV3" s="247" t="s">
        <v>115</v>
      </c>
      <c r="IW3" s="248" t="s">
        <v>116</v>
      </c>
      <c r="IX3" s="247" t="s">
        <v>117</v>
      </c>
      <c r="IY3" s="247" t="s">
        <v>118</v>
      </c>
      <c r="IZ3" s="249" t="s">
        <v>119</v>
      </c>
      <c r="JA3" s="246" t="s">
        <v>216</v>
      </c>
      <c r="JB3" s="247" t="s">
        <v>113</v>
      </c>
      <c r="JC3" s="247" t="s">
        <v>114</v>
      </c>
      <c r="JD3" s="247" t="s">
        <v>115</v>
      </c>
      <c r="JE3" s="248" t="s">
        <v>116</v>
      </c>
      <c r="JF3" s="247" t="s">
        <v>117</v>
      </c>
      <c r="JG3" s="247" t="s">
        <v>118</v>
      </c>
      <c r="JH3" s="249" t="s">
        <v>119</v>
      </c>
      <c r="JI3" s="246" t="s">
        <v>216</v>
      </c>
      <c r="JJ3" s="247" t="s">
        <v>113</v>
      </c>
      <c r="JK3" s="247" t="s">
        <v>114</v>
      </c>
      <c r="JL3" s="247" t="s">
        <v>115</v>
      </c>
      <c r="JM3" s="248" t="s">
        <v>116</v>
      </c>
      <c r="JN3" s="247" t="s">
        <v>117</v>
      </c>
      <c r="JO3" s="247" t="s">
        <v>118</v>
      </c>
      <c r="JP3" s="249" t="s">
        <v>119</v>
      </c>
      <c r="JQ3" s="246" t="s">
        <v>216</v>
      </c>
      <c r="JR3" s="247" t="s">
        <v>113</v>
      </c>
      <c r="JS3" s="247" t="s">
        <v>114</v>
      </c>
      <c r="JT3" s="247" t="s">
        <v>115</v>
      </c>
      <c r="JU3" s="248" t="s">
        <v>116</v>
      </c>
      <c r="JV3" s="247" t="s">
        <v>117</v>
      </c>
      <c r="JW3" s="247" t="s">
        <v>118</v>
      </c>
      <c r="JX3" s="249" t="s">
        <v>119</v>
      </c>
      <c r="JY3" s="246" t="s">
        <v>216</v>
      </c>
      <c r="JZ3" s="247" t="s">
        <v>113</v>
      </c>
      <c r="KA3" s="247" t="s">
        <v>114</v>
      </c>
      <c r="KB3" s="247" t="s">
        <v>115</v>
      </c>
      <c r="KC3" s="248" t="s">
        <v>116</v>
      </c>
      <c r="KD3" s="247" t="s">
        <v>117</v>
      </c>
      <c r="KE3" s="247" t="s">
        <v>118</v>
      </c>
      <c r="KF3" s="249" t="s">
        <v>119</v>
      </c>
      <c r="KG3" s="246" t="s">
        <v>216</v>
      </c>
      <c r="KH3" s="247" t="s">
        <v>113</v>
      </c>
      <c r="KI3" s="247" t="s">
        <v>114</v>
      </c>
      <c r="KJ3" s="247" t="s">
        <v>115</v>
      </c>
      <c r="KK3" s="248" t="s">
        <v>116</v>
      </c>
      <c r="KL3" s="247" t="s">
        <v>117</v>
      </c>
      <c r="KM3" s="247" t="s">
        <v>118</v>
      </c>
      <c r="KN3" s="249" t="s">
        <v>119</v>
      </c>
      <c r="KO3" s="246" t="s">
        <v>216</v>
      </c>
      <c r="KP3" s="247" t="s">
        <v>113</v>
      </c>
      <c r="KQ3" s="247" t="s">
        <v>114</v>
      </c>
      <c r="KR3" s="247" t="s">
        <v>115</v>
      </c>
      <c r="KS3" s="248" t="s">
        <v>116</v>
      </c>
      <c r="KT3" s="247" t="s">
        <v>117</v>
      </c>
      <c r="KU3" s="247" t="s">
        <v>118</v>
      </c>
      <c r="KV3" s="249" t="s">
        <v>119</v>
      </c>
      <c r="KW3" s="246" t="s">
        <v>216</v>
      </c>
      <c r="KX3" s="247" t="s">
        <v>113</v>
      </c>
      <c r="KY3" s="247" t="s">
        <v>114</v>
      </c>
      <c r="KZ3" s="247" t="s">
        <v>115</v>
      </c>
      <c r="LA3" s="248" t="s">
        <v>116</v>
      </c>
      <c r="LB3" s="247" t="s">
        <v>117</v>
      </c>
      <c r="LC3" s="247" t="s">
        <v>118</v>
      </c>
      <c r="LD3" s="249" t="s">
        <v>119</v>
      </c>
      <c r="LE3" s="246" t="s">
        <v>216</v>
      </c>
      <c r="LF3" s="247" t="s">
        <v>113</v>
      </c>
      <c r="LG3" s="247" t="s">
        <v>114</v>
      </c>
      <c r="LH3" s="247" t="s">
        <v>115</v>
      </c>
      <c r="LI3" s="248" t="s">
        <v>116</v>
      </c>
      <c r="LJ3" s="247" t="s">
        <v>117</v>
      </c>
      <c r="LK3" s="247" t="s">
        <v>118</v>
      </c>
      <c r="LL3" s="249" t="s">
        <v>119</v>
      </c>
      <c r="LM3" s="246" t="s">
        <v>216</v>
      </c>
      <c r="LN3" s="247" t="s">
        <v>113</v>
      </c>
      <c r="LO3" s="247" t="s">
        <v>114</v>
      </c>
      <c r="LP3" s="247" t="s">
        <v>115</v>
      </c>
      <c r="LQ3" s="248" t="s">
        <v>116</v>
      </c>
      <c r="LR3" s="247" t="s">
        <v>117</v>
      </c>
      <c r="LS3" s="247" t="s">
        <v>118</v>
      </c>
      <c r="LT3" s="249" t="s">
        <v>119</v>
      </c>
      <c r="LU3" s="246" t="s">
        <v>216</v>
      </c>
      <c r="LV3" s="247" t="s">
        <v>113</v>
      </c>
      <c r="LW3" s="247" t="s">
        <v>114</v>
      </c>
      <c r="LX3" s="247" t="s">
        <v>115</v>
      </c>
      <c r="LY3" s="248" t="s">
        <v>116</v>
      </c>
      <c r="LZ3" s="247" t="s">
        <v>117</v>
      </c>
      <c r="MA3" s="247" t="s">
        <v>118</v>
      </c>
      <c r="MB3" s="249" t="s">
        <v>119</v>
      </c>
      <c r="MC3" s="246" t="s">
        <v>216</v>
      </c>
      <c r="MD3" s="247" t="s">
        <v>113</v>
      </c>
      <c r="ME3" s="247" t="s">
        <v>114</v>
      </c>
      <c r="MF3" s="247" t="s">
        <v>115</v>
      </c>
      <c r="MG3" s="248" t="s">
        <v>116</v>
      </c>
      <c r="MH3" s="247" t="s">
        <v>117</v>
      </c>
      <c r="MI3" s="247" t="s">
        <v>118</v>
      </c>
      <c r="MJ3" s="249" t="s">
        <v>119</v>
      </c>
      <c r="MK3" s="246" t="s">
        <v>216</v>
      </c>
      <c r="ML3" s="247" t="s">
        <v>113</v>
      </c>
      <c r="MM3" s="247" t="s">
        <v>114</v>
      </c>
      <c r="MN3" s="247" t="s">
        <v>115</v>
      </c>
      <c r="MO3" s="248" t="s">
        <v>116</v>
      </c>
      <c r="MP3" s="247" t="s">
        <v>117</v>
      </c>
      <c r="MQ3" s="247" t="s">
        <v>118</v>
      </c>
      <c r="MR3" s="249" t="s">
        <v>119</v>
      </c>
      <c r="MS3" s="246" t="s">
        <v>216</v>
      </c>
      <c r="MT3" s="247" t="s">
        <v>113</v>
      </c>
      <c r="MU3" s="247" t="s">
        <v>114</v>
      </c>
      <c r="MV3" s="247" t="s">
        <v>115</v>
      </c>
      <c r="MW3" s="248" t="s">
        <v>116</v>
      </c>
      <c r="MX3" s="247" t="s">
        <v>117</v>
      </c>
      <c r="MY3" s="247" t="s">
        <v>118</v>
      </c>
      <c r="MZ3" s="249" t="s">
        <v>119</v>
      </c>
      <c r="NA3" s="246" t="s">
        <v>216</v>
      </c>
      <c r="NB3" s="247" t="s">
        <v>113</v>
      </c>
      <c r="NC3" s="247" t="s">
        <v>114</v>
      </c>
      <c r="ND3" s="247" t="s">
        <v>115</v>
      </c>
      <c r="NE3" s="248" t="s">
        <v>116</v>
      </c>
      <c r="NF3" s="247" t="s">
        <v>117</v>
      </c>
      <c r="NG3" s="247" t="s">
        <v>118</v>
      </c>
      <c r="NH3" s="249" t="s">
        <v>119</v>
      </c>
      <c r="NI3" s="246" t="s">
        <v>216</v>
      </c>
      <c r="NJ3" s="247" t="s">
        <v>113</v>
      </c>
      <c r="NK3" s="247" t="s">
        <v>114</v>
      </c>
      <c r="NL3" s="247" t="s">
        <v>115</v>
      </c>
      <c r="NM3" s="248" t="s">
        <v>116</v>
      </c>
      <c r="NN3" s="247" t="s">
        <v>117</v>
      </c>
      <c r="NO3" s="247" t="s">
        <v>118</v>
      </c>
      <c r="NP3" s="249" t="s">
        <v>119</v>
      </c>
      <c r="NQ3" s="737" t="s">
        <v>216</v>
      </c>
      <c r="NR3" s="247" t="s">
        <v>113</v>
      </c>
      <c r="NS3" s="247" t="s">
        <v>114</v>
      </c>
      <c r="NT3" s="247" t="s">
        <v>115</v>
      </c>
      <c r="NU3" s="248" t="s">
        <v>116</v>
      </c>
      <c r="NV3" s="247" t="s">
        <v>117</v>
      </c>
      <c r="NW3" s="247" t="s">
        <v>118</v>
      </c>
      <c r="NX3" s="249" t="s">
        <v>119</v>
      </c>
      <c r="NY3" s="246" t="s">
        <v>216</v>
      </c>
      <c r="NZ3" s="247" t="s">
        <v>113</v>
      </c>
      <c r="OA3" s="247" t="s">
        <v>114</v>
      </c>
      <c r="OB3" s="247" t="s">
        <v>115</v>
      </c>
      <c r="OC3" s="248" t="s">
        <v>116</v>
      </c>
      <c r="OD3" s="247" t="s">
        <v>117</v>
      </c>
      <c r="OE3" s="247" t="s">
        <v>118</v>
      </c>
      <c r="OF3" s="249" t="s">
        <v>119</v>
      </c>
      <c r="OG3" s="246" t="s">
        <v>216</v>
      </c>
      <c r="OH3" s="247" t="s">
        <v>113</v>
      </c>
      <c r="OI3" s="247" t="s">
        <v>114</v>
      </c>
      <c r="OJ3" s="247" t="s">
        <v>115</v>
      </c>
      <c r="OK3" s="248" t="s">
        <v>116</v>
      </c>
      <c r="OL3" s="247" t="s">
        <v>117</v>
      </c>
      <c r="OM3" s="247" t="s">
        <v>118</v>
      </c>
      <c r="ON3" s="249" t="s">
        <v>119</v>
      </c>
      <c r="OO3" s="246" t="s">
        <v>216</v>
      </c>
      <c r="OP3" s="247" t="s">
        <v>113</v>
      </c>
      <c r="OQ3" s="247" t="s">
        <v>114</v>
      </c>
      <c r="OR3" s="247" t="s">
        <v>115</v>
      </c>
      <c r="OS3" s="248" t="s">
        <v>116</v>
      </c>
      <c r="OT3" s="247" t="s">
        <v>117</v>
      </c>
      <c r="OU3" s="247" t="s">
        <v>118</v>
      </c>
      <c r="OV3" s="249" t="s">
        <v>119</v>
      </c>
      <c r="OW3" s="246" t="s">
        <v>216</v>
      </c>
      <c r="OX3" s="247" t="s">
        <v>113</v>
      </c>
      <c r="OY3" s="247" t="s">
        <v>114</v>
      </c>
      <c r="OZ3" s="247" t="s">
        <v>115</v>
      </c>
      <c r="PA3" s="248" t="s">
        <v>116</v>
      </c>
      <c r="PB3" s="247" t="s">
        <v>117</v>
      </c>
      <c r="PC3" s="247" t="s">
        <v>118</v>
      </c>
      <c r="PD3" s="249" t="s">
        <v>119</v>
      </c>
      <c r="PE3" s="246" t="s">
        <v>216</v>
      </c>
      <c r="PF3" s="247" t="s">
        <v>113</v>
      </c>
      <c r="PG3" s="247" t="s">
        <v>114</v>
      </c>
      <c r="PH3" s="247" t="s">
        <v>115</v>
      </c>
      <c r="PI3" s="248" t="s">
        <v>116</v>
      </c>
      <c r="PJ3" s="247" t="s">
        <v>117</v>
      </c>
      <c r="PK3" s="247" t="s">
        <v>118</v>
      </c>
      <c r="PL3" s="249" t="s">
        <v>119</v>
      </c>
    </row>
    <row r="4" spans="1:428" ht="14.85" customHeight="1" outlineLevel="1" x14ac:dyDescent="0.3">
      <c r="B4" s="1013" t="s">
        <v>301</v>
      </c>
      <c r="C4" s="1017" t="s">
        <v>210</v>
      </c>
      <c r="D4" s="380" t="s">
        <v>216</v>
      </c>
      <c r="E4" s="253">
        <f>SUM(F4:L4)</f>
        <v>15240</v>
      </c>
      <c r="F4" s="251">
        <f>SUM(F5:F6)</f>
        <v>1600</v>
      </c>
      <c r="G4" s="252">
        <f t="shared" ref="G4:L4" si="261">SUM(G5:G6)</f>
        <v>2850</v>
      </c>
      <c r="H4" s="391">
        <f t="shared" si="261"/>
        <v>2750</v>
      </c>
      <c r="I4" s="392">
        <f t="shared" si="261"/>
        <v>2500</v>
      </c>
      <c r="J4" s="392">
        <f t="shared" si="261"/>
        <v>2750</v>
      </c>
      <c r="K4" s="252">
        <f t="shared" si="261"/>
        <v>2700</v>
      </c>
      <c r="L4" s="393">
        <f t="shared" si="261"/>
        <v>90</v>
      </c>
      <c r="M4" s="253">
        <f>SUM(N4:T4)</f>
        <v>15515</v>
      </c>
      <c r="N4" s="251">
        <f>SUM(N5:N6)</f>
        <v>2200</v>
      </c>
      <c r="O4" s="252">
        <f t="shared" ref="O4:T4" si="262">SUM(O5:O6)</f>
        <v>2550</v>
      </c>
      <c r="P4" s="391">
        <f t="shared" si="262"/>
        <v>2450</v>
      </c>
      <c r="Q4" s="392">
        <f t="shared" si="262"/>
        <v>2675</v>
      </c>
      <c r="R4" s="392">
        <f t="shared" si="262"/>
        <v>2800</v>
      </c>
      <c r="S4" s="252">
        <f t="shared" si="262"/>
        <v>2750</v>
      </c>
      <c r="T4" s="393">
        <f t="shared" si="262"/>
        <v>90</v>
      </c>
      <c r="U4" s="253">
        <f>SUM(V4:AB4)</f>
        <v>16090</v>
      </c>
      <c r="V4" s="251">
        <f>SUM(V5:V6)</f>
        <v>2250</v>
      </c>
      <c r="W4" s="252">
        <f t="shared" ref="W4:AB4" si="263">SUM(W5:W6)</f>
        <v>2600</v>
      </c>
      <c r="X4" s="391">
        <f>SUM(X5:X6)</f>
        <v>2650</v>
      </c>
      <c r="Y4" s="392">
        <f t="shared" si="263"/>
        <v>2750</v>
      </c>
      <c r="Z4" s="392">
        <f t="shared" si="263"/>
        <v>2950</v>
      </c>
      <c r="AA4" s="252">
        <f t="shared" si="263"/>
        <v>2800</v>
      </c>
      <c r="AB4" s="393">
        <f t="shared" si="263"/>
        <v>90</v>
      </c>
      <c r="AC4" s="253">
        <f>SUM(AD4:AJ4)</f>
        <v>16194</v>
      </c>
      <c r="AD4" s="251">
        <f>SUM(AD5:AD6)</f>
        <v>2250</v>
      </c>
      <c r="AE4" s="252">
        <f t="shared" ref="AE4:AJ4" si="264">SUM(AE5:AE6)</f>
        <v>2650</v>
      </c>
      <c r="AF4" s="391">
        <f t="shared" si="264"/>
        <v>2750</v>
      </c>
      <c r="AG4" s="392">
        <f t="shared" si="264"/>
        <v>2614</v>
      </c>
      <c r="AH4" s="392">
        <f t="shared" si="264"/>
        <v>2800</v>
      </c>
      <c r="AI4" s="252">
        <f t="shared" si="264"/>
        <v>2950</v>
      </c>
      <c r="AJ4" s="393">
        <f t="shared" si="264"/>
        <v>180</v>
      </c>
      <c r="AK4" s="253">
        <f>SUM(AL4:AR4)</f>
        <v>16625</v>
      </c>
      <c r="AL4" s="251">
        <f>SUM(AL5:AL6)</f>
        <v>2350</v>
      </c>
      <c r="AM4" s="252">
        <f t="shared" ref="AM4:AR4" si="265">SUM(AM5:AM6)</f>
        <v>2700</v>
      </c>
      <c r="AN4" s="391">
        <f t="shared" si="265"/>
        <v>2800</v>
      </c>
      <c r="AO4" s="392">
        <f t="shared" si="265"/>
        <v>2675</v>
      </c>
      <c r="AP4" s="392">
        <f t="shared" si="265"/>
        <v>2850</v>
      </c>
      <c r="AQ4" s="252">
        <f t="shared" si="265"/>
        <v>3050</v>
      </c>
      <c r="AR4" s="393">
        <f t="shared" si="265"/>
        <v>200</v>
      </c>
      <c r="AS4" s="253">
        <f>SUM(AT4:AZ4)</f>
        <v>16300</v>
      </c>
      <c r="AT4" s="251">
        <f>SUM(AT5:AT6)</f>
        <v>2400</v>
      </c>
      <c r="AU4" s="252">
        <f t="shared" ref="AU4:AZ4" si="266">SUM(AU5:AU6)</f>
        <v>2700</v>
      </c>
      <c r="AV4" s="391">
        <f t="shared" si="266"/>
        <v>2800</v>
      </c>
      <c r="AW4" s="392">
        <f t="shared" si="266"/>
        <v>2350</v>
      </c>
      <c r="AX4" s="392">
        <f t="shared" si="266"/>
        <v>3000</v>
      </c>
      <c r="AY4" s="252">
        <f t="shared" si="266"/>
        <v>2850</v>
      </c>
      <c r="AZ4" s="393">
        <f t="shared" si="266"/>
        <v>200</v>
      </c>
      <c r="BA4" s="253">
        <f>SUM(BB4:BH4)</f>
        <v>16050</v>
      </c>
      <c r="BB4" s="251">
        <f>SUM(BB5:BB6)</f>
        <v>2300</v>
      </c>
      <c r="BC4" s="252">
        <f t="shared" ref="BC4:BH4" si="267">SUM(BC5:BC6)</f>
        <v>2600</v>
      </c>
      <c r="BD4" s="391">
        <f t="shared" si="267"/>
        <v>2600</v>
      </c>
      <c r="BE4" s="392">
        <f t="shared" si="267"/>
        <v>2500</v>
      </c>
      <c r="BF4" s="392">
        <f t="shared" si="267"/>
        <v>3050</v>
      </c>
      <c r="BG4" s="252">
        <f t="shared" si="267"/>
        <v>2900</v>
      </c>
      <c r="BH4" s="393">
        <f t="shared" si="267"/>
        <v>100</v>
      </c>
      <c r="BI4" s="253">
        <f>SUM(BJ4:BP4)</f>
        <v>15925</v>
      </c>
      <c r="BJ4" s="251">
        <f>SUM(BJ5:BJ6)</f>
        <v>2350</v>
      </c>
      <c r="BK4" s="252">
        <f t="shared" ref="BK4:BP4" si="268">SUM(BK5:BK6)</f>
        <v>2550</v>
      </c>
      <c r="BL4" s="391">
        <f t="shared" si="268"/>
        <v>2500</v>
      </c>
      <c r="BM4" s="392">
        <f t="shared" si="268"/>
        <v>2275</v>
      </c>
      <c r="BN4" s="392">
        <f t="shared" si="268"/>
        <v>3150</v>
      </c>
      <c r="BO4" s="252">
        <f t="shared" si="268"/>
        <v>3000</v>
      </c>
      <c r="BP4" s="393">
        <f t="shared" si="268"/>
        <v>100</v>
      </c>
      <c r="BQ4" s="253">
        <f>SUM(BR4:BX4)</f>
        <v>15911.301969365426</v>
      </c>
      <c r="BR4" s="251">
        <f>SUM(BR5:BR6)</f>
        <v>2450</v>
      </c>
      <c r="BS4" s="252">
        <f t="shared" ref="BS4:BX4" si="269">SUM(BS5:BS6)</f>
        <v>2568.8402625820568</v>
      </c>
      <c r="BT4" s="391">
        <f t="shared" si="269"/>
        <v>2467.4617067833697</v>
      </c>
      <c r="BU4" s="392">
        <f t="shared" si="269"/>
        <v>2325</v>
      </c>
      <c r="BV4" s="392">
        <f t="shared" si="269"/>
        <v>3050</v>
      </c>
      <c r="BW4" s="252">
        <f t="shared" si="269"/>
        <v>2950</v>
      </c>
      <c r="BX4" s="393">
        <f t="shared" si="269"/>
        <v>100</v>
      </c>
      <c r="BY4" s="253">
        <f>SUM(BZ4:CF4)</f>
        <v>15353.698630136987</v>
      </c>
      <c r="BZ4" s="251">
        <f>SUM(BZ5:BZ6)</f>
        <v>2300</v>
      </c>
      <c r="CA4" s="252">
        <f t="shared" ref="CA4:CF4" si="270">SUM(CA5:CA6)</f>
        <v>2400</v>
      </c>
      <c r="CB4" s="391">
        <f t="shared" si="270"/>
        <v>2350</v>
      </c>
      <c r="CC4" s="392">
        <f t="shared" si="270"/>
        <v>2216.7808219178082</v>
      </c>
      <c r="CD4" s="392">
        <f t="shared" si="270"/>
        <v>3018.6986301369861</v>
      </c>
      <c r="CE4" s="252">
        <f t="shared" si="270"/>
        <v>2968.2191780821918</v>
      </c>
      <c r="CF4" s="393">
        <f t="shared" si="270"/>
        <v>100</v>
      </c>
      <c r="CG4" s="253">
        <f>SUM(CH4:CN4)</f>
        <v>15319.212279179323</v>
      </c>
      <c r="CH4" s="251">
        <f>SUM(CH5:CH6)</f>
        <v>2365.3424657534247</v>
      </c>
      <c r="CI4" s="252">
        <f t="shared" ref="CI4:CN4" si="271">SUM(CI5:CI6)</f>
        <v>2379.7232876712328</v>
      </c>
      <c r="CJ4" s="391">
        <f t="shared" si="271"/>
        <v>2328.9410958904109</v>
      </c>
      <c r="CK4" s="392">
        <f t="shared" si="271"/>
        <v>2214.126696832579</v>
      </c>
      <c r="CL4" s="392">
        <f t="shared" si="271"/>
        <v>2965.7411764705885</v>
      </c>
      <c r="CM4" s="252">
        <f t="shared" si="271"/>
        <v>2965.3375565610859</v>
      </c>
      <c r="CN4" s="393">
        <f t="shared" si="271"/>
        <v>100</v>
      </c>
      <c r="CO4" s="253">
        <f>SUM(CP4:CV4)</f>
        <v>15601.003579144755</v>
      </c>
      <c r="CP4" s="251">
        <f>SUM(CP5:CP6)</f>
        <v>2362.9158371040721</v>
      </c>
      <c r="CQ4" s="252">
        <f t="shared" ref="CQ4:CV4" si="272">SUM(CQ5:CQ6)</f>
        <v>2515.7411764705885</v>
      </c>
      <c r="CR4" s="391">
        <f t="shared" si="272"/>
        <v>2415.3375565610859</v>
      </c>
      <c r="CS4" s="392">
        <f t="shared" si="272"/>
        <v>2217.6576576576576</v>
      </c>
      <c r="CT4" s="392">
        <f t="shared" si="272"/>
        <v>3070.6846846846847</v>
      </c>
      <c r="CU4" s="252">
        <f t="shared" si="272"/>
        <v>2918.666666666667</v>
      </c>
      <c r="CV4" s="393">
        <f t="shared" si="272"/>
        <v>100</v>
      </c>
      <c r="CW4" s="253">
        <f>SUM(CX4:DD4)</f>
        <v>15678.510768768771</v>
      </c>
      <c r="CX4" s="251">
        <f>SUM(CX5:CX6)</f>
        <v>2316.1441441441439</v>
      </c>
      <c r="CY4" s="252">
        <f t="shared" ref="CY4:DD4" si="273">SUM(CY5:CY6)</f>
        <v>2469.6756756756758</v>
      </c>
      <c r="CZ4" s="391">
        <f t="shared" si="273"/>
        <v>2369.1711711711714</v>
      </c>
      <c r="DA4" s="392">
        <f t="shared" si="273"/>
        <v>2389.7775555555554</v>
      </c>
      <c r="DB4" s="392">
        <f t="shared" si="273"/>
        <v>3143.9646666666672</v>
      </c>
      <c r="DC4" s="252">
        <f t="shared" si="273"/>
        <v>2889.7775555555554</v>
      </c>
      <c r="DD4" s="393">
        <f t="shared" si="273"/>
        <v>100</v>
      </c>
      <c r="DE4" s="253">
        <f>SUM(DF4:DL4)</f>
        <v>15738.081455406078</v>
      </c>
      <c r="DF4" s="251">
        <f>SUM(DF5:DF6)</f>
        <v>2282.4501111111113</v>
      </c>
      <c r="DG4" s="252">
        <f t="shared" ref="DG4:DL4" si="274">SUM(DG5:DG6)</f>
        <v>2439.7775555555554</v>
      </c>
      <c r="DH4" s="391">
        <f t="shared" si="274"/>
        <v>2439.7775555555554</v>
      </c>
      <c r="DI4" s="392">
        <f t="shared" si="274"/>
        <v>2475.5773542600896</v>
      </c>
      <c r="DJ4" s="392">
        <f t="shared" si="274"/>
        <v>3176.8890134529147</v>
      </c>
      <c r="DK4" s="252">
        <f t="shared" si="274"/>
        <v>2823.6098654708521</v>
      </c>
      <c r="DL4" s="393">
        <f t="shared" si="274"/>
        <v>100</v>
      </c>
      <c r="DM4" s="253">
        <f>SUM(DN4:DT4)</f>
        <v>15870.173766816144</v>
      </c>
      <c r="DN4" s="251">
        <f>SUM(DN5:DN6)</f>
        <v>2320.3307174887896</v>
      </c>
      <c r="DO4" s="252">
        <f t="shared" ref="DO4:DT4" si="275">SUM(DO5:DO6)</f>
        <v>2474.9215246636768</v>
      </c>
      <c r="DP4" s="391">
        <f t="shared" si="275"/>
        <v>2474.9215246636768</v>
      </c>
      <c r="DQ4" s="392">
        <f t="shared" si="275"/>
        <v>2200</v>
      </c>
      <c r="DR4" s="392">
        <f t="shared" si="275"/>
        <v>3100</v>
      </c>
      <c r="DS4" s="252">
        <f t="shared" si="275"/>
        <v>2800</v>
      </c>
      <c r="DT4" s="393">
        <f t="shared" si="275"/>
        <v>500</v>
      </c>
      <c r="DU4" s="253">
        <f>SUM(DV4:EB4)</f>
        <v>12700</v>
      </c>
      <c r="DV4" s="251">
        <f>SUM(DV5:DV6)</f>
        <v>0</v>
      </c>
      <c r="DW4" s="252">
        <f t="shared" ref="DW4:EB4" si="276">SUM(DW5:DW6)</f>
        <v>1700</v>
      </c>
      <c r="DX4" s="391">
        <f t="shared" si="276"/>
        <v>2650</v>
      </c>
      <c r="DY4" s="392">
        <f t="shared" si="276"/>
        <v>2500</v>
      </c>
      <c r="DZ4" s="392">
        <f t="shared" si="276"/>
        <v>3000</v>
      </c>
      <c r="EA4" s="252">
        <f t="shared" si="276"/>
        <v>2750</v>
      </c>
      <c r="EB4" s="393">
        <f t="shared" si="276"/>
        <v>100</v>
      </c>
      <c r="EC4" s="253">
        <f>SUM(ED4:EJ4)</f>
        <v>15075</v>
      </c>
      <c r="ED4" s="251">
        <f>SUM(ED5:ED6)</f>
        <v>2250</v>
      </c>
      <c r="EE4" s="252">
        <f t="shared" ref="EE4:EJ4" si="277">SUM(EE5:EE6)</f>
        <v>2300</v>
      </c>
      <c r="EF4" s="391">
        <f t="shared" si="277"/>
        <v>2250</v>
      </c>
      <c r="EG4" s="392">
        <f t="shared" si="277"/>
        <v>2300</v>
      </c>
      <c r="EH4" s="392">
        <f t="shared" si="277"/>
        <v>3075</v>
      </c>
      <c r="EI4" s="252">
        <f t="shared" si="277"/>
        <v>2900</v>
      </c>
      <c r="EJ4" s="393">
        <f t="shared" si="277"/>
        <v>0</v>
      </c>
      <c r="EK4" s="253">
        <f>SUM(EL4:ER4)</f>
        <v>16150</v>
      </c>
      <c r="EL4" s="251">
        <f>SUM(EL5:EL6)</f>
        <v>2400</v>
      </c>
      <c r="EM4" s="252">
        <f t="shared" ref="EM4:ER4" si="278">SUM(EM5:EM6)</f>
        <v>2500</v>
      </c>
      <c r="EN4" s="391">
        <f t="shared" si="278"/>
        <v>2450</v>
      </c>
      <c r="EO4" s="392">
        <f t="shared" si="278"/>
        <v>2350</v>
      </c>
      <c r="EP4" s="392">
        <f t="shared" si="278"/>
        <v>3250</v>
      </c>
      <c r="EQ4" s="252">
        <f t="shared" si="278"/>
        <v>3100</v>
      </c>
      <c r="ER4" s="393">
        <f t="shared" si="278"/>
        <v>100</v>
      </c>
      <c r="ES4" s="253">
        <f>SUM(ET4:EZ4)</f>
        <v>16950</v>
      </c>
      <c r="ET4" s="251">
        <f>SUM(ET5:ET6)</f>
        <v>2500</v>
      </c>
      <c r="EU4" s="252">
        <f t="shared" ref="EU4:EZ4" si="279">SUM(EU5:EU6)</f>
        <v>2650</v>
      </c>
      <c r="EV4" s="391">
        <f t="shared" si="279"/>
        <v>2650</v>
      </c>
      <c r="EW4" s="392">
        <f t="shared" si="279"/>
        <v>2600</v>
      </c>
      <c r="EX4" s="392">
        <f t="shared" si="279"/>
        <v>3350</v>
      </c>
      <c r="EY4" s="252">
        <f t="shared" si="279"/>
        <v>3100</v>
      </c>
      <c r="EZ4" s="393">
        <f t="shared" si="279"/>
        <v>100</v>
      </c>
      <c r="FA4" s="253">
        <f>SUM(FB4:FH4)</f>
        <v>15850</v>
      </c>
      <c r="FB4" s="251">
        <f>SUM(FB5:FB6)</f>
        <v>2450</v>
      </c>
      <c r="FC4" s="252">
        <f t="shared" ref="FC4:FH4" si="280">SUM(FC5:FC6)</f>
        <v>2550</v>
      </c>
      <c r="FD4" s="391">
        <f t="shared" si="280"/>
        <v>2600</v>
      </c>
      <c r="FE4" s="392">
        <f t="shared" si="280"/>
        <v>2450</v>
      </c>
      <c r="FF4" s="392">
        <f t="shared" si="280"/>
        <v>2950</v>
      </c>
      <c r="FG4" s="252">
        <f t="shared" si="280"/>
        <v>2750</v>
      </c>
      <c r="FH4" s="393">
        <f t="shared" si="280"/>
        <v>100</v>
      </c>
      <c r="FI4" s="253">
        <f>SUM(FJ4:FP4)</f>
        <v>12950</v>
      </c>
      <c r="FJ4" s="251">
        <f>SUM(FJ5:FJ6)</f>
        <v>2200</v>
      </c>
      <c r="FK4" s="252">
        <f t="shared" ref="FK4:FP4" si="281">SUM(FK5:FK6)</f>
        <v>2350</v>
      </c>
      <c r="FL4" s="391">
        <f t="shared" si="281"/>
        <v>2350</v>
      </c>
      <c r="FM4" s="392">
        <f t="shared" si="281"/>
        <v>0</v>
      </c>
      <c r="FN4" s="392">
        <f t="shared" si="281"/>
        <v>2700</v>
      </c>
      <c r="FO4" s="252">
        <f t="shared" si="281"/>
        <v>3250</v>
      </c>
      <c r="FP4" s="393">
        <f t="shared" si="281"/>
        <v>100</v>
      </c>
      <c r="FQ4" s="253">
        <f>SUM(FR4:FX4)</f>
        <v>16250</v>
      </c>
      <c r="FR4" s="251">
        <f>SUM(FR5:FR6)</f>
        <v>2450</v>
      </c>
      <c r="FS4" s="252">
        <f t="shared" ref="FS4:FX4" si="282">SUM(FS5:FS6)</f>
        <v>2600</v>
      </c>
      <c r="FT4" s="391">
        <f t="shared" si="282"/>
        <v>2600</v>
      </c>
      <c r="FU4" s="392">
        <f t="shared" si="282"/>
        <v>2550</v>
      </c>
      <c r="FV4" s="392">
        <f t="shared" si="282"/>
        <v>3050</v>
      </c>
      <c r="FW4" s="252">
        <f t="shared" si="282"/>
        <v>2900</v>
      </c>
      <c r="FX4" s="393">
        <f t="shared" si="282"/>
        <v>100</v>
      </c>
      <c r="FY4" s="253">
        <f>SUM(FZ4:GF4)</f>
        <v>13025</v>
      </c>
      <c r="FZ4" s="251">
        <f>SUM(FZ5:FZ6)</f>
        <v>0</v>
      </c>
      <c r="GA4" s="252">
        <f t="shared" ref="GA4:GF4" si="283">SUM(GA5:GA6)</f>
        <v>1700</v>
      </c>
      <c r="GB4" s="391">
        <f t="shared" si="283"/>
        <v>2950</v>
      </c>
      <c r="GC4" s="392">
        <f t="shared" si="283"/>
        <v>2400</v>
      </c>
      <c r="GD4" s="392">
        <f t="shared" si="283"/>
        <v>2925</v>
      </c>
      <c r="GE4" s="252">
        <f t="shared" si="283"/>
        <v>2950</v>
      </c>
      <c r="GF4" s="393">
        <f t="shared" si="283"/>
        <v>100</v>
      </c>
      <c r="GG4" s="253">
        <f>SUM(GH4:GN4)</f>
        <v>16350</v>
      </c>
      <c r="GH4" s="251">
        <f>SUM(GH5:GH6)</f>
        <v>2400</v>
      </c>
      <c r="GI4" s="252">
        <f t="shared" ref="GI4:GN4" si="284">SUM(GI5:GI6)</f>
        <v>2600</v>
      </c>
      <c r="GJ4" s="391">
        <f t="shared" si="284"/>
        <v>2600</v>
      </c>
      <c r="GK4" s="392">
        <f t="shared" si="284"/>
        <v>2500</v>
      </c>
      <c r="GL4" s="392">
        <f t="shared" si="284"/>
        <v>3200</v>
      </c>
      <c r="GM4" s="252">
        <f t="shared" si="284"/>
        <v>2950</v>
      </c>
      <c r="GN4" s="393">
        <f t="shared" si="284"/>
        <v>100</v>
      </c>
      <c r="GO4" s="253">
        <f>SUM(GP4:GV4)</f>
        <v>16250</v>
      </c>
      <c r="GP4" s="251">
        <f>SUM(GP5:GP6)</f>
        <v>2125</v>
      </c>
      <c r="GQ4" s="252">
        <f t="shared" ref="GQ4:GV4" si="285">SUM(GQ5:GQ6)</f>
        <v>2750</v>
      </c>
      <c r="GR4" s="391">
        <f t="shared" si="285"/>
        <v>2600</v>
      </c>
      <c r="GS4" s="392">
        <f t="shared" si="285"/>
        <v>2550</v>
      </c>
      <c r="GT4" s="392">
        <f t="shared" si="285"/>
        <v>3175</v>
      </c>
      <c r="GU4" s="252">
        <f t="shared" si="285"/>
        <v>2950</v>
      </c>
      <c r="GV4" s="393">
        <f t="shared" si="285"/>
        <v>100</v>
      </c>
      <c r="GW4" s="253">
        <f>SUM(GX4:HD4)</f>
        <v>15825</v>
      </c>
      <c r="GX4" s="251">
        <f>SUM(GX5:GX6)</f>
        <v>2275</v>
      </c>
      <c r="GY4" s="252">
        <f t="shared" ref="GY4:HD4" si="286">SUM(GY5:GY6)</f>
        <v>2600</v>
      </c>
      <c r="GZ4" s="391">
        <f t="shared" si="286"/>
        <v>2600</v>
      </c>
      <c r="HA4" s="392">
        <f t="shared" si="286"/>
        <v>2450</v>
      </c>
      <c r="HB4" s="392">
        <f t="shared" si="286"/>
        <v>3000</v>
      </c>
      <c r="HC4" s="252">
        <f t="shared" si="286"/>
        <v>2800</v>
      </c>
      <c r="HD4" s="393">
        <f t="shared" si="286"/>
        <v>100</v>
      </c>
      <c r="HE4" s="253">
        <f>SUM(HF4:HL4)</f>
        <v>14150</v>
      </c>
      <c r="HF4" s="251">
        <f>SUM(HF5:HF6)</f>
        <v>2150</v>
      </c>
      <c r="HG4" s="252">
        <f t="shared" ref="HG4:HL4" si="287">SUM(HG5:HG6)</f>
        <v>2400</v>
      </c>
      <c r="HH4" s="391">
        <f t="shared" si="287"/>
        <v>2350</v>
      </c>
      <c r="HI4" s="392">
        <f t="shared" si="287"/>
        <v>2100</v>
      </c>
      <c r="HJ4" s="392">
        <f t="shared" si="287"/>
        <v>2700</v>
      </c>
      <c r="HK4" s="252">
        <f t="shared" si="287"/>
        <v>2450</v>
      </c>
      <c r="HL4" s="393">
        <f t="shared" si="287"/>
        <v>0</v>
      </c>
      <c r="HM4" s="253">
        <f>SUM(HN4:HT4)</f>
        <v>13350</v>
      </c>
      <c r="HN4" s="251">
        <f>SUM(HN5:HN6)</f>
        <v>2050</v>
      </c>
      <c r="HO4" s="252">
        <f t="shared" ref="HO4:HT4" si="288">SUM(HO5:HO6)</f>
        <v>2200</v>
      </c>
      <c r="HP4" s="391">
        <f t="shared" si="288"/>
        <v>2150</v>
      </c>
      <c r="HQ4" s="392">
        <f t="shared" si="288"/>
        <v>2100</v>
      </c>
      <c r="HR4" s="392">
        <f t="shared" si="288"/>
        <v>2550</v>
      </c>
      <c r="HS4" s="252">
        <f t="shared" si="288"/>
        <v>2300</v>
      </c>
      <c r="HT4" s="393">
        <f t="shared" si="288"/>
        <v>0</v>
      </c>
      <c r="HU4" s="253">
        <f>SUM(HV4:IB4)</f>
        <v>11600</v>
      </c>
      <c r="HV4" s="251">
        <f>SUM(HV5:HV6)</f>
        <v>1950</v>
      </c>
      <c r="HW4" s="252">
        <f t="shared" ref="HW4:IB4" si="289">SUM(HW5:HW6)</f>
        <v>2200</v>
      </c>
      <c r="HX4" s="391">
        <f t="shared" si="289"/>
        <v>2200</v>
      </c>
      <c r="HY4" s="392">
        <f t="shared" si="289"/>
        <v>0</v>
      </c>
      <c r="HZ4" s="392">
        <f t="shared" si="289"/>
        <v>2800</v>
      </c>
      <c r="IA4" s="252">
        <f t="shared" si="289"/>
        <v>2450</v>
      </c>
      <c r="IB4" s="393">
        <f t="shared" si="289"/>
        <v>0</v>
      </c>
      <c r="IC4" s="253">
        <f>SUM(ID4:IJ4)</f>
        <v>12950</v>
      </c>
      <c r="ID4" s="251">
        <f>SUM(ID5:ID6)</f>
        <v>1900</v>
      </c>
      <c r="IE4" s="252">
        <f t="shared" ref="IE4:IJ4" si="290">SUM(IE5:IE6)</f>
        <v>2200</v>
      </c>
      <c r="IF4" s="391">
        <f t="shared" si="290"/>
        <v>2200</v>
      </c>
      <c r="IG4" s="392">
        <f t="shared" si="290"/>
        <v>2100</v>
      </c>
      <c r="IH4" s="392">
        <f t="shared" si="290"/>
        <v>2350</v>
      </c>
      <c r="II4" s="252">
        <f t="shared" si="290"/>
        <v>2200</v>
      </c>
      <c r="IJ4" s="393">
        <f t="shared" si="290"/>
        <v>0</v>
      </c>
      <c r="IK4" s="253">
        <f>SUM(IL4:IR4)</f>
        <v>12925</v>
      </c>
      <c r="IL4" s="251">
        <f>SUM(IL5:IL6)</f>
        <v>1950</v>
      </c>
      <c r="IM4" s="252">
        <f t="shared" ref="IM4:IR4" si="291">SUM(IM5:IM6)</f>
        <v>2200</v>
      </c>
      <c r="IN4" s="391">
        <f t="shared" si="291"/>
        <v>2200</v>
      </c>
      <c r="IO4" s="392">
        <f t="shared" si="291"/>
        <v>2000</v>
      </c>
      <c r="IP4" s="392">
        <f t="shared" si="291"/>
        <v>2350</v>
      </c>
      <c r="IQ4" s="252">
        <f t="shared" si="291"/>
        <v>2225</v>
      </c>
      <c r="IR4" s="393">
        <f t="shared" si="291"/>
        <v>0</v>
      </c>
      <c r="IS4" s="253">
        <f>SUM(IT4:IZ4)</f>
        <v>12650</v>
      </c>
      <c r="IT4" s="251">
        <f>SUM(IT5:IT6)</f>
        <v>1875</v>
      </c>
      <c r="IU4" s="252">
        <f t="shared" ref="IU4:IZ4" si="292">SUM(IU5:IU6)</f>
        <v>2025</v>
      </c>
      <c r="IV4" s="391">
        <f t="shared" si="292"/>
        <v>1975</v>
      </c>
      <c r="IW4" s="392">
        <f t="shared" si="292"/>
        <v>2050</v>
      </c>
      <c r="IX4" s="392">
        <f t="shared" si="292"/>
        <v>2450</v>
      </c>
      <c r="IY4" s="252">
        <f t="shared" si="292"/>
        <v>2275</v>
      </c>
      <c r="IZ4" s="393">
        <f t="shared" si="292"/>
        <v>0</v>
      </c>
      <c r="JA4" s="253">
        <f>SUM(JB4:JH4)</f>
        <v>11425</v>
      </c>
      <c r="JB4" s="251">
        <f>SUM(JB5:JB6)</f>
        <v>0</v>
      </c>
      <c r="JC4" s="252">
        <f t="shared" ref="JC4:JH4" si="293">SUM(JC5:JC6)</f>
        <v>1800</v>
      </c>
      <c r="JD4" s="391">
        <f t="shared" si="293"/>
        <v>2400</v>
      </c>
      <c r="JE4" s="392">
        <f t="shared" si="293"/>
        <v>2225</v>
      </c>
      <c r="JF4" s="392">
        <f t="shared" si="293"/>
        <v>2625</v>
      </c>
      <c r="JG4" s="252">
        <f t="shared" si="293"/>
        <v>2375</v>
      </c>
      <c r="JH4" s="393">
        <f t="shared" si="293"/>
        <v>0</v>
      </c>
      <c r="JI4" s="253">
        <f>SUM(JJ4:JP4)</f>
        <v>15250</v>
      </c>
      <c r="JJ4" s="251">
        <f>SUM(JJ5:JJ6)</f>
        <v>2150</v>
      </c>
      <c r="JK4" s="252">
        <f t="shared" ref="JK4:JP4" si="294">SUM(JK5:JK6)</f>
        <v>2300</v>
      </c>
      <c r="JL4" s="391">
        <f t="shared" si="294"/>
        <v>2300</v>
      </c>
      <c r="JM4" s="392">
        <f t="shared" si="294"/>
        <v>2400</v>
      </c>
      <c r="JN4" s="392">
        <f t="shared" si="294"/>
        <v>3200</v>
      </c>
      <c r="JO4" s="252">
        <f t="shared" si="294"/>
        <v>2900</v>
      </c>
      <c r="JP4" s="393">
        <f t="shared" si="294"/>
        <v>0</v>
      </c>
      <c r="JQ4" s="253">
        <f>SUM(JR4:JX4)</f>
        <v>16700</v>
      </c>
      <c r="JR4" s="251">
        <f>SUM(JR5:JR6)</f>
        <v>2400</v>
      </c>
      <c r="JS4" s="252">
        <f t="shared" ref="JS4:JX4" si="295">SUM(JS5:JS6)</f>
        <v>2650</v>
      </c>
      <c r="JT4" s="391">
        <f t="shared" si="295"/>
        <v>2750</v>
      </c>
      <c r="JU4" s="392">
        <f t="shared" si="295"/>
        <v>2750</v>
      </c>
      <c r="JV4" s="392">
        <f t="shared" si="295"/>
        <v>3250</v>
      </c>
      <c r="JW4" s="252">
        <f t="shared" si="295"/>
        <v>2900</v>
      </c>
      <c r="JX4" s="393">
        <f t="shared" si="295"/>
        <v>0</v>
      </c>
      <c r="JY4" s="253">
        <f>SUM(JZ4:KF4)</f>
        <v>16425</v>
      </c>
      <c r="JZ4" s="251">
        <f>SUM(JZ5:JZ6)</f>
        <v>2450</v>
      </c>
      <c r="KA4" s="252">
        <f t="shared" ref="KA4:KF4" si="296">SUM(KA5:KA6)</f>
        <v>2825</v>
      </c>
      <c r="KB4" s="391">
        <f t="shared" si="296"/>
        <v>2700</v>
      </c>
      <c r="KC4" s="392">
        <f t="shared" si="296"/>
        <v>2650</v>
      </c>
      <c r="KD4" s="392">
        <f t="shared" si="296"/>
        <v>3000</v>
      </c>
      <c r="KE4" s="252">
        <f t="shared" si="296"/>
        <v>2800</v>
      </c>
      <c r="KF4" s="393">
        <f t="shared" si="296"/>
        <v>0</v>
      </c>
      <c r="KG4" s="253">
        <f>SUM(KH4:KN4)</f>
        <v>16600</v>
      </c>
      <c r="KH4" s="251">
        <f>SUM(KH5:KH6)</f>
        <v>2500</v>
      </c>
      <c r="KI4" s="252">
        <f t="shared" ref="KI4:KN4" si="297">SUM(KI5:KI6)</f>
        <v>2750</v>
      </c>
      <c r="KJ4" s="391">
        <f t="shared" si="297"/>
        <v>2750</v>
      </c>
      <c r="KK4" s="392">
        <f t="shared" si="297"/>
        <v>2650</v>
      </c>
      <c r="KL4" s="392">
        <f t="shared" si="297"/>
        <v>3100</v>
      </c>
      <c r="KM4" s="252">
        <f t="shared" si="297"/>
        <v>2850</v>
      </c>
      <c r="KN4" s="393">
        <f t="shared" si="297"/>
        <v>0</v>
      </c>
      <c r="KO4" s="253">
        <f>SUM(KP4:KV4)</f>
        <v>16150</v>
      </c>
      <c r="KP4" s="251">
        <f>SUM(KP5:KP6)</f>
        <v>2500</v>
      </c>
      <c r="KQ4" s="252">
        <f t="shared" ref="KQ4:KV4" si="298">SUM(KQ5:KQ6)</f>
        <v>2500</v>
      </c>
      <c r="KR4" s="391">
        <f t="shared" si="298"/>
        <v>2550</v>
      </c>
      <c r="KS4" s="392">
        <f t="shared" si="298"/>
        <v>2700</v>
      </c>
      <c r="KT4" s="392">
        <f t="shared" si="298"/>
        <v>3000</v>
      </c>
      <c r="KU4" s="252">
        <f t="shared" si="298"/>
        <v>2900</v>
      </c>
      <c r="KV4" s="393">
        <f t="shared" si="298"/>
        <v>0</v>
      </c>
      <c r="KW4" s="253">
        <f>SUM(KX4:LD4)</f>
        <v>15925</v>
      </c>
      <c r="KX4" s="251">
        <f>SUM(KX5:KX6)</f>
        <v>2450</v>
      </c>
      <c r="KY4" s="252">
        <f t="shared" ref="KY4:LD4" si="299">SUM(KY5:KY6)</f>
        <v>2550</v>
      </c>
      <c r="KZ4" s="391">
        <f t="shared" si="299"/>
        <v>2600</v>
      </c>
      <c r="LA4" s="392">
        <f t="shared" si="299"/>
        <v>2550</v>
      </c>
      <c r="LB4" s="392">
        <f t="shared" si="299"/>
        <v>3000</v>
      </c>
      <c r="LC4" s="252">
        <f t="shared" si="299"/>
        <v>2775</v>
      </c>
      <c r="LD4" s="393">
        <f t="shared" si="299"/>
        <v>0</v>
      </c>
      <c r="LE4" s="253">
        <f>SUM(LF4:LL4)</f>
        <v>16500</v>
      </c>
      <c r="LF4" s="251">
        <f>SUM(LF5:LF6)</f>
        <v>2500</v>
      </c>
      <c r="LG4" s="252">
        <f t="shared" ref="LG4:LL4" si="300">SUM(LG5:LG6)</f>
        <v>2625</v>
      </c>
      <c r="LH4" s="391">
        <f t="shared" si="300"/>
        <v>2775</v>
      </c>
      <c r="LI4" s="392">
        <f t="shared" si="300"/>
        <v>2600</v>
      </c>
      <c r="LJ4" s="392">
        <f t="shared" si="300"/>
        <v>3075</v>
      </c>
      <c r="LK4" s="252">
        <f t="shared" si="300"/>
        <v>2925</v>
      </c>
      <c r="LL4" s="393">
        <f t="shared" si="300"/>
        <v>0</v>
      </c>
      <c r="LM4" s="253">
        <f>SUM(LN4:LT4)</f>
        <v>16850</v>
      </c>
      <c r="LN4" s="251">
        <f>SUM(LN5:LN6)</f>
        <v>2700</v>
      </c>
      <c r="LO4" s="252">
        <f t="shared" ref="LO4:LT4" si="301">SUM(LO5:LO6)</f>
        <v>2700</v>
      </c>
      <c r="LP4" s="391">
        <f t="shared" si="301"/>
        <v>2850</v>
      </c>
      <c r="LQ4" s="392">
        <f t="shared" si="301"/>
        <v>2600</v>
      </c>
      <c r="LR4" s="392">
        <f t="shared" si="301"/>
        <v>3150</v>
      </c>
      <c r="LS4" s="252">
        <f t="shared" si="301"/>
        <v>2850</v>
      </c>
      <c r="LT4" s="393">
        <f t="shared" si="301"/>
        <v>0</v>
      </c>
      <c r="LU4" s="253">
        <f>SUM(LV4:MB4)</f>
        <v>16925</v>
      </c>
      <c r="LV4" s="251">
        <f>SUM(LV5:LV6)</f>
        <v>2650</v>
      </c>
      <c r="LW4" s="252">
        <f t="shared" ref="LW4:MB4" si="302">SUM(LW5:LW6)</f>
        <v>2650</v>
      </c>
      <c r="LX4" s="391">
        <f t="shared" si="302"/>
        <v>2700</v>
      </c>
      <c r="LY4" s="392">
        <f t="shared" si="302"/>
        <v>2525</v>
      </c>
      <c r="LZ4" s="392">
        <f t="shared" si="302"/>
        <v>3300</v>
      </c>
      <c r="MA4" s="252">
        <f t="shared" si="302"/>
        <v>3100</v>
      </c>
      <c r="MB4" s="393">
        <f t="shared" si="302"/>
        <v>0</v>
      </c>
      <c r="MC4" s="253">
        <f>SUM(MD4:MJ4)</f>
        <v>16700</v>
      </c>
      <c r="MD4" s="251">
        <f>SUM(MD5:MD6)</f>
        <v>2850</v>
      </c>
      <c r="ME4" s="252">
        <f t="shared" ref="ME4:MJ4" si="303">SUM(ME5:ME6)</f>
        <v>2700</v>
      </c>
      <c r="MF4" s="391">
        <f t="shared" si="303"/>
        <v>2700</v>
      </c>
      <c r="MG4" s="392">
        <f t="shared" si="303"/>
        <v>2600</v>
      </c>
      <c r="MH4" s="392">
        <f t="shared" si="303"/>
        <v>3100</v>
      </c>
      <c r="MI4" s="252">
        <f t="shared" si="303"/>
        <v>2750</v>
      </c>
      <c r="MJ4" s="393">
        <f t="shared" si="303"/>
        <v>0</v>
      </c>
      <c r="MK4" s="253">
        <f>SUM(ML4:MR4)</f>
        <v>14600</v>
      </c>
      <c r="ML4" s="251">
        <f>SUM(ML5:ML6)</f>
        <v>2700</v>
      </c>
      <c r="MM4" s="252">
        <f t="shared" ref="MM4:MR4" si="304">SUM(MM5:MM6)</f>
        <v>0</v>
      </c>
      <c r="MN4" s="391">
        <f t="shared" si="304"/>
        <v>2700</v>
      </c>
      <c r="MO4" s="392">
        <f t="shared" si="304"/>
        <v>2800</v>
      </c>
      <c r="MP4" s="392">
        <f t="shared" si="304"/>
        <v>3300</v>
      </c>
      <c r="MQ4" s="252">
        <f t="shared" si="304"/>
        <v>3100</v>
      </c>
      <c r="MR4" s="393">
        <f t="shared" si="304"/>
        <v>0</v>
      </c>
      <c r="MS4" s="253">
        <f>SUM(MT4:MZ4)</f>
        <v>14525</v>
      </c>
      <c r="MT4" s="251">
        <f>SUM(MT5:MT6)</f>
        <v>2575</v>
      </c>
      <c r="MU4" s="252">
        <f t="shared" ref="MU4:MZ4" si="305">SUM(MU5:MU6)</f>
        <v>3125</v>
      </c>
      <c r="MV4" s="391">
        <f t="shared" si="305"/>
        <v>2975</v>
      </c>
      <c r="MW4" s="392">
        <f t="shared" si="305"/>
        <v>3100</v>
      </c>
      <c r="MX4" s="392">
        <f t="shared" si="305"/>
        <v>0</v>
      </c>
      <c r="MY4" s="252">
        <f t="shared" si="305"/>
        <v>2750</v>
      </c>
      <c r="MZ4" s="393">
        <f t="shared" si="305"/>
        <v>0</v>
      </c>
      <c r="NA4" s="253">
        <f>SUM(NB4:NH4)</f>
        <v>17175</v>
      </c>
      <c r="NB4" s="251">
        <f>SUM(NB5:NB6)</f>
        <v>2600</v>
      </c>
      <c r="NC4" s="252">
        <f t="shared" ref="NC4:NH4" si="306">SUM(NC5:NC6)</f>
        <v>2925</v>
      </c>
      <c r="ND4" s="391">
        <f t="shared" si="306"/>
        <v>2850</v>
      </c>
      <c r="NE4" s="392">
        <f t="shared" si="306"/>
        <v>2700</v>
      </c>
      <c r="NF4" s="392">
        <f t="shared" si="306"/>
        <v>3150</v>
      </c>
      <c r="NG4" s="252">
        <f t="shared" si="306"/>
        <v>2950</v>
      </c>
      <c r="NH4" s="393">
        <f t="shared" si="306"/>
        <v>0</v>
      </c>
      <c r="NI4" s="253">
        <f>SUM(NJ4:NP4)</f>
        <v>20100</v>
      </c>
      <c r="NJ4" s="251">
        <f>SUM(NJ5:NJ6)</f>
        <v>2725</v>
      </c>
      <c r="NK4" s="252">
        <f t="shared" ref="NK4:NP4" si="307">SUM(NK5:NK6)</f>
        <v>3450</v>
      </c>
      <c r="NL4" s="391">
        <f t="shared" si="307"/>
        <v>3425</v>
      </c>
      <c r="NM4" s="392">
        <f t="shared" si="307"/>
        <v>3375</v>
      </c>
      <c r="NN4" s="392">
        <f t="shared" si="307"/>
        <v>3600</v>
      </c>
      <c r="NO4" s="252">
        <f t="shared" si="307"/>
        <v>3525</v>
      </c>
      <c r="NP4" s="393">
        <f t="shared" si="307"/>
        <v>0</v>
      </c>
      <c r="NQ4" s="253">
        <f>SUM(NR4:NX4)</f>
        <v>20175</v>
      </c>
      <c r="NR4" s="251">
        <f>SUM(NR5:NR6)</f>
        <v>3100</v>
      </c>
      <c r="NS4" s="252">
        <f t="shared" ref="NS4:NX4" si="308">SUM(NS5:NS6)</f>
        <v>3725</v>
      </c>
      <c r="NT4" s="391">
        <f t="shared" si="308"/>
        <v>3550</v>
      </c>
      <c r="NU4" s="392">
        <f t="shared" si="308"/>
        <v>3275</v>
      </c>
      <c r="NV4" s="392">
        <f t="shared" si="308"/>
        <v>3425</v>
      </c>
      <c r="NW4" s="252">
        <f t="shared" si="308"/>
        <v>3100</v>
      </c>
      <c r="NX4" s="393">
        <f t="shared" si="308"/>
        <v>0</v>
      </c>
      <c r="NY4" s="253">
        <f>SUM(NZ4:OF4)</f>
        <v>18175</v>
      </c>
      <c r="NZ4" s="251">
        <f>SUM(NZ5:NZ6)</f>
        <v>2750</v>
      </c>
      <c r="OA4" s="252">
        <f t="shared" ref="OA4:OF4" si="309">SUM(OA5:OA6)</f>
        <v>3150</v>
      </c>
      <c r="OB4" s="391">
        <f t="shared" si="309"/>
        <v>3125</v>
      </c>
      <c r="OC4" s="392">
        <f t="shared" si="309"/>
        <v>2825</v>
      </c>
      <c r="OD4" s="392">
        <f t="shared" si="309"/>
        <v>3275</v>
      </c>
      <c r="OE4" s="252">
        <f t="shared" si="309"/>
        <v>3050</v>
      </c>
      <c r="OF4" s="393">
        <f t="shared" si="309"/>
        <v>0</v>
      </c>
      <c r="OG4" s="253">
        <f>SUM(OH4:ON4)</f>
        <v>17130</v>
      </c>
      <c r="OH4" s="251">
        <f>SUM(OH5:OH6)</f>
        <v>2830</v>
      </c>
      <c r="OI4" s="252">
        <f t="shared" ref="OI4:ON4" si="310">SUM(OI5:OI6)</f>
        <v>2850</v>
      </c>
      <c r="OJ4" s="391">
        <f t="shared" si="310"/>
        <v>2750</v>
      </c>
      <c r="OK4" s="392">
        <f t="shared" si="310"/>
        <v>2725</v>
      </c>
      <c r="OL4" s="392">
        <f t="shared" si="310"/>
        <v>3125</v>
      </c>
      <c r="OM4" s="252">
        <f t="shared" si="310"/>
        <v>2850</v>
      </c>
      <c r="ON4" s="393">
        <f t="shared" si="310"/>
        <v>0</v>
      </c>
      <c r="OO4" s="253">
        <f>SUM(OP4:OV4)</f>
        <v>21550</v>
      </c>
      <c r="OP4" s="251">
        <f>SUM(OP5:OP6)</f>
        <v>2650</v>
      </c>
      <c r="OQ4" s="252">
        <f t="shared" ref="OQ4:OV4" si="311">SUM(OQ5:OQ6)</f>
        <v>3400</v>
      </c>
      <c r="OR4" s="391">
        <f t="shared" si="311"/>
        <v>3400</v>
      </c>
      <c r="OS4" s="392">
        <f t="shared" si="311"/>
        <v>4025</v>
      </c>
      <c r="OT4" s="392">
        <f t="shared" si="311"/>
        <v>4325</v>
      </c>
      <c r="OU4" s="252">
        <f t="shared" si="311"/>
        <v>3750</v>
      </c>
      <c r="OV4" s="393">
        <f t="shared" si="311"/>
        <v>0</v>
      </c>
      <c r="OW4" s="253">
        <f>SUM(OX4:PD4)</f>
        <v>21625</v>
      </c>
      <c r="OX4" s="251">
        <f>SUM(OX5:OX6)</f>
        <v>2825</v>
      </c>
      <c r="OY4" s="252">
        <f t="shared" ref="OY4:PD4" si="312">SUM(OY5:OY6)</f>
        <v>3500</v>
      </c>
      <c r="OZ4" s="391">
        <f t="shared" si="312"/>
        <v>3500</v>
      </c>
      <c r="PA4" s="392">
        <f t="shared" si="312"/>
        <v>3750</v>
      </c>
      <c r="PB4" s="392">
        <f t="shared" si="312"/>
        <v>4450</v>
      </c>
      <c r="PC4" s="252">
        <f t="shared" si="312"/>
        <v>3600</v>
      </c>
      <c r="PD4" s="393">
        <f t="shared" si="312"/>
        <v>0</v>
      </c>
      <c r="PE4" s="253">
        <f>SUM(PF4:PL4)</f>
        <v>17725</v>
      </c>
      <c r="PF4" s="251">
        <f t="shared" ref="PF4:PL4" si="313">SUM(PF5:PF6)</f>
        <v>2350</v>
      </c>
      <c r="PG4" s="252">
        <f t="shared" si="313"/>
        <v>3075</v>
      </c>
      <c r="PH4" s="391">
        <f t="shared" si="313"/>
        <v>3050</v>
      </c>
      <c r="PI4" s="392">
        <f t="shared" si="313"/>
        <v>2800</v>
      </c>
      <c r="PJ4" s="392">
        <f t="shared" si="313"/>
        <v>3300</v>
      </c>
      <c r="PK4" s="252">
        <f t="shared" si="313"/>
        <v>3150</v>
      </c>
      <c r="PL4" s="393">
        <f t="shared" si="313"/>
        <v>0</v>
      </c>
    </row>
    <row r="5" spans="1:428" ht="14.85" customHeight="1" outlineLevel="1" x14ac:dyDescent="0.3">
      <c r="B5" s="1014"/>
      <c r="C5" s="1018"/>
      <c r="D5" s="381" t="s">
        <v>208</v>
      </c>
      <c r="E5" s="255">
        <f t="shared" ref="E5:E6" si="314">SUM(F5:L5)</f>
        <v>4400</v>
      </c>
      <c r="F5" s="376">
        <f>INDEX('LT Collect Forecast'!$K$1:$Q$55,MATCH(E2,'LT Collect Forecast'!$A:$A,0),MATCH(F$3,'LT Collect Forecast'!$K$2:$Q$2,0))</f>
        <v>700</v>
      </c>
      <c r="G5" s="377">
        <f>INDEX('LT Collect Forecast'!$K$1:$Q$55,MATCH(E2,'LT Collect Forecast'!$A:$A,0),MATCH(G$3,'LT Collect Forecast'!$K$2:$Q$2,0))</f>
        <v>750</v>
      </c>
      <c r="H5" s="378">
        <f>INDEX('LT Collect Forecast'!$K$1:$Q$55,MATCH(E2,'LT Collect Forecast'!$A:$A,0),MATCH(H$3,'LT Collect Forecast'!$K$2:$Q$2,0))</f>
        <v>650</v>
      </c>
      <c r="I5" s="260" cm="1">
        <f t="array" ref="I5">INDEX('LT Collect Forecast'!$K$1:$Q$55,MATCH(E2,'LT Collect Forecast'!$A:$A,0)+1,MATCH(I$3,'LT Collect Forecast'!$K$2:$Q$2,0))</f>
        <v>500</v>
      </c>
      <c r="J5" s="378" cm="1">
        <f t="array" ref="J5">INDEX('LT Collect Forecast'!$K$1:$Q$55,MATCH(E2,'LT Collect Forecast'!$A:$A,0)+1,MATCH(J$3,'LT Collect Forecast'!$K$2:$Q$2,0))</f>
        <v>900</v>
      </c>
      <c r="K5" s="259" cm="1">
        <f t="array" ref="K5">INDEX('LT Collect Forecast'!$K$1:$Q$55,MATCH(E2,'LT Collect Forecast'!$A:$A,0)+1,MATCH(K$3,'LT Collect Forecast'!$K$2:$Q$2,0))</f>
        <v>900</v>
      </c>
      <c r="L5" s="379" cm="1">
        <f t="array" ref="L5">INDEX('LT Collect Forecast'!$K$1:$Q$55,MATCH(E2,'LT Collect Forecast'!$A:$A,0)+1,MATCH(L$3,'LT Collect Forecast'!$K$2:$Q$2,0))</f>
        <v>0</v>
      </c>
      <c r="M5" s="255">
        <f t="shared" ref="M5:M6" si="315">SUM(N5:T5)</f>
        <v>4150</v>
      </c>
      <c r="N5" s="376">
        <f>INDEX('LT Collect Forecast'!$K$1:$Q$55,MATCH(M2,'LT Collect Forecast'!$A:$A,0),MATCH(N$3,'LT Collect Forecast'!$K$2:$Q$2,0))</f>
        <v>650</v>
      </c>
      <c r="O5" s="377">
        <f>INDEX('LT Collect Forecast'!$K$1:$Q$55,MATCH(M2,'LT Collect Forecast'!$A:$A,0),MATCH(O$3,'LT Collect Forecast'!$K$2:$Q$2,0))</f>
        <v>550</v>
      </c>
      <c r="P5" s="378">
        <f>INDEX('LT Collect Forecast'!$K$1:$Q$55,MATCH(M2,'LT Collect Forecast'!$A:$A,0),MATCH(P$3,'LT Collect Forecast'!$K$2:$Q$2,0))</f>
        <v>550</v>
      </c>
      <c r="Q5" s="260" cm="1">
        <f t="array" ref="Q5">INDEX('LT Collect Forecast'!$K$1:$Q$55,MATCH(M2,'LT Collect Forecast'!$A:$A,0)+1,MATCH(Q$3,'LT Collect Forecast'!$K$2:$Q$2,0))</f>
        <v>600</v>
      </c>
      <c r="R5" s="378" cm="1">
        <f t="array" ref="R5">INDEX('LT Collect Forecast'!$K$1:$Q$55,MATCH(M2,'LT Collect Forecast'!$A:$A,0)+1,MATCH(R$3,'LT Collect Forecast'!$K$2:$Q$2,0))</f>
        <v>900</v>
      </c>
      <c r="S5" s="259" cm="1">
        <f t="array" ref="S5">INDEX('LT Collect Forecast'!$K$1:$Q$55,MATCH(M2,'LT Collect Forecast'!$A:$A,0)+1,MATCH(S$3,'LT Collect Forecast'!$K$2:$Q$2,0))</f>
        <v>900</v>
      </c>
      <c r="T5" s="379" cm="1">
        <f t="array" ref="T5">INDEX('LT Collect Forecast'!$K$1:$Q$55,MATCH(M2,'LT Collect Forecast'!$A:$A,0)+1,MATCH(T$3,'LT Collect Forecast'!$K$2:$Q$2,0))</f>
        <v>0</v>
      </c>
      <c r="U5" s="255">
        <f t="shared" ref="U5:U6" si="316">SUM(V5:AB5)</f>
        <v>4450</v>
      </c>
      <c r="V5" s="376">
        <f>INDEX('LT Collect Forecast'!$K$1:$Q$55,MATCH(U2,'LT Collect Forecast'!$A:$A,0),MATCH(V$3,'LT Collect Forecast'!$K$2:$Q$2,0))</f>
        <v>700</v>
      </c>
      <c r="W5" s="377">
        <f>INDEX('LT Collect Forecast'!$K$1:$Q$55,MATCH(U2,'LT Collect Forecast'!$A:$A,0),MATCH(W$3,'LT Collect Forecast'!$K$2:$Q$2,0))</f>
        <v>600</v>
      </c>
      <c r="X5" s="378">
        <f>INDEX('LT Collect Forecast'!$K$1:$Q$55,MATCH(U2,'LT Collect Forecast'!$A:$A,0),MATCH(X$3,'LT Collect Forecast'!$K$2:$Q$2,0))</f>
        <v>650</v>
      </c>
      <c r="Y5" s="260" cm="1">
        <f t="array" ref="Y5">INDEX('LT Collect Forecast'!$K$1:$Q$55,MATCH(U2,'LT Collect Forecast'!$A:$A,0)+1,MATCH(Y$3,'LT Collect Forecast'!$K$2:$Q$2,0))</f>
        <v>600</v>
      </c>
      <c r="Z5" s="378" cm="1">
        <f t="array" ref="Z5">INDEX('LT Collect Forecast'!$K$1:$Q$55,MATCH(U2,'LT Collect Forecast'!$A:$A,0)+1,MATCH(Z$3,'LT Collect Forecast'!$K$2:$Q$2,0))</f>
        <v>950</v>
      </c>
      <c r="AA5" s="259" cm="1">
        <f t="array" ref="AA5">INDEX('LT Collect Forecast'!$K$1:$Q$55,MATCH(U2,'LT Collect Forecast'!$A:$A,0)+1,MATCH(AA$3,'LT Collect Forecast'!$K$2:$Q$2,0))</f>
        <v>950</v>
      </c>
      <c r="AB5" s="379" cm="1">
        <f t="array" ref="AB5">INDEX('LT Collect Forecast'!$K$1:$Q$55,MATCH(U2,'LT Collect Forecast'!$A:$A,0)+1,MATCH(AB$3,'LT Collect Forecast'!$K$2:$Q$2,0))</f>
        <v>0</v>
      </c>
      <c r="AC5" s="255">
        <f t="shared" ref="AC5:AC6" si="317">SUM(AD5:AJ5)</f>
        <v>4350</v>
      </c>
      <c r="AD5" s="376">
        <f>INDEX('LT Collect Forecast'!$K$1:$Q$55,MATCH(AC2,'LT Collect Forecast'!$A:$A,0),MATCH(AD$3,'LT Collect Forecast'!$K$2:$Q$2,0))</f>
        <v>650</v>
      </c>
      <c r="AE5" s="377">
        <f>INDEX('LT Collect Forecast'!$K$1:$Q$55,MATCH(AC2,'LT Collect Forecast'!$A:$A,0),MATCH(AE$3,'LT Collect Forecast'!$K$2:$Q$2,0))</f>
        <v>600</v>
      </c>
      <c r="AF5" s="378">
        <f>INDEX('LT Collect Forecast'!$K$1:$Q$55,MATCH(AC2,'LT Collect Forecast'!$A:$A,0),MATCH(AF$3,'LT Collect Forecast'!$K$2:$Q$2,0))</f>
        <v>600</v>
      </c>
      <c r="AG5" s="260" cm="1">
        <f t="array" ref="AG5">INDEX('LT Collect Forecast'!$K$1:$Q$55,MATCH(AC2,'LT Collect Forecast'!$A:$A,0)+1,MATCH(AG$3,'LT Collect Forecast'!$K$2:$Q$2,0))</f>
        <v>550</v>
      </c>
      <c r="AH5" s="378" cm="1">
        <f t="array" ref="AH5">INDEX('LT Collect Forecast'!$K$1:$Q$55,MATCH(AC2,'LT Collect Forecast'!$A:$A,0)+1,MATCH(AH$3,'LT Collect Forecast'!$K$2:$Q$2,0))</f>
        <v>900</v>
      </c>
      <c r="AI5" s="259" cm="1">
        <f t="array" ref="AI5">INDEX('LT Collect Forecast'!$K$1:$Q$55,MATCH(AC2,'LT Collect Forecast'!$A:$A,0)+1,MATCH(AI$3,'LT Collect Forecast'!$K$2:$Q$2,0))</f>
        <v>1050</v>
      </c>
      <c r="AJ5" s="379" cm="1">
        <f t="array" ref="AJ5">INDEX('LT Collect Forecast'!$K$1:$Q$55,MATCH(AC2,'LT Collect Forecast'!$A:$A,0)+1,MATCH(AJ$3,'LT Collect Forecast'!$K$2:$Q$2,0))</f>
        <v>0</v>
      </c>
      <c r="AK5" s="255">
        <f t="shared" ref="AK5:AK6" si="318">SUM(AL5:AR5)</f>
        <v>4450</v>
      </c>
      <c r="AL5" s="376">
        <f>INDEX('LT Collect Forecast'!$K$1:$Q$55,MATCH(AK2,'LT Collect Forecast'!$A:$A,0),MATCH(AL$3,'LT Collect Forecast'!$K$2:$Q$2,0))</f>
        <v>750</v>
      </c>
      <c r="AM5" s="377">
        <f>INDEX('LT Collect Forecast'!$K$1:$Q$55,MATCH(AK2,'LT Collect Forecast'!$A:$A,0),MATCH(AM$3,'LT Collect Forecast'!$K$2:$Q$2,0))</f>
        <v>600</v>
      </c>
      <c r="AN5" s="378">
        <f>INDEX('LT Collect Forecast'!$K$1:$Q$55,MATCH(AK2,'LT Collect Forecast'!$A:$A,0),MATCH(AN$3,'LT Collect Forecast'!$K$2:$Q$2,0))</f>
        <v>600</v>
      </c>
      <c r="AO5" s="260" cm="1">
        <f t="array" ref="AO5">INDEX('LT Collect Forecast'!$K$1:$Q$55,MATCH(AK2,'LT Collect Forecast'!$A:$A,0)+1,MATCH(AO$3,'LT Collect Forecast'!$K$2:$Q$2,0))</f>
        <v>500</v>
      </c>
      <c r="AP5" s="378" cm="1">
        <f t="array" ref="AP5">INDEX('LT Collect Forecast'!$K$1:$Q$55,MATCH(AK2,'LT Collect Forecast'!$A:$A,0)+1,MATCH(AP$3,'LT Collect Forecast'!$K$2:$Q$2,0))</f>
        <v>950</v>
      </c>
      <c r="AQ5" s="259" cm="1">
        <f t="array" ref="AQ5">INDEX('LT Collect Forecast'!$K$1:$Q$55,MATCH(AK2,'LT Collect Forecast'!$A:$A,0)+1,MATCH(AQ$3,'LT Collect Forecast'!$K$2:$Q$2,0))</f>
        <v>1050</v>
      </c>
      <c r="AR5" s="379" cm="1">
        <f t="array" ref="AR5">INDEX('LT Collect Forecast'!$K$1:$Q$55,MATCH(AK2,'LT Collect Forecast'!$A:$A,0)+1,MATCH(AR$3,'LT Collect Forecast'!$K$2:$Q$2,0))</f>
        <v>0</v>
      </c>
      <c r="AS5" s="255">
        <f t="shared" ref="AS5:AS6" si="319">SUM(AT5:AZ5)</f>
        <v>4350</v>
      </c>
      <c r="AT5" s="376">
        <f>INDEX('LT Collect Forecast'!$K$1:$Q$55,MATCH(AS2,'LT Collect Forecast'!$A:$A,0),MATCH(AT$3,'LT Collect Forecast'!$K$2:$Q$2,0))</f>
        <v>750</v>
      </c>
      <c r="AU5" s="377">
        <f>INDEX('LT Collect Forecast'!$K$1:$Q$55,MATCH(AS2,'LT Collect Forecast'!$A:$A,0),MATCH(AU$3,'LT Collect Forecast'!$K$2:$Q$2,0))</f>
        <v>550</v>
      </c>
      <c r="AV5" s="378">
        <f>INDEX('LT Collect Forecast'!$K$1:$Q$55,MATCH(AS2,'LT Collect Forecast'!$A:$A,0),MATCH(AV$3,'LT Collect Forecast'!$K$2:$Q$2,0))</f>
        <v>600</v>
      </c>
      <c r="AW5" s="260" cm="1">
        <f t="array" ref="AW5">INDEX('LT Collect Forecast'!$K$1:$Q$55,MATCH(AS2,'LT Collect Forecast'!$A:$A,0)+1,MATCH(AW$3,'LT Collect Forecast'!$K$2:$Q$2,0))</f>
        <v>450</v>
      </c>
      <c r="AX5" s="378" cm="1">
        <f t="array" ref="AX5">INDEX('LT Collect Forecast'!$K$1:$Q$55,MATCH(AS2,'LT Collect Forecast'!$A:$A,0)+1,MATCH(AX$3,'LT Collect Forecast'!$K$2:$Q$2,0))</f>
        <v>1000</v>
      </c>
      <c r="AY5" s="259" cm="1">
        <f t="array" ref="AY5">INDEX('LT Collect Forecast'!$K$1:$Q$55,MATCH(AS2,'LT Collect Forecast'!$A:$A,0)+1,MATCH(AY$3,'LT Collect Forecast'!$K$2:$Q$2,0))</f>
        <v>1000</v>
      </c>
      <c r="AZ5" s="379" cm="1">
        <f t="array" ref="AZ5">INDEX('LT Collect Forecast'!$K$1:$Q$55,MATCH(AS2,'LT Collect Forecast'!$A:$A,0)+1,MATCH(AZ$3,'LT Collect Forecast'!$K$2:$Q$2,0))</f>
        <v>0</v>
      </c>
      <c r="BA5" s="255">
        <f t="shared" ref="BA5:BA6" si="320">SUM(BB5:BH5)</f>
        <v>4350</v>
      </c>
      <c r="BB5" s="376">
        <f>INDEX('LT Collect Forecast'!$K$1:$Q$55,MATCH(BA2,'LT Collect Forecast'!$A:$A,0),MATCH(BB$3,'LT Collect Forecast'!$K$2:$Q$2,0))</f>
        <v>750</v>
      </c>
      <c r="BC5" s="377">
        <f>INDEX('LT Collect Forecast'!$K$1:$Q$55,MATCH(BA2,'LT Collect Forecast'!$A:$A,0),MATCH(BC$3,'LT Collect Forecast'!$K$2:$Q$2,0))</f>
        <v>550</v>
      </c>
      <c r="BD5" s="378">
        <f>INDEX('LT Collect Forecast'!$K$1:$Q$55,MATCH(BA2,'LT Collect Forecast'!$A:$A,0),MATCH(BD$3,'LT Collect Forecast'!$K$2:$Q$2,0))</f>
        <v>550</v>
      </c>
      <c r="BE5" s="260" cm="1">
        <f t="array" ref="BE5">INDEX('LT Collect Forecast'!$K$1:$Q$55,MATCH(BA2,'LT Collect Forecast'!$A:$A,0)+1,MATCH(BE$3,'LT Collect Forecast'!$K$2:$Q$2,0))</f>
        <v>500</v>
      </c>
      <c r="BF5" s="378" cm="1">
        <f t="array" ref="BF5">INDEX('LT Collect Forecast'!$K$1:$Q$55,MATCH(BA2,'LT Collect Forecast'!$A:$A,0)+1,MATCH(BF$3,'LT Collect Forecast'!$K$2:$Q$2,0))</f>
        <v>1000</v>
      </c>
      <c r="BG5" s="259" cm="1">
        <f t="array" ref="BG5">INDEX('LT Collect Forecast'!$K$1:$Q$55,MATCH(BA2,'LT Collect Forecast'!$A:$A,0)+1,MATCH(BG$3,'LT Collect Forecast'!$K$2:$Q$2,0))</f>
        <v>1000</v>
      </c>
      <c r="BH5" s="379" cm="1">
        <f t="array" ref="BH5">INDEX('LT Collect Forecast'!$K$1:$Q$55,MATCH(BA2,'LT Collect Forecast'!$A:$A,0)+1,MATCH(BH$3,'LT Collect Forecast'!$K$2:$Q$2,0))</f>
        <v>0</v>
      </c>
      <c r="BI5" s="255">
        <f t="shared" ref="BI5:BI6" si="321">SUM(BJ5:BP5)</f>
        <v>4400</v>
      </c>
      <c r="BJ5" s="376">
        <f>INDEX('LT Collect Forecast'!$K$1:$Q$55,MATCH(BI2,'LT Collect Forecast'!$A:$A,0),MATCH(BJ$3,'LT Collect Forecast'!$K$2:$Q$2,0))</f>
        <v>750</v>
      </c>
      <c r="BK5" s="377">
        <f>INDEX('LT Collect Forecast'!$K$1:$Q$55,MATCH(BI2,'LT Collect Forecast'!$A:$A,0),MATCH(BK$3,'LT Collect Forecast'!$K$2:$Q$2,0))</f>
        <v>550</v>
      </c>
      <c r="BL5" s="378">
        <f>INDEX('LT Collect Forecast'!$K$1:$Q$55,MATCH(BI2,'LT Collect Forecast'!$A:$A,0),MATCH(BL$3,'LT Collect Forecast'!$K$2:$Q$2,0))</f>
        <v>500</v>
      </c>
      <c r="BM5" s="260" cm="1">
        <f t="array" ref="BM5">INDEX('LT Collect Forecast'!$K$1:$Q$55,MATCH(BI2,'LT Collect Forecast'!$A:$A,0)+1,MATCH(BM$3,'LT Collect Forecast'!$K$2:$Q$2,0))</f>
        <v>500</v>
      </c>
      <c r="BN5" s="378" cm="1">
        <f t="array" ref="BN5">INDEX('LT Collect Forecast'!$K$1:$Q$55,MATCH(BI2,'LT Collect Forecast'!$A:$A,0)+1,MATCH(BN$3,'LT Collect Forecast'!$K$2:$Q$2,0))</f>
        <v>1100</v>
      </c>
      <c r="BO5" s="259" cm="1">
        <f t="array" ref="BO5">INDEX('LT Collect Forecast'!$K$1:$Q$55,MATCH(BI2,'LT Collect Forecast'!$A:$A,0)+1,MATCH(BO$3,'LT Collect Forecast'!$K$2:$Q$2,0))</f>
        <v>1000</v>
      </c>
      <c r="BP5" s="379" cm="1">
        <f t="array" ref="BP5">INDEX('LT Collect Forecast'!$K$1:$Q$55,MATCH(BI2,'LT Collect Forecast'!$A:$A,0)+1,MATCH(BP$3,'LT Collect Forecast'!$K$2:$Q$2,0))</f>
        <v>0</v>
      </c>
      <c r="BQ5" s="255">
        <f t="shared" ref="BQ5:BQ6" si="322">SUM(BR5:BX5)</f>
        <v>4400</v>
      </c>
      <c r="BR5" s="376">
        <f>INDEX('LT Collect Forecast'!$K$1:$Q$55,MATCH(BQ2,'LT Collect Forecast'!$A:$A,0),MATCH(BR$3,'LT Collect Forecast'!$K$2:$Q$2,0))</f>
        <v>800</v>
      </c>
      <c r="BS5" s="377">
        <f>INDEX('LT Collect Forecast'!$K$1:$Q$55,MATCH(BQ2,'LT Collect Forecast'!$A:$A,0),MATCH(BS$3,'LT Collect Forecast'!$K$2:$Q$2,0))</f>
        <v>500</v>
      </c>
      <c r="BT5" s="378">
        <f>INDEX('LT Collect Forecast'!$K$1:$Q$55,MATCH(BQ2,'LT Collect Forecast'!$A:$A,0),MATCH(BT$3,'LT Collect Forecast'!$K$2:$Q$2,0))</f>
        <v>550</v>
      </c>
      <c r="BU5" s="260" cm="1">
        <f t="array" ref="BU5">INDEX('LT Collect Forecast'!$K$1:$Q$55,MATCH(BQ2,'LT Collect Forecast'!$A:$A,0)+1,MATCH(BU$3,'LT Collect Forecast'!$K$2:$Q$2,0))</f>
        <v>450</v>
      </c>
      <c r="BV5" s="378" cm="1">
        <f t="array" ref="BV5">INDEX('LT Collect Forecast'!$K$1:$Q$55,MATCH(BQ2,'LT Collect Forecast'!$A:$A,0)+1,MATCH(BV$3,'LT Collect Forecast'!$K$2:$Q$2,0))</f>
        <v>1100</v>
      </c>
      <c r="BW5" s="259" cm="1">
        <f t="array" ref="BW5">INDEX('LT Collect Forecast'!$K$1:$Q$55,MATCH(BQ2,'LT Collect Forecast'!$A:$A,0)+1,MATCH(BW$3,'LT Collect Forecast'!$K$2:$Q$2,0))</f>
        <v>1000</v>
      </c>
      <c r="BX5" s="379" cm="1">
        <f t="array" ref="BX5">INDEX('LT Collect Forecast'!$K$1:$Q$55,MATCH(BQ2,'LT Collect Forecast'!$A:$A,0)+1,MATCH(BX$3,'LT Collect Forecast'!$K$2:$Q$2,0))</f>
        <v>0</v>
      </c>
      <c r="BY5" s="255">
        <f t="shared" ref="BY5:BY6" si="323">SUM(BZ5:CF5)</f>
        <v>4300</v>
      </c>
      <c r="BZ5" s="376">
        <f>INDEX('LT Collect Forecast'!$K$1:$Q$55,MATCH(BY2,'LT Collect Forecast'!$A:$A,0),MATCH(BZ$3,'LT Collect Forecast'!$K$2:$Q$2,0))</f>
        <v>750</v>
      </c>
      <c r="CA5" s="377">
        <f>INDEX('LT Collect Forecast'!$K$1:$Q$55,MATCH(BY2,'LT Collect Forecast'!$A:$A,0),MATCH(CA$3,'LT Collect Forecast'!$K$2:$Q$2,0))</f>
        <v>500</v>
      </c>
      <c r="CB5" s="378">
        <f>INDEX('LT Collect Forecast'!$K$1:$Q$55,MATCH(BY2,'LT Collect Forecast'!$A:$A,0),MATCH(CB$3,'LT Collect Forecast'!$K$2:$Q$2,0))</f>
        <v>500</v>
      </c>
      <c r="CC5" s="260" cm="1">
        <f t="array" ref="CC5">INDEX('LT Collect Forecast'!$K$1:$Q$55,MATCH(BY2,'LT Collect Forecast'!$A:$A,0)+1,MATCH(CC$3,'LT Collect Forecast'!$K$2:$Q$2,0))</f>
        <v>450</v>
      </c>
      <c r="CD5" s="378" cm="1">
        <f t="array" ref="CD5">INDEX('LT Collect Forecast'!$K$1:$Q$55,MATCH(BY2,'LT Collect Forecast'!$A:$A,0)+1,MATCH(CD$3,'LT Collect Forecast'!$K$2:$Q$2,0))</f>
        <v>1050</v>
      </c>
      <c r="CE5" s="259" cm="1">
        <f t="array" ref="CE5">INDEX('LT Collect Forecast'!$K$1:$Q$55,MATCH(BY2,'LT Collect Forecast'!$A:$A,0)+1,MATCH(CE$3,'LT Collect Forecast'!$K$2:$Q$2,0))</f>
        <v>1050</v>
      </c>
      <c r="CF5" s="379" cm="1">
        <f t="array" ref="CF5">INDEX('LT Collect Forecast'!$K$1:$Q$55,MATCH(BY2,'LT Collect Forecast'!$A:$A,0)+1,MATCH(CF$3,'LT Collect Forecast'!$K$2:$Q$2,0))</f>
        <v>0</v>
      </c>
      <c r="CG5" s="255">
        <f t="shared" ref="CG5:CG6" si="324">SUM(CH5:CN5)</f>
        <v>4150</v>
      </c>
      <c r="CH5" s="376">
        <f>INDEX('LT Collect Forecast'!$K$1:$Q$55,MATCH(CG2,'LT Collect Forecast'!$A:$A,0),MATCH(CH$3,'LT Collect Forecast'!$K$2:$Q$2,0))</f>
        <v>750</v>
      </c>
      <c r="CI5" s="377">
        <f>INDEX('LT Collect Forecast'!$K$1:$Q$55,MATCH(CG2,'LT Collect Forecast'!$A:$A,0),MATCH(CI$3,'LT Collect Forecast'!$K$2:$Q$2,0))</f>
        <v>450</v>
      </c>
      <c r="CJ5" s="378">
        <f>INDEX('LT Collect Forecast'!$K$1:$Q$55,MATCH(CG2,'LT Collect Forecast'!$A:$A,0),MATCH(CJ$3,'LT Collect Forecast'!$K$2:$Q$2,0))</f>
        <v>450</v>
      </c>
      <c r="CK5" s="260" cm="1">
        <f t="array" ref="CK5">INDEX('LT Collect Forecast'!$K$1:$Q$55,MATCH(CG2,'LT Collect Forecast'!$A:$A,0)+1,MATCH(CK$3,'LT Collect Forecast'!$K$2:$Q$2,0))</f>
        <v>450</v>
      </c>
      <c r="CL5" s="378" cm="1">
        <f t="array" ref="CL5">INDEX('LT Collect Forecast'!$K$1:$Q$55,MATCH(CG2,'LT Collect Forecast'!$A:$A,0)+1,MATCH(CL$3,'LT Collect Forecast'!$K$2:$Q$2,0))</f>
        <v>1000</v>
      </c>
      <c r="CM5" s="259" cm="1">
        <f t="array" ref="CM5">INDEX('LT Collect Forecast'!$K$1:$Q$55,MATCH(CG2,'LT Collect Forecast'!$A:$A,0)+1,MATCH(CM$3,'LT Collect Forecast'!$K$2:$Q$2,0))</f>
        <v>1050</v>
      </c>
      <c r="CN5" s="379" cm="1">
        <f t="array" ref="CN5">INDEX('LT Collect Forecast'!$K$1:$Q$55,MATCH(CG2,'LT Collect Forecast'!$A:$A,0)+1,MATCH(CN$3,'LT Collect Forecast'!$K$2:$Q$2,0))</f>
        <v>0</v>
      </c>
      <c r="CO5" s="255">
        <f t="shared" ref="CO5:CO6" si="325">SUM(CP5:CV5)</f>
        <v>4300</v>
      </c>
      <c r="CP5" s="376">
        <f>INDEX('LT Collect Forecast'!$K$1:$Q$55,MATCH(CO2,'LT Collect Forecast'!$A:$A,0),MATCH(CP$3,'LT Collect Forecast'!$K$2:$Q$2,0))</f>
        <v>750</v>
      </c>
      <c r="CQ5" s="377">
        <f>INDEX('LT Collect Forecast'!$K$1:$Q$55,MATCH(CO2,'LT Collect Forecast'!$A:$A,0),MATCH(CQ$3,'LT Collect Forecast'!$K$2:$Q$2,0))</f>
        <v>550</v>
      </c>
      <c r="CR5" s="378">
        <f>INDEX('LT Collect Forecast'!$K$1:$Q$55,MATCH(CO2,'LT Collect Forecast'!$A:$A,0),MATCH(CR$3,'LT Collect Forecast'!$K$2:$Q$2,0))</f>
        <v>500</v>
      </c>
      <c r="CS5" s="260" cm="1">
        <f t="array" ref="CS5">INDEX('LT Collect Forecast'!$K$1:$Q$55,MATCH(CO2,'LT Collect Forecast'!$A:$A,0)+1,MATCH(CS$3,'LT Collect Forecast'!$K$2:$Q$2,0))</f>
        <v>450</v>
      </c>
      <c r="CT5" s="378" cm="1">
        <f t="array" ref="CT5">INDEX('LT Collect Forecast'!$K$1:$Q$55,MATCH(CO2,'LT Collect Forecast'!$A:$A,0)+1,MATCH(CT$3,'LT Collect Forecast'!$K$2:$Q$2,0))</f>
        <v>1000</v>
      </c>
      <c r="CU5" s="259" cm="1">
        <f t="array" ref="CU5">INDEX('LT Collect Forecast'!$K$1:$Q$55,MATCH(CO2,'LT Collect Forecast'!$A:$A,0)+1,MATCH(CU$3,'LT Collect Forecast'!$K$2:$Q$2,0))</f>
        <v>1050</v>
      </c>
      <c r="CV5" s="379" cm="1">
        <f t="array" ref="CV5">INDEX('LT Collect Forecast'!$K$1:$Q$55,MATCH(CO2,'LT Collect Forecast'!$A:$A,0)+1,MATCH(CV$3,'LT Collect Forecast'!$K$2:$Q$2,0))</f>
        <v>0</v>
      </c>
      <c r="CW5" s="255">
        <f t="shared" ref="CW5:CW6" si="326">SUM(CX5:DD5)</f>
        <v>4050</v>
      </c>
      <c r="CX5" s="376">
        <f>INDEX('LT Collect Forecast'!$K$1:$Q$55,MATCH(CW2,'LT Collect Forecast'!$A:$A,0),MATCH(CX$3,'LT Collect Forecast'!$K$2:$Q$2,0))</f>
        <v>700</v>
      </c>
      <c r="CY5" s="377">
        <f>INDEX('LT Collect Forecast'!$K$1:$Q$55,MATCH(CW2,'LT Collect Forecast'!$A:$A,0),MATCH(CY$3,'LT Collect Forecast'!$K$2:$Q$2,0))</f>
        <v>500</v>
      </c>
      <c r="CZ5" s="378">
        <f>INDEX('LT Collect Forecast'!$K$1:$Q$55,MATCH(CW2,'LT Collect Forecast'!$A:$A,0),MATCH(CZ$3,'LT Collect Forecast'!$K$2:$Q$2,0))</f>
        <v>450</v>
      </c>
      <c r="DA5" s="260" cm="1">
        <f t="array" ref="DA5">INDEX('LT Collect Forecast'!$K$1:$Q$55,MATCH(CW2,'LT Collect Forecast'!$A:$A,0)+1,MATCH(DA$3,'LT Collect Forecast'!$K$2:$Q$2,0))</f>
        <v>450</v>
      </c>
      <c r="DB5" s="378" cm="1">
        <f t="array" ref="DB5">INDEX('LT Collect Forecast'!$K$1:$Q$55,MATCH(CW2,'LT Collect Forecast'!$A:$A,0)+1,MATCH(DB$3,'LT Collect Forecast'!$K$2:$Q$2,0))</f>
        <v>1000</v>
      </c>
      <c r="DC5" s="259" cm="1">
        <f t="array" ref="DC5">INDEX('LT Collect Forecast'!$K$1:$Q$55,MATCH(CW2,'LT Collect Forecast'!$A:$A,0)+1,MATCH(DC$3,'LT Collect Forecast'!$K$2:$Q$2,0))</f>
        <v>950</v>
      </c>
      <c r="DD5" s="379" cm="1">
        <f t="array" ref="DD5">INDEX('LT Collect Forecast'!$K$1:$Q$55,MATCH(CW2,'LT Collect Forecast'!$A:$A,0)+1,MATCH(DD$3,'LT Collect Forecast'!$K$2:$Q$2,0))</f>
        <v>0</v>
      </c>
      <c r="DE5" s="255">
        <f t="shared" ref="DE5:DE6" si="327">SUM(DF5:DL5)</f>
        <v>4300</v>
      </c>
      <c r="DF5" s="376">
        <f>INDEX('LT Collect Forecast'!$K$1:$Q$55,MATCH(DE2,'LT Collect Forecast'!$A:$A,0),MATCH(DF$3,'LT Collect Forecast'!$K$2:$Q$2,0))</f>
        <v>700</v>
      </c>
      <c r="DG5" s="377">
        <f>INDEX('LT Collect Forecast'!$K$1:$Q$55,MATCH(DE2,'LT Collect Forecast'!$A:$A,0),MATCH(DG$3,'LT Collect Forecast'!$K$2:$Q$2,0))</f>
        <v>500</v>
      </c>
      <c r="DH5" s="378">
        <f>INDEX('LT Collect Forecast'!$K$1:$Q$55,MATCH(DE2,'LT Collect Forecast'!$A:$A,0),MATCH(DH$3,'LT Collect Forecast'!$K$2:$Q$2,0))</f>
        <v>500</v>
      </c>
      <c r="DI5" s="260" cm="1">
        <f t="array" ref="DI5">INDEX('LT Collect Forecast'!$K$1:$Q$55,MATCH(DE2,'LT Collect Forecast'!$A:$A,0)+1,MATCH(DI$3,'LT Collect Forecast'!$K$2:$Q$2,0))</f>
        <v>500</v>
      </c>
      <c r="DJ5" s="378" cm="1">
        <f t="array" ref="DJ5">INDEX('LT Collect Forecast'!$K$1:$Q$55,MATCH(DE2,'LT Collect Forecast'!$A:$A,0)+1,MATCH(DJ$3,'LT Collect Forecast'!$K$2:$Q$2,0))</f>
        <v>1100</v>
      </c>
      <c r="DK5" s="259" cm="1">
        <f t="array" ref="DK5">INDEX('LT Collect Forecast'!$K$1:$Q$55,MATCH(DE2,'LT Collect Forecast'!$A:$A,0)+1,MATCH(DK$3,'LT Collect Forecast'!$K$2:$Q$2,0))</f>
        <v>1000</v>
      </c>
      <c r="DL5" s="379" cm="1">
        <f t="array" ref="DL5">INDEX('LT Collect Forecast'!$K$1:$Q$55,MATCH(DE2,'LT Collect Forecast'!$A:$A,0)+1,MATCH(DL$3,'LT Collect Forecast'!$K$2:$Q$2,0))</f>
        <v>0</v>
      </c>
      <c r="DM5" s="255">
        <f t="shared" ref="DM5:DM6" si="328">SUM(DN5:DT5)</f>
        <v>4400</v>
      </c>
      <c r="DN5" s="376">
        <f>INDEX('LT Collect Forecast'!$K$1:$Q$55,MATCH(DM2,'LT Collect Forecast'!$A:$A,0),MATCH(DN$3,'LT Collect Forecast'!$K$2:$Q$2,0))</f>
        <v>750</v>
      </c>
      <c r="DO5" s="377">
        <f>INDEX('LT Collect Forecast'!$K$1:$Q$55,MATCH(DM2,'LT Collect Forecast'!$A:$A,0),MATCH(DO$3,'LT Collect Forecast'!$K$2:$Q$2,0))</f>
        <v>550</v>
      </c>
      <c r="DP5" s="378">
        <f>INDEX('LT Collect Forecast'!$K$1:$Q$55,MATCH(DM2,'LT Collect Forecast'!$A:$A,0),MATCH(DP$3,'LT Collect Forecast'!$K$2:$Q$2,0))</f>
        <v>550</v>
      </c>
      <c r="DQ5" s="260" cm="1">
        <f t="array" ref="DQ5">INDEX('LT Collect Forecast'!$K$1:$Q$55,MATCH(DM2,'LT Collect Forecast'!$A:$A,0)+1,MATCH(DQ$3,'LT Collect Forecast'!$K$2:$Q$2,0))</f>
        <v>550</v>
      </c>
      <c r="DR5" s="378" cm="1">
        <f t="array" ref="DR5">INDEX('LT Collect Forecast'!$K$1:$Q$55,MATCH(DM2,'LT Collect Forecast'!$A:$A,0)+1,MATCH(DR$3,'LT Collect Forecast'!$K$2:$Q$2,0))</f>
        <v>1050</v>
      </c>
      <c r="DS5" s="259" cm="1">
        <f t="array" ref="DS5">INDEX('LT Collect Forecast'!$K$1:$Q$55,MATCH(DM2,'LT Collect Forecast'!$A:$A,0)+1,MATCH(DS$3,'LT Collect Forecast'!$K$2:$Q$2,0))</f>
        <v>950</v>
      </c>
      <c r="DT5" s="379" cm="1">
        <f t="array" ref="DT5">INDEX('LT Collect Forecast'!$K$1:$Q$55,MATCH(DM2,'LT Collect Forecast'!$A:$A,0)+1,MATCH(DT$3,'LT Collect Forecast'!$K$2:$Q$2,0))</f>
        <v>0</v>
      </c>
      <c r="DU5" s="255">
        <f t="shared" ref="DU5:DU6" si="329">SUM(DV5:EB5)</f>
        <v>3700</v>
      </c>
      <c r="DV5" s="376">
        <f>INDEX('LT Collect Forecast'!$K$1:$Q$55,MATCH(DU2,'LT Collect Forecast'!$A:$A,0),MATCH(DV$3,'LT Collect Forecast'!$K$2:$Q$2,0))</f>
        <v>0</v>
      </c>
      <c r="DW5" s="377">
        <f>INDEX('LT Collect Forecast'!$K$1:$Q$55,MATCH(DU2,'LT Collect Forecast'!$A:$A,0),MATCH(DW$3,'LT Collect Forecast'!$K$2:$Q$2,0))</f>
        <v>700</v>
      </c>
      <c r="DX5" s="378">
        <f>INDEX('LT Collect Forecast'!$K$1:$Q$55,MATCH(DU2,'LT Collect Forecast'!$A:$A,0),MATCH(DX$3,'LT Collect Forecast'!$K$2:$Q$2,0))</f>
        <v>550</v>
      </c>
      <c r="DY5" s="260" cm="1">
        <f t="array" ref="DY5">INDEX('LT Collect Forecast'!$K$1:$Q$55,MATCH(DU2,'LT Collect Forecast'!$A:$A,0)+1,MATCH(DY$3,'LT Collect Forecast'!$K$2:$Q$2,0))</f>
        <v>550</v>
      </c>
      <c r="DZ5" s="378" cm="1">
        <f t="array" ref="DZ5">INDEX('LT Collect Forecast'!$K$1:$Q$55,MATCH(DU2,'LT Collect Forecast'!$A:$A,0)+1,MATCH(DZ$3,'LT Collect Forecast'!$K$2:$Q$2,0))</f>
        <v>1000</v>
      </c>
      <c r="EA5" s="259" cm="1">
        <f t="array" ref="EA5">INDEX('LT Collect Forecast'!$K$1:$Q$55,MATCH(DU2,'LT Collect Forecast'!$A:$A,0)+1,MATCH(EA$3,'LT Collect Forecast'!$K$2:$Q$2,0))</f>
        <v>900</v>
      </c>
      <c r="EB5" s="379" cm="1">
        <f t="array" ref="EB5">INDEX('LT Collect Forecast'!$K$1:$Q$55,MATCH(DU2,'LT Collect Forecast'!$A:$A,0)+1,MATCH(EB$3,'LT Collect Forecast'!$K$2:$Q$2,0))</f>
        <v>0</v>
      </c>
      <c r="EC5" s="255">
        <f t="shared" ref="EC5:EC6" si="330">SUM(ED5:EJ5)</f>
        <v>4100</v>
      </c>
      <c r="ED5" s="376">
        <f>INDEX('LT Collect Forecast'!$K$1:$Q$55,MATCH(EC2,'LT Collect Forecast'!$A:$A,0),MATCH(ED$3,'LT Collect Forecast'!$K$2:$Q$2,0))</f>
        <v>700</v>
      </c>
      <c r="EE5" s="377">
        <f>INDEX('LT Collect Forecast'!$K$1:$Q$55,MATCH(EC2,'LT Collect Forecast'!$A:$A,0),MATCH(EE$3,'LT Collect Forecast'!$K$2:$Q$2,0))</f>
        <v>500</v>
      </c>
      <c r="EF5" s="378">
        <f>INDEX('LT Collect Forecast'!$K$1:$Q$55,MATCH(EC2,'LT Collect Forecast'!$A:$A,0),MATCH(EF$3,'LT Collect Forecast'!$K$2:$Q$2,0))</f>
        <v>500</v>
      </c>
      <c r="EG5" s="260" cm="1">
        <f t="array" ref="EG5">INDEX('LT Collect Forecast'!$K$1:$Q$55,MATCH(EC2,'LT Collect Forecast'!$A:$A,0)+1,MATCH(EG$3,'LT Collect Forecast'!$K$2:$Q$2,0))</f>
        <v>500</v>
      </c>
      <c r="EH5" s="378" cm="1">
        <f t="array" ref="EH5">INDEX('LT Collect Forecast'!$K$1:$Q$55,MATCH(EC2,'LT Collect Forecast'!$A:$A,0)+1,MATCH(EH$3,'LT Collect Forecast'!$K$2:$Q$2,0))</f>
        <v>1000</v>
      </c>
      <c r="EI5" s="259" cm="1">
        <f t="array" ref="EI5">INDEX('LT Collect Forecast'!$K$1:$Q$55,MATCH(EC2,'LT Collect Forecast'!$A:$A,0)+1,MATCH(EI$3,'LT Collect Forecast'!$K$2:$Q$2,0))</f>
        <v>900</v>
      </c>
      <c r="EJ5" s="379" cm="1">
        <f t="array" ref="EJ5">INDEX('LT Collect Forecast'!$K$1:$Q$55,MATCH(EC2,'LT Collect Forecast'!$A:$A,0)+1,MATCH(EJ$3,'LT Collect Forecast'!$K$2:$Q$2,0))</f>
        <v>0</v>
      </c>
      <c r="EK5" s="255">
        <f t="shared" ref="EK5:EK6" si="331">SUM(EL5:ER5)</f>
        <v>4350</v>
      </c>
      <c r="EL5" s="376">
        <f>INDEX('LT Collect Forecast'!$K$1:$Q$55,MATCH(EK2,'LT Collect Forecast'!$A:$A,0),MATCH(EL$3,'LT Collect Forecast'!$K$2:$Q$2,0))</f>
        <v>700</v>
      </c>
      <c r="EM5" s="377">
        <f>INDEX('LT Collect Forecast'!$K$1:$Q$55,MATCH(EK2,'LT Collect Forecast'!$A:$A,0),MATCH(EM$3,'LT Collect Forecast'!$K$2:$Q$2,0))</f>
        <v>500</v>
      </c>
      <c r="EN5" s="378">
        <f>INDEX('LT Collect Forecast'!$K$1:$Q$55,MATCH(EK2,'LT Collect Forecast'!$A:$A,0),MATCH(EN$3,'LT Collect Forecast'!$K$2:$Q$2,0))</f>
        <v>550</v>
      </c>
      <c r="EO5" s="260" cm="1">
        <f t="array" ref="EO5">INDEX('LT Collect Forecast'!$K$1:$Q$55,MATCH(EK2,'LT Collect Forecast'!$A:$A,0)+1,MATCH(EO$3,'LT Collect Forecast'!$K$2:$Q$2,0))</f>
        <v>500</v>
      </c>
      <c r="EP5" s="378" cm="1">
        <f t="array" ref="EP5">INDEX('LT Collect Forecast'!$K$1:$Q$55,MATCH(EK2,'LT Collect Forecast'!$A:$A,0)+1,MATCH(EP$3,'LT Collect Forecast'!$K$2:$Q$2,0))</f>
        <v>1100</v>
      </c>
      <c r="EQ5" s="259" cm="1">
        <f t="array" ref="EQ5">INDEX('LT Collect Forecast'!$K$1:$Q$55,MATCH(EK2,'LT Collect Forecast'!$A:$A,0)+1,MATCH(EQ$3,'LT Collect Forecast'!$K$2:$Q$2,0))</f>
        <v>1000</v>
      </c>
      <c r="ER5" s="379" cm="1">
        <f t="array" ref="ER5">INDEX('LT Collect Forecast'!$K$1:$Q$55,MATCH(EK2,'LT Collect Forecast'!$A:$A,0)+1,MATCH(ER$3,'LT Collect Forecast'!$K$2:$Q$2,0))</f>
        <v>0</v>
      </c>
      <c r="ES5" s="255">
        <f t="shared" ref="ES5:ES6" si="332">SUM(ET5:EZ5)</f>
        <v>4900</v>
      </c>
      <c r="ET5" s="376">
        <f>INDEX('LT Collect Forecast'!$K$1:$Q$55,MATCH(ES2,'LT Collect Forecast'!$A:$A,0),MATCH(ET$3,'LT Collect Forecast'!$K$2:$Q$2,0))</f>
        <v>750</v>
      </c>
      <c r="EU5" s="377">
        <f>INDEX('LT Collect Forecast'!$K$1:$Q$55,MATCH(ES2,'LT Collect Forecast'!$A:$A,0),MATCH(EU$3,'LT Collect Forecast'!$K$2:$Q$2,0))</f>
        <v>600</v>
      </c>
      <c r="EV5" s="378">
        <f>INDEX('LT Collect Forecast'!$K$1:$Q$55,MATCH(ES2,'LT Collect Forecast'!$A:$A,0),MATCH(EV$3,'LT Collect Forecast'!$K$2:$Q$2,0))</f>
        <v>600</v>
      </c>
      <c r="EW5" s="260" cm="1">
        <f t="array" ref="EW5">INDEX('LT Collect Forecast'!$K$1:$Q$55,MATCH(ES2,'LT Collect Forecast'!$A:$A,0)+1,MATCH(EW$3,'LT Collect Forecast'!$K$2:$Q$2,0))</f>
        <v>650</v>
      </c>
      <c r="EX5" s="378" cm="1">
        <f t="array" ref="EX5">INDEX('LT Collect Forecast'!$K$1:$Q$55,MATCH(ES2,'LT Collect Forecast'!$A:$A,0)+1,MATCH(EX$3,'LT Collect Forecast'!$K$2:$Q$2,0))</f>
        <v>1200</v>
      </c>
      <c r="EY5" s="259" cm="1">
        <f t="array" ref="EY5">INDEX('LT Collect Forecast'!$K$1:$Q$55,MATCH(ES2,'LT Collect Forecast'!$A:$A,0)+1,MATCH(EY$3,'LT Collect Forecast'!$K$2:$Q$2,0))</f>
        <v>1100</v>
      </c>
      <c r="EZ5" s="379" cm="1">
        <f t="array" ref="EZ5">INDEX('LT Collect Forecast'!$K$1:$Q$55,MATCH(ES2,'LT Collect Forecast'!$A:$A,0)+1,MATCH(EZ$3,'LT Collect Forecast'!$K$2:$Q$2,0))</f>
        <v>0</v>
      </c>
      <c r="FA5" s="255">
        <f t="shared" ref="FA5:FA6" si="333">SUM(FB5:FH5)</f>
        <v>4650</v>
      </c>
      <c r="FB5" s="376">
        <f>INDEX('LT Collect Forecast'!$K$1:$Q$55,MATCH(FA2,'LT Collect Forecast'!$A:$A,0),MATCH(FB$3,'LT Collect Forecast'!$K$2:$Q$2,0))</f>
        <v>800</v>
      </c>
      <c r="FC5" s="377">
        <f>INDEX('LT Collect Forecast'!$K$1:$Q$55,MATCH(FA2,'LT Collect Forecast'!$A:$A,0),MATCH(FC$3,'LT Collect Forecast'!$K$2:$Q$2,0))</f>
        <v>650</v>
      </c>
      <c r="FD5" s="378">
        <f>INDEX('LT Collect Forecast'!$K$1:$Q$55,MATCH(FA2,'LT Collect Forecast'!$A:$A,0),MATCH(FD$3,'LT Collect Forecast'!$K$2:$Q$2,0))</f>
        <v>650</v>
      </c>
      <c r="FE5" s="260" cm="1">
        <f t="array" ref="FE5">INDEX('LT Collect Forecast'!$K$1:$Q$55,MATCH(FA2,'LT Collect Forecast'!$A:$A,0)+1,MATCH(FE$3,'LT Collect Forecast'!$K$2:$Q$2,0))</f>
        <v>600</v>
      </c>
      <c r="FF5" s="378" cm="1">
        <f t="array" ref="FF5">INDEX('LT Collect Forecast'!$K$1:$Q$55,MATCH(FA2,'LT Collect Forecast'!$A:$A,0)+1,MATCH(FF$3,'LT Collect Forecast'!$K$2:$Q$2,0))</f>
        <v>1050</v>
      </c>
      <c r="FG5" s="259" cm="1">
        <f t="array" ref="FG5">INDEX('LT Collect Forecast'!$K$1:$Q$55,MATCH(FA2,'LT Collect Forecast'!$A:$A,0)+1,MATCH(FG$3,'LT Collect Forecast'!$K$2:$Q$2,0))</f>
        <v>900</v>
      </c>
      <c r="FH5" s="379" cm="1">
        <f t="array" ref="FH5">INDEX('LT Collect Forecast'!$K$1:$Q$55,MATCH(FA2,'LT Collect Forecast'!$A:$A,0)+1,MATCH(FH$3,'LT Collect Forecast'!$K$2:$Q$2,0))</f>
        <v>0</v>
      </c>
      <c r="FI5" s="255">
        <f t="shared" ref="FI5:FI6" si="334">SUM(FJ5:FP5)</f>
        <v>3800</v>
      </c>
      <c r="FJ5" s="376">
        <f>INDEX('LT Collect Forecast'!$K$1:$Q$55,MATCH(FI2,'LT Collect Forecast'!$A:$A,0),MATCH(FJ$3,'LT Collect Forecast'!$K$2:$Q$2,0))</f>
        <v>700</v>
      </c>
      <c r="FK5" s="377">
        <f>INDEX('LT Collect Forecast'!$K$1:$Q$55,MATCH(FI2,'LT Collect Forecast'!$A:$A,0),MATCH(FK$3,'LT Collect Forecast'!$K$2:$Q$2,0))</f>
        <v>550</v>
      </c>
      <c r="FL5" s="378">
        <f>INDEX('LT Collect Forecast'!$K$1:$Q$55,MATCH(FI2,'LT Collect Forecast'!$A:$A,0),MATCH(FL$3,'LT Collect Forecast'!$K$2:$Q$2,0))</f>
        <v>600</v>
      </c>
      <c r="FM5" s="260" cm="1">
        <f t="array" ref="FM5">INDEX('LT Collect Forecast'!$K$1:$Q$55,MATCH(FI2,'LT Collect Forecast'!$A:$A,0)+1,MATCH(FM$3,'LT Collect Forecast'!$K$2:$Q$2,0))</f>
        <v>0</v>
      </c>
      <c r="FN5" s="378" cm="1">
        <f t="array" ref="FN5">INDEX('LT Collect Forecast'!$K$1:$Q$55,MATCH(FI2,'LT Collect Forecast'!$A:$A,0)+1,MATCH(FN$3,'LT Collect Forecast'!$K$2:$Q$2,0))</f>
        <v>850</v>
      </c>
      <c r="FO5" s="259" cm="1">
        <f t="array" ref="FO5">INDEX('LT Collect Forecast'!$K$1:$Q$55,MATCH(FI2,'LT Collect Forecast'!$A:$A,0)+1,MATCH(FO$3,'LT Collect Forecast'!$K$2:$Q$2,0))</f>
        <v>1100</v>
      </c>
      <c r="FP5" s="379" cm="1">
        <f t="array" ref="FP5">INDEX('LT Collect Forecast'!$K$1:$Q$55,MATCH(FI2,'LT Collect Forecast'!$A:$A,0)+1,MATCH(FP$3,'LT Collect Forecast'!$K$2:$Q$2,0))</f>
        <v>0</v>
      </c>
      <c r="FQ5" s="255">
        <f t="shared" ref="FQ5" si="335">SUM(FR5:FX5)</f>
        <v>4650</v>
      </c>
      <c r="FR5" s="376">
        <f>INDEX('LT Collect Forecast'!$K$1:$Q$55,MATCH(FQ2,'LT Collect Forecast'!$A:$A,0),MATCH(FR$3,'LT Collect Forecast'!$K$2:$Q$2,0))</f>
        <v>800</v>
      </c>
      <c r="FS5" s="377">
        <f>INDEX('LT Collect Forecast'!$K$1:$Q$55,MATCH(FQ2,'LT Collect Forecast'!$A:$A,0),MATCH(FS$3,'LT Collect Forecast'!$K$2:$Q$2,0))</f>
        <v>650</v>
      </c>
      <c r="FT5" s="378">
        <f>INDEX('LT Collect Forecast'!$K$1:$Q$55,MATCH(FQ2,'LT Collect Forecast'!$A:$A,0),MATCH(FT$3,'LT Collect Forecast'!$K$2:$Q$2,0))</f>
        <v>650</v>
      </c>
      <c r="FU5" s="260" cm="1">
        <f t="array" ref="FU5">INDEX('LT Collect Forecast'!$K$1:$Q$55,MATCH(FQ2,'LT Collect Forecast'!$A:$A,0)+1,MATCH(FU$3,'LT Collect Forecast'!$K$2:$Q$2,0))</f>
        <v>600</v>
      </c>
      <c r="FV5" s="378" cm="1">
        <f t="array" ref="FV5">INDEX('LT Collect Forecast'!$K$1:$Q$55,MATCH(FQ2,'LT Collect Forecast'!$A:$A,0)+1,MATCH(FV$3,'LT Collect Forecast'!$K$2:$Q$2,0))</f>
        <v>1000</v>
      </c>
      <c r="FW5" s="259" cm="1">
        <f t="array" ref="FW5">INDEX('LT Collect Forecast'!$K$1:$Q$55,MATCH(FQ2,'LT Collect Forecast'!$A:$A,0)+1,MATCH(FW$3,'LT Collect Forecast'!$K$2:$Q$2,0))</f>
        <v>950</v>
      </c>
      <c r="FX5" s="379" cm="1">
        <f t="array" ref="FX5">INDEX('LT Collect Forecast'!$K$1:$Q$55,MATCH(FQ2,'LT Collect Forecast'!$A:$A,0)+1,MATCH(FX$3,'LT Collect Forecast'!$K$2:$Q$2,0))</f>
        <v>0</v>
      </c>
      <c r="FY5" s="255">
        <f t="shared" ref="FY5:FY6" si="336">SUM(FZ5:GF5)</f>
        <v>4225</v>
      </c>
      <c r="FZ5" s="376">
        <f>INDEX('LT Collect Forecast'!$K$1:$Q$55,MATCH(FY2,'LT Collect Forecast'!$A:$A,0),MATCH(FZ$3,'LT Collect Forecast'!$K$2:$Q$2,0))</f>
        <v>0</v>
      </c>
      <c r="GA5" s="377">
        <f>INDEX('LT Collect Forecast'!$K$1:$Q$55,MATCH(FY2,'LT Collect Forecast'!$A:$A,0),MATCH(GA$3,'LT Collect Forecast'!$K$2:$Q$2,0))</f>
        <v>850</v>
      </c>
      <c r="GB5" s="378">
        <f>INDEX('LT Collect Forecast'!$K$1:$Q$55,MATCH(FY2,'LT Collect Forecast'!$A:$A,0),MATCH(GB$3,'LT Collect Forecast'!$K$2:$Q$2,0))</f>
        <v>800</v>
      </c>
      <c r="GC5" s="260" cm="1">
        <f t="array" ref="GC5">INDEX('LT Collect Forecast'!$K$1:$Q$55,MATCH(FY2,'LT Collect Forecast'!$A:$A,0)+1,MATCH(GC$3,'LT Collect Forecast'!$K$2:$Q$2,0))</f>
        <v>500</v>
      </c>
      <c r="GD5" s="378" cm="1">
        <f t="array" ref="GD5">INDEX('LT Collect Forecast'!$K$1:$Q$55,MATCH(FY2,'LT Collect Forecast'!$A:$A,0)+1,MATCH(GD$3,'LT Collect Forecast'!$K$2:$Q$2,0))</f>
        <v>1000</v>
      </c>
      <c r="GE5" s="259" cm="1">
        <f t="array" ref="GE5">INDEX('LT Collect Forecast'!$K$1:$Q$55,MATCH(FY2,'LT Collect Forecast'!$A:$A,0)+1,MATCH(GE$3,'LT Collect Forecast'!$K$2:$Q$2,0))</f>
        <v>1075</v>
      </c>
      <c r="GF5" s="379" cm="1">
        <f t="array" ref="GF5">INDEX('LT Collect Forecast'!$K$1:$Q$55,MATCH(FY2,'LT Collect Forecast'!$A:$A,0)+1,MATCH(GF$3,'LT Collect Forecast'!$K$2:$Q$2,0))</f>
        <v>0</v>
      </c>
      <c r="GG5" s="255">
        <f t="shared" ref="GG5:GG6" si="337">SUM(GH5:GN5)</f>
        <v>4750</v>
      </c>
      <c r="GH5" s="376">
        <f>INDEX('LT Collect Forecast'!$K$1:$Q$55,MATCH(GG2,'LT Collect Forecast'!$A:$A,0),MATCH(GH$3,'LT Collect Forecast'!$K$2:$Q$2,0))</f>
        <v>750</v>
      </c>
      <c r="GI5" s="377">
        <f>INDEX('LT Collect Forecast'!$K$1:$Q$55,MATCH(GG2,'LT Collect Forecast'!$A:$A,0),MATCH(GI$3,'LT Collect Forecast'!$K$2:$Q$2,0))</f>
        <v>650</v>
      </c>
      <c r="GJ5" s="378">
        <f>INDEX('LT Collect Forecast'!$K$1:$Q$55,MATCH(GG2,'LT Collect Forecast'!$A:$A,0),MATCH(GJ$3,'LT Collect Forecast'!$K$2:$Q$2,0))</f>
        <v>650</v>
      </c>
      <c r="GK5" s="260" cm="1">
        <f t="array" ref="GK5">INDEX('LT Collect Forecast'!$K$1:$Q$55,MATCH(GG2,'LT Collect Forecast'!$A:$A,0)+1,MATCH(GK$3,'LT Collect Forecast'!$K$2:$Q$2,0))</f>
        <v>600</v>
      </c>
      <c r="GL5" s="378" cm="1">
        <f t="array" ref="GL5">INDEX('LT Collect Forecast'!$K$1:$Q$55,MATCH(GG2,'LT Collect Forecast'!$A:$A,0)+1,MATCH(GL$3,'LT Collect Forecast'!$K$2:$Q$2,0))</f>
        <v>1100</v>
      </c>
      <c r="GM5" s="259" cm="1">
        <f t="array" ref="GM5">INDEX('LT Collect Forecast'!$K$1:$Q$55,MATCH(GG2,'LT Collect Forecast'!$A:$A,0)+1,MATCH(GM$3,'LT Collect Forecast'!$K$2:$Q$2,0))</f>
        <v>1000</v>
      </c>
      <c r="GN5" s="379" cm="1">
        <f t="array" ref="GN5">INDEX('LT Collect Forecast'!$K$1:$Q$55,MATCH(GG2,'LT Collect Forecast'!$A:$A,0)+1,MATCH(GN$3,'LT Collect Forecast'!$K$2:$Q$2,0))</f>
        <v>0</v>
      </c>
      <c r="GO5" s="255">
        <f t="shared" ref="GO5:GO6" si="338">SUM(GP5:GV5)</f>
        <v>4400</v>
      </c>
      <c r="GP5" s="376">
        <f>INDEX('LT Collect Forecast'!$K$1:$Q$55,MATCH(GO2,'LT Collect Forecast'!$A:$A,0),MATCH(GP$3,'LT Collect Forecast'!$K$2:$Q$2,0))</f>
        <v>375</v>
      </c>
      <c r="GQ5" s="377">
        <f>INDEX('LT Collect Forecast'!$K$1:$Q$55,MATCH(GO2,'LT Collect Forecast'!$A:$A,0),MATCH(GQ$3,'LT Collect Forecast'!$K$2:$Q$2,0))</f>
        <v>750</v>
      </c>
      <c r="GR5" s="378">
        <f>INDEX('LT Collect Forecast'!$K$1:$Q$55,MATCH(GO2,'LT Collect Forecast'!$A:$A,0),MATCH(GR$3,'LT Collect Forecast'!$K$2:$Q$2,0))</f>
        <v>600</v>
      </c>
      <c r="GS5" s="260" cm="1">
        <f t="array" ref="GS5">INDEX('LT Collect Forecast'!$K$1:$Q$55,MATCH(GO2,'LT Collect Forecast'!$A:$A,0)+1,MATCH(GS$3,'LT Collect Forecast'!$K$2:$Q$2,0))</f>
        <v>600</v>
      </c>
      <c r="GT5" s="378" cm="1">
        <f t="array" ref="GT5">INDEX('LT Collect Forecast'!$K$1:$Q$55,MATCH(GO2,'LT Collect Forecast'!$A:$A,0)+1,MATCH(GT$3,'LT Collect Forecast'!$K$2:$Q$2,0))</f>
        <v>1075</v>
      </c>
      <c r="GU5" s="259" cm="1">
        <f t="array" ref="GU5">INDEX('LT Collect Forecast'!$K$1:$Q$55,MATCH(GO2,'LT Collect Forecast'!$A:$A,0)+1,MATCH(GU$3,'LT Collect Forecast'!$K$2:$Q$2,0))</f>
        <v>1000</v>
      </c>
      <c r="GV5" s="379" cm="1">
        <f t="array" ref="GV5">INDEX('LT Collect Forecast'!$K$1:$Q$55,MATCH(GO2,'LT Collect Forecast'!$A:$A,0)+1,MATCH(GV$3,'LT Collect Forecast'!$K$2:$Q$2,0))</f>
        <v>0</v>
      </c>
      <c r="GW5" s="255">
        <f t="shared" ref="GW5:GW6" si="339">SUM(GX5:HD5)</f>
        <v>4475</v>
      </c>
      <c r="GX5" s="376">
        <f>INDEX('LT Collect Forecast'!$K$1:$Q$55,MATCH(GW2,'LT Collect Forecast'!$A:$A,0),MATCH(GX$3,'LT Collect Forecast'!$K$2:$Q$2,0))</f>
        <v>675</v>
      </c>
      <c r="GY5" s="377">
        <f>INDEX('LT Collect Forecast'!$K$1:$Q$55,MATCH(GW2,'LT Collect Forecast'!$A:$A,0),MATCH(GY$3,'LT Collect Forecast'!$K$2:$Q$2,0))</f>
        <v>600</v>
      </c>
      <c r="GZ5" s="378">
        <f>INDEX('LT Collect Forecast'!$K$1:$Q$55,MATCH(GW2,'LT Collect Forecast'!$A:$A,0),MATCH(GZ$3,'LT Collect Forecast'!$K$2:$Q$2,0))</f>
        <v>600</v>
      </c>
      <c r="HA5" s="260" cm="1">
        <f t="array" ref="HA5">INDEX('LT Collect Forecast'!$K$1:$Q$55,MATCH(GW2,'LT Collect Forecast'!$A:$A,0)+1,MATCH(HA$3,'LT Collect Forecast'!$K$2:$Q$2,0))</f>
        <v>600</v>
      </c>
      <c r="HB5" s="378" cm="1">
        <f t="array" ref="HB5">INDEX('LT Collect Forecast'!$K$1:$Q$55,MATCH(GW2,'LT Collect Forecast'!$A:$A,0)+1,MATCH(HB$3,'LT Collect Forecast'!$K$2:$Q$2,0))</f>
        <v>1050</v>
      </c>
      <c r="HC5" s="259" cm="1">
        <f t="array" ref="HC5">INDEX('LT Collect Forecast'!$K$1:$Q$55,MATCH(GW2,'LT Collect Forecast'!$A:$A,0)+1,MATCH(HC$3,'LT Collect Forecast'!$K$2:$Q$2,0))</f>
        <v>950</v>
      </c>
      <c r="HD5" s="379" cm="1">
        <f t="array" ref="HD5">INDEX('LT Collect Forecast'!$K$1:$Q$55,MATCH(GW2,'LT Collect Forecast'!$A:$A,0)+1,MATCH(HD$3,'LT Collect Forecast'!$K$2:$Q$2,0))</f>
        <v>0</v>
      </c>
      <c r="HE5" s="255">
        <f t="shared" ref="HE5:HE6" si="340">SUM(HF5:HL5)</f>
        <v>3600</v>
      </c>
      <c r="HF5" s="376">
        <f>INDEX('LT Collect Forecast'!$K$1:$Q$55,MATCH(HE2,'LT Collect Forecast'!$A:$A,0),MATCH(HF$3,'LT Collect Forecast'!$K$2:$Q$2,0))</f>
        <v>550</v>
      </c>
      <c r="HG5" s="377">
        <f>INDEX('LT Collect Forecast'!$K$1:$Q$55,MATCH(HE2,'LT Collect Forecast'!$A:$A,0),MATCH(HG$3,'LT Collect Forecast'!$K$2:$Q$2,0))</f>
        <v>500</v>
      </c>
      <c r="HH5" s="378">
        <f>INDEX('LT Collect Forecast'!$K$1:$Q$55,MATCH(HE2,'LT Collect Forecast'!$A:$A,0),MATCH(HH$3,'LT Collect Forecast'!$K$2:$Q$2,0))</f>
        <v>500</v>
      </c>
      <c r="HI5" s="260" cm="1">
        <f t="array" ref="HI5">INDEX('LT Collect Forecast'!$K$1:$Q$55,MATCH(HE2,'LT Collect Forecast'!$A:$A,0)+1,MATCH(HI$3,'LT Collect Forecast'!$K$2:$Q$2,0))</f>
        <v>450</v>
      </c>
      <c r="HJ5" s="378" cm="1">
        <f t="array" ref="HJ5">INDEX('LT Collect Forecast'!$K$1:$Q$55,MATCH(HE2,'LT Collect Forecast'!$A:$A,0)+1,MATCH(HJ$3,'LT Collect Forecast'!$K$2:$Q$2,0))</f>
        <v>850</v>
      </c>
      <c r="HK5" s="259" cm="1">
        <f t="array" ref="HK5">INDEX('LT Collect Forecast'!$K$1:$Q$55,MATCH(HE2,'LT Collect Forecast'!$A:$A,0)+1,MATCH(HK$3,'LT Collect Forecast'!$K$2:$Q$2,0))</f>
        <v>750</v>
      </c>
      <c r="HL5" s="379" cm="1">
        <f t="array" ref="HL5">INDEX('LT Collect Forecast'!$K$1:$Q$55,MATCH(HE2,'LT Collect Forecast'!$A:$A,0)+1,MATCH(HL$3,'LT Collect Forecast'!$K$2:$Q$2,0))</f>
        <v>0</v>
      </c>
      <c r="HM5" s="255">
        <f t="shared" ref="HM5:HM6" si="341">SUM(HN5:HT5)</f>
        <v>3350</v>
      </c>
      <c r="HN5" s="376">
        <f>INDEX('LT Collect Forecast'!$K$1:$Q$55,MATCH(HM2,'LT Collect Forecast'!$A:$A,0),MATCH(HN$3,'LT Collect Forecast'!$K$2:$Q$2,0))</f>
        <v>500</v>
      </c>
      <c r="HO5" s="377">
        <f>INDEX('LT Collect Forecast'!$K$1:$Q$55,MATCH(HM2,'LT Collect Forecast'!$A:$A,0),MATCH(HO$3,'LT Collect Forecast'!$K$2:$Q$2,0))</f>
        <v>500</v>
      </c>
      <c r="HP5" s="378">
        <f>INDEX('LT Collect Forecast'!$K$1:$Q$55,MATCH(HM2,'LT Collect Forecast'!$A:$A,0),MATCH(HP$3,'LT Collect Forecast'!$K$2:$Q$2,0))</f>
        <v>450</v>
      </c>
      <c r="HQ5" s="260" cm="1">
        <f t="array" ref="HQ5">INDEX('LT Collect Forecast'!$K$1:$Q$55,MATCH(HM2,'LT Collect Forecast'!$A:$A,0)+1,MATCH(HQ$3,'LT Collect Forecast'!$K$2:$Q$2,0))</f>
        <v>450</v>
      </c>
      <c r="HR5" s="378" cm="1">
        <f t="array" ref="HR5">INDEX('LT Collect Forecast'!$K$1:$Q$55,MATCH(HM2,'LT Collect Forecast'!$A:$A,0)+1,MATCH(HR$3,'LT Collect Forecast'!$K$2:$Q$2,0))</f>
        <v>750</v>
      </c>
      <c r="HS5" s="259" cm="1">
        <f t="array" ref="HS5">INDEX('LT Collect Forecast'!$K$1:$Q$55,MATCH(HM2,'LT Collect Forecast'!$A:$A,0)+1,MATCH(HS$3,'LT Collect Forecast'!$K$2:$Q$2,0))</f>
        <v>700</v>
      </c>
      <c r="HT5" s="379" cm="1">
        <f t="array" ref="HT5">INDEX('LT Collect Forecast'!$K$1:$Q$55,MATCH(HM2,'LT Collect Forecast'!$A:$A,0)+1,MATCH(HT$3,'LT Collect Forecast'!$K$2:$Q$2,0))</f>
        <v>0</v>
      </c>
      <c r="HU5" s="255">
        <f t="shared" ref="HU5:HU6" si="342">SUM(HV5:IB5)</f>
        <v>3050</v>
      </c>
      <c r="HV5" s="376">
        <f>INDEX('LT Collect Forecast'!$K$1:$Q$55,MATCH(HU2,'LT Collect Forecast'!$A:$A,0),MATCH(HV$3,'LT Collect Forecast'!$K$2:$Q$2,0))</f>
        <v>450</v>
      </c>
      <c r="HW5" s="377">
        <f>INDEX('LT Collect Forecast'!$K$1:$Q$55,MATCH(HU2,'LT Collect Forecast'!$A:$A,0),MATCH(HW$3,'LT Collect Forecast'!$K$2:$Q$2,0))</f>
        <v>450</v>
      </c>
      <c r="HX5" s="378">
        <f>INDEX('LT Collect Forecast'!$K$1:$Q$55,MATCH(HU2,'LT Collect Forecast'!$A:$A,0),MATCH(HX$3,'LT Collect Forecast'!$K$2:$Q$2,0))</f>
        <v>500</v>
      </c>
      <c r="HY5" s="260" cm="1">
        <f t="array" ref="HY5">INDEX('LT Collect Forecast'!$K$1:$Q$55,MATCH(HU2,'LT Collect Forecast'!$A:$A,0)+1,MATCH(HY$3,'LT Collect Forecast'!$K$2:$Q$2,0))</f>
        <v>0</v>
      </c>
      <c r="HZ5" s="378" cm="1">
        <f t="array" ref="HZ5">INDEX('LT Collect Forecast'!$K$1:$Q$55,MATCH(HU2,'LT Collect Forecast'!$A:$A,0)+1,MATCH(HZ$3,'LT Collect Forecast'!$K$2:$Q$2,0))</f>
        <v>900</v>
      </c>
      <c r="IA5" s="259" cm="1">
        <f t="array" ref="IA5">INDEX('LT Collect Forecast'!$K$1:$Q$55,MATCH(HU2,'LT Collect Forecast'!$A:$A,0)+1,MATCH(IA$3,'LT Collect Forecast'!$K$2:$Q$2,0))</f>
        <v>750</v>
      </c>
      <c r="IB5" s="379" cm="1">
        <f t="array" ref="IB5">INDEX('LT Collect Forecast'!$K$1:$Q$55,MATCH(HU2,'LT Collect Forecast'!$A:$A,0)+1,MATCH(IB$3,'LT Collect Forecast'!$K$2:$Q$2,0))</f>
        <v>0</v>
      </c>
      <c r="IC5" s="255">
        <f t="shared" ref="IC5:IC6" si="343">SUM(ID5:IJ5)</f>
        <v>3150</v>
      </c>
      <c r="ID5" s="376">
        <f>INDEX('LT Collect Forecast'!$K$1:$Q$55,MATCH(IC2,'LT Collect Forecast'!$A:$A,0),MATCH(ID$3,'LT Collect Forecast'!$K$2:$Q$2,0))</f>
        <v>450</v>
      </c>
      <c r="IE5" s="377">
        <f>INDEX('LT Collect Forecast'!$K$1:$Q$55,MATCH(IC2,'LT Collect Forecast'!$A:$A,0),MATCH(IE$3,'LT Collect Forecast'!$K$2:$Q$2,0))</f>
        <v>450</v>
      </c>
      <c r="IF5" s="378">
        <f>INDEX('LT Collect Forecast'!$K$1:$Q$55,MATCH(IC2,'LT Collect Forecast'!$A:$A,0),MATCH(IF$3,'LT Collect Forecast'!$K$2:$Q$2,0))</f>
        <v>450</v>
      </c>
      <c r="IG5" s="260" cm="1">
        <f t="array" ref="IG5">INDEX('LT Collect Forecast'!$K$1:$Q$55,MATCH(IC2,'LT Collect Forecast'!$A:$A,0)+1,MATCH(IG$3,'LT Collect Forecast'!$K$2:$Q$2,0))</f>
        <v>450</v>
      </c>
      <c r="IH5" s="378" cm="1">
        <f t="array" ref="IH5">INDEX('LT Collect Forecast'!$K$1:$Q$55,MATCH(IC2,'LT Collect Forecast'!$A:$A,0)+1,MATCH(IH$3,'LT Collect Forecast'!$K$2:$Q$2,0))</f>
        <v>700</v>
      </c>
      <c r="II5" s="259" cm="1">
        <f t="array" ref="II5">INDEX('LT Collect Forecast'!$K$1:$Q$55,MATCH(IC2,'LT Collect Forecast'!$A:$A,0)+1,MATCH(II$3,'LT Collect Forecast'!$K$2:$Q$2,0))</f>
        <v>650</v>
      </c>
      <c r="IJ5" s="379" cm="1">
        <f t="array" ref="IJ5">INDEX('LT Collect Forecast'!$K$1:$Q$55,MATCH(IC2,'LT Collect Forecast'!$A:$A,0)+1,MATCH(IJ$3,'LT Collect Forecast'!$K$2:$Q$2,0))</f>
        <v>0</v>
      </c>
      <c r="IK5" s="255">
        <f t="shared" ref="IK5:IK6" si="344">SUM(IL5:IR5)</f>
        <v>3425</v>
      </c>
      <c r="IL5" s="376">
        <f>INDEX('LT Collect Forecast'!$K$1:$Q$55,MATCH(IK2,'LT Collect Forecast'!$A:$A,0),MATCH(IL$3,'LT Collect Forecast'!$K$2:$Q$2,0))</f>
        <v>500</v>
      </c>
      <c r="IM5" s="377">
        <f>INDEX('LT Collect Forecast'!$K$1:$Q$55,MATCH(IK2,'LT Collect Forecast'!$A:$A,0),MATCH(IM$3,'LT Collect Forecast'!$K$2:$Q$2,0))</f>
        <v>450</v>
      </c>
      <c r="IN5" s="378">
        <f>INDEX('LT Collect Forecast'!$K$1:$Q$55,MATCH(IK2,'LT Collect Forecast'!$A:$A,0),MATCH(IN$3,'LT Collect Forecast'!$K$2:$Q$2,0))</f>
        <v>450</v>
      </c>
      <c r="IO5" s="260" cm="1">
        <f t="array" ref="IO5">INDEX('LT Collect Forecast'!$K$1:$Q$55,MATCH(IK2,'LT Collect Forecast'!$A:$A,0)+1,MATCH(IO$3,'LT Collect Forecast'!$K$2:$Q$2,0))</f>
        <v>500</v>
      </c>
      <c r="IP5" s="378" cm="1">
        <f t="array" ref="IP5">INDEX('LT Collect Forecast'!$K$1:$Q$55,MATCH(IK2,'LT Collect Forecast'!$A:$A,0)+1,MATCH(IP$3,'LT Collect Forecast'!$K$2:$Q$2,0))</f>
        <v>800</v>
      </c>
      <c r="IQ5" s="259" cm="1">
        <f t="array" ref="IQ5">INDEX('LT Collect Forecast'!$K$1:$Q$55,MATCH(IK2,'LT Collect Forecast'!$A:$A,0)+1,MATCH(IQ$3,'LT Collect Forecast'!$K$2:$Q$2,0))</f>
        <v>725</v>
      </c>
      <c r="IR5" s="379" cm="1">
        <f t="array" ref="IR5">INDEX('LT Collect Forecast'!$K$1:$Q$55,MATCH(IK2,'LT Collect Forecast'!$A:$A,0)+1,MATCH(IR$3,'LT Collect Forecast'!$K$2:$Q$2,0))</f>
        <v>0</v>
      </c>
      <c r="IS5" s="255">
        <f t="shared" ref="IS5:IS6" si="345">SUM(IT5:IZ5)</f>
        <v>3300</v>
      </c>
      <c r="IT5" s="376">
        <f>INDEX('LT Collect Forecast'!$K$1:$Q$55,MATCH(IS2,'LT Collect Forecast'!$A:$A,0),MATCH(IT$3,'LT Collect Forecast'!$K$2:$Q$2,0))</f>
        <v>525</v>
      </c>
      <c r="IU5" s="377">
        <f>INDEX('LT Collect Forecast'!$K$1:$Q$55,MATCH(IS2,'LT Collect Forecast'!$A:$A,0),MATCH(IU$3,'LT Collect Forecast'!$K$2:$Q$2,0))</f>
        <v>475</v>
      </c>
      <c r="IV5" s="378">
        <f>INDEX('LT Collect Forecast'!$K$1:$Q$55,MATCH(IS2,'LT Collect Forecast'!$A:$A,0),MATCH(IV$3,'LT Collect Forecast'!$K$2:$Q$2,0))</f>
        <v>475</v>
      </c>
      <c r="IW5" s="260" cm="1">
        <f t="array" ref="IW5">INDEX('LT Collect Forecast'!$K$1:$Q$55,MATCH(IS2,'LT Collect Forecast'!$A:$A,0)+1,MATCH(IW$3,'LT Collect Forecast'!$K$2:$Q$2,0))</f>
        <v>400</v>
      </c>
      <c r="IX5" s="378" cm="1">
        <f t="array" ref="IX5">INDEX('LT Collect Forecast'!$K$1:$Q$55,MATCH(IS2,'LT Collect Forecast'!$A:$A,0)+1,MATCH(IX$3,'LT Collect Forecast'!$K$2:$Q$2,0))</f>
        <v>750</v>
      </c>
      <c r="IY5" s="259" cm="1">
        <f t="array" ref="IY5">INDEX('LT Collect Forecast'!$K$1:$Q$55,MATCH(IS2,'LT Collect Forecast'!$A:$A,0)+1,MATCH(IY$3,'LT Collect Forecast'!$K$2:$Q$2,0))</f>
        <v>675</v>
      </c>
      <c r="IZ5" s="379" cm="1">
        <f t="array" ref="IZ5">INDEX('LT Collect Forecast'!$K$1:$Q$55,MATCH(IS2,'LT Collect Forecast'!$A:$A,0)+1,MATCH(IZ$3,'LT Collect Forecast'!$K$2:$Q$2,0))</f>
        <v>0</v>
      </c>
      <c r="JA5" s="255">
        <f t="shared" ref="JA5:JA6" si="346">SUM(JB5:JH5)</f>
        <v>3425</v>
      </c>
      <c r="JB5" s="376">
        <f>INDEX('LT Collect Forecast'!$K$1:$Q$55,MATCH(JA2,'LT Collect Forecast'!$A:$A,0),MATCH(JB$3,'LT Collect Forecast'!$K$2:$Q$2,0))</f>
        <v>0</v>
      </c>
      <c r="JC5" s="377">
        <f>INDEX('LT Collect Forecast'!$K$1:$Q$55,MATCH(JA2,'LT Collect Forecast'!$A:$A,0),MATCH(JC$3,'LT Collect Forecast'!$K$2:$Q$2,0))</f>
        <v>800</v>
      </c>
      <c r="JD5" s="378">
        <f>INDEX('LT Collect Forecast'!$K$1:$Q$55,MATCH(JA2,'LT Collect Forecast'!$A:$A,0),MATCH(JD$3,'LT Collect Forecast'!$K$2:$Q$2,0))</f>
        <v>550</v>
      </c>
      <c r="JE5" s="260" cm="1">
        <f t="array" ref="JE5">INDEX('LT Collect Forecast'!$K$1:$Q$55,MATCH(JA2,'LT Collect Forecast'!$A:$A,0)+1,MATCH(JE$3,'LT Collect Forecast'!$K$2:$Q$2,0))</f>
        <v>475</v>
      </c>
      <c r="JF5" s="378" cm="1">
        <f t="array" ref="JF5">INDEX('LT Collect Forecast'!$K$1:$Q$55,MATCH(JA2,'LT Collect Forecast'!$A:$A,0)+1,MATCH(JF$3,'LT Collect Forecast'!$K$2:$Q$2,0))</f>
        <v>825</v>
      </c>
      <c r="JG5" s="259" cm="1">
        <f t="array" ref="JG5">INDEX('LT Collect Forecast'!$K$1:$Q$55,MATCH(JA2,'LT Collect Forecast'!$A:$A,0)+1,MATCH(JG$3,'LT Collect Forecast'!$K$2:$Q$2,0))</f>
        <v>775</v>
      </c>
      <c r="JH5" s="379" cm="1">
        <f t="array" ref="JH5">INDEX('LT Collect Forecast'!$K$1:$Q$55,MATCH(JA2,'LT Collect Forecast'!$A:$A,0)+1,MATCH(JH$3,'LT Collect Forecast'!$K$2:$Q$2,0))</f>
        <v>0</v>
      </c>
      <c r="JI5" s="255">
        <f t="shared" ref="JI5:JI6" si="347">SUM(JJ5:JP5)</f>
        <v>4350</v>
      </c>
      <c r="JJ5" s="376">
        <f>INDEX('LT Collect Forecast'!$K$1:$Q$55,MATCH(JI2,'LT Collect Forecast'!$A:$A,0),MATCH(JJ$3,'LT Collect Forecast'!$K$2:$Q$2,0))</f>
        <v>650</v>
      </c>
      <c r="JK5" s="377">
        <f>INDEX('LT Collect Forecast'!$K$1:$Q$55,MATCH(JI2,'LT Collect Forecast'!$A:$A,0),MATCH(JK$3,'LT Collect Forecast'!$K$2:$Q$2,0))</f>
        <v>500</v>
      </c>
      <c r="JL5" s="378">
        <f>INDEX('LT Collect Forecast'!$K$1:$Q$55,MATCH(JI2,'LT Collect Forecast'!$A:$A,0),MATCH(JL$3,'LT Collect Forecast'!$K$2:$Q$2,0))</f>
        <v>500</v>
      </c>
      <c r="JM5" s="260" cm="1">
        <f t="array" ref="JM5">INDEX('LT Collect Forecast'!$K$1:$Q$55,MATCH(JI2,'LT Collect Forecast'!$A:$A,0)+1,MATCH(JM$3,'LT Collect Forecast'!$K$2:$Q$2,0))</f>
        <v>550</v>
      </c>
      <c r="JN5" s="378" cm="1">
        <f t="array" ref="JN5">INDEX('LT Collect Forecast'!$K$1:$Q$55,MATCH(JI2,'LT Collect Forecast'!$A:$A,0)+1,MATCH(JN$3,'LT Collect Forecast'!$K$2:$Q$2,0))</f>
        <v>1100</v>
      </c>
      <c r="JO5" s="259" cm="1">
        <f t="array" ref="JO5">INDEX('LT Collect Forecast'!$K$1:$Q$55,MATCH(JI2,'LT Collect Forecast'!$A:$A,0)+1,MATCH(JO$3,'LT Collect Forecast'!$K$2:$Q$2,0))</f>
        <v>1050</v>
      </c>
      <c r="JP5" s="379" cm="1">
        <f t="array" ref="JP5">INDEX('LT Collect Forecast'!$K$1:$Q$55,MATCH(JI2,'LT Collect Forecast'!$A:$A,0)+1,MATCH(JP$3,'LT Collect Forecast'!$K$2:$Q$2,0))</f>
        <v>0</v>
      </c>
      <c r="JQ5" s="255">
        <f t="shared" ref="JQ5:JQ6" si="348">SUM(JR5:JX5)</f>
        <v>4850</v>
      </c>
      <c r="JR5" s="376">
        <f>INDEX('LT Collect Forecast'!$K$1:$Q$55,MATCH(JQ2,'LT Collect Forecast'!$A:$A,0),MATCH(JR$3,'LT Collect Forecast'!$K$2:$Q$2,0))</f>
        <v>700</v>
      </c>
      <c r="JS5" s="377">
        <f>INDEX('LT Collect Forecast'!$K$1:$Q$55,MATCH(JQ2,'LT Collect Forecast'!$A:$A,0),MATCH(JS$3,'LT Collect Forecast'!$K$2:$Q$2,0))</f>
        <v>650</v>
      </c>
      <c r="JT5" s="378">
        <f>INDEX('LT Collect Forecast'!$K$1:$Q$55,MATCH(JQ2,'LT Collect Forecast'!$A:$A,0),MATCH(JT$3,'LT Collect Forecast'!$K$2:$Q$2,0))</f>
        <v>650</v>
      </c>
      <c r="JU5" s="260" cm="1">
        <f t="array" ref="JU5">INDEX('LT Collect Forecast'!$K$1:$Q$55,MATCH(JQ2,'LT Collect Forecast'!$A:$A,0)+1,MATCH(JU$3,'LT Collect Forecast'!$K$2:$Q$2,0))</f>
        <v>650</v>
      </c>
      <c r="JV5" s="378" cm="1">
        <f t="array" ref="JV5">INDEX('LT Collect Forecast'!$K$1:$Q$55,MATCH(JQ2,'LT Collect Forecast'!$A:$A,0)+1,MATCH(JV$3,'LT Collect Forecast'!$K$2:$Q$2,0))</f>
        <v>1150</v>
      </c>
      <c r="JW5" s="259" cm="1">
        <f t="array" ref="JW5">INDEX('LT Collect Forecast'!$K$1:$Q$55,MATCH(JQ2,'LT Collect Forecast'!$A:$A,0)+1,MATCH(JW$3,'LT Collect Forecast'!$K$2:$Q$2,0))</f>
        <v>1050</v>
      </c>
      <c r="JX5" s="379" cm="1">
        <f t="array" ref="JX5">INDEX('LT Collect Forecast'!$K$1:$Q$55,MATCH(JQ2,'LT Collect Forecast'!$A:$A,0)+1,MATCH(JX$3,'LT Collect Forecast'!$K$2:$Q$2,0))</f>
        <v>0</v>
      </c>
      <c r="JY5" s="255">
        <f t="shared" ref="JY5:JY6" si="349">SUM(JZ5:KF5)</f>
        <v>4975</v>
      </c>
      <c r="JZ5" s="376">
        <f>INDEX('LT Collect Forecast'!$K$1:$Q$55,MATCH(JY2,'LT Collect Forecast'!$A:$A,0),MATCH(JZ$3,'LT Collect Forecast'!$K$2:$Q$2,0))</f>
        <v>750</v>
      </c>
      <c r="KA5" s="377">
        <f>INDEX('LT Collect Forecast'!$K$1:$Q$55,MATCH(JY2,'LT Collect Forecast'!$A:$A,0),MATCH(KA$3,'LT Collect Forecast'!$K$2:$Q$2,0))</f>
        <v>675</v>
      </c>
      <c r="KB5" s="378">
        <f>INDEX('LT Collect Forecast'!$K$1:$Q$55,MATCH(JY2,'LT Collect Forecast'!$A:$A,0),MATCH(KB$3,'LT Collect Forecast'!$K$2:$Q$2,0))</f>
        <v>700</v>
      </c>
      <c r="KC5" s="260" cm="1">
        <f t="array" ref="KC5">INDEX('LT Collect Forecast'!$K$1:$Q$55,MATCH(JY2,'LT Collect Forecast'!$A:$A,0)+1,MATCH(KC$3,'LT Collect Forecast'!$K$2:$Q$2,0))</f>
        <v>650</v>
      </c>
      <c r="KD5" s="378" cm="1">
        <f t="array" ref="KD5">INDEX('LT Collect Forecast'!$K$1:$Q$55,MATCH(JY2,'LT Collect Forecast'!$A:$A,0)+1,MATCH(KD$3,'LT Collect Forecast'!$K$2:$Q$2,0))</f>
        <v>1150</v>
      </c>
      <c r="KE5" s="259" cm="1">
        <f t="array" ref="KE5">INDEX('LT Collect Forecast'!$K$1:$Q$55,MATCH(JY2,'LT Collect Forecast'!$A:$A,0)+1,MATCH(KE$3,'LT Collect Forecast'!$K$2:$Q$2,0))</f>
        <v>1050</v>
      </c>
      <c r="KF5" s="379" cm="1">
        <f t="array" ref="KF5">INDEX('LT Collect Forecast'!$K$1:$Q$55,MATCH(JY2,'LT Collect Forecast'!$A:$A,0)+1,MATCH(KF$3,'LT Collect Forecast'!$K$2:$Q$2,0))</f>
        <v>0</v>
      </c>
      <c r="KG5" s="255">
        <f t="shared" ref="KG5:KG6" si="350">SUM(KH5:KN5)</f>
        <v>4850</v>
      </c>
      <c r="KH5" s="376">
        <f>INDEX('LT Collect Forecast'!$K$1:$Q$55,MATCH(KG2,'LT Collect Forecast'!$A:$A,0),MATCH(KH$3,'LT Collect Forecast'!$K$2:$Q$2,0))</f>
        <v>750</v>
      </c>
      <c r="KI5" s="377">
        <f>INDEX('LT Collect Forecast'!$K$1:$Q$55,MATCH(KG2,'LT Collect Forecast'!$A:$A,0),MATCH(KI$3,'LT Collect Forecast'!$K$2:$Q$2,0))</f>
        <v>700</v>
      </c>
      <c r="KJ5" s="378">
        <f>INDEX('LT Collect Forecast'!$K$1:$Q$55,MATCH(KG2,'LT Collect Forecast'!$A:$A,0),MATCH(KJ$3,'LT Collect Forecast'!$K$2:$Q$2,0))</f>
        <v>700</v>
      </c>
      <c r="KK5" s="260" cm="1">
        <f t="array" ref="KK5">INDEX('LT Collect Forecast'!$K$1:$Q$55,MATCH(KG2,'LT Collect Forecast'!$A:$A,0)+1,MATCH(KK$3,'LT Collect Forecast'!$K$2:$Q$2,0))</f>
        <v>650</v>
      </c>
      <c r="KL5" s="378">
        <v>1050</v>
      </c>
      <c r="KM5" s="259" cm="1">
        <f t="array" ref="KM5">INDEX('LT Collect Forecast'!$K$1:$Q$55,MATCH(KG2,'LT Collect Forecast'!$A:$A,0)+1,MATCH(KM$3,'LT Collect Forecast'!$K$2:$Q$2,0))</f>
        <v>1000</v>
      </c>
      <c r="KN5" s="379" cm="1">
        <f t="array" ref="KN5">INDEX('LT Collect Forecast'!$K$1:$Q$55,MATCH(KG2,'LT Collect Forecast'!$A:$A,0)+1,MATCH(KN$3,'LT Collect Forecast'!$K$2:$Q$2,0))</f>
        <v>0</v>
      </c>
      <c r="KO5" s="255">
        <f t="shared" ref="KO5:KO6" si="351">SUM(KP5:KV5)</f>
        <v>4650</v>
      </c>
      <c r="KP5" s="376">
        <f>INDEX('LT Collect Forecast'!$K$1:$Q$55,MATCH(KO2,'LT Collect Forecast'!$A:$A,0),MATCH(KP$3,'LT Collect Forecast'!$K$2:$Q$2,0))</f>
        <v>750</v>
      </c>
      <c r="KQ5" s="377">
        <f>INDEX('LT Collect Forecast'!$K$1:$Q$55,MATCH(KO2,'LT Collect Forecast'!$A:$A,0),MATCH(KQ$3,'LT Collect Forecast'!$K$2:$Q$2,0))</f>
        <v>600</v>
      </c>
      <c r="KR5" s="378">
        <f>INDEX('LT Collect Forecast'!$K$1:$Q$55,MATCH(KO2,'LT Collect Forecast'!$A:$A,0),MATCH(KR$3,'LT Collect Forecast'!$K$2:$Q$2,0))</f>
        <v>650</v>
      </c>
      <c r="KS5" s="260" cm="1">
        <f t="array" ref="KS5">INDEX('LT Collect Forecast'!$K$1:$Q$55,MATCH(KO2,'LT Collect Forecast'!$A:$A,0)+1,MATCH(KS$3,'LT Collect Forecast'!$K$2:$Q$2,0))</f>
        <v>700</v>
      </c>
      <c r="KT5" s="378" cm="1">
        <f t="array" ref="KT5">INDEX('LT Collect Forecast'!$K$1:$Q$55,MATCH(KO2,'LT Collect Forecast'!$A:$A,0)+1,MATCH(KT$3,'LT Collect Forecast'!$K$2:$Q$2,0))</f>
        <v>950</v>
      </c>
      <c r="KU5" s="259" cm="1">
        <f t="array" ref="KU5">INDEX('LT Collect Forecast'!$K$1:$Q$55,MATCH(KO2,'LT Collect Forecast'!$A:$A,0)+1,MATCH(KU$3,'LT Collect Forecast'!$K$2:$Q$2,0))</f>
        <v>1000</v>
      </c>
      <c r="KV5" s="379" cm="1">
        <f t="array" ref="KV5">INDEX('LT Collect Forecast'!$K$1:$Q$55,MATCH(KO2,'LT Collect Forecast'!$A:$A,0)+1,MATCH(KV$3,'LT Collect Forecast'!$K$2:$Q$2,0))</f>
        <v>0</v>
      </c>
      <c r="KW5" s="255">
        <f t="shared" ref="KW5:KW6" si="352">SUM(KX5:LD5)</f>
        <v>4400</v>
      </c>
      <c r="KX5" s="376">
        <f>INDEX('LT Collect Forecast'!$K$1:$Q$55,MATCH(KW2,'LT Collect Forecast'!$A:$A,0),MATCH(KX$3,'LT Collect Forecast'!$K$2:$Q$2,0))</f>
        <v>700</v>
      </c>
      <c r="KY5" s="377">
        <f>INDEX('LT Collect Forecast'!$K$1:$Q$55,MATCH(KW2,'LT Collect Forecast'!$A:$A,0),MATCH(KY$3,'LT Collect Forecast'!$K$2:$Q$2,0))</f>
        <v>550</v>
      </c>
      <c r="KZ5" s="378">
        <f>INDEX('LT Collect Forecast'!$K$1:$Q$55,MATCH(KW2,'LT Collect Forecast'!$A:$A,0),MATCH(KZ$3,'LT Collect Forecast'!$K$2:$Q$2,0))</f>
        <v>600</v>
      </c>
      <c r="LA5" s="260" cm="1">
        <f t="array" ref="LA5">INDEX('LT Collect Forecast'!$K$1:$Q$55,MATCH(KW2,'LT Collect Forecast'!$A:$A,0)+1,MATCH(LA$3,'LT Collect Forecast'!$K$2:$Q$2,0))</f>
        <v>650</v>
      </c>
      <c r="LB5" s="378" cm="1">
        <f t="array" ref="LB5">INDEX('LT Collect Forecast'!$K$1:$Q$55,MATCH(KW2,'LT Collect Forecast'!$A:$A,0)+1,MATCH(LB$3,'LT Collect Forecast'!$K$2:$Q$2,0))</f>
        <v>975</v>
      </c>
      <c r="LC5" s="259" cm="1">
        <f t="array" ref="LC5">INDEX('LT Collect Forecast'!$K$1:$Q$55,MATCH(KW2,'LT Collect Forecast'!$A:$A,0)+1,MATCH(LC$3,'LT Collect Forecast'!$K$2:$Q$2,0))</f>
        <v>925</v>
      </c>
      <c r="LD5" s="379" cm="1">
        <f t="array" ref="LD5">INDEX('LT Collect Forecast'!$K$1:$Q$55,MATCH(KW2,'LT Collect Forecast'!$A:$A,0)+1,MATCH(LD$3,'LT Collect Forecast'!$K$2:$Q$2,0))</f>
        <v>0</v>
      </c>
      <c r="LE5" s="255">
        <f t="shared" ref="LE5:LE6" si="353">SUM(LF5:LL5)</f>
        <v>4700</v>
      </c>
      <c r="LF5" s="376">
        <f>INDEX('LT Collect Forecast'!$K$1:$Q$55,MATCH(LE2,'LT Collect Forecast'!$A:$A,0),MATCH(LF$3,'LT Collect Forecast'!$K$2:$Q$2,0))</f>
        <v>750</v>
      </c>
      <c r="LG5" s="377">
        <f>INDEX('LT Collect Forecast'!$K$1:$Q$55,MATCH(LE2,'LT Collect Forecast'!$A:$A,0),MATCH(LG$3,'LT Collect Forecast'!$K$2:$Q$2,0))</f>
        <v>625</v>
      </c>
      <c r="LH5" s="378">
        <f>INDEX('LT Collect Forecast'!$K$1:$Q$55,MATCH(LE2,'LT Collect Forecast'!$A:$A,0),MATCH(LH$3,'LT Collect Forecast'!$K$2:$Q$2,0))</f>
        <v>725</v>
      </c>
      <c r="LI5" s="260" cm="1">
        <f t="array" ref="LI5">INDEX('LT Collect Forecast'!$K$1:$Q$55,MATCH(LE2,'LT Collect Forecast'!$A:$A,0)+1,MATCH(LI$3,'LT Collect Forecast'!$K$2:$Q$2,0))</f>
        <v>650</v>
      </c>
      <c r="LJ5" s="378" cm="1">
        <f t="array" ref="LJ5">INDEX('LT Collect Forecast'!$K$1:$Q$55,MATCH(LE2,'LT Collect Forecast'!$A:$A,0)+1,MATCH(LJ$3,'LT Collect Forecast'!$K$2:$Q$2,0))</f>
        <v>1025</v>
      </c>
      <c r="LK5" s="259" cm="1">
        <f t="array" ref="LK5">INDEX('LT Collect Forecast'!$K$1:$Q$55,MATCH(LE2,'LT Collect Forecast'!$A:$A,0)+1,MATCH(LK$3,'LT Collect Forecast'!$K$2:$Q$2,0))</f>
        <v>925</v>
      </c>
      <c r="LL5" s="379" cm="1">
        <f t="array" ref="LL5">INDEX('LT Collect Forecast'!$K$1:$Q$55,MATCH(LE2,'LT Collect Forecast'!$A:$A,0)+1,MATCH(LL$3,'LT Collect Forecast'!$K$2:$Q$2,0))</f>
        <v>0</v>
      </c>
      <c r="LM5" s="255">
        <f t="shared" ref="LM5:LM6" si="354">SUM(LN5:LT5)</f>
        <v>4650</v>
      </c>
      <c r="LN5" s="376">
        <f>INDEX('LT Collect Forecast'!$K$1:$Q$55,MATCH(LM2,'LT Collect Forecast'!$A:$A,0),MATCH(LN$3,'LT Collect Forecast'!$K$2:$Q$2,0))</f>
        <v>750</v>
      </c>
      <c r="LO5" s="377">
        <f>INDEX('LT Collect Forecast'!$K$1:$Q$55,MATCH(LM2,'LT Collect Forecast'!$A:$A,0),MATCH(LO$3,'LT Collect Forecast'!$K$2:$Q$2,0))</f>
        <v>650</v>
      </c>
      <c r="LP5" s="378">
        <f>INDEX('LT Collect Forecast'!$K$1:$Q$55,MATCH(LM2,'LT Collect Forecast'!$A:$A,0),MATCH(LP$3,'LT Collect Forecast'!$K$2:$Q$2,0))</f>
        <v>750</v>
      </c>
      <c r="LQ5" s="260" cm="1">
        <f t="array" ref="LQ5">INDEX('LT Collect Forecast'!$K$1:$Q$55,MATCH(LM2,'LT Collect Forecast'!$A:$A,0)+1,MATCH(LQ$3,'LT Collect Forecast'!$K$2:$Q$2,0))</f>
        <v>600</v>
      </c>
      <c r="LR5" s="378" cm="1">
        <f t="array" ref="LR5">INDEX('LT Collect Forecast'!$K$1:$Q$55,MATCH(LM2,'LT Collect Forecast'!$A:$A,0)+1,MATCH(LR$3,'LT Collect Forecast'!$K$2:$Q$2,0))</f>
        <v>1000</v>
      </c>
      <c r="LS5" s="259" cm="1">
        <f t="array" ref="LS5">INDEX('LT Collect Forecast'!$K$1:$Q$55,MATCH(LM2,'LT Collect Forecast'!$A:$A,0)+1,MATCH(LS$3,'LT Collect Forecast'!$K$2:$Q$2,0))</f>
        <v>900</v>
      </c>
      <c r="LT5" s="379" cm="1">
        <f t="array" ref="LT5">INDEX('LT Collect Forecast'!$K$1:$Q$55,MATCH(LM2,'LT Collect Forecast'!$A:$A,0)+1,MATCH(LT$3,'LT Collect Forecast'!$K$2:$Q$2,0))</f>
        <v>0</v>
      </c>
      <c r="LU5" s="255">
        <f t="shared" ref="LU5:LU6" si="355">SUM(LV5:MB5)</f>
        <v>4575</v>
      </c>
      <c r="LV5" s="376">
        <f>INDEX('LT Collect Forecast'!$K$1:$Q$55,MATCH(LU2,'LT Collect Forecast'!$A:$A,0),MATCH(LV$3,'LT Collect Forecast'!$K$2:$Q$2,0))</f>
        <v>700</v>
      </c>
      <c r="LW5" s="377">
        <f>INDEX('LT Collect Forecast'!$K$1:$Q$55,MATCH(LU2,'LT Collect Forecast'!$A:$A,0),MATCH(LW$3,'LT Collect Forecast'!$K$2:$Q$2,0))</f>
        <v>600</v>
      </c>
      <c r="LX5" s="378">
        <f>INDEX('LT Collect Forecast'!$K$1:$Q$55,MATCH(LU2,'LT Collect Forecast'!$A:$A,0),MATCH(LX$3,'LT Collect Forecast'!$K$2:$Q$2,0))</f>
        <v>600</v>
      </c>
      <c r="LY5" s="260" cm="1">
        <f t="array" ref="LY5">INDEX('LT Collect Forecast'!$K$1:$Q$55,MATCH(LU2,'LT Collect Forecast'!$A:$A,0)+1,MATCH(LY$3,'LT Collect Forecast'!$K$2:$Q$2,0))</f>
        <v>575</v>
      </c>
      <c r="LZ5" s="378" cm="1">
        <f t="array" ref="LZ5">INDEX('LT Collect Forecast'!$K$1:$Q$55,MATCH(LU2,'LT Collect Forecast'!$A:$A,0)+1,MATCH(LZ$3,'LT Collect Forecast'!$K$2:$Q$2,0))</f>
        <v>1100</v>
      </c>
      <c r="MA5" s="259" cm="1">
        <f t="array" ref="MA5">INDEX('LT Collect Forecast'!$K$1:$Q$55,MATCH(LU2,'LT Collect Forecast'!$A:$A,0)+1,MATCH(MA$3,'LT Collect Forecast'!$K$2:$Q$2,0))</f>
        <v>1000</v>
      </c>
      <c r="MB5" s="379" cm="1">
        <f t="array" ref="MB5">INDEX('LT Collect Forecast'!$K$1:$Q$55,MATCH(LU2,'LT Collect Forecast'!$A:$A,0)+1,MATCH(MB$3,'LT Collect Forecast'!$K$2:$Q$2,0))</f>
        <v>0</v>
      </c>
      <c r="MC5" s="255">
        <f t="shared" ref="MC5:MC6" si="356">SUM(MD5:MJ5)</f>
        <v>4550</v>
      </c>
      <c r="MD5" s="376">
        <f>INDEX('LT Collect Forecast'!$K$1:$Q$55,MATCH(MC2,'LT Collect Forecast'!$A:$A,0),MATCH(MD$3,'LT Collect Forecast'!$K$2:$Q$2,0))</f>
        <v>800</v>
      </c>
      <c r="ME5" s="377">
        <f>INDEX('LT Collect Forecast'!$K$1:$Q$55,MATCH(MC2,'LT Collect Forecast'!$A:$A,0),MATCH(ME$3,'LT Collect Forecast'!$K$2:$Q$2,0))</f>
        <v>650</v>
      </c>
      <c r="MF5" s="378">
        <f>INDEX('LT Collect Forecast'!$K$1:$Q$55,MATCH(MC2,'LT Collect Forecast'!$A:$A,0),MATCH(MF$3,'LT Collect Forecast'!$K$2:$Q$2,0))</f>
        <v>650</v>
      </c>
      <c r="MG5" s="260" cm="1">
        <f t="array" ref="MG5">INDEX('LT Collect Forecast'!$K$1:$Q$55,MATCH(MC2,'LT Collect Forecast'!$A:$A,0)+1,MATCH(MG$3,'LT Collect Forecast'!$K$2:$Q$2,0))</f>
        <v>600</v>
      </c>
      <c r="MH5" s="378" cm="1">
        <f t="array" ref="MH5">INDEX('LT Collect Forecast'!$K$1:$Q$55,MATCH(MC2,'LT Collect Forecast'!$A:$A,0)+1,MATCH(MH$3,'LT Collect Forecast'!$K$2:$Q$2,0))</f>
        <v>950</v>
      </c>
      <c r="MI5" s="259" cm="1">
        <f t="array" ref="MI5">INDEX('LT Collect Forecast'!$K$1:$Q$55,MATCH(MC2,'LT Collect Forecast'!$A:$A,0)+1,MATCH(MI$3,'LT Collect Forecast'!$K$2:$Q$2,0))</f>
        <v>900</v>
      </c>
      <c r="MJ5" s="379" cm="1">
        <f t="array" ref="MJ5">INDEX('LT Collect Forecast'!$K$1:$Q$55,MATCH(MC2,'LT Collect Forecast'!$A:$A,0)+1,MATCH(MJ$3,'LT Collect Forecast'!$K$2:$Q$2,0))</f>
        <v>0</v>
      </c>
      <c r="MK5" s="255">
        <f t="shared" ref="MK5:MK6" si="357">SUM(ML5:MR5)</f>
        <v>4300</v>
      </c>
      <c r="ML5" s="376">
        <f>INDEX('LT Collect Forecast'!$K$1:$Q$55,MATCH(MK2,'LT Collect Forecast'!$A:$A,0),MATCH(ML$3,'LT Collect Forecast'!$K$2:$Q$2,0))</f>
        <v>800</v>
      </c>
      <c r="MM5" s="377">
        <f>INDEX('LT Collect Forecast'!$K$1:$Q$55,MATCH(MK2,'LT Collect Forecast'!$A:$A,0),MATCH(MM$3,'LT Collect Forecast'!$K$2:$Q$2,0))</f>
        <v>0</v>
      </c>
      <c r="MN5" s="378">
        <f>INDEX('LT Collect Forecast'!$K$1:$Q$55,MATCH(MK2,'LT Collect Forecast'!$A:$A,0),MATCH(MN$3,'LT Collect Forecast'!$K$2:$Q$2,0))</f>
        <v>750</v>
      </c>
      <c r="MO5" s="260" cm="1">
        <f t="array" ref="MO5">INDEX('LT Collect Forecast'!$K$1:$Q$55,MATCH(MK2,'LT Collect Forecast'!$A:$A,0)+1,MATCH(MO$3,'LT Collect Forecast'!$K$2:$Q$2,0))</f>
        <v>650</v>
      </c>
      <c r="MP5" s="378" cm="1">
        <f t="array" ref="MP5">INDEX('LT Collect Forecast'!$K$1:$Q$55,MATCH(MK2,'LT Collect Forecast'!$A:$A,0)+1,MATCH(MP$3,'LT Collect Forecast'!$K$2:$Q$2,0))</f>
        <v>1100</v>
      </c>
      <c r="MQ5" s="259" cm="1">
        <f t="array" ref="MQ5">INDEX('LT Collect Forecast'!$K$1:$Q$55,MATCH(MK2,'LT Collect Forecast'!$A:$A,0)+1,MATCH(MQ$3,'LT Collect Forecast'!$K$2:$Q$2,0))</f>
        <v>1000</v>
      </c>
      <c r="MR5" s="379" cm="1">
        <f t="array" ref="MR5">INDEX('LT Collect Forecast'!$K$1:$Q$55,MATCH(MK2,'LT Collect Forecast'!$A:$A,0)+1,MATCH(MR$3,'LT Collect Forecast'!$K$2:$Q$2,0))</f>
        <v>0</v>
      </c>
      <c r="MS5" s="255">
        <f t="shared" ref="MS5:MS6" si="358">SUM(MT5:MZ5)</f>
        <v>4075</v>
      </c>
      <c r="MT5" s="376">
        <f>INDEX('LT Collect Forecast'!$K$1:$Q$55,MATCH(MS2,'LT Collect Forecast'!$A:$A,0),MATCH(MT$3,'LT Collect Forecast'!$K$2:$Q$2,0))</f>
        <v>725</v>
      </c>
      <c r="MU5" s="377">
        <f>INDEX('LT Collect Forecast'!$K$1:$Q$55,MATCH(MS2,'LT Collect Forecast'!$A:$A,0),MATCH(MU$3,'LT Collect Forecast'!$K$2:$Q$2,0))</f>
        <v>800</v>
      </c>
      <c r="MV5" s="378">
        <f>INDEX('LT Collect Forecast'!$K$1:$Q$55,MATCH(MS2,'LT Collect Forecast'!$A:$A,0),MATCH(MV$3,'LT Collect Forecast'!$K$2:$Q$2,0))</f>
        <v>700</v>
      </c>
      <c r="MW5" s="260" cm="1">
        <f t="array" ref="MW5">INDEX('LT Collect Forecast'!$K$1:$Q$55,MATCH(MS2,'LT Collect Forecast'!$A:$A,0)+1,MATCH(MW$3,'LT Collect Forecast'!$K$2:$Q$2,0))</f>
        <v>850</v>
      </c>
      <c r="MX5" s="378" cm="1">
        <f t="array" ref="MX5">INDEX('LT Collect Forecast'!$K$1:$Q$55,MATCH(MS2,'LT Collect Forecast'!$A:$A,0)+1,MATCH(MX$3,'LT Collect Forecast'!$K$2:$Q$2,0))</f>
        <v>0</v>
      </c>
      <c r="MY5" s="259" cm="1">
        <f t="array" ref="MY5">INDEX('LT Collect Forecast'!$K$1:$Q$55,MATCH(MS2,'LT Collect Forecast'!$A:$A,0)+1,MATCH(MY$3,'LT Collect Forecast'!$K$2:$Q$2,0))</f>
        <v>1000</v>
      </c>
      <c r="MZ5" s="379" cm="1">
        <f t="array" ref="MZ5">INDEX('LT Collect Forecast'!$K$1:$Q$55,MATCH(MS2,'LT Collect Forecast'!$A:$A,0)+1,MATCH(MZ$3,'LT Collect Forecast'!$K$2:$Q$2,0))</f>
        <v>0</v>
      </c>
      <c r="NA5" s="255">
        <f t="shared" ref="NA5:NA6" si="359">SUM(NB5:NH5)</f>
        <v>4500</v>
      </c>
      <c r="NB5" s="376">
        <f>INDEX('LT Collect Forecast'!$K$1:$Q$55,MATCH(NA2,'LT Collect Forecast'!$A:$A,0),MATCH(NB$3,'LT Collect Forecast'!$K$2:$Q$2,0))</f>
        <v>700</v>
      </c>
      <c r="NC5" s="377">
        <f>INDEX('LT Collect Forecast'!$K$1:$Q$55,MATCH(NA2,'LT Collect Forecast'!$A:$A,0),MATCH(NC$3,'LT Collect Forecast'!$K$2:$Q$2,0))</f>
        <v>650</v>
      </c>
      <c r="ND5" s="378">
        <f>INDEX('LT Collect Forecast'!$K$1:$Q$55,MATCH(NA2,'LT Collect Forecast'!$A:$A,0),MATCH(ND$3,'LT Collect Forecast'!$K$2:$Q$2,0))</f>
        <v>650</v>
      </c>
      <c r="NE5" s="260" cm="1">
        <f t="array" ref="NE5">INDEX('LT Collect Forecast'!$K$1:$Q$55,MATCH(NA2,'LT Collect Forecast'!$A:$A,0)+1,MATCH(NE$3,'LT Collect Forecast'!$K$2:$Q$2,0))</f>
        <v>600</v>
      </c>
      <c r="NF5" s="378" cm="1">
        <f t="array" ref="NF5">INDEX('LT Collect Forecast'!$K$1:$Q$55,MATCH(NA2,'LT Collect Forecast'!$A:$A,0)+1,MATCH(NF$3,'LT Collect Forecast'!$K$2:$Q$2,0))</f>
        <v>950</v>
      </c>
      <c r="NG5" s="259" cm="1">
        <f t="array" ref="NG5">INDEX('LT Collect Forecast'!$K$1:$Q$55,MATCH(NA2,'LT Collect Forecast'!$A:$A,0)+1,MATCH(NG$3,'LT Collect Forecast'!$K$2:$Q$2,0))</f>
        <v>950</v>
      </c>
      <c r="NH5" s="379" cm="1">
        <f t="array" ref="NH5">INDEX('LT Collect Forecast'!$K$1:$Q$55,MATCH(NA2,'LT Collect Forecast'!$A:$A,0)+1,MATCH(NH$3,'LT Collect Forecast'!$K$2:$Q$2,0))</f>
        <v>0</v>
      </c>
      <c r="NI5" s="255">
        <f t="shared" ref="NI5:NI6" si="360">SUM(NJ5:NP5)</f>
        <v>6125</v>
      </c>
      <c r="NJ5" s="376">
        <f>INDEX('LT Collect Forecast'!$K$1:$Q$55,MATCH(NI2,'LT Collect Forecast'!$A:$A,0),MATCH(NJ$3,'LT Collect Forecast'!$K$2:$Q$2,0))</f>
        <v>725</v>
      </c>
      <c r="NK5" s="377">
        <f>INDEX('LT Collect Forecast'!$K$1:$Q$55,MATCH(NI2,'LT Collect Forecast'!$A:$A,0),MATCH(NK$3,'LT Collect Forecast'!$K$2:$Q$2,0))</f>
        <v>1000</v>
      </c>
      <c r="NL5" s="378">
        <f>INDEX('LT Collect Forecast'!$K$1:$Q$55,MATCH(NI2,'LT Collect Forecast'!$A:$A,0),MATCH(NL$3,'LT Collect Forecast'!$K$2:$Q$2,0))</f>
        <v>1000</v>
      </c>
      <c r="NM5" s="260" cm="1">
        <f t="array" ref="NM5">INDEX('LT Collect Forecast'!$K$1:$Q$55,MATCH(NI2,'LT Collect Forecast'!$A:$A,0)+1,MATCH(NM$3,'LT Collect Forecast'!$K$2:$Q$2,0))</f>
        <v>1000</v>
      </c>
      <c r="NN5" s="378" cm="1">
        <f t="array" ref="NN5">INDEX('LT Collect Forecast'!$K$1:$Q$55,MATCH(NI2,'LT Collect Forecast'!$A:$A,0)+1,MATCH(NN$3,'LT Collect Forecast'!$K$2:$Q$2,0))</f>
        <v>1250</v>
      </c>
      <c r="NO5" s="259" cm="1">
        <f t="array" ref="NO5">INDEX('LT Collect Forecast'!$K$1:$Q$55,MATCH(NI2,'LT Collect Forecast'!$A:$A,0)+1,MATCH(NO$3,'LT Collect Forecast'!$K$2:$Q$2,0))</f>
        <v>1150</v>
      </c>
      <c r="NP5" s="379" cm="1">
        <f t="array" ref="NP5">INDEX('LT Collect Forecast'!$K$1:$Q$55,MATCH(NI2,'LT Collect Forecast'!$A:$A,0)+1,MATCH(NP$3,'LT Collect Forecast'!$K$2:$Q$2,0))</f>
        <v>0</v>
      </c>
      <c r="NQ5" s="255">
        <f t="shared" ref="NQ5:NQ6" si="361">SUM(NR5:NX5)</f>
        <v>6325</v>
      </c>
      <c r="NR5" s="376">
        <f>INDEX('LT Collect Forecast'!$K$1:$Q$55,MATCH(NQ2,'LT Collect Forecast'!$A:$A,0),MATCH(NR$3,'LT Collect Forecast'!$K$2:$Q$2,0))</f>
        <v>1000</v>
      </c>
      <c r="NS5" s="377">
        <f>INDEX('LT Collect Forecast'!$K$1:$Q$55,MATCH(NQ2,'LT Collect Forecast'!$A:$A,0),MATCH(NS$3,'LT Collect Forecast'!$K$2:$Q$2,0))</f>
        <v>1250</v>
      </c>
      <c r="NT5" s="378">
        <f>INDEX('LT Collect Forecast'!$K$1:$Q$55,MATCH(NQ2,'LT Collect Forecast'!$A:$A,0),MATCH(NT$3,'LT Collect Forecast'!$K$2:$Q$2,0))</f>
        <v>1075</v>
      </c>
      <c r="NU5" s="260" cm="1">
        <f t="array" ref="NU5">INDEX('LT Collect Forecast'!$K$1:$Q$55,MATCH(NQ2,'LT Collect Forecast'!$A:$A,0)+1,MATCH(NU$3,'LT Collect Forecast'!$K$2:$Q$2,0))</f>
        <v>950</v>
      </c>
      <c r="NV5" s="378" cm="1">
        <f t="array" ref="NV5">INDEX('LT Collect Forecast'!$K$1:$Q$55,MATCH(NQ2,'LT Collect Forecast'!$A:$A,0)+1,MATCH(NV$3,'LT Collect Forecast'!$K$2:$Q$2,0))</f>
        <v>1050</v>
      </c>
      <c r="NW5" s="259" cm="1">
        <f t="array" ref="NW5">INDEX('LT Collect Forecast'!$K$1:$Q$55,MATCH(NQ2,'LT Collect Forecast'!$A:$A,0)+1,MATCH(NW$3,'LT Collect Forecast'!$K$2:$Q$2,0))</f>
        <v>1000</v>
      </c>
      <c r="NX5" s="379" cm="1">
        <f t="array" ref="NX5">INDEX('LT Collect Forecast'!$K$1:$Q$55,MATCH(NQ2,'LT Collect Forecast'!$A:$A,0)+1,MATCH(NX$3,'LT Collect Forecast'!$K$2:$Q$2,0))</f>
        <v>0</v>
      </c>
      <c r="NY5" s="255">
        <f t="shared" ref="NY5:NY6" si="362">SUM(NZ5:OF5)</f>
        <v>4775</v>
      </c>
      <c r="NZ5" s="376">
        <f>INDEX('LT Collect Forecast'!$K$1:$Q$55,MATCH(NY2,'LT Collect Forecast'!$A:$A,0),MATCH(NZ$3,'LT Collect Forecast'!$K$2:$Q$2,0))</f>
        <v>750</v>
      </c>
      <c r="OA5" s="377">
        <f>INDEX('LT Collect Forecast'!$K$1:$Q$55,MATCH(NY2,'LT Collect Forecast'!$A:$A,0),MATCH(OA$3,'LT Collect Forecast'!$K$2:$Q$2,0))</f>
        <v>750</v>
      </c>
      <c r="OB5" s="378">
        <f>INDEX('LT Collect Forecast'!$K$1:$Q$55,MATCH(NY2,'LT Collect Forecast'!$A:$A,0),MATCH(OB$3,'LT Collect Forecast'!$K$2:$Q$2,0))</f>
        <v>725</v>
      </c>
      <c r="OC5" s="260" cm="1">
        <f t="array" ref="OC5">INDEX('LT Collect Forecast'!$K$1:$Q$55,MATCH(NY2,'LT Collect Forecast'!$A:$A,0)+1,MATCH(OC$3,'LT Collect Forecast'!$K$2:$Q$2,0))</f>
        <v>625</v>
      </c>
      <c r="OD5" s="378" cm="1">
        <f t="array" ref="OD5">INDEX('LT Collect Forecast'!$K$1:$Q$55,MATCH(NY2,'LT Collect Forecast'!$A:$A,0)+1,MATCH(OD$3,'LT Collect Forecast'!$K$2:$Q$2,0))</f>
        <v>975</v>
      </c>
      <c r="OE5" s="259" cm="1">
        <f t="array" ref="OE5">INDEX('LT Collect Forecast'!$K$1:$Q$55,MATCH(NY2,'LT Collect Forecast'!$A:$A,0)+1,MATCH(OE$3,'LT Collect Forecast'!$K$2:$Q$2,0))</f>
        <v>950</v>
      </c>
      <c r="OF5" s="379" cm="1">
        <f t="array" ref="OF5">INDEX('LT Collect Forecast'!$K$1:$Q$55,MATCH(NY2,'LT Collect Forecast'!$A:$A,0)+1,MATCH(OF$3,'LT Collect Forecast'!$K$2:$Q$2,0))</f>
        <v>0</v>
      </c>
      <c r="OG5" s="255">
        <f t="shared" ref="OG5:OG6" si="363">SUM(OH5:ON5)</f>
        <v>4780</v>
      </c>
      <c r="OH5" s="376">
        <f>INDEX('LT Collect Forecast'!$K$1:$Q$55,MATCH(OG2,'LT Collect Forecast'!$A:$A,0),MATCH(OH$3,'LT Collect Forecast'!$K$2:$Q$2,0))</f>
        <v>830</v>
      </c>
      <c r="OI5" s="377">
        <f>INDEX('LT Collect Forecast'!$K$1:$Q$55,MATCH(OG2,'LT Collect Forecast'!$A:$A,0),MATCH(OI$3,'LT Collect Forecast'!$K$2:$Q$2,0))</f>
        <v>600</v>
      </c>
      <c r="OJ5" s="378">
        <f>INDEX('LT Collect Forecast'!$K$1:$Q$55,MATCH(OG2,'LT Collect Forecast'!$A:$A,0),MATCH(OJ$3,'LT Collect Forecast'!$K$2:$Q$2,0))</f>
        <v>600</v>
      </c>
      <c r="OK5" s="260" cm="1">
        <f t="array" ref="OK5">INDEX('LT Collect Forecast'!$K$1:$Q$55,MATCH(OG2,'LT Collect Forecast'!$A:$A,0)+1,MATCH(OK$3,'LT Collect Forecast'!$K$2:$Q$2,0))</f>
        <v>575</v>
      </c>
      <c r="OL5" s="378" cm="1">
        <f t="array" ref="OL5">INDEX('LT Collect Forecast'!$K$1:$Q$55,MATCH(OG2,'LT Collect Forecast'!$A:$A,0)+1,MATCH(OL$3,'LT Collect Forecast'!$K$2:$Q$2,0))</f>
        <v>1175</v>
      </c>
      <c r="OM5" s="259" cm="1">
        <f t="array" ref="OM5">INDEX('LT Collect Forecast'!$K$1:$Q$55,MATCH(OG2,'LT Collect Forecast'!$A:$A,0)+1,MATCH(OM$3,'LT Collect Forecast'!$K$2:$Q$2,0))</f>
        <v>1000</v>
      </c>
      <c r="ON5" s="379" cm="1">
        <f t="array" ref="ON5">INDEX('LT Collect Forecast'!$K$1:$Q$55,MATCH(OG2,'LT Collect Forecast'!$A:$A,0)+1,MATCH(ON$3,'LT Collect Forecast'!$K$2:$Q$2,0))</f>
        <v>0</v>
      </c>
      <c r="OO5" s="255">
        <f t="shared" ref="OO5:OO6" si="364">SUM(OP5:OV5)</f>
        <v>8000</v>
      </c>
      <c r="OP5" s="376">
        <f>INDEX('LT Collect Forecast'!$K$1:$Q$55,MATCH(OO2,'LT Collect Forecast'!$A:$A,0),MATCH(OP$3,'LT Collect Forecast'!$K$2:$Q$2,0))</f>
        <v>750</v>
      </c>
      <c r="OQ5" s="377">
        <f>INDEX('LT Collect Forecast'!$K$1:$Q$55,MATCH(OO2,'LT Collect Forecast'!$A:$A,0),MATCH(OQ$3,'LT Collect Forecast'!$K$2:$Q$2,0))</f>
        <v>900</v>
      </c>
      <c r="OR5" s="378">
        <f>INDEX('LT Collect Forecast'!$K$1:$Q$55,MATCH(OO2,'LT Collect Forecast'!$A:$A,0),MATCH(OR$3,'LT Collect Forecast'!$K$2:$Q$2,0))</f>
        <v>900</v>
      </c>
      <c r="OS5" s="260" cm="1">
        <f t="array" ref="OS5">INDEX('LT Collect Forecast'!$K$1:$Q$55,MATCH(OO2,'LT Collect Forecast'!$A:$A,0)+1,MATCH(OS$3,'LT Collect Forecast'!$K$2:$Q$2,0))</f>
        <v>1550</v>
      </c>
      <c r="OT5" s="378" cm="1">
        <f t="array" ref="OT5">INDEX('LT Collect Forecast'!$K$1:$Q$55,MATCH(OO2,'LT Collect Forecast'!$A:$A,0)+1,MATCH(OT$3,'LT Collect Forecast'!$K$2:$Q$2,0))</f>
        <v>1925</v>
      </c>
      <c r="OU5" s="259" cm="1">
        <f t="array" ref="OU5">INDEX('LT Collect Forecast'!$K$1:$Q$55,MATCH(OO2,'LT Collect Forecast'!$A:$A,0)+1,MATCH(OU$3,'LT Collect Forecast'!$K$2:$Q$2,0))</f>
        <v>1975</v>
      </c>
      <c r="OV5" s="379" cm="1">
        <f t="array" ref="OV5">INDEX('LT Collect Forecast'!$K$1:$Q$55,MATCH(OO2,'LT Collect Forecast'!$A:$A,0)+1,MATCH(OV$3,'LT Collect Forecast'!$K$2:$Q$2,0))</f>
        <v>0</v>
      </c>
      <c r="OW5" s="255">
        <f t="shared" ref="OW5:OW6" si="365">SUM(OX5:PD5)</f>
        <v>7525</v>
      </c>
      <c r="OX5" s="376">
        <f>INDEX('LT Collect Forecast'!$K$1:$Q$55,MATCH(OW2,'LT Collect Forecast'!$A:$A,0),MATCH(OX$3,'LT Collect Forecast'!$K$2:$Q$2,0))</f>
        <v>775</v>
      </c>
      <c r="OY5" s="377">
        <f>INDEX('LT Collect Forecast'!$K$1:$Q$55,MATCH(OW2,'LT Collect Forecast'!$A:$A,0),MATCH(OY$3,'LT Collect Forecast'!$K$2:$Q$2,0))</f>
        <v>900</v>
      </c>
      <c r="OZ5" s="378">
        <f>INDEX('LT Collect Forecast'!$K$1:$Q$55,MATCH(OW2,'LT Collect Forecast'!$A:$A,0),MATCH(OZ$3,'LT Collect Forecast'!$K$2:$Q$2,0))</f>
        <v>900</v>
      </c>
      <c r="PA5" s="260" cm="1">
        <f t="array" ref="PA5">INDEX('LT Collect Forecast'!$K$1:$Q$55,MATCH(OW2,'LT Collect Forecast'!$A:$A,0)+1,MATCH(PA$3,'LT Collect Forecast'!$K$2:$Q$2,0))</f>
        <v>1150</v>
      </c>
      <c r="PB5" s="378" cm="1">
        <f t="array" ref="PB5">INDEX('LT Collect Forecast'!$K$1:$Q$55,MATCH(OW2,'LT Collect Forecast'!$A:$A,0)+1,MATCH(PB$3,'LT Collect Forecast'!$K$2:$Q$2,0))</f>
        <v>1850</v>
      </c>
      <c r="PC5" s="259" cm="1">
        <f t="array" ref="PC5">INDEX('LT Collect Forecast'!$K$1:$Q$55,MATCH(OW2,'LT Collect Forecast'!$A:$A,0)+1,MATCH(PC$3,'LT Collect Forecast'!$K$2:$Q$2,0))</f>
        <v>1950</v>
      </c>
      <c r="PD5" s="379" cm="1">
        <f t="array" ref="PD5">INDEX('LT Collect Forecast'!$K$1:$Q$55,MATCH(OW2,'LT Collect Forecast'!$A:$A,0)+1,MATCH(PD$3,'LT Collect Forecast'!$K$2:$Q$2,0))</f>
        <v>0</v>
      </c>
      <c r="PE5" s="255">
        <f>SUM(PF5:PL5)</f>
        <v>4650</v>
      </c>
      <c r="PF5" s="376">
        <f>INDEX('LT Collect Forecast'!$K$1:$Q$55,MATCH(PE2,'LT Collect Forecast'!$A:$A,0),MATCH(PF$3,'LT Collect Forecast'!$K$2:$Q$2,0))</f>
        <v>775</v>
      </c>
      <c r="PG5" s="377">
        <v>675</v>
      </c>
      <c r="PH5" s="378">
        <v>650</v>
      </c>
      <c r="PI5" s="260">
        <v>600</v>
      </c>
      <c r="PJ5" s="378">
        <v>1000</v>
      </c>
      <c r="PK5" s="259">
        <v>950</v>
      </c>
      <c r="PL5" s="379" cm="1">
        <f t="array" ref="PL5">INDEX('LT Collect Forecast'!$K$1:$Q$55,MATCH(PE2,'LT Collect Forecast'!$A:$A,0)+1,MATCH(PL$3,'LT Collect Forecast'!$K$2:$Q$2,0))</f>
        <v>0</v>
      </c>
    </row>
    <row r="6" spans="1:428" ht="15" customHeight="1" outlineLevel="1" thickBot="1" x14ac:dyDescent="0.35">
      <c r="B6" s="1014"/>
      <c r="C6" s="1019"/>
      <c r="D6" s="382" t="s">
        <v>302</v>
      </c>
      <c r="E6" s="384">
        <f t="shared" si="314"/>
        <v>10840</v>
      </c>
      <c r="F6" s="386">
        <f>INDEX('LT HD Forecast'!$K$1:$Q$55,MATCH(E2,'LT HD Forecast'!$A:$A,0),MATCH(F$3,'LT HD Forecast'!$K$2:$Q$2,0))</f>
        <v>900</v>
      </c>
      <c r="G6" s="386">
        <f>INDEX('LT HD Forecast'!$K$1:$Q$55,MATCH(E2,'LT HD Forecast'!$A:$A,0),MATCH(G$3,'LT HD Forecast'!$K$2:$Q$2,0))</f>
        <v>2100</v>
      </c>
      <c r="H6" s="387">
        <f>INDEX('LT HD Forecast'!$K$1:$Q$55,MATCH(E2,'LT HD Forecast'!$A:$A,0),MATCH(H$3,'LT HD Forecast'!$K$2:$Q$2,0))</f>
        <v>2100</v>
      </c>
      <c r="I6" s="387">
        <f>INDEX('LT HD Forecast'!$K$1:$Q$55,MATCH(E2,'LT HD Forecast'!$A:$A,0)+1,MATCH(I$3,'LT HD Forecast'!$K$2:$Q$2,0))</f>
        <v>2000</v>
      </c>
      <c r="J6" s="387">
        <f>INDEX('LT HD Forecast'!$K$1:$Q$55,MATCH(E2,'LT HD Forecast'!$A:$A,0)+1,MATCH(J$3,'LT HD Forecast'!$K$2:$Q$2,0))</f>
        <v>1850</v>
      </c>
      <c r="K6" s="388">
        <f>INDEX('LT HD Forecast'!$K$1:$Q$55,MATCH(E2,'LT HD Forecast'!$A:$A,0)+1,MATCH(K$3,'LT HD Forecast'!$K$2:$Q$2,0))</f>
        <v>1800</v>
      </c>
      <c r="L6" s="389">
        <f>INDEX('LT HD Forecast'!$K$1:$Q$55,MATCH(E2,'LT HD Forecast'!$A:$A,0)+1,MATCH(L$3,'LT HD Forecast'!$K$2:$Q$2,0))</f>
        <v>90</v>
      </c>
      <c r="M6" s="384">
        <f t="shared" si="315"/>
        <v>11365</v>
      </c>
      <c r="N6" s="386">
        <f>INDEX('LT HD Forecast'!$K$1:$Q$55,MATCH(M2,'LT HD Forecast'!$A:$A,0),MATCH(N$3,'LT HD Forecast'!$K$2:$Q$2,0))</f>
        <v>1550</v>
      </c>
      <c r="O6" s="386">
        <f>INDEX('LT HD Forecast'!$K$1:$Q$55,MATCH(M2,'LT HD Forecast'!$A:$A,0),MATCH(O$3,'LT HD Forecast'!$K$2:$Q$2,0))</f>
        <v>2000</v>
      </c>
      <c r="P6" s="387">
        <f>INDEX('LT HD Forecast'!$K$1:$Q$55,MATCH(M2,'LT HD Forecast'!$A:$A,0),MATCH(P$3,'LT HD Forecast'!$K$2:$Q$2,0))</f>
        <v>1900</v>
      </c>
      <c r="Q6" s="387">
        <f>INDEX('LT HD Forecast'!$K$1:$Q$55,MATCH(M2,'LT HD Forecast'!$A:$A,0)+1,MATCH(Q$3,'LT HD Forecast'!$K$2:$Q$2,0))</f>
        <v>2075</v>
      </c>
      <c r="R6" s="387">
        <f>INDEX('LT HD Forecast'!$K$1:$Q$55,MATCH(M2,'LT HD Forecast'!$A:$A,0)+1,MATCH(R$3,'LT HD Forecast'!$K$2:$Q$2,0))</f>
        <v>1900</v>
      </c>
      <c r="S6" s="388">
        <f>INDEX('LT HD Forecast'!$K$1:$Q$55,MATCH(M2,'LT HD Forecast'!$A:$A,0)+1,MATCH(S$3,'LT HD Forecast'!$K$2:$Q$2,0))</f>
        <v>1850</v>
      </c>
      <c r="T6" s="389">
        <f>INDEX('LT HD Forecast'!$K$1:$Q$55,MATCH(M2,'LT HD Forecast'!$A:$A,0)+1,MATCH(T$3,'LT HD Forecast'!$K$2:$Q$2,0))</f>
        <v>90</v>
      </c>
      <c r="U6" s="384">
        <f t="shared" si="316"/>
        <v>11640</v>
      </c>
      <c r="V6" s="386">
        <f>INDEX('LT HD Forecast'!$K$1:$Q$55,MATCH(U2,'LT HD Forecast'!$A:$A,0),MATCH(V$3,'LT HD Forecast'!$K$2:$Q$2,0))</f>
        <v>1550</v>
      </c>
      <c r="W6" s="386">
        <f>INDEX('LT HD Forecast'!$K$1:$Q$55,MATCH(U2,'LT HD Forecast'!$A:$A,0),MATCH(W$3,'LT HD Forecast'!$K$2:$Q$2,0))</f>
        <v>2000</v>
      </c>
      <c r="X6" s="387">
        <f>INDEX('LT HD Forecast'!$K$1:$Q$55,MATCH(U2,'LT HD Forecast'!$A:$A,0),MATCH(X$3,'LT HD Forecast'!$K$2:$Q$2,0))</f>
        <v>2000</v>
      </c>
      <c r="Y6" s="387">
        <f>INDEX('LT HD Forecast'!$K$1:$Q$55,MATCH(U2,'LT HD Forecast'!$A:$A,0)+1,MATCH(Y$3,'LT HD Forecast'!$K$2:$Q$2,0))</f>
        <v>2150</v>
      </c>
      <c r="Z6" s="387">
        <f>INDEX('LT HD Forecast'!$K$1:$Q$55,MATCH(U2,'LT HD Forecast'!$A:$A,0)+1,MATCH(Z$3,'LT HD Forecast'!$K$2:$Q$2,0))</f>
        <v>2000</v>
      </c>
      <c r="AA6" s="388">
        <f>INDEX('LT HD Forecast'!$K$1:$Q$55,MATCH(U2,'LT HD Forecast'!$A:$A,0)+1,MATCH(AA$3,'LT HD Forecast'!$K$2:$Q$2,0))</f>
        <v>1850</v>
      </c>
      <c r="AB6" s="389">
        <f>INDEX('LT HD Forecast'!$K$1:$Q$55,MATCH(U2,'LT HD Forecast'!$A:$A,0)+1,MATCH(AB$3,'LT HD Forecast'!$K$2:$Q$2,0))</f>
        <v>90</v>
      </c>
      <c r="AC6" s="384">
        <f t="shared" si="317"/>
        <v>11844</v>
      </c>
      <c r="AD6" s="386">
        <f>INDEX('LT HD Forecast'!$K$1:$Q$55,MATCH(AC2,'LT HD Forecast'!$A:$A,0),MATCH(AD$3,'LT HD Forecast'!$K$2:$Q$2,0))</f>
        <v>1600</v>
      </c>
      <c r="AE6" s="386">
        <f>INDEX('LT HD Forecast'!$K$1:$Q$55,MATCH(AC2,'LT HD Forecast'!$A:$A,0),MATCH(AE$3,'LT HD Forecast'!$K$2:$Q$2,0))</f>
        <v>2050</v>
      </c>
      <c r="AF6" s="387">
        <f>INDEX('LT HD Forecast'!$K$1:$Q$55,MATCH(AC2,'LT HD Forecast'!$A:$A,0),MATCH(AF$3,'LT HD Forecast'!$K$2:$Q$2,0))</f>
        <v>2150</v>
      </c>
      <c r="AG6" s="387">
        <f>INDEX('LT HD Forecast'!$K$1:$Q$55,MATCH(AC2,'LT HD Forecast'!$A:$A,0)+1,MATCH(AG$3,'LT HD Forecast'!$K$2:$Q$2,0))</f>
        <v>2064</v>
      </c>
      <c r="AH6" s="387">
        <f>INDEX('LT HD Forecast'!$K$1:$Q$55,MATCH(AC2,'LT HD Forecast'!$A:$A,0)+1,MATCH(AH$3,'LT HD Forecast'!$K$2:$Q$2,0))</f>
        <v>1900</v>
      </c>
      <c r="AI6" s="388">
        <f>INDEX('LT HD Forecast'!$K$1:$Q$55,MATCH(AC2,'LT HD Forecast'!$A:$A,0)+1,MATCH(AI$3,'LT HD Forecast'!$K$2:$Q$2,0))</f>
        <v>1900</v>
      </c>
      <c r="AJ6" s="389">
        <f>INDEX('LT HD Forecast'!$K$1:$Q$55,MATCH(AC2,'LT HD Forecast'!$A:$A,0)+1,MATCH(AJ$3,'LT HD Forecast'!$K$2:$Q$2,0))</f>
        <v>180</v>
      </c>
      <c r="AK6" s="384">
        <f t="shared" si="318"/>
        <v>12175</v>
      </c>
      <c r="AL6" s="386">
        <f>INDEX('LT HD Forecast'!$K$1:$Q$55,MATCH(AK2,'LT HD Forecast'!$A:$A,0),MATCH(AL$3,'LT HD Forecast'!$K$2:$Q$2,0))</f>
        <v>1600</v>
      </c>
      <c r="AM6" s="386">
        <f>INDEX('LT HD Forecast'!$K$1:$Q$55,MATCH(AK2,'LT HD Forecast'!$A:$A,0),MATCH(AM$3,'LT HD Forecast'!$K$2:$Q$2,0))</f>
        <v>2100</v>
      </c>
      <c r="AN6" s="387">
        <f>INDEX('LT HD Forecast'!$K$1:$Q$55,MATCH(AK2,'LT HD Forecast'!$A:$A,0),MATCH(AN$3,'LT HD Forecast'!$K$2:$Q$2,0))</f>
        <v>2200</v>
      </c>
      <c r="AO6" s="387">
        <f>INDEX('LT HD Forecast'!$K$1:$Q$55,MATCH(AK2,'LT HD Forecast'!$A:$A,0)+1,MATCH(AO$3,'LT HD Forecast'!$K$2:$Q$2,0))</f>
        <v>2175</v>
      </c>
      <c r="AP6" s="387">
        <f>INDEX('LT HD Forecast'!$K$1:$Q$55,MATCH(AK2,'LT HD Forecast'!$A:$A,0)+1,MATCH(AP$3,'LT HD Forecast'!$K$2:$Q$2,0))</f>
        <v>1900</v>
      </c>
      <c r="AQ6" s="388">
        <f>INDEX('LT HD Forecast'!$K$1:$Q$55,MATCH(AK2,'LT HD Forecast'!$A:$A,0)+1,MATCH(AQ$3,'LT HD Forecast'!$K$2:$Q$2,0))</f>
        <v>2000</v>
      </c>
      <c r="AR6" s="389">
        <f>INDEX('LT HD Forecast'!$K$1:$Q$55,MATCH(AK2,'LT HD Forecast'!$A:$A,0)+1,MATCH(AR$3,'LT HD Forecast'!$K$2:$Q$2,0))</f>
        <v>200</v>
      </c>
      <c r="AS6" s="384">
        <f t="shared" si="319"/>
        <v>11950</v>
      </c>
      <c r="AT6" s="386">
        <f>INDEX('LT HD Forecast'!$K$1:$Q$55,MATCH(AS2,'LT HD Forecast'!$A:$A,0),MATCH(AT$3,'LT HD Forecast'!$K$2:$Q$2,0))</f>
        <v>1650</v>
      </c>
      <c r="AU6" s="386">
        <f>INDEX('LT HD Forecast'!$K$1:$Q$55,MATCH(AS2,'LT HD Forecast'!$A:$A,0),MATCH(AU$3,'LT HD Forecast'!$K$2:$Q$2,0))</f>
        <v>2150</v>
      </c>
      <c r="AV6" s="387">
        <f>INDEX('LT HD Forecast'!$K$1:$Q$55,MATCH(AS2,'LT HD Forecast'!$A:$A,0),MATCH(AV$3,'LT HD Forecast'!$K$2:$Q$2,0))</f>
        <v>2200</v>
      </c>
      <c r="AW6" s="387">
        <f>INDEX('LT HD Forecast'!$K$1:$Q$55,MATCH(AS2,'LT HD Forecast'!$A:$A,0)+1,MATCH(AW$3,'LT HD Forecast'!$K$2:$Q$2,0))</f>
        <v>1900</v>
      </c>
      <c r="AX6" s="387">
        <f>INDEX('LT HD Forecast'!$K$1:$Q$55,MATCH(AS2,'LT HD Forecast'!$A:$A,0)+1,MATCH(AX$3,'LT HD Forecast'!$K$2:$Q$2,0))</f>
        <v>2000</v>
      </c>
      <c r="AY6" s="388">
        <f>INDEX('LT HD Forecast'!$K$1:$Q$55,MATCH(AS2,'LT HD Forecast'!$A:$A,0)+1,MATCH(AY$3,'LT HD Forecast'!$K$2:$Q$2,0))</f>
        <v>1850</v>
      </c>
      <c r="AZ6" s="389">
        <f>INDEX('LT HD Forecast'!$K$1:$Q$55,MATCH(AS2,'LT HD Forecast'!$A:$A,0)+1,MATCH(AZ$3,'LT HD Forecast'!$K$2:$Q$2,0))</f>
        <v>200</v>
      </c>
      <c r="BA6" s="384">
        <f t="shared" si="320"/>
        <v>11700</v>
      </c>
      <c r="BB6" s="386">
        <f>INDEX('LT HD Forecast'!$K$1:$Q$55,MATCH(BA2,'LT HD Forecast'!$A:$A,0),MATCH(BB$3,'LT HD Forecast'!$K$2:$Q$2,0))</f>
        <v>1550</v>
      </c>
      <c r="BC6" s="386">
        <f>INDEX('LT HD Forecast'!$K$1:$Q$55,MATCH(BA2,'LT HD Forecast'!$A:$A,0),MATCH(BC$3,'LT HD Forecast'!$K$2:$Q$2,0))</f>
        <v>2050</v>
      </c>
      <c r="BD6" s="387">
        <f>INDEX('LT HD Forecast'!$K$1:$Q$55,MATCH(BA2,'LT HD Forecast'!$A:$A,0),MATCH(BD$3,'LT HD Forecast'!$K$2:$Q$2,0))</f>
        <v>2050</v>
      </c>
      <c r="BE6" s="387">
        <f>INDEX('LT HD Forecast'!$K$1:$Q$55,MATCH(BA2,'LT HD Forecast'!$A:$A,0)+1,MATCH(BE$3,'LT HD Forecast'!$K$2:$Q$2,0))</f>
        <v>2000</v>
      </c>
      <c r="BF6" s="387">
        <f>INDEX('LT HD Forecast'!$K$1:$Q$55,MATCH(BA2,'LT HD Forecast'!$A:$A,0)+1,MATCH(BF$3,'LT HD Forecast'!$K$2:$Q$2,0))</f>
        <v>2050</v>
      </c>
      <c r="BG6" s="388">
        <f>INDEX('LT HD Forecast'!$K$1:$Q$55,MATCH(BA2,'LT HD Forecast'!$A:$A,0)+1,MATCH(BG$3,'LT HD Forecast'!$K$2:$Q$2,0))</f>
        <v>1900</v>
      </c>
      <c r="BH6" s="389">
        <f>INDEX('LT HD Forecast'!$K$1:$Q$55,MATCH(BA2,'LT HD Forecast'!$A:$A,0)+1,MATCH(BH$3,'LT HD Forecast'!$K$2:$Q$2,0))</f>
        <v>100</v>
      </c>
      <c r="BI6" s="384">
        <f t="shared" si="321"/>
        <v>11525</v>
      </c>
      <c r="BJ6" s="386">
        <f>INDEX('LT HD Forecast'!$K$1:$Q$55,MATCH(BI2,'LT HD Forecast'!$A:$A,0),MATCH(BJ$3,'LT HD Forecast'!$K$2:$Q$2,0))</f>
        <v>1600</v>
      </c>
      <c r="BK6" s="386">
        <f>INDEX('LT HD Forecast'!$K$1:$Q$55,MATCH(BI2,'LT HD Forecast'!$A:$A,0),MATCH(BK$3,'LT HD Forecast'!$K$2:$Q$2,0))</f>
        <v>2000</v>
      </c>
      <c r="BL6" s="387">
        <f>INDEX('LT HD Forecast'!$K$1:$Q$55,MATCH(BI2,'LT HD Forecast'!$A:$A,0),MATCH(BL$3,'LT HD Forecast'!$K$2:$Q$2,0))</f>
        <v>2000</v>
      </c>
      <c r="BM6" s="387">
        <f>INDEX('LT HD Forecast'!$K$1:$Q$55,MATCH(BI2,'LT HD Forecast'!$A:$A,0)+1,MATCH(BM$3,'LT HD Forecast'!$K$2:$Q$2,0))</f>
        <v>1775</v>
      </c>
      <c r="BN6" s="387">
        <f>INDEX('LT HD Forecast'!$K$1:$Q$55,MATCH(BI2,'LT HD Forecast'!$A:$A,0)+1,MATCH(BN$3,'LT HD Forecast'!$K$2:$Q$2,0))</f>
        <v>2050</v>
      </c>
      <c r="BO6" s="388">
        <f>INDEX('LT HD Forecast'!$K$1:$Q$55,MATCH(BI2,'LT HD Forecast'!$A:$A,0)+1,MATCH(BO$3,'LT HD Forecast'!$K$2:$Q$2,0))</f>
        <v>2000</v>
      </c>
      <c r="BP6" s="389">
        <f>INDEX('LT HD Forecast'!$K$1:$Q$55,MATCH(BI2,'LT HD Forecast'!$A:$A,0)+1,MATCH(BP$3,'LT HD Forecast'!$K$2:$Q$2,0))</f>
        <v>100</v>
      </c>
      <c r="BQ6" s="384">
        <f t="shared" si="322"/>
        <v>11511.301969365428</v>
      </c>
      <c r="BR6" s="386">
        <f>INDEX('LT HD Forecast'!$K$1:$Q$55,MATCH(BQ2,'LT HD Forecast'!$A:$A,0),MATCH(BR$3,'LT HD Forecast'!$K$2:$Q$2,0))</f>
        <v>1650</v>
      </c>
      <c r="BS6" s="386">
        <f>INDEX('LT HD Forecast'!$K$1:$Q$55,MATCH(BQ2,'LT HD Forecast'!$A:$A,0),MATCH(BS$3,'LT HD Forecast'!$K$2:$Q$2,0))</f>
        <v>2068.8402625820568</v>
      </c>
      <c r="BT6" s="387">
        <f>INDEX('LT HD Forecast'!$K$1:$Q$55,MATCH(BQ2,'LT HD Forecast'!$A:$A,0),MATCH(BT$3,'LT HD Forecast'!$K$2:$Q$2,0))</f>
        <v>1917.4617067833699</v>
      </c>
      <c r="BU6" s="387">
        <f>INDEX('LT HD Forecast'!$K$1:$Q$55,MATCH(BQ2,'LT HD Forecast'!$A:$A,0)+1,MATCH(BU$3,'LT HD Forecast'!$K$2:$Q$2,0))</f>
        <v>1875</v>
      </c>
      <c r="BV6" s="387">
        <f>INDEX('LT HD Forecast'!$K$1:$Q$55,MATCH(BQ2,'LT HD Forecast'!$A:$A,0)+1,MATCH(BV$3,'LT HD Forecast'!$K$2:$Q$2,0))</f>
        <v>1950</v>
      </c>
      <c r="BW6" s="388">
        <f>INDEX('LT HD Forecast'!$K$1:$Q$55,MATCH(BQ2,'LT HD Forecast'!$A:$A,0)+1,MATCH(BW$3,'LT HD Forecast'!$K$2:$Q$2,0))</f>
        <v>1950</v>
      </c>
      <c r="BX6" s="389">
        <f>INDEX('LT HD Forecast'!$K$1:$Q$55,MATCH(BQ2,'LT HD Forecast'!$A:$A,0)+1,MATCH(BX$3,'LT HD Forecast'!$K$2:$Q$2,0))</f>
        <v>100</v>
      </c>
      <c r="BY6" s="384">
        <f t="shared" si="323"/>
        <v>11053.698630136987</v>
      </c>
      <c r="BZ6" s="386">
        <f>INDEX('LT HD Forecast'!$K$1:$Q$55,MATCH(BY2,'LT HD Forecast'!$A:$A,0),MATCH(BZ$3,'LT HD Forecast'!$K$2:$Q$2,0))</f>
        <v>1550</v>
      </c>
      <c r="CA6" s="386">
        <f>INDEX('LT HD Forecast'!$K$1:$Q$55,MATCH(BY2,'LT HD Forecast'!$A:$A,0),MATCH(CA$3,'LT HD Forecast'!$K$2:$Q$2,0))</f>
        <v>1900</v>
      </c>
      <c r="CB6" s="387">
        <f>INDEX('LT HD Forecast'!$K$1:$Q$55,MATCH(BY2,'LT HD Forecast'!$A:$A,0),MATCH(CB$3,'LT HD Forecast'!$K$2:$Q$2,0))</f>
        <v>1850</v>
      </c>
      <c r="CC6" s="387">
        <f>INDEX('LT HD Forecast'!$K$1:$Q$55,MATCH(BY2,'LT HD Forecast'!$A:$A,0)+1,MATCH(CC$3,'LT HD Forecast'!$K$2:$Q$2,0))</f>
        <v>1766.7808219178082</v>
      </c>
      <c r="CD6" s="387">
        <f>INDEX('LT HD Forecast'!$K$1:$Q$55,MATCH(BY2,'LT HD Forecast'!$A:$A,0)+1,MATCH(CD$3,'LT HD Forecast'!$K$2:$Q$2,0))</f>
        <v>1968.6986301369861</v>
      </c>
      <c r="CE6" s="388">
        <f>INDEX('LT HD Forecast'!$K$1:$Q$55,MATCH(BY2,'LT HD Forecast'!$A:$A,0)+1,MATCH(CE$3,'LT HD Forecast'!$K$2:$Q$2,0))</f>
        <v>1918.2191780821918</v>
      </c>
      <c r="CF6" s="389">
        <f>INDEX('LT HD Forecast'!$K$1:$Q$55,MATCH(BY2,'LT HD Forecast'!$A:$A,0)+1,MATCH(CF$3,'LT HD Forecast'!$K$2:$Q$2,0))</f>
        <v>100</v>
      </c>
      <c r="CG6" s="384">
        <f t="shared" si="324"/>
        <v>11169.212279179321</v>
      </c>
      <c r="CH6" s="386">
        <f>INDEX('LT HD Forecast'!$K$1:$Q$55,MATCH(CG2,'LT HD Forecast'!$A:$A,0),MATCH(CH$3,'LT HD Forecast'!$K$2:$Q$2,0))</f>
        <v>1615.3424657534247</v>
      </c>
      <c r="CI6" s="386">
        <f>INDEX('LT HD Forecast'!$K$1:$Q$55,MATCH(CG2,'LT HD Forecast'!$A:$A,0),MATCH(CI$3,'LT HD Forecast'!$K$2:$Q$2,0))</f>
        <v>1929.7232876712328</v>
      </c>
      <c r="CJ6" s="387">
        <f>INDEX('LT HD Forecast'!$K$1:$Q$55,MATCH(CG2,'LT HD Forecast'!$A:$A,0),MATCH(CJ$3,'LT HD Forecast'!$K$2:$Q$2,0))</f>
        <v>1878.9410958904111</v>
      </c>
      <c r="CK6" s="387">
        <f>INDEX('LT HD Forecast'!$K$1:$Q$55,MATCH(CG2,'LT HD Forecast'!$A:$A,0)+1,MATCH(CK$3,'LT HD Forecast'!$K$2:$Q$2,0))</f>
        <v>1764.1266968325792</v>
      </c>
      <c r="CL6" s="387">
        <f>INDEX('LT HD Forecast'!$K$1:$Q$55,MATCH(CG2,'LT HD Forecast'!$A:$A,0)+1,MATCH(CL$3,'LT HD Forecast'!$K$2:$Q$2,0))</f>
        <v>1965.7411764705882</v>
      </c>
      <c r="CM6" s="388">
        <f>INDEX('LT HD Forecast'!$K$1:$Q$55,MATCH(CG2,'LT HD Forecast'!$A:$A,0)+1,MATCH(CM$3,'LT HD Forecast'!$K$2:$Q$2,0))</f>
        <v>1915.3375565610859</v>
      </c>
      <c r="CN6" s="389">
        <f>INDEX('LT HD Forecast'!$K$1:$Q$55,MATCH(CG2,'LT HD Forecast'!$A:$A,0)+1,MATCH(CN$3,'LT HD Forecast'!$K$2:$Q$2,0))</f>
        <v>100</v>
      </c>
      <c r="CO6" s="384">
        <f t="shared" si="325"/>
        <v>11301.003579144754</v>
      </c>
      <c r="CP6" s="386">
        <f>INDEX('LT HD Forecast'!$K$1:$Q$55,MATCH(CO2,'LT HD Forecast'!$A:$A,0),MATCH(CP$3,'LT HD Forecast'!$K$2:$Q$2,0))</f>
        <v>1612.9158371040724</v>
      </c>
      <c r="CQ6" s="386">
        <f>INDEX('LT HD Forecast'!$K$1:$Q$55,MATCH(CO2,'LT HD Forecast'!$A:$A,0),MATCH(CQ$3,'LT HD Forecast'!$K$2:$Q$2,0))</f>
        <v>1965.7411764705882</v>
      </c>
      <c r="CR6" s="387">
        <f>INDEX('LT HD Forecast'!$K$1:$Q$55,MATCH(CO2,'LT HD Forecast'!$A:$A,0),MATCH(CR$3,'LT HD Forecast'!$K$2:$Q$2,0))</f>
        <v>1915.3375565610859</v>
      </c>
      <c r="CS6" s="387">
        <f>INDEX('LT HD Forecast'!$K$1:$Q$55,MATCH(CO2,'LT HD Forecast'!$A:$A,0)+1,MATCH(CS$3,'LT HD Forecast'!$K$2:$Q$2,0))</f>
        <v>1767.6576576576576</v>
      </c>
      <c r="CT6" s="387">
        <f>INDEX('LT HD Forecast'!$K$1:$Q$55,MATCH(CO2,'LT HD Forecast'!$A:$A,0)+1,MATCH(CT$3,'LT HD Forecast'!$K$2:$Q$2,0))</f>
        <v>2070.6846846846847</v>
      </c>
      <c r="CU6" s="388">
        <f>INDEX('LT HD Forecast'!$K$1:$Q$55,MATCH(CO2,'LT HD Forecast'!$A:$A,0)+1,MATCH(CU$3,'LT HD Forecast'!$K$2:$Q$2,0))</f>
        <v>1868.6666666666667</v>
      </c>
      <c r="CV6" s="389">
        <f>INDEX('LT HD Forecast'!$K$1:$Q$55,MATCH(CO2,'LT HD Forecast'!$A:$A,0)+1,MATCH(CV$3,'LT HD Forecast'!$K$2:$Q$2,0))</f>
        <v>100</v>
      </c>
      <c r="CW6" s="384">
        <f t="shared" si="326"/>
        <v>11628.510768768771</v>
      </c>
      <c r="CX6" s="386">
        <f>INDEX('LT HD Forecast'!$K$1:$Q$55,MATCH(CW2,'LT HD Forecast'!$A:$A,0),MATCH(CX$3,'LT HD Forecast'!$K$2:$Q$2,0))</f>
        <v>1616.1441441441441</v>
      </c>
      <c r="CY6" s="386">
        <f>INDEX('LT HD Forecast'!$K$1:$Q$55,MATCH(CW2,'LT HD Forecast'!$A:$A,0),MATCH(CY$3,'LT HD Forecast'!$K$2:$Q$2,0))</f>
        <v>1969.6756756756756</v>
      </c>
      <c r="CZ6" s="387">
        <f>INDEX('LT HD Forecast'!$K$1:$Q$55,MATCH(CW2,'LT HD Forecast'!$A:$A,0),MATCH(CZ$3,'LT HD Forecast'!$K$2:$Q$2,0))</f>
        <v>1919.1711711711712</v>
      </c>
      <c r="DA6" s="387">
        <f>INDEX('LT HD Forecast'!$K$1:$Q$55,MATCH(CW2,'LT HD Forecast'!$A:$A,0)+1,MATCH(DA$3,'LT HD Forecast'!$K$2:$Q$2,0))</f>
        <v>1939.7775555555556</v>
      </c>
      <c r="DB6" s="387">
        <f>INDEX('LT HD Forecast'!$K$1:$Q$55,MATCH(CW2,'LT HD Forecast'!$A:$A,0)+1,MATCH(DB$3,'LT HD Forecast'!$K$2:$Q$2,0))</f>
        <v>2143.9646666666672</v>
      </c>
      <c r="DC6" s="388">
        <f>INDEX('LT HD Forecast'!$K$1:$Q$55,MATCH(CW2,'LT HD Forecast'!$A:$A,0)+1,MATCH(DC$3,'LT HD Forecast'!$K$2:$Q$2,0))</f>
        <v>1939.7775555555556</v>
      </c>
      <c r="DD6" s="389">
        <f>INDEX('LT HD Forecast'!$K$1:$Q$55,MATCH(CW2,'LT HD Forecast'!$A:$A,0)+1,MATCH(DD$3,'LT HD Forecast'!$K$2:$Q$2,0))</f>
        <v>100</v>
      </c>
      <c r="DE6" s="384">
        <f t="shared" si="327"/>
        <v>11438.081455406078</v>
      </c>
      <c r="DF6" s="386">
        <f>INDEX('LT HD Forecast'!$K$1:$Q$55,MATCH(DE2,'LT HD Forecast'!$A:$A,0),MATCH(DF$3,'LT HD Forecast'!$K$2:$Q$2,0))</f>
        <v>1582.4501111111113</v>
      </c>
      <c r="DG6" s="386">
        <f>INDEX('LT HD Forecast'!$K$1:$Q$55,MATCH(DE2,'LT HD Forecast'!$A:$A,0),MATCH(DG$3,'LT HD Forecast'!$K$2:$Q$2,0))</f>
        <v>1939.7775555555556</v>
      </c>
      <c r="DH6" s="387">
        <f>INDEX('LT HD Forecast'!$K$1:$Q$55,MATCH(DE2,'LT HD Forecast'!$A:$A,0),MATCH(DH$3,'LT HD Forecast'!$K$2:$Q$2,0))</f>
        <v>1939.7775555555556</v>
      </c>
      <c r="DI6" s="387">
        <f>INDEX('LT HD Forecast'!$K$1:$Q$55,MATCH(DE2,'LT HD Forecast'!$A:$A,0)+1,MATCH(DI$3,'LT HD Forecast'!$K$2:$Q$2,0))</f>
        <v>1975.5773542600896</v>
      </c>
      <c r="DJ6" s="387">
        <f>INDEX('LT HD Forecast'!$K$1:$Q$55,MATCH(DE2,'LT HD Forecast'!$A:$A,0)+1,MATCH(DJ$3,'LT HD Forecast'!$K$2:$Q$2,0))</f>
        <v>2076.8890134529147</v>
      </c>
      <c r="DK6" s="388">
        <f>INDEX('LT HD Forecast'!$K$1:$Q$55,MATCH(DE2,'LT HD Forecast'!$A:$A,0)+1,MATCH(DK$3,'LT HD Forecast'!$K$2:$Q$2,0))</f>
        <v>1823.6098654708521</v>
      </c>
      <c r="DL6" s="389">
        <f>INDEX('LT HD Forecast'!$K$1:$Q$55,MATCH(DE2,'LT HD Forecast'!$A:$A,0)+1,MATCH(DL$3,'LT HD Forecast'!$K$2:$Q$2,0))</f>
        <v>100</v>
      </c>
      <c r="DM6" s="384">
        <f t="shared" si="328"/>
        <v>11470.173766816144</v>
      </c>
      <c r="DN6" s="386">
        <f>INDEX('LT HD Forecast'!$K$1:$Q$55,MATCH(DM2,'LT HD Forecast'!$A:$A,0),MATCH(DN$3,'LT HD Forecast'!$K$2:$Q$2,0))</f>
        <v>1570.3307174887893</v>
      </c>
      <c r="DO6" s="386">
        <f>INDEX('LT HD Forecast'!$K$1:$Q$55,MATCH(DM2,'LT HD Forecast'!$A:$A,0),MATCH(DO$3,'LT HD Forecast'!$K$2:$Q$2,0))</f>
        <v>1924.921524663677</v>
      </c>
      <c r="DP6" s="387">
        <f>INDEX('LT HD Forecast'!$K$1:$Q$55,MATCH(DM2,'LT HD Forecast'!$A:$A,0),MATCH(DP$3,'LT HD Forecast'!$K$2:$Q$2,0))</f>
        <v>1924.921524663677</v>
      </c>
      <c r="DQ6" s="387">
        <f>INDEX('LT HD Forecast'!$K$1:$Q$55,MATCH(DM2,'LT HD Forecast'!$A:$A,0)+1,MATCH(DQ$3,'LT HD Forecast'!$K$2:$Q$2,0))</f>
        <v>1650</v>
      </c>
      <c r="DR6" s="387">
        <f>INDEX('LT HD Forecast'!$K$1:$Q$55,MATCH(DM2,'LT HD Forecast'!$A:$A,0)+1,MATCH(DR$3,'LT HD Forecast'!$K$2:$Q$2,0))</f>
        <v>2050</v>
      </c>
      <c r="DS6" s="388">
        <f>INDEX('LT HD Forecast'!$K$1:$Q$55,MATCH(DM2,'LT HD Forecast'!$A:$A,0)+1,MATCH(DS$3,'LT HD Forecast'!$K$2:$Q$2,0))</f>
        <v>1850</v>
      </c>
      <c r="DT6" s="389">
        <f>INDEX('LT HD Forecast'!$K$1:$Q$55,MATCH(DM2,'LT HD Forecast'!$A:$A,0)+1,MATCH(DT$3,'LT HD Forecast'!$K$2:$Q$2,0))</f>
        <v>500</v>
      </c>
      <c r="DU6" s="384">
        <f t="shared" si="329"/>
        <v>9000</v>
      </c>
      <c r="DV6" s="386">
        <f>INDEX('LT HD Forecast'!$K$1:$Q$55,MATCH(DU2,'LT HD Forecast'!$A:$A,0),MATCH(DV$3,'LT HD Forecast'!$K$2:$Q$2,0))</f>
        <v>0</v>
      </c>
      <c r="DW6" s="386">
        <f>INDEX('LT HD Forecast'!$K$1:$Q$55,MATCH(DU2,'LT HD Forecast'!$A:$A,0),MATCH(DW$3,'LT HD Forecast'!$K$2:$Q$2,0))</f>
        <v>1000</v>
      </c>
      <c r="DX6" s="387">
        <f>INDEX('LT HD Forecast'!$K$1:$Q$55,MATCH(DU2,'LT HD Forecast'!$A:$A,0),MATCH(DX$3,'LT HD Forecast'!$K$2:$Q$2,0))</f>
        <v>2100</v>
      </c>
      <c r="DY6" s="387">
        <f>INDEX('LT HD Forecast'!$K$1:$Q$55,MATCH(DU2,'LT HD Forecast'!$A:$A,0)+1,MATCH(DY$3,'LT HD Forecast'!$K$2:$Q$2,0))</f>
        <v>1950</v>
      </c>
      <c r="DZ6" s="387">
        <f>INDEX('LT HD Forecast'!$K$1:$Q$55,MATCH(DU2,'LT HD Forecast'!$A:$A,0)+1,MATCH(DZ$3,'LT HD Forecast'!$K$2:$Q$2,0))</f>
        <v>2000</v>
      </c>
      <c r="EA6" s="388">
        <f>INDEX('LT HD Forecast'!$K$1:$Q$55,MATCH(DU2,'LT HD Forecast'!$A:$A,0)+1,MATCH(EA$3,'LT HD Forecast'!$K$2:$Q$2,0))</f>
        <v>1850</v>
      </c>
      <c r="EB6" s="389">
        <f>INDEX('LT HD Forecast'!$K$1:$Q$55,MATCH(DU2,'LT HD Forecast'!$A:$A,0)+1,MATCH(EB$3,'LT HD Forecast'!$K$2:$Q$2,0))</f>
        <v>100</v>
      </c>
      <c r="EC6" s="384">
        <f t="shared" si="330"/>
        <v>10975</v>
      </c>
      <c r="ED6" s="386">
        <f>INDEX('LT HD Forecast'!$K$1:$Q$55,MATCH(EC2,'LT HD Forecast'!$A:$A,0),MATCH(ED$3,'LT HD Forecast'!$K$2:$Q$2,0))</f>
        <v>1550</v>
      </c>
      <c r="EE6" s="386">
        <f>INDEX('LT HD Forecast'!$K$1:$Q$55,MATCH(EC2,'LT HD Forecast'!$A:$A,0),MATCH(EE$3,'LT HD Forecast'!$K$2:$Q$2,0))</f>
        <v>1800</v>
      </c>
      <c r="EF6" s="387">
        <f>INDEX('LT HD Forecast'!$K$1:$Q$55,MATCH(EC2,'LT HD Forecast'!$A:$A,0),MATCH(EF$3,'LT HD Forecast'!$K$2:$Q$2,0))</f>
        <v>1750</v>
      </c>
      <c r="EG6" s="387">
        <f>INDEX('LT HD Forecast'!$K$1:$Q$55,MATCH(EC2,'LT HD Forecast'!$A:$A,0)+1,MATCH(EG$3,'LT HD Forecast'!$K$2:$Q$2,0))</f>
        <v>1800</v>
      </c>
      <c r="EH6" s="387">
        <f>INDEX('LT HD Forecast'!$K$1:$Q$55,MATCH(EC2,'LT HD Forecast'!$A:$A,0)+1,MATCH(EH$3,'LT HD Forecast'!$K$2:$Q$2,0))</f>
        <v>2075</v>
      </c>
      <c r="EI6" s="388">
        <f>INDEX('LT HD Forecast'!$K$1:$Q$55,MATCH(EC2,'LT HD Forecast'!$A:$A,0)+1,MATCH(EI$3,'LT HD Forecast'!$K$2:$Q$2,0))</f>
        <v>2000</v>
      </c>
      <c r="EJ6" s="389">
        <f>INDEX('LT HD Forecast'!$K$1:$Q$55,MATCH(EC2,'LT HD Forecast'!$A:$A,0)+1,MATCH(EJ$3,'LT HD Forecast'!$K$2:$Q$2,0))</f>
        <v>0</v>
      </c>
      <c r="EK6" s="384">
        <f t="shared" si="331"/>
        <v>11800</v>
      </c>
      <c r="EL6" s="386">
        <f>INDEX('LT HD Forecast'!$K$1:$Q$55,MATCH(EK2,'LT HD Forecast'!$A:$A,0),MATCH(EL$3,'LT HD Forecast'!$K$2:$Q$2,0))</f>
        <v>1700</v>
      </c>
      <c r="EM6" s="386">
        <f>INDEX('LT HD Forecast'!$K$1:$Q$55,MATCH(EK2,'LT HD Forecast'!$A:$A,0),MATCH(EM$3,'LT HD Forecast'!$K$2:$Q$2,0))</f>
        <v>2000</v>
      </c>
      <c r="EN6" s="387">
        <f>INDEX('LT HD Forecast'!$K$1:$Q$55,MATCH(EK2,'LT HD Forecast'!$A:$A,0),MATCH(EN$3,'LT HD Forecast'!$K$2:$Q$2,0))</f>
        <v>1900</v>
      </c>
      <c r="EO6" s="387">
        <f>INDEX('LT HD Forecast'!$K$1:$Q$55,MATCH(EK2,'LT HD Forecast'!$A:$A,0)+1,MATCH(EO$3,'LT HD Forecast'!$K$2:$Q$2,0))</f>
        <v>1850</v>
      </c>
      <c r="EP6" s="387">
        <f>INDEX('LT HD Forecast'!$K$1:$Q$55,MATCH(EK2,'LT HD Forecast'!$A:$A,0)+1,MATCH(EP$3,'LT HD Forecast'!$K$2:$Q$2,0))</f>
        <v>2150</v>
      </c>
      <c r="EQ6" s="388">
        <f>INDEX('LT HD Forecast'!$K$1:$Q$55,MATCH(EK2,'LT HD Forecast'!$A:$A,0)+1,MATCH(EQ$3,'LT HD Forecast'!$K$2:$Q$2,0))</f>
        <v>2100</v>
      </c>
      <c r="ER6" s="389">
        <f>INDEX('LT HD Forecast'!$K$1:$Q$55,MATCH(EK2,'LT HD Forecast'!$A:$A,0)+1,MATCH(ER$3,'LT HD Forecast'!$K$2:$Q$2,0))</f>
        <v>100</v>
      </c>
      <c r="ES6" s="384">
        <f t="shared" si="332"/>
        <v>12050</v>
      </c>
      <c r="ET6" s="386">
        <f>INDEX('LT HD Forecast'!$K$1:$Q$55,MATCH(ES2,'LT HD Forecast'!$A:$A,0),MATCH(ET$3,'LT HD Forecast'!$K$2:$Q$2,0))</f>
        <v>1750</v>
      </c>
      <c r="EU6" s="386">
        <f>INDEX('LT HD Forecast'!$K$1:$Q$55,MATCH(ES2,'LT HD Forecast'!$A:$A,0),MATCH(EU$3,'LT HD Forecast'!$K$2:$Q$2,0))</f>
        <v>2050</v>
      </c>
      <c r="EV6" s="387">
        <f>INDEX('LT HD Forecast'!$K$1:$Q$55,MATCH(ES2,'LT HD Forecast'!$A:$A,0),MATCH(EV$3,'LT HD Forecast'!$K$2:$Q$2,0))</f>
        <v>2050</v>
      </c>
      <c r="EW6" s="387">
        <f>INDEX('LT HD Forecast'!$K$1:$Q$55,MATCH(ES2,'LT HD Forecast'!$A:$A,0)+1,MATCH(EW$3,'LT HD Forecast'!$K$2:$Q$2,0))</f>
        <v>1950</v>
      </c>
      <c r="EX6" s="387">
        <f>INDEX('LT HD Forecast'!$K$1:$Q$55,MATCH(ES2,'LT HD Forecast'!$A:$A,0)+1,MATCH(EX$3,'LT HD Forecast'!$K$2:$Q$2,0))</f>
        <v>2150</v>
      </c>
      <c r="EY6" s="388">
        <f>INDEX('LT HD Forecast'!$K$1:$Q$55,MATCH(ES2,'LT HD Forecast'!$A:$A,0)+1,MATCH(EY$3,'LT HD Forecast'!$K$2:$Q$2,0))</f>
        <v>2000</v>
      </c>
      <c r="EZ6" s="389">
        <f>INDEX('LT HD Forecast'!$K$1:$Q$55,MATCH(ES2,'LT HD Forecast'!$A:$A,0)+1,MATCH(EZ$3,'LT HD Forecast'!$K$2:$Q$2,0))</f>
        <v>100</v>
      </c>
      <c r="FA6" s="384">
        <f t="shared" si="333"/>
        <v>11200</v>
      </c>
      <c r="FB6" s="386">
        <f>INDEX('LT HD Forecast'!$K$1:$Q$55,MATCH(FA2,'LT HD Forecast'!$A:$A,0),MATCH(FB$3,'LT HD Forecast'!$K$2:$Q$2,0))</f>
        <v>1650</v>
      </c>
      <c r="FC6" s="386">
        <f>INDEX('LT HD Forecast'!$K$1:$Q$55,MATCH(FA2,'LT HD Forecast'!$A:$A,0),MATCH(FC$3,'LT HD Forecast'!$K$2:$Q$2,0))</f>
        <v>1900</v>
      </c>
      <c r="FD6" s="387">
        <f>INDEX('LT HD Forecast'!$K$1:$Q$55,MATCH(FA2,'LT HD Forecast'!$A:$A,0),MATCH(FD$3,'LT HD Forecast'!$K$2:$Q$2,0))</f>
        <v>1950</v>
      </c>
      <c r="FE6" s="387">
        <f>INDEX('LT HD Forecast'!$K$1:$Q$55,MATCH(FA2,'LT HD Forecast'!$A:$A,0)+1,MATCH(FE$3,'LT HD Forecast'!$K$2:$Q$2,0))</f>
        <v>1850</v>
      </c>
      <c r="FF6" s="387">
        <f>INDEX('LT HD Forecast'!$K$1:$Q$55,MATCH(FA2,'LT HD Forecast'!$A:$A,0)+1,MATCH(FF$3,'LT HD Forecast'!$K$2:$Q$2,0))</f>
        <v>1900</v>
      </c>
      <c r="FG6" s="388">
        <f>INDEX('LT HD Forecast'!$K$1:$Q$55,MATCH(FA2,'LT HD Forecast'!$A:$A,0)+1,MATCH(FG$3,'LT HD Forecast'!$K$2:$Q$2,0))</f>
        <v>1850</v>
      </c>
      <c r="FH6" s="389">
        <f>INDEX('LT HD Forecast'!$K$1:$Q$55,MATCH(FA2,'LT HD Forecast'!$A:$A,0)+1,MATCH(FH$3,'LT HD Forecast'!$K$2:$Q$2,0))</f>
        <v>100</v>
      </c>
      <c r="FI6" s="384">
        <f t="shared" si="334"/>
        <v>9150</v>
      </c>
      <c r="FJ6" s="386">
        <f>INDEX('LT HD Forecast'!$K$1:$Q$55,MATCH(FI2,'LT HD Forecast'!$A:$A,0),MATCH(FJ$3,'LT HD Forecast'!$K$2:$Q$2,0))</f>
        <v>1500</v>
      </c>
      <c r="FK6" s="386">
        <f>INDEX('LT HD Forecast'!$K$1:$Q$55,MATCH(FI2,'LT HD Forecast'!$A:$A,0),MATCH(FK$3,'LT HD Forecast'!$K$2:$Q$2,0))</f>
        <v>1800</v>
      </c>
      <c r="FL6" s="387">
        <f>INDEX('LT HD Forecast'!$K$1:$Q$55,MATCH(FI2,'LT HD Forecast'!$A:$A,0),MATCH(FL$3,'LT HD Forecast'!$K$2:$Q$2,0))</f>
        <v>1750</v>
      </c>
      <c r="FM6" s="387">
        <f>INDEX('LT HD Forecast'!$K$1:$Q$55,MATCH(FI2,'LT HD Forecast'!$A:$A,0)+1,MATCH(FM$3,'LT HD Forecast'!$K$2:$Q$2,0))</f>
        <v>0</v>
      </c>
      <c r="FN6" s="387">
        <f>INDEX('LT HD Forecast'!$K$1:$Q$55,MATCH(FI2,'LT HD Forecast'!$A:$A,0)+1,MATCH(FN$3,'LT HD Forecast'!$K$2:$Q$2,0))</f>
        <v>1850</v>
      </c>
      <c r="FO6" s="388">
        <f>INDEX('LT HD Forecast'!$K$1:$Q$55,MATCH(FI2,'LT HD Forecast'!$A:$A,0)+1,MATCH(FO$3,'LT HD Forecast'!$K$2:$Q$2,0))</f>
        <v>2150</v>
      </c>
      <c r="FP6" s="389">
        <f>INDEX('LT HD Forecast'!$K$1:$Q$55,MATCH(FI2,'LT HD Forecast'!$A:$A,0)+1,MATCH(FP$3,'LT HD Forecast'!$K$2:$Q$2,0))</f>
        <v>100</v>
      </c>
      <c r="FQ6" s="384">
        <f>SUM(FR6:FX6)</f>
        <v>11600</v>
      </c>
      <c r="FR6" s="386">
        <f>INDEX('LT HD Forecast'!$K$1:$Q$55,MATCH(FQ2,'LT HD Forecast'!$A:$A,0),MATCH(FR$3,'LT HD Forecast'!$K$2:$Q$2,0))</f>
        <v>1650</v>
      </c>
      <c r="FS6" s="386">
        <f>INDEX('LT HD Forecast'!$K$1:$Q$55,MATCH(FQ2,'LT HD Forecast'!$A:$A,0),MATCH(FS$3,'LT HD Forecast'!$K$2:$Q$2,0))</f>
        <v>1950</v>
      </c>
      <c r="FT6" s="387">
        <f>INDEX('LT HD Forecast'!$K$1:$Q$55,MATCH(FQ2,'LT HD Forecast'!$A:$A,0),MATCH(FT$3,'LT HD Forecast'!$K$2:$Q$2,0))</f>
        <v>1950</v>
      </c>
      <c r="FU6" s="387">
        <f>INDEX('LT HD Forecast'!$K$1:$Q$55,MATCH(FQ2,'LT HD Forecast'!$A:$A,0)+1,MATCH(FU$3,'LT HD Forecast'!$K$2:$Q$2,0))</f>
        <v>1950</v>
      </c>
      <c r="FV6" s="387">
        <f>INDEX('LT HD Forecast'!$K$1:$Q$55,MATCH(FQ2,'LT HD Forecast'!$A:$A,0)+1,MATCH(FV$3,'LT HD Forecast'!$K$2:$Q$2,0))</f>
        <v>2050</v>
      </c>
      <c r="FW6" s="388">
        <f>INDEX('LT HD Forecast'!$K$1:$Q$55,MATCH(FQ2,'LT HD Forecast'!$A:$A,0)+1,MATCH(FW$3,'LT HD Forecast'!$K$2:$Q$2,0))</f>
        <v>1950</v>
      </c>
      <c r="FX6" s="389">
        <f>INDEX('LT HD Forecast'!$K$1:$Q$55,MATCH(FQ2,'LT HD Forecast'!$A:$A,0)+1,MATCH(FX$3,'LT HD Forecast'!$K$2:$Q$2,0))</f>
        <v>100</v>
      </c>
      <c r="FY6" s="384">
        <f t="shared" si="336"/>
        <v>8800</v>
      </c>
      <c r="FZ6" s="386">
        <f>INDEX('LT HD Forecast'!$K$1:$Q$55,MATCH(FY2,'LT HD Forecast'!$A:$A,0),MATCH(FZ$3,'LT HD Forecast'!$K$2:$Q$2,0))</f>
        <v>0</v>
      </c>
      <c r="GA6" s="386">
        <f>INDEX('LT HD Forecast'!$K$1:$Q$55,MATCH(FY2,'LT HD Forecast'!$A:$A,0),MATCH(GA$3,'LT HD Forecast'!$K$2:$Q$2,0))</f>
        <v>850</v>
      </c>
      <c r="GB6" s="387">
        <f>INDEX('LT HD Forecast'!$K$1:$Q$55,MATCH(FY2,'LT HD Forecast'!$A:$A,0),MATCH(GB$3,'LT HD Forecast'!$K$2:$Q$2,0))</f>
        <v>2150</v>
      </c>
      <c r="GC6" s="387">
        <f>INDEX('LT HD Forecast'!$K$1:$Q$55,MATCH(FY2,'LT HD Forecast'!$A:$A,0)+1,MATCH(GC$3,'LT HD Forecast'!$K$2:$Q$2,0))</f>
        <v>1900</v>
      </c>
      <c r="GD6" s="387">
        <f>INDEX('LT HD Forecast'!$K$1:$Q$55,MATCH(FY2,'LT HD Forecast'!$A:$A,0)+1,MATCH(GD$3,'LT HD Forecast'!$K$2:$Q$2,0))</f>
        <v>1925</v>
      </c>
      <c r="GE6" s="388">
        <f>INDEX('LT HD Forecast'!$K$1:$Q$55,MATCH(FY2,'LT HD Forecast'!$A:$A,0)+1,MATCH(GE$3,'LT HD Forecast'!$K$2:$Q$2,0))</f>
        <v>1875</v>
      </c>
      <c r="GF6" s="389">
        <f>INDEX('LT HD Forecast'!$K$1:$Q$55,MATCH(FY2,'LT HD Forecast'!$A:$A,0)+1,MATCH(GF$3,'LT HD Forecast'!$K$2:$Q$2,0))</f>
        <v>100</v>
      </c>
      <c r="GG6" s="384">
        <f t="shared" si="337"/>
        <v>11600</v>
      </c>
      <c r="GH6" s="386">
        <f>INDEX('LT HD Forecast'!$K$1:$Q$55,MATCH(GG2,'LT HD Forecast'!$A:$A,0),MATCH(GH$3,'LT HD Forecast'!$K$2:$Q$2,0))</f>
        <v>1650</v>
      </c>
      <c r="GI6" s="386">
        <f>INDEX('LT HD Forecast'!$K$1:$Q$55,MATCH(GG2,'LT HD Forecast'!$A:$A,0),MATCH(GI$3,'LT HD Forecast'!$K$2:$Q$2,0))</f>
        <v>1950</v>
      </c>
      <c r="GJ6" s="387">
        <f>INDEX('LT HD Forecast'!$K$1:$Q$55,MATCH(GG2,'LT HD Forecast'!$A:$A,0),MATCH(GJ$3,'LT HD Forecast'!$K$2:$Q$2,0))</f>
        <v>1950</v>
      </c>
      <c r="GK6" s="387">
        <f>INDEX('LT HD Forecast'!$K$1:$Q$55,MATCH(GG2,'LT HD Forecast'!$A:$A,0)+1,MATCH(GK$3,'LT HD Forecast'!$K$2:$Q$2,0))</f>
        <v>1900</v>
      </c>
      <c r="GL6" s="387">
        <f>INDEX('LT HD Forecast'!$K$1:$Q$55,MATCH(GG2,'LT HD Forecast'!$A:$A,0)+1,MATCH(GL$3,'LT HD Forecast'!$K$2:$Q$2,0))</f>
        <v>2100</v>
      </c>
      <c r="GM6" s="388">
        <f>INDEX('LT HD Forecast'!$K$1:$Q$55,MATCH(GG2,'LT HD Forecast'!$A:$A,0)+1,MATCH(GM$3,'LT HD Forecast'!$K$2:$Q$2,0))</f>
        <v>1950</v>
      </c>
      <c r="GN6" s="389">
        <f>INDEX('LT HD Forecast'!$K$1:$Q$55,MATCH(GG2,'LT HD Forecast'!$A:$A,0)+1,MATCH(GN$3,'LT HD Forecast'!$K$2:$Q$2,0))</f>
        <v>100</v>
      </c>
      <c r="GO6" s="384">
        <f t="shared" si="338"/>
        <v>11850</v>
      </c>
      <c r="GP6" s="386">
        <f>INDEX('LT HD Forecast'!$K$1:$Q$55,MATCH(GO2,'LT HD Forecast'!$A:$A,0),MATCH(GP$3,'LT HD Forecast'!$K$2:$Q$2,0))</f>
        <v>1750</v>
      </c>
      <c r="GQ6" s="386">
        <f>INDEX('LT HD Forecast'!$K$1:$Q$55,MATCH(GO2,'LT HD Forecast'!$A:$A,0),MATCH(GQ$3,'LT HD Forecast'!$K$2:$Q$2,0))</f>
        <v>2000</v>
      </c>
      <c r="GR6" s="387">
        <f>INDEX('LT HD Forecast'!$K$1:$Q$55,MATCH(GO2,'LT HD Forecast'!$A:$A,0),MATCH(GR$3,'LT HD Forecast'!$K$2:$Q$2,0))</f>
        <v>2000</v>
      </c>
      <c r="GS6" s="387">
        <f>INDEX('LT HD Forecast'!$K$1:$Q$55,MATCH(GO2,'LT HD Forecast'!$A:$A,0)+1,MATCH(GS$3,'LT HD Forecast'!$K$2:$Q$2,0))</f>
        <v>1950</v>
      </c>
      <c r="GT6" s="387">
        <f>INDEX('LT HD Forecast'!$K$1:$Q$55,MATCH(GO2,'LT HD Forecast'!$A:$A,0)+1,MATCH(GT$3,'LT HD Forecast'!$K$2:$Q$2,0))</f>
        <v>2100</v>
      </c>
      <c r="GU6" s="388">
        <f>INDEX('LT HD Forecast'!$K$1:$Q$55,MATCH(GO2,'LT HD Forecast'!$A:$A,0)+1,MATCH(GU$3,'LT HD Forecast'!$K$2:$Q$2,0))</f>
        <v>1950</v>
      </c>
      <c r="GV6" s="389">
        <f>INDEX('LT HD Forecast'!$K$1:$Q$55,MATCH(GO2,'LT HD Forecast'!$A:$A,0)+1,MATCH(GV$3,'LT HD Forecast'!$K$2:$Q$2,0))</f>
        <v>100</v>
      </c>
      <c r="GW6" s="384">
        <f t="shared" si="339"/>
        <v>11350</v>
      </c>
      <c r="GX6" s="386">
        <f>INDEX('LT HD Forecast'!$K$1:$Q$55,MATCH(GW2,'LT HD Forecast'!$A:$A,0),MATCH(GX$3,'LT HD Forecast'!$K$2:$Q$2,0))</f>
        <v>1600</v>
      </c>
      <c r="GY6" s="386">
        <f>INDEX('LT HD Forecast'!$K$1:$Q$55,MATCH(GW2,'LT HD Forecast'!$A:$A,0),MATCH(GY$3,'LT HD Forecast'!$K$2:$Q$2,0))</f>
        <v>2000</v>
      </c>
      <c r="GZ6" s="387">
        <f>INDEX('LT HD Forecast'!$K$1:$Q$55,MATCH(GW2,'LT HD Forecast'!$A:$A,0),MATCH(GZ$3,'LT HD Forecast'!$K$2:$Q$2,0))</f>
        <v>2000</v>
      </c>
      <c r="HA6" s="387">
        <f>INDEX('LT HD Forecast'!$K$1:$Q$55,MATCH(GW2,'LT HD Forecast'!$A:$A,0)+1,MATCH(HA$3,'LT HD Forecast'!$K$2:$Q$2,0))</f>
        <v>1850</v>
      </c>
      <c r="HB6" s="387">
        <f>INDEX('LT HD Forecast'!$K$1:$Q$55,MATCH(GW2,'LT HD Forecast'!$A:$A,0)+1,MATCH(HB$3,'LT HD Forecast'!$K$2:$Q$2,0))</f>
        <v>1950</v>
      </c>
      <c r="HC6" s="388">
        <f>INDEX('LT HD Forecast'!$K$1:$Q$55,MATCH(GW2,'LT HD Forecast'!$A:$A,0)+1,MATCH(HC$3,'LT HD Forecast'!$K$2:$Q$2,0))</f>
        <v>1850</v>
      </c>
      <c r="HD6" s="389">
        <f>INDEX('LT HD Forecast'!$K$1:$Q$55,MATCH(GW2,'LT HD Forecast'!$A:$A,0)+1,MATCH(HD$3,'LT HD Forecast'!$K$2:$Q$2,0))</f>
        <v>100</v>
      </c>
      <c r="HE6" s="384">
        <f t="shared" si="340"/>
        <v>10550</v>
      </c>
      <c r="HF6" s="386">
        <f>INDEX('LT HD Forecast'!$K$1:$Q$55,MATCH(HE2,'LT HD Forecast'!$A:$A,0),MATCH(HF$3,'LT HD Forecast'!$K$2:$Q$2,0))</f>
        <v>1600</v>
      </c>
      <c r="HG6" s="386">
        <f>INDEX('LT HD Forecast'!$K$1:$Q$55,MATCH(HE2,'LT HD Forecast'!$A:$A,0),MATCH(HG$3,'LT HD Forecast'!$K$2:$Q$2,0))</f>
        <v>1900</v>
      </c>
      <c r="HH6" s="387">
        <f>INDEX('LT HD Forecast'!$K$1:$Q$55,MATCH(HE2,'LT HD Forecast'!$A:$A,0),MATCH(HH$3,'LT HD Forecast'!$K$2:$Q$2,0))</f>
        <v>1850</v>
      </c>
      <c r="HI6" s="387">
        <f>INDEX('LT HD Forecast'!$K$1:$Q$55,MATCH(HE2,'LT HD Forecast'!$A:$A,0)+1,MATCH(HI$3,'LT HD Forecast'!$K$2:$Q$2,0))</f>
        <v>1650</v>
      </c>
      <c r="HJ6" s="387">
        <f>INDEX('LT HD Forecast'!$K$1:$Q$55,MATCH(HE2,'LT HD Forecast'!$A:$A,0)+1,MATCH(HJ$3,'LT HD Forecast'!$K$2:$Q$2,0))</f>
        <v>1850</v>
      </c>
      <c r="HK6" s="388">
        <f>INDEX('LT HD Forecast'!$K$1:$Q$55,MATCH(HE2,'LT HD Forecast'!$A:$A,0)+1,MATCH(HK$3,'LT HD Forecast'!$K$2:$Q$2,0))</f>
        <v>1700</v>
      </c>
      <c r="HL6" s="389">
        <f>INDEX('LT HD Forecast'!$K$1:$Q$55,MATCH(HE2,'LT HD Forecast'!$A:$A,0)+1,MATCH(HL$3,'LT HD Forecast'!$K$2:$Q$2,0))</f>
        <v>0</v>
      </c>
      <c r="HM6" s="384">
        <f t="shared" si="341"/>
        <v>10000</v>
      </c>
      <c r="HN6" s="386">
        <f>INDEX('LT HD Forecast'!$K$1:$Q$55,MATCH(HM2,'LT HD Forecast'!$A:$A,0),MATCH(HN$3,'LT HD Forecast'!$K$2:$Q$2,0))</f>
        <v>1550</v>
      </c>
      <c r="HO6" s="386">
        <f>INDEX('LT HD Forecast'!$K$1:$Q$55,MATCH(HM2,'LT HD Forecast'!$A:$A,0),MATCH(HO$3,'LT HD Forecast'!$K$2:$Q$2,0))</f>
        <v>1700</v>
      </c>
      <c r="HP6" s="387">
        <f>INDEX('LT HD Forecast'!$K$1:$Q$55,MATCH(HM2,'LT HD Forecast'!$A:$A,0),MATCH(HP$3,'LT HD Forecast'!$K$2:$Q$2,0))</f>
        <v>1700</v>
      </c>
      <c r="HQ6" s="387">
        <f>INDEX('LT HD Forecast'!$K$1:$Q$55,MATCH(HM2,'LT HD Forecast'!$A:$A,0)+1,MATCH(HQ$3,'LT HD Forecast'!$K$2:$Q$2,0))</f>
        <v>1650</v>
      </c>
      <c r="HR6" s="387">
        <f>INDEX('LT HD Forecast'!$K$1:$Q$55,MATCH(HM2,'LT HD Forecast'!$A:$A,0)+1,MATCH(HR$3,'LT HD Forecast'!$K$2:$Q$2,0))</f>
        <v>1800</v>
      </c>
      <c r="HS6" s="388">
        <f>INDEX('LT HD Forecast'!$K$1:$Q$55,MATCH(HM2,'LT HD Forecast'!$A:$A,0)+1,MATCH(HS$3,'LT HD Forecast'!$K$2:$Q$2,0))</f>
        <v>1600</v>
      </c>
      <c r="HT6" s="389">
        <f>INDEX('LT HD Forecast'!$K$1:$Q$55,MATCH(HM2,'LT HD Forecast'!$A:$A,0)+1,MATCH(HT$3,'LT HD Forecast'!$K$2:$Q$2,0))</f>
        <v>0</v>
      </c>
      <c r="HU6" s="384">
        <f t="shared" si="342"/>
        <v>8550</v>
      </c>
      <c r="HV6" s="386">
        <f>INDEX('LT HD Forecast'!$K$1:$Q$55,MATCH(HU2,'LT HD Forecast'!$A:$A,0),MATCH(HV$3,'LT HD Forecast'!$K$2:$Q$2,0))</f>
        <v>1500</v>
      </c>
      <c r="HW6" s="386">
        <f>INDEX('LT HD Forecast'!$K$1:$Q$55,MATCH(HU2,'LT HD Forecast'!$A:$A,0),MATCH(HW$3,'LT HD Forecast'!$K$2:$Q$2,0))</f>
        <v>1750</v>
      </c>
      <c r="HX6" s="387">
        <f>INDEX('LT HD Forecast'!$K$1:$Q$55,MATCH(HU2,'LT HD Forecast'!$A:$A,0),MATCH(HX$3,'LT HD Forecast'!$K$2:$Q$2,0))</f>
        <v>1700</v>
      </c>
      <c r="HY6" s="387">
        <f>INDEX('LT HD Forecast'!$K$1:$Q$55,MATCH(HU2,'LT HD Forecast'!$A:$A,0)+1,MATCH(HY$3,'LT HD Forecast'!$K$2:$Q$2,0))</f>
        <v>0</v>
      </c>
      <c r="HZ6" s="387">
        <f>INDEX('LT HD Forecast'!$K$1:$Q$55,MATCH(HU2,'LT HD Forecast'!$A:$A,0)+1,MATCH(HZ$3,'LT HD Forecast'!$K$2:$Q$2,0))</f>
        <v>1900</v>
      </c>
      <c r="IA6" s="388">
        <f>INDEX('LT HD Forecast'!$K$1:$Q$55,MATCH(HU2,'LT HD Forecast'!$A:$A,0)+1,MATCH(IA$3,'LT HD Forecast'!$K$2:$Q$2,0))</f>
        <v>1700</v>
      </c>
      <c r="IB6" s="389">
        <f>INDEX('LT HD Forecast'!$K$1:$Q$55,MATCH(HU2,'LT HD Forecast'!$A:$A,0)+1,MATCH(IB$3,'LT HD Forecast'!$K$2:$Q$2,0))</f>
        <v>0</v>
      </c>
      <c r="IC6" s="384">
        <f t="shared" si="343"/>
        <v>9800</v>
      </c>
      <c r="ID6" s="386">
        <f>INDEX('LT HD Forecast'!$K$1:$Q$55,MATCH(IC2,'LT HD Forecast'!$A:$A,0),MATCH(ID$3,'LT HD Forecast'!$K$2:$Q$2,0))</f>
        <v>1450</v>
      </c>
      <c r="IE6" s="386">
        <f>INDEX('LT HD Forecast'!$K$1:$Q$55,MATCH(IC2,'LT HD Forecast'!$A:$A,0),MATCH(IE$3,'LT HD Forecast'!$K$2:$Q$2,0))</f>
        <v>1750</v>
      </c>
      <c r="IF6" s="387">
        <f>INDEX('LT HD Forecast'!$K$1:$Q$55,MATCH(IC2,'LT HD Forecast'!$A:$A,0),MATCH(IF$3,'LT HD Forecast'!$K$2:$Q$2,0))</f>
        <v>1750</v>
      </c>
      <c r="IG6" s="387">
        <f>INDEX('LT HD Forecast'!$K$1:$Q$55,MATCH(IC2,'LT HD Forecast'!$A:$A,0)+1,MATCH(IG$3,'LT HD Forecast'!$K$2:$Q$2,0))</f>
        <v>1650</v>
      </c>
      <c r="IH6" s="387">
        <f>INDEX('LT HD Forecast'!$K$1:$Q$55,MATCH(IC2,'LT HD Forecast'!$A:$A,0)+1,MATCH(IH$3,'LT HD Forecast'!$K$2:$Q$2,0))</f>
        <v>1650</v>
      </c>
      <c r="II6" s="388">
        <f>INDEX('LT HD Forecast'!$K$1:$Q$55,MATCH(IC2,'LT HD Forecast'!$A:$A,0)+1,MATCH(II$3,'LT HD Forecast'!$K$2:$Q$2,0))</f>
        <v>1550</v>
      </c>
      <c r="IJ6" s="389">
        <f>INDEX('LT HD Forecast'!$K$1:$Q$55,MATCH(IC2,'LT HD Forecast'!$A:$A,0)+1,MATCH(IJ$3,'LT HD Forecast'!$K$2:$Q$2,0))</f>
        <v>0</v>
      </c>
      <c r="IK6" s="384">
        <f t="shared" si="344"/>
        <v>9500</v>
      </c>
      <c r="IL6" s="386">
        <f>INDEX('LT HD Forecast'!$K$1:$Q$55,MATCH(IK2,'LT HD Forecast'!$A:$A,0),MATCH(IL$3,'LT HD Forecast'!$K$2:$Q$2,0))</f>
        <v>1450</v>
      </c>
      <c r="IM6" s="386">
        <f>INDEX('LT HD Forecast'!$K$1:$Q$55,MATCH(IK2,'LT HD Forecast'!$A:$A,0),MATCH(IM$3,'LT HD Forecast'!$K$2:$Q$2,0))</f>
        <v>1750</v>
      </c>
      <c r="IN6" s="387">
        <f>INDEX('LT HD Forecast'!$K$1:$Q$55,MATCH(IK2,'LT HD Forecast'!$A:$A,0),MATCH(IN$3,'LT HD Forecast'!$K$2:$Q$2,0))</f>
        <v>1750</v>
      </c>
      <c r="IO6" s="387">
        <f>INDEX('LT HD Forecast'!$K$1:$Q$55,MATCH(IK2,'LT HD Forecast'!$A:$A,0)+1,MATCH(IO$3,'LT HD Forecast'!$K$2:$Q$2,0))</f>
        <v>1500</v>
      </c>
      <c r="IP6" s="387">
        <f>INDEX('LT HD Forecast'!$K$1:$Q$55,MATCH(IK2,'LT HD Forecast'!$A:$A,0)+1,MATCH(IP$3,'LT HD Forecast'!$K$2:$Q$2,0))</f>
        <v>1550</v>
      </c>
      <c r="IQ6" s="388">
        <f>INDEX('LT HD Forecast'!$K$1:$Q$55,MATCH(IK2,'LT HD Forecast'!$A:$A,0)+1,MATCH(IQ$3,'LT HD Forecast'!$K$2:$Q$2,0))</f>
        <v>1500</v>
      </c>
      <c r="IR6" s="389">
        <f>INDEX('LT HD Forecast'!$K$1:$Q$55,MATCH(IK2,'LT HD Forecast'!$A:$A,0)+1,MATCH(IR$3,'LT HD Forecast'!$K$2:$Q$2,0))</f>
        <v>0</v>
      </c>
      <c r="IS6" s="384">
        <f t="shared" si="345"/>
        <v>9350</v>
      </c>
      <c r="IT6" s="386">
        <f>INDEX('LT HD Forecast'!$K$1:$Q$55,MATCH(IS2,'LT HD Forecast'!$A:$A,0),MATCH(IT$3,'LT HD Forecast'!$K$2:$Q$2,0))</f>
        <v>1350</v>
      </c>
      <c r="IU6" s="386">
        <f>INDEX('LT HD Forecast'!$K$1:$Q$55,MATCH(IS2,'LT HD Forecast'!$A:$A,0),MATCH(IU$3,'LT HD Forecast'!$K$2:$Q$2,0))</f>
        <v>1550</v>
      </c>
      <c r="IV6" s="387">
        <f>INDEX('LT HD Forecast'!$K$1:$Q$55,MATCH(IS2,'LT HD Forecast'!$A:$A,0),MATCH(IV$3,'LT HD Forecast'!$K$2:$Q$2,0))</f>
        <v>1500</v>
      </c>
      <c r="IW6" s="387">
        <f>INDEX('LT HD Forecast'!$K$1:$Q$55,MATCH(IS2,'LT HD Forecast'!$A:$A,0)+1,MATCH(IW$3,'LT HD Forecast'!$K$2:$Q$2,0))</f>
        <v>1650</v>
      </c>
      <c r="IX6" s="387">
        <f>INDEX('LT HD Forecast'!$K$1:$Q$55,MATCH(IS2,'LT HD Forecast'!$A:$A,0)+1,MATCH(IX$3,'LT HD Forecast'!$K$2:$Q$2,0))</f>
        <v>1700</v>
      </c>
      <c r="IY6" s="388">
        <f>INDEX('LT HD Forecast'!$K$1:$Q$55,MATCH(IS2,'LT HD Forecast'!$A:$A,0)+1,MATCH(IY$3,'LT HD Forecast'!$K$2:$Q$2,0))</f>
        <v>1600</v>
      </c>
      <c r="IZ6" s="389">
        <f>INDEX('LT HD Forecast'!$K$1:$Q$55,MATCH(IS2,'LT HD Forecast'!$A:$A,0)+1,MATCH(IZ$3,'LT HD Forecast'!$K$2:$Q$2,0))</f>
        <v>0</v>
      </c>
      <c r="JA6" s="384">
        <f t="shared" si="346"/>
        <v>8000</v>
      </c>
      <c r="JB6" s="386">
        <f>INDEX('LT HD Forecast'!$K$1:$Q$55,MATCH(JA2,'LT HD Forecast'!$A:$A,0),MATCH(JB$3,'LT HD Forecast'!$K$2:$Q$2,0))</f>
        <v>0</v>
      </c>
      <c r="JC6" s="386">
        <f>INDEX('LT HD Forecast'!$K$1:$Q$55,MATCH(JA2,'LT HD Forecast'!$A:$A,0),MATCH(JC$3,'LT HD Forecast'!$K$2:$Q$2,0))</f>
        <v>1000</v>
      </c>
      <c r="JD6" s="387">
        <f>INDEX('LT HD Forecast'!$K$1:$Q$55,MATCH(JA2,'LT HD Forecast'!$A:$A,0),MATCH(JD$3,'LT HD Forecast'!$K$2:$Q$2,0))</f>
        <v>1850</v>
      </c>
      <c r="JE6" s="387">
        <f>INDEX('LT HD Forecast'!$K$1:$Q$55,MATCH(JA2,'LT HD Forecast'!$A:$A,0)+1,MATCH(JE$3,'LT HD Forecast'!$K$2:$Q$2,0))</f>
        <v>1750</v>
      </c>
      <c r="JF6" s="387">
        <f>INDEX('LT HD Forecast'!$K$1:$Q$55,MATCH(JA2,'LT HD Forecast'!$A:$A,0)+1,MATCH(JF$3,'LT HD Forecast'!$K$2:$Q$2,0))</f>
        <v>1800</v>
      </c>
      <c r="JG6" s="388">
        <f>INDEX('LT HD Forecast'!$K$1:$Q$55,MATCH(JA2,'LT HD Forecast'!$A:$A,0)+1,MATCH(JG$3,'LT HD Forecast'!$K$2:$Q$2,0))</f>
        <v>1600</v>
      </c>
      <c r="JH6" s="389">
        <f>INDEX('LT HD Forecast'!$K$1:$Q$55,MATCH(JA2,'LT HD Forecast'!$A:$A,0)+1,MATCH(JH$3,'LT HD Forecast'!$K$2:$Q$2,0))</f>
        <v>0</v>
      </c>
      <c r="JI6" s="384">
        <f t="shared" si="347"/>
        <v>10900</v>
      </c>
      <c r="JJ6" s="386">
        <f>INDEX('LT HD Forecast'!$K$1:$Q$55,MATCH(JI2,'LT HD Forecast'!$A:$A,0),MATCH(JJ$3,'LT HD Forecast'!$K$2:$Q$2,0))</f>
        <v>1500</v>
      </c>
      <c r="JK6" s="386">
        <f>INDEX('LT HD Forecast'!$K$1:$Q$55,MATCH(JI2,'LT HD Forecast'!$A:$A,0),MATCH(JK$3,'LT HD Forecast'!$K$2:$Q$2,0))</f>
        <v>1800</v>
      </c>
      <c r="JL6" s="387">
        <f>INDEX('LT HD Forecast'!$K$1:$Q$55,MATCH(JI2,'LT HD Forecast'!$A:$A,0),MATCH(JL$3,'LT HD Forecast'!$K$2:$Q$2,0))</f>
        <v>1800</v>
      </c>
      <c r="JM6" s="387">
        <f>INDEX('LT HD Forecast'!$K$1:$Q$55,MATCH(JI2,'LT HD Forecast'!$A:$A,0)+1,MATCH(JM$3,'LT HD Forecast'!$K$2:$Q$2,0))</f>
        <v>1850</v>
      </c>
      <c r="JN6" s="387">
        <f>INDEX('LT HD Forecast'!$K$1:$Q$55,MATCH(JI2,'LT HD Forecast'!$A:$A,0)+1,MATCH(JN$3,'LT HD Forecast'!$K$2:$Q$2,0))</f>
        <v>2100</v>
      </c>
      <c r="JO6" s="388">
        <f>INDEX('LT HD Forecast'!$K$1:$Q$55,MATCH(JI2,'LT HD Forecast'!$A:$A,0)+1,MATCH(JO$3,'LT HD Forecast'!$K$2:$Q$2,0))</f>
        <v>1850</v>
      </c>
      <c r="JP6" s="389">
        <f>INDEX('LT HD Forecast'!$K$1:$Q$55,MATCH(JI2,'LT HD Forecast'!$A:$A,0)+1,MATCH(JP$3,'LT HD Forecast'!$K$2:$Q$2,0))</f>
        <v>0</v>
      </c>
      <c r="JQ6" s="384">
        <f t="shared" si="348"/>
        <v>11850</v>
      </c>
      <c r="JR6" s="386">
        <f>INDEX('LT HD Forecast'!$K$1:$Q$55,MATCH(JQ2,'LT HD Forecast'!$A:$A,0),MATCH(JR$3,'LT HD Forecast'!$K$2:$Q$2,0))</f>
        <v>1700</v>
      </c>
      <c r="JS6" s="386">
        <f>INDEX('LT HD Forecast'!$K$1:$Q$55,MATCH(JQ2,'LT HD Forecast'!$A:$A,0),MATCH(JS$3,'LT HD Forecast'!$K$2:$Q$2,0))</f>
        <v>2000</v>
      </c>
      <c r="JT6" s="387">
        <f>INDEX('LT HD Forecast'!$K$1:$Q$55,MATCH(JQ2,'LT HD Forecast'!$A:$A,0),MATCH(JT$3,'LT HD Forecast'!$K$2:$Q$2,0))</f>
        <v>2100</v>
      </c>
      <c r="JU6" s="387">
        <f>INDEX('LT HD Forecast'!$K$1:$Q$55,MATCH(JQ2,'LT HD Forecast'!$A:$A,0)+1,MATCH(JU$3,'LT HD Forecast'!$K$2:$Q$2,0))</f>
        <v>2100</v>
      </c>
      <c r="JV6" s="387">
        <f>INDEX('LT HD Forecast'!$K$1:$Q$55,MATCH(JQ2,'LT HD Forecast'!$A:$A,0)+1,MATCH(JV$3,'LT HD Forecast'!$K$2:$Q$2,0))</f>
        <v>2100</v>
      </c>
      <c r="JW6" s="388">
        <f>INDEX('LT HD Forecast'!$K$1:$Q$55,MATCH(JQ2,'LT HD Forecast'!$A:$A,0)+1,MATCH(JW$3,'LT HD Forecast'!$K$2:$Q$2,0))</f>
        <v>1850</v>
      </c>
      <c r="JX6" s="389">
        <f>INDEX('LT HD Forecast'!$K$1:$Q$55,MATCH(JQ2,'LT HD Forecast'!$A:$A,0)+1,MATCH(JX$3,'LT HD Forecast'!$K$2:$Q$2,0))</f>
        <v>0</v>
      </c>
      <c r="JY6" s="384">
        <f t="shared" si="349"/>
        <v>11450</v>
      </c>
      <c r="JZ6" s="386">
        <f>INDEX('LT HD Forecast'!$K$1:$Q$55,MATCH(JY2,'LT HD Forecast'!$A:$A,0),MATCH(JZ$3,'LT HD Forecast'!$K$2:$Q$2,0))</f>
        <v>1700</v>
      </c>
      <c r="KA6" s="386">
        <f>INDEX('LT HD Forecast'!$K$1:$Q$55,MATCH(JY2,'LT HD Forecast'!$A:$A,0),MATCH(KA$3,'LT HD Forecast'!$K$2:$Q$2,0))</f>
        <v>2150</v>
      </c>
      <c r="KB6" s="387">
        <f>INDEX('LT HD Forecast'!$K$1:$Q$55,MATCH(JY2,'LT HD Forecast'!$A:$A,0),MATCH(KB$3,'LT HD Forecast'!$K$2:$Q$2,0))</f>
        <v>2000</v>
      </c>
      <c r="KC6" s="387">
        <f>INDEX('LT HD Forecast'!$K$1:$Q$55,MATCH(JY2,'LT HD Forecast'!$A:$A,0)+1,MATCH(KC$3,'LT HD Forecast'!$K$2:$Q$2,0))</f>
        <v>2000</v>
      </c>
      <c r="KD6" s="387">
        <f>INDEX('LT HD Forecast'!$K$1:$Q$55,MATCH(JY2,'LT HD Forecast'!$A:$A,0)+1,MATCH(KD$3,'LT HD Forecast'!$K$2:$Q$2,0))</f>
        <v>1850</v>
      </c>
      <c r="KE6" s="388">
        <f>INDEX('LT HD Forecast'!$K$1:$Q$55,MATCH(JY2,'LT HD Forecast'!$A:$A,0)+1,MATCH(KE$3,'LT HD Forecast'!$K$2:$Q$2,0))</f>
        <v>1750</v>
      </c>
      <c r="KF6" s="389">
        <f>INDEX('LT HD Forecast'!$K$1:$Q$55,MATCH(JY2,'LT HD Forecast'!$A:$A,0)+1,MATCH(KF$3,'LT HD Forecast'!$K$2:$Q$2,0))</f>
        <v>0</v>
      </c>
      <c r="KG6" s="384">
        <f t="shared" si="350"/>
        <v>11750</v>
      </c>
      <c r="KH6" s="386">
        <f>INDEX('LT HD Forecast'!$K$1:$Q$55,MATCH(KG2,'LT HD Forecast'!$A:$A,0),MATCH(KH$3,'LT HD Forecast'!$K$2:$Q$2,0))</f>
        <v>1750</v>
      </c>
      <c r="KI6" s="386">
        <f>INDEX('LT HD Forecast'!$K$1:$Q$55,MATCH(KG2,'LT HD Forecast'!$A:$A,0),MATCH(KI$3,'LT HD Forecast'!$K$2:$Q$2,0))</f>
        <v>2050</v>
      </c>
      <c r="KJ6" s="387">
        <f>INDEX('LT HD Forecast'!$K$1:$Q$55,MATCH(KG2,'LT HD Forecast'!$A:$A,0),MATCH(KJ$3,'LT HD Forecast'!$K$2:$Q$2,0))</f>
        <v>2050</v>
      </c>
      <c r="KK6" s="387">
        <f>INDEX('LT HD Forecast'!$K$1:$Q$55,MATCH(KG2,'LT HD Forecast'!$A:$A,0)+1,MATCH(KK$3,'LT HD Forecast'!$K$2:$Q$2,0))</f>
        <v>2000</v>
      </c>
      <c r="KL6" s="387">
        <f>INDEX('LT HD Forecast'!$K$1:$Q$55,MATCH(KG2,'LT HD Forecast'!$A:$A,0)+1,MATCH(KL$3,'LT HD Forecast'!$K$2:$Q$2,0))</f>
        <v>2050</v>
      </c>
      <c r="KM6" s="388">
        <f>INDEX('LT HD Forecast'!$K$1:$Q$55,MATCH(KG2,'LT HD Forecast'!$A:$A,0)+1,MATCH(KM$3,'LT HD Forecast'!$K$2:$Q$2,0))</f>
        <v>1850</v>
      </c>
      <c r="KN6" s="389">
        <f>INDEX('LT HD Forecast'!$K$1:$Q$55,MATCH(KG2,'LT HD Forecast'!$A:$A,0)+1,MATCH(KN$3,'LT HD Forecast'!$K$2:$Q$2,0))</f>
        <v>0</v>
      </c>
      <c r="KO6" s="384">
        <f t="shared" si="351"/>
        <v>11500</v>
      </c>
      <c r="KP6" s="386">
        <f>INDEX('LT HD Forecast'!$K$1:$Q$55,MATCH(KO2,'LT HD Forecast'!$A:$A,0),MATCH(KP$3,'LT HD Forecast'!$K$2:$Q$2,0))</f>
        <v>1750</v>
      </c>
      <c r="KQ6" s="386">
        <f>INDEX('LT HD Forecast'!$K$1:$Q$55,MATCH(KO2,'LT HD Forecast'!$A:$A,0),MATCH(KQ$3,'LT HD Forecast'!$K$2:$Q$2,0))</f>
        <v>1900</v>
      </c>
      <c r="KR6" s="387">
        <f>INDEX('LT HD Forecast'!$K$1:$Q$55,MATCH(KO2,'LT HD Forecast'!$A:$A,0),MATCH(KR$3,'LT HD Forecast'!$K$2:$Q$2,0))</f>
        <v>1900</v>
      </c>
      <c r="KS6" s="387">
        <f>INDEX('LT HD Forecast'!$K$1:$Q$55,MATCH(KO2,'LT HD Forecast'!$A:$A,0)+1,MATCH(KS$3,'LT HD Forecast'!$K$2:$Q$2,0))</f>
        <v>2000</v>
      </c>
      <c r="KT6" s="387">
        <f>INDEX('LT HD Forecast'!$K$1:$Q$55,MATCH(KO2,'LT HD Forecast'!$A:$A,0)+1,MATCH(KT$3,'LT HD Forecast'!$K$2:$Q$2,0))</f>
        <v>2050</v>
      </c>
      <c r="KU6" s="388">
        <f>INDEX('LT HD Forecast'!$K$1:$Q$55,MATCH(KO2,'LT HD Forecast'!$A:$A,0)+1,MATCH(KU$3,'LT HD Forecast'!$K$2:$Q$2,0))</f>
        <v>1900</v>
      </c>
      <c r="KV6" s="389">
        <f>INDEX('LT HD Forecast'!$K$1:$Q$55,MATCH(KO2,'LT HD Forecast'!$A:$A,0)+1,MATCH(KV$3,'LT HD Forecast'!$K$2:$Q$2,0))</f>
        <v>0</v>
      </c>
      <c r="KW6" s="384">
        <f t="shared" si="352"/>
        <v>11525</v>
      </c>
      <c r="KX6" s="386">
        <f>INDEX('LT HD Forecast'!$K$1:$Q$55,MATCH(KW2,'LT HD Forecast'!$A:$A,0),MATCH(KX$3,'LT HD Forecast'!$K$2:$Q$2,0))</f>
        <v>1750</v>
      </c>
      <c r="KY6" s="386">
        <f>INDEX('LT HD Forecast'!$K$1:$Q$55,MATCH(KW2,'LT HD Forecast'!$A:$A,0),MATCH(KY$3,'LT HD Forecast'!$K$2:$Q$2,0))</f>
        <v>2000</v>
      </c>
      <c r="KZ6" s="387">
        <f>INDEX('LT HD Forecast'!$K$1:$Q$55,MATCH(KW2,'LT HD Forecast'!$A:$A,0),MATCH(KZ$3,'LT HD Forecast'!$K$2:$Q$2,0))</f>
        <v>2000</v>
      </c>
      <c r="LA6" s="387">
        <f>INDEX('LT HD Forecast'!$K$1:$Q$55,MATCH(KW2,'LT HD Forecast'!$A:$A,0)+1,MATCH(LA$3,'LT HD Forecast'!$K$2:$Q$2,0))</f>
        <v>1900</v>
      </c>
      <c r="LB6" s="387">
        <f>INDEX('LT HD Forecast'!$K$1:$Q$55,MATCH(KW2,'LT HD Forecast'!$A:$A,0)+1,MATCH(LB$3,'LT HD Forecast'!$K$2:$Q$2,0))</f>
        <v>2025</v>
      </c>
      <c r="LC6" s="388">
        <f>INDEX('LT HD Forecast'!$K$1:$Q$55,MATCH(KW2,'LT HD Forecast'!$A:$A,0)+1,MATCH(LC$3,'LT HD Forecast'!$K$2:$Q$2,0))</f>
        <v>1850</v>
      </c>
      <c r="LD6" s="389">
        <f>INDEX('LT HD Forecast'!$K$1:$Q$55,MATCH(KW2,'LT HD Forecast'!$A:$A,0)+1,MATCH(LD$3,'LT HD Forecast'!$K$2:$Q$2,0))</f>
        <v>0</v>
      </c>
      <c r="LE6" s="384">
        <f t="shared" si="353"/>
        <v>11800</v>
      </c>
      <c r="LF6" s="386">
        <f>INDEX('LT HD Forecast'!$K$1:$Q$55,MATCH(LE2,'LT HD Forecast'!$A:$A,0),MATCH(LF$3,'LT HD Forecast'!$K$2:$Q$2,0))</f>
        <v>1750</v>
      </c>
      <c r="LG6" s="386">
        <f>INDEX('LT HD Forecast'!$K$1:$Q$55,MATCH(LE2,'LT HD Forecast'!$A:$A,0),MATCH(LG$3,'LT HD Forecast'!$K$2:$Q$2,0))</f>
        <v>2000</v>
      </c>
      <c r="LH6" s="387">
        <f>INDEX('LT HD Forecast'!$K$1:$Q$55,MATCH(LE2,'LT HD Forecast'!$A:$A,0),MATCH(LH$3,'LT HD Forecast'!$K$2:$Q$2,0))</f>
        <v>2050</v>
      </c>
      <c r="LI6" s="387">
        <f>INDEX('LT HD Forecast'!$K$1:$Q$55,MATCH(LE2,'LT HD Forecast'!$A:$A,0)+1,MATCH(LI$3,'LT HD Forecast'!$K$2:$Q$2,0))</f>
        <v>1950</v>
      </c>
      <c r="LJ6" s="387">
        <f>INDEX('LT HD Forecast'!$K$1:$Q$55,MATCH(LE2,'LT HD Forecast'!$A:$A,0)+1,MATCH(LJ$3,'LT HD Forecast'!$K$2:$Q$2,0))</f>
        <v>2050</v>
      </c>
      <c r="LK6" s="388">
        <f>INDEX('LT HD Forecast'!$K$1:$Q$55,MATCH(LE2,'LT HD Forecast'!$A:$A,0)+1,MATCH(LK$3,'LT HD Forecast'!$K$2:$Q$2,0))</f>
        <v>2000</v>
      </c>
      <c r="LL6" s="389">
        <f>INDEX('LT HD Forecast'!$K$1:$Q$55,MATCH(LE2,'LT HD Forecast'!$A:$A,0)+1,MATCH(LL$3,'LT HD Forecast'!$K$2:$Q$2,0))</f>
        <v>0</v>
      </c>
      <c r="LM6" s="384">
        <f t="shared" si="354"/>
        <v>12200</v>
      </c>
      <c r="LN6" s="386">
        <f>INDEX('LT HD Forecast'!$K$1:$Q$55,MATCH(LM2,'LT HD Forecast'!$A:$A,0),MATCH(LN$3,'LT HD Forecast'!$K$2:$Q$2,0))</f>
        <v>1950</v>
      </c>
      <c r="LO6" s="386">
        <f>INDEX('LT HD Forecast'!$K$1:$Q$55,MATCH(LM2,'LT HD Forecast'!$A:$A,0),MATCH(LO$3,'LT HD Forecast'!$K$2:$Q$2,0))</f>
        <v>2050</v>
      </c>
      <c r="LP6" s="387">
        <f>INDEX('LT HD Forecast'!$K$1:$Q$55,MATCH(LM2,'LT HD Forecast'!$A:$A,0),MATCH(LP$3,'LT HD Forecast'!$K$2:$Q$2,0))</f>
        <v>2100</v>
      </c>
      <c r="LQ6" s="387">
        <f>INDEX('LT HD Forecast'!$K$1:$Q$55,MATCH(LM2,'LT HD Forecast'!$A:$A,0)+1,MATCH(LQ$3,'LT HD Forecast'!$K$2:$Q$2,0))</f>
        <v>2000</v>
      </c>
      <c r="LR6" s="387">
        <f>INDEX('LT HD Forecast'!$K$1:$Q$55,MATCH(LM2,'LT HD Forecast'!$A:$A,0)+1,MATCH(LR$3,'LT HD Forecast'!$K$2:$Q$2,0))</f>
        <v>2150</v>
      </c>
      <c r="LS6" s="388">
        <f>INDEX('LT HD Forecast'!$K$1:$Q$55,MATCH(LM2,'LT HD Forecast'!$A:$A,0)+1,MATCH(LS$3,'LT HD Forecast'!$K$2:$Q$2,0))</f>
        <v>1950</v>
      </c>
      <c r="LT6" s="389">
        <f>INDEX('LT HD Forecast'!$K$1:$Q$55,MATCH(LM2,'LT HD Forecast'!$A:$A,0)+1,MATCH(LT$3,'LT HD Forecast'!$K$2:$Q$2,0))</f>
        <v>0</v>
      </c>
      <c r="LU6" s="384">
        <f t="shared" si="355"/>
        <v>12350</v>
      </c>
      <c r="LV6" s="386">
        <f>INDEX('LT HD Forecast'!$K$1:$Q$55,MATCH(LU2,'LT HD Forecast'!$A:$A,0),MATCH(LV$3,'LT HD Forecast'!$K$2:$Q$2,0))</f>
        <v>1950</v>
      </c>
      <c r="LW6" s="386">
        <f>INDEX('LT HD Forecast'!$K$1:$Q$55,MATCH(LU2,'LT HD Forecast'!$A:$A,0),MATCH(LW$3,'LT HD Forecast'!$K$2:$Q$2,0))</f>
        <v>2050</v>
      </c>
      <c r="LX6" s="387">
        <f>INDEX('LT HD Forecast'!$K$1:$Q$55,MATCH(LU2,'LT HD Forecast'!$A:$A,0),MATCH(LX$3,'LT HD Forecast'!$K$2:$Q$2,0))</f>
        <v>2100</v>
      </c>
      <c r="LY6" s="387">
        <f>INDEX('LT HD Forecast'!$K$1:$Q$55,MATCH(LU2,'LT HD Forecast'!$A:$A,0)+1,MATCH(LY$3,'LT HD Forecast'!$K$2:$Q$2,0))</f>
        <v>1950</v>
      </c>
      <c r="LZ6" s="387">
        <f>INDEX('LT HD Forecast'!$K$1:$Q$55,MATCH(LU2,'LT HD Forecast'!$A:$A,0)+1,MATCH(LZ$3,'LT HD Forecast'!$K$2:$Q$2,0))</f>
        <v>2200</v>
      </c>
      <c r="MA6" s="388">
        <f>INDEX('LT HD Forecast'!$K$1:$Q$55,MATCH(LU2,'LT HD Forecast'!$A:$A,0)+1,MATCH(MA$3,'LT HD Forecast'!$K$2:$Q$2,0))</f>
        <v>2100</v>
      </c>
      <c r="MB6" s="389">
        <f>INDEX('LT HD Forecast'!$K$1:$Q$55,MATCH(LU2,'LT HD Forecast'!$A:$A,0)+1,MATCH(MB$3,'LT HD Forecast'!$K$2:$Q$2,0))</f>
        <v>0</v>
      </c>
      <c r="MC6" s="384">
        <f t="shared" si="356"/>
        <v>12150</v>
      </c>
      <c r="MD6" s="386">
        <f>INDEX('LT HD Forecast'!$K$1:$Q$55,MATCH(MC2,'LT HD Forecast'!$A:$A,0),MATCH(MD$3,'LT HD Forecast'!$K$2:$Q$2,0))</f>
        <v>2050</v>
      </c>
      <c r="ME6" s="386">
        <f>INDEX('LT HD Forecast'!$K$1:$Q$55,MATCH(MC2,'LT HD Forecast'!$A:$A,0),MATCH(ME$3,'LT HD Forecast'!$K$2:$Q$2,0))</f>
        <v>2050</v>
      </c>
      <c r="MF6" s="387">
        <f>INDEX('LT HD Forecast'!$K$1:$Q$55,MATCH(MC2,'LT HD Forecast'!$A:$A,0),MATCH(MF$3,'LT HD Forecast'!$K$2:$Q$2,0))</f>
        <v>2050</v>
      </c>
      <c r="MG6" s="387">
        <f>INDEX('LT HD Forecast'!$K$1:$Q$55,MATCH(MC2,'LT HD Forecast'!$A:$A,0)+1,MATCH(MG$3,'LT HD Forecast'!$K$2:$Q$2,0))</f>
        <v>2000</v>
      </c>
      <c r="MH6" s="387">
        <f>INDEX('LT HD Forecast'!$K$1:$Q$55,MATCH(MC2,'LT HD Forecast'!$A:$A,0)+1,MATCH(MH$3,'LT HD Forecast'!$K$2:$Q$2,0))</f>
        <v>2150</v>
      </c>
      <c r="MI6" s="388">
        <f>INDEX('LT HD Forecast'!$K$1:$Q$55,MATCH(MC2,'LT HD Forecast'!$A:$A,0)+1,MATCH(MI$3,'LT HD Forecast'!$K$2:$Q$2,0))</f>
        <v>1850</v>
      </c>
      <c r="MJ6" s="389">
        <f>INDEX('LT HD Forecast'!$K$1:$Q$55,MATCH(MC2,'LT HD Forecast'!$A:$A,0)+1,MATCH(MJ$3,'LT HD Forecast'!$K$2:$Q$2,0))</f>
        <v>0</v>
      </c>
      <c r="MK6" s="384">
        <f t="shared" si="357"/>
        <v>10300</v>
      </c>
      <c r="ML6" s="386">
        <f>INDEX('LT HD Forecast'!$K$1:$Q$55,MATCH(MK2,'LT HD Forecast'!$A:$A,0),MATCH(ML$3,'LT HD Forecast'!$K$2:$Q$2,0))</f>
        <v>1900</v>
      </c>
      <c r="MM6" s="386">
        <f>INDEX('LT HD Forecast'!$K$1:$Q$55,MATCH(MK2,'LT HD Forecast'!$A:$A,0),MATCH(MM$3,'LT HD Forecast'!$K$2:$Q$2,0))</f>
        <v>0</v>
      </c>
      <c r="MN6" s="387">
        <f>INDEX('LT HD Forecast'!$K$1:$Q$55,MATCH(MK2,'LT HD Forecast'!$A:$A,0),MATCH(MN$3,'LT HD Forecast'!$K$2:$Q$2,0))</f>
        <v>1950</v>
      </c>
      <c r="MO6" s="387">
        <f>INDEX('LT HD Forecast'!$K$1:$Q$55,MATCH(MK2,'LT HD Forecast'!$A:$A,0)+1,MATCH(MO$3,'LT HD Forecast'!$K$2:$Q$2,0))</f>
        <v>2150</v>
      </c>
      <c r="MP6" s="387">
        <f>INDEX('LT HD Forecast'!$K$1:$Q$55,MATCH(MK2,'LT HD Forecast'!$A:$A,0)+1,MATCH(MP$3,'LT HD Forecast'!$K$2:$Q$2,0))</f>
        <v>2200</v>
      </c>
      <c r="MQ6" s="388">
        <f>INDEX('LT HD Forecast'!$K$1:$Q$55,MATCH(MK2,'LT HD Forecast'!$A:$A,0)+1,MATCH(MQ$3,'LT HD Forecast'!$K$2:$Q$2,0))</f>
        <v>2100</v>
      </c>
      <c r="MR6" s="389">
        <f>INDEX('LT HD Forecast'!$K$1:$Q$55,MATCH(MK2,'LT HD Forecast'!$A:$A,0)+1,MATCH(MR$3,'LT HD Forecast'!$K$2:$Q$2,0))</f>
        <v>0</v>
      </c>
      <c r="MS6" s="384">
        <f t="shared" si="358"/>
        <v>10450</v>
      </c>
      <c r="MT6" s="386">
        <f>INDEX('LT HD Forecast'!$K$1:$Q$55,MATCH(MS2,'LT HD Forecast'!$A:$A,0),MATCH(MT$3,'LT HD Forecast'!$K$2:$Q$2,0))</f>
        <v>1850</v>
      </c>
      <c r="MU6" s="386">
        <f>INDEX('LT HD Forecast'!$K$1:$Q$55,MATCH(MS2,'LT HD Forecast'!$A:$A,0),MATCH(MU$3,'LT HD Forecast'!$K$2:$Q$2,0))</f>
        <v>2325</v>
      </c>
      <c r="MV6" s="387">
        <f>INDEX('LT HD Forecast'!$K$1:$Q$55,MATCH(MS2,'LT HD Forecast'!$A:$A,0),MATCH(MV$3,'LT HD Forecast'!$K$2:$Q$2,0))</f>
        <v>2275</v>
      </c>
      <c r="MW6" s="387">
        <f>INDEX('LT HD Forecast'!$K$1:$Q$55,MATCH(MS2,'LT HD Forecast'!$A:$A,0)+1,MATCH(MW$3,'LT HD Forecast'!$K$2:$Q$2,0))</f>
        <v>2250</v>
      </c>
      <c r="MX6" s="387">
        <f>INDEX('LT HD Forecast'!$K$1:$Q$55,MATCH(MS2,'LT HD Forecast'!$A:$A,0)+1,MATCH(MX$3,'LT HD Forecast'!$K$2:$Q$2,0))</f>
        <v>0</v>
      </c>
      <c r="MY6" s="388">
        <f>INDEX('LT HD Forecast'!$K$1:$Q$55,MATCH(MS2,'LT HD Forecast'!$A:$A,0)+1,MATCH(MY$3,'LT HD Forecast'!$K$2:$Q$2,0))</f>
        <v>1750</v>
      </c>
      <c r="MZ6" s="389">
        <f>INDEX('LT HD Forecast'!$K$1:$Q$55,MATCH(MS2,'LT HD Forecast'!$A:$A,0)+1,MATCH(MZ$3,'LT HD Forecast'!$K$2:$Q$2,0))</f>
        <v>0</v>
      </c>
      <c r="NA6" s="384">
        <f t="shared" si="359"/>
        <v>12675</v>
      </c>
      <c r="NB6" s="386">
        <f>INDEX('LT HD Forecast'!$K$1:$Q$55,MATCH(NA2,'LT HD Forecast'!$A:$A,0),MATCH(NB$3,'LT HD Forecast'!$K$2:$Q$2,0))</f>
        <v>1900</v>
      </c>
      <c r="NC6" s="386">
        <f>INDEX('LT HD Forecast'!$K$1:$Q$55,MATCH(NA2,'LT HD Forecast'!$A:$A,0),MATCH(NC$3,'LT HD Forecast'!$K$2:$Q$2,0))</f>
        <v>2275</v>
      </c>
      <c r="ND6" s="387">
        <f>INDEX('LT HD Forecast'!$K$1:$Q$55,MATCH(NA2,'LT HD Forecast'!$A:$A,0),MATCH(ND$3,'LT HD Forecast'!$K$2:$Q$2,0))</f>
        <v>2200</v>
      </c>
      <c r="NE6" s="387">
        <f>INDEX('LT HD Forecast'!$K$1:$Q$55,MATCH(NA2,'LT HD Forecast'!$A:$A,0)+1,MATCH(NE$3,'LT HD Forecast'!$K$2:$Q$2,0))</f>
        <v>2100</v>
      </c>
      <c r="NF6" s="387">
        <f>INDEX('LT HD Forecast'!$K$1:$Q$55,MATCH(NA2,'LT HD Forecast'!$A:$A,0)+1,MATCH(NF$3,'LT HD Forecast'!$K$2:$Q$2,0))</f>
        <v>2200</v>
      </c>
      <c r="NG6" s="388">
        <f>INDEX('LT HD Forecast'!$K$1:$Q$55,MATCH(NA2,'LT HD Forecast'!$A:$A,0)+1,MATCH(NG$3,'LT HD Forecast'!$K$2:$Q$2,0))</f>
        <v>2000</v>
      </c>
      <c r="NH6" s="389">
        <f>INDEX('LT HD Forecast'!$K$1:$Q$55,MATCH(NA2,'LT HD Forecast'!$A:$A,0)+1,MATCH(NH$3,'LT HD Forecast'!$K$2:$Q$2,0))</f>
        <v>0</v>
      </c>
      <c r="NI6" s="384">
        <f t="shared" si="360"/>
        <v>13975</v>
      </c>
      <c r="NJ6" s="386">
        <f>INDEX('LT HD Forecast'!$K$1:$Q$55,MATCH(NI2,'LT HD Forecast'!$A:$A,0),MATCH(NJ$3,'LT HD Forecast'!$K$2:$Q$2,0))</f>
        <v>2000</v>
      </c>
      <c r="NK6" s="386">
        <f>INDEX('LT HD Forecast'!$K$1:$Q$55,MATCH(NI2,'LT HD Forecast'!$A:$A,0),MATCH(NK$3,'LT HD Forecast'!$K$2:$Q$2,0))</f>
        <v>2450</v>
      </c>
      <c r="NL6" s="387">
        <f>INDEX('LT HD Forecast'!$K$1:$Q$55,MATCH(NI2,'LT HD Forecast'!$A:$A,0),MATCH(NL$3,'LT HD Forecast'!$K$2:$Q$2,0))</f>
        <v>2425</v>
      </c>
      <c r="NM6" s="387">
        <f>INDEX('LT HD Forecast'!$K$1:$Q$55,MATCH(NI2,'LT HD Forecast'!$A:$A,0)+1,MATCH(NM$3,'LT HD Forecast'!$K$2:$Q$2,0))</f>
        <v>2375</v>
      </c>
      <c r="NN6" s="387">
        <f>INDEX('LT HD Forecast'!$K$1:$Q$55,MATCH(NI2,'LT HD Forecast'!$A:$A,0)+1,MATCH(NN$3,'LT HD Forecast'!$K$2:$Q$2,0))</f>
        <v>2350</v>
      </c>
      <c r="NO6" s="388">
        <f>INDEX('LT HD Forecast'!$K$1:$Q$55,MATCH(NI2,'LT HD Forecast'!$A:$A,0)+1,MATCH(NO$3,'LT HD Forecast'!$K$2:$Q$2,0))</f>
        <v>2375</v>
      </c>
      <c r="NP6" s="389">
        <f>INDEX('LT HD Forecast'!$K$1:$Q$55,MATCH(NI2,'LT HD Forecast'!$A:$A,0)+1,MATCH(NP$3,'LT HD Forecast'!$K$2:$Q$2,0))</f>
        <v>0</v>
      </c>
      <c r="NQ6" s="384">
        <f t="shared" si="361"/>
        <v>13850</v>
      </c>
      <c r="NR6" s="386">
        <f>INDEX('LT HD Forecast'!$K$1:$Q$55,MATCH(NQ2,'LT HD Forecast'!$A:$A,0),MATCH(NR$3,'LT HD Forecast'!$K$2:$Q$2,0))</f>
        <v>2100</v>
      </c>
      <c r="NS6" s="386">
        <f>INDEX('LT HD Forecast'!$K$1:$Q$55,MATCH(NQ2,'LT HD Forecast'!$A:$A,0),MATCH(NS$3,'LT HD Forecast'!$K$2:$Q$2,0))</f>
        <v>2475</v>
      </c>
      <c r="NT6" s="387">
        <f>INDEX('LT HD Forecast'!$K$1:$Q$55,MATCH(NQ2,'LT HD Forecast'!$A:$A,0),MATCH(NT$3,'LT HD Forecast'!$K$2:$Q$2,0))</f>
        <v>2475</v>
      </c>
      <c r="NU6" s="387">
        <f>INDEX('LT HD Forecast'!$K$1:$Q$55,MATCH(NQ2,'LT HD Forecast'!$A:$A,0)+1,MATCH(NU$3,'LT HD Forecast'!$K$2:$Q$2,0))</f>
        <v>2325</v>
      </c>
      <c r="NV6" s="387">
        <f>INDEX('LT HD Forecast'!$K$1:$Q$55,MATCH(NQ2,'LT HD Forecast'!$A:$A,0)+1,MATCH(NV$3,'LT HD Forecast'!$K$2:$Q$2,0))</f>
        <v>2375</v>
      </c>
      <c r="NW6" s="388">
        <f>INDEX('LT HD Forecast'!$K$1:$Q$55,MATCH(NQ2,'LT HD Forecast'!$A:$A,0)+1,MATCH(NW$3,'LT HD Forecast'!$K$2:$Q$2,0))</f>
        <v>2100</v>
      </c>
      <c r="NX6" s="389">
        <f>INDEX('LT HD Forecast'!$K$1:$Q$55,MATCH(NQ2,'LT HD Forecast'!$A:$A,0)+1,MATCH(NX$3,'LT HD Forecast'!$K$2:$Q$2,0))</f>
        <v>0</v>
      </c>
      <c r="NY6" s="384">
        <f t="shared" si="362"/>
        <v>13400</v>
      </c>
      <c r="NZ6" s="386">
        <f>INDEX('LT HD Forecast'!$K$1:$Q$55,MATCH(NY2,'LT HD Forecast'!$A:$A,0),MATCH(NZ$3,'LT HD Forecast'!$K$2:$Q$2,0))</f>
        <v>2000</v>
      </c>
      <c r="OA6" s="386">
        <f>INDEX('LT HD Forecast'!$K$1:$Q$55,MATCH(NY2,'LT HD Forecast'!$A:$A,0),MATCH(OA$3,'LT HD Forecast'!$K$2:$Q$2,0))</f>
        <v>2400</v>
      </c>
      <c r="OB6" s="387">
        <f>INDEX('LT HD Forecast'!$K$1:$Q$55,MATCH(NY2,'LT HD Forecast'!$A:$A,0),MATCH(OB$3,'LT HD Forecast'!$K$2:$Q$2,0))</f>
        <v>2400</v>
      </c>
      <c r="OC6" s="387">
        <f>INDEX('LT HD Forecast'!$K$1:$Q$55,MATCH(NY2,'LT HD Forecast'!$A:$A,0)+1,MATCH(OC$3,'LT HD Forecast'!$K$2:$Q$2,0))</f>
        <v>2200</v>
      </c>
      <c r="OD6" s="387">
        <f>INDEX('LT HD Forecast'!$K$1:$Q$55,MATCH(NY2,'LT HD Forecast'!$A:$A,0)+1,MATCH(OD$3,'LT HD Forecast'!$K$2:$Q$2,0))</f>
        <v>2300</v>
      </c>
      <c r="OE6" s="388">
        <f>INDEX('LT HD Forecast'!$K$1:$Q$55,MATCH(NY2,'LT HD Forecast'!$A:$A,0)+1,MATCH(OE$3,'LT HD Forecast'!$K$2:$Q$2,0))</f>
        <v>2100</v>
      </c>
      <c r="OF6" s="389">
        <f>INDEX('LT HD Forecast'!$K$1:$Q$55,MATCH(NY2,'LT HD Forecast'!$A:$A,0)+1,MATCH(OF$3,'LT HD Forecast'!$K$2:$Q$2,0))</f>
        <v>0</v>
      </c>
      <c r="OG6" s="384">
        <f t="shared" si="363"/>
        <v>12350</v>
      </c>
      <c r="OH6" s="386">
        <f>INDEX('LT HD Forecast'!$K$1:$Q$55,MATCH(OG2,'LT HD Forecast'!$A:$A,0),MATCH(OH$3,'LT HD Forecast'!$K$2:$Q$2,0))</f>
        <v>2000</v>
      </c>
      <c r="OI6" s="386">
        <f>INDEX('LT HD Forecast'!$K$1:$Q$55,MATCH(OG2,'LT HD Forecast'!$A:$A,0),MATCH(OI$3,'LT HD Forecast'!$K$2:$Q$2,0))</f>
        <v>2250</v>
      </c>
      <c r="OJ6" s="387">
        <f>INDEX('LT HD Forecast'!$K$1:$Q$55,MATCH(OG2,'LT HD Forecast'!$A:$A,0),MATCH(OJ$3,'LT HD Forecast'!$K$2:$Q$2,0))</f>
        <v>2150</v>
      </c>
      <c r="OK6" s="387">
        <f>INDEX('LT HD Forecast'!$K$1:$Q$55,MATCH(OG2,'LT HD Forecast'!$A:$A,0)+1,MATCH(OK$3,'LT HD Forecast'!$K$2:$Q$2,0))</f>
        <v>2150</v>
      </c>
      <c r="OL6" s="387">
        <f>INDEX('LT HD Forecast'!$K$1:$Q$55,MATCH(OG2,'LT HD Forecast'!$A:$A,0)+1,MATCH(OL$3,'LT HD Forecast'!$K$2:$Q$2,0))</f>
        <v>1950</v>
      </c>
      <c r="OM6" s="388">
        <f>INDEX('LT HD Forecast'!$K$1:$Q$55,MATCH(OG2,'LT HD Forecast'!$A:$A,0)+1,MATCH(OM$3,'LT HD Forecast'!$K$2:$Q$2,0))</f>
        <v>1850</v>
      </c>
      <c r="ON6" s="389">
        <f>INDEX('LT HD Forecast'!$K$1:$Q$55,MATCH(OG2,'LT HD Forecast'!$A:$A,0)+1,MATCH(ON$3,'LT HD Forecast'!$K$2:$Q$2,0))</f>
        <v>0</v>
      </c>
      <c r="OO6" s="384">
        <f t="shared" si="364"/>
        <v>13550</v>
      </c>
      <c r="OP6" s="386">
        <f>INDEX('LT HD Forecast'!$K$1:$Q$55,MATCH(OO2,'LT HD Forecast'!$A:$A,0),MATCH(OP$3,'LT HD Forecast'!$K$2:$Q$2,0))</f>
        <v>1900</v>
      </c>
      <c r="OQ6" s="386">
        <f>INDEX('LT HD Forecast'!$K$1:$Q$55,MATCH(OO2,'LT HD Forecast'!$A:$A,0),MATCH(OQ$3,'LT HD Forecast'!$K$2:$Q$2,0))</f>
        <v>2500</v>
      </c>
      <c r="OR6" s="387">
        <f>INDEX('LT HD Forecast'!$K$1:$Q$55,MATCH(OO2,'LT HD Forecast'!$A:$A,0),MATCH(OR$3,'LT HD Forecast'!$K$2:$Q$2,0))</f>
        <v>2500</v>
      </c>
      <c r="OS6" s="387">
        <f>INDEX('LT HD Forecast'!$K$1:$Q$55,MATCH(OO2,'LT HD Forecast'!$A:$A,0)+1,MATCH(OS$3,'LT HD Forecast'!$K$2:$Q$2,0))</f>
        <v>2475</v>
      </c>
      <c r="OT6" s="387">
        <f>INDEX('LT HD Forecast'!$K$1:$Q$55,MATCH(OO2,'LT HD Forecast'!$A:$A,0)+1,MATCH(OT$3,'LT HD Forecast'!$K$2:$Q$2,0))</f>
        <v>2400</v>
      </c>
      <c r="OU6" s="388">
        <f>INDEX('LT HD Forecast'!$K$1:$Q$55,MATCH(OO2,'LT HD Forecast'!$A:$A,0)+1,MATCH(OU$3,'LT HD Forecast'!$K$2:$Q$2,0))</f>
        <v>1775</v>
      </c>
      <c r="OV6" s="389">
        <f>INDEX('LT HD Forecast'!$K$1:$Q$55,MATCH(OO2,'LT HD Forecast'!$A:$A,0)+1,MATCH(OV$3,'LT HD Forecast'!$K$2:$Q$2,0))</f>
        <v>0</v>
      </c>
      <c r="OW6" s="384">
        <f t="shared" si="365"/>
        <v>14100</v>
      </c>
      <c r="OX6" s="386">
        <f>INDEX('LT HD Forecast'!$K$1:$Q$55,MATCH(OW2,'LT HD Forecast'!$A:$A,0),MATCH(OX$3,'LT HD Forecast'!$K$2:$Q$2,0))</f>
        <v>2050</v>
      </c>
      <c r="OY6" s="386">
        <f>INDEX('LT HD Forecast'!$K$1:$Q$55,MATCH(OW2,'LT HD Forecast'!$A:$A,0),MATCH(OY$3,'LT HD Forecast'!$K$2:$Q$2,0))</f>
        <v>2600</v>
      </c>
      <c r="OZ6" s="387">
        <f>INDEX('LT HD Forecast'!$K$1:$Q$55,MATCH(OW2,'LT HD Forecast'!$A:$A,0),MATCH(OZ$3,'LT HD Forecast'!$K$2:$Q$2,0))</f>
        <v>2600</v>
      </c>
      <c r="PA6" s="387">
        <f>INDEX('LT HD Forecast'!$K$1:$Q$55,MATCH(OW2,'LT HD Forecast'!$A:$A,0)+1,MATCH(PA$3,'LT HD Forecast'!$K$2:$Q$2,0))</f>
        <v>2600</v>
      </c>
      <c r="PB6" s="387">
        <f>INDEX('LT HD Forecast'!$K$1:$Q$55,MATCH(OW2,'LT HD Forecast'!$A:$A,0)+1,MATCH(PB$3,'LT HD Forecast'!$K$2:$Q$2,0))</f>
        <v>2600</v>
      </c>
      <c r="PC6" s="388">
        <f>INDEX('LT HD Forecast'!$K$1:$Q$55,MATCH(OW2,'LT HD Forecast'!$A:$A,0)+1,MATCH(PC$3,'LT HD Forecast'!$K$2:$Q$2,0))</f>
        <v>1650</v>
      </c>
      <c r="PD6" s="389">
        <f>INDEX('LT HD Forecast'!$K$1:$Q$55,MATCH(OW2,'LT HD Forecast'!$A:$A,0)+1,MATCH(PD$3,'LT HD Forecast'!$K$2:$Q$2,0))</f>
        <v>0</v>
      </c>
      <c r="PE6" s="384">
        <f>SUM(PF6:PL6)</f>
        <v>13075</v>
      </c>
      <c r="PF6" s="386">
        <v>1575</v>
      </c>
      <c r="PG6" s="386">
        <v>2400</v>
      </c>
      <c r="PH6" s="387">
        <v>2400</v>
      </c>
      <c r="PI6" s="387">
        <v>2200</v>
      </c>
      <c r="PJ6" s="387">
        <v>2300</v>
      </c>
      <c r="PK6" s="388">
        <v>2200</v>
      </c>
      <c r="PL6" s="389">
        <f>INDEX('LT HD Forecast'!$K$1:$Q$55,MATCH(PE2,'LT HD Forecast'!$A:$A,0)+1,MATCH(PL$3,'LT HD Forecast'!$K$2:$Q$2,0))</f>
        <v>0</v>
      </c>
    </row>
    <row r="7" spans="1:428" ht="14.85" customHeight="1" outlineLevel="1" x14ac:dyDescent="0.3">
      <c r="B7" s="1014"/>
      <c r="C7" s="863"/>
      <c r="D7" s="399" t="s">
        <v>208</v>
      </c>
      <c r="E7" s="383"/>
      <c r="F7" s="394">
        <f>INDEX('LT Collect Forecast'!$AA$1:$AG$55,MATCH(E2,'LT Collect Forecast'!$A:$A,0),MATCH(F$3,'LT Collect Forecast'!$AA$2:$AG$2,0))</f>
        <v>43.656842866525146</v>
      </c>
      <c r="G7" s="395">
        <f>INDEX('LT Collect Forecast'!$AA$1:$AG$55,MATCH(E2,'LT Collect Forecast'!$A:$A,0),MATCH(G$3,'LT Collect Forecast'!$AA$2:$AG$2,0))</f>
        <v>41.534592037673136</v>
      </c>
      <c r="H7" s="395">
        <f>INDEX('LT Collect Forecast'!$AA$1:$AG$55,MATCH(E2,'LT Collect Forecast'!$A:$A,0),MATCH(H$3,'LT Collect Forecast'!$AA$2:$AG$2,0))</f>
        <v>44.275547038122347</v>
      </c>
      <c r="I7" s="397" cm="1">
        <f t="array" ref="I7">INDEX('LT Collect Forecast'!$AA$1:$AG$55,MATCH(E2,'LT Collect Forecast'!$A:$A,0)+1,MATCH(I$3,'LT Collect Forecast'!$AA$2:$AG$2,0))</f>
        <v>49</v>
      </c>
      <c r="J7" s="396" cm="1">
        <f t="array" ref="J7">INDEX('LT Collect Forecast'!$AA$1:$AG$55,MATCH(E2,'LT Collect Forecast'!$A:$A,0)+1,MATCH(J$3,'LT Collect Forecast'!$AA$2:$AG$2,0))</f>
        <v>54</v>
      </c>
      <c r="K7" s="397" cm="1">
        <f t="array" ref="K7">INDEX('LT Collect Forecast'!$AA$1:$AG$55,MATCH(E2,'LT Collect Forecast'!$A:$A,0)+1,MATCH(K$3,'LT Collect Forecast'!$AA$2:$AG$2,0))</f>
        <v>53.000000000000007</v>
      </c>
      <c r="L7" s="398" cm="1">
        <f t="array" ref="L7">INDEX('LT Collect Forecast'!$AA$1:$AG$55,MATCH(E2,'LT Collect Forecast'!$A:$A,0)+1,MATCH(L$3,'LT Collect Forecast'!$AA$2:$AG$2,0))</f>
        <v>0</v>
      </c>
      <c r="M7" s="383"/>
      <c r="N7" s="394">
        <f>INDEX('LT Collect Forecast'!$AA$1:$AG$55,MATCH(M2,'LT Collect Forecast'!$A:$A,0),MATCH(N$3,'LT Collect Forecast'!$AA$2:$AG$2,0))</f>
        <v>46.14149263250934</v>
      </c>
      <c r="O7" s="395">
        <f>INDEX('LT Collect Forecast'!$AA$1:$AG$55,MATCH(M2,'LT Collect Forecast'!$A:$A,0),MATCH(O$3,'LT Collect Forecast'!$AA$2:$AG$2,0))</f>
        <v>46.282425776354415</v>
      </c>
      <c r="P7" s="395">
        <f>INDEX('LT Collect Forecast'!$AA$1:$AG$55,MATCH(M2,'LT Collect Forecast'!$A:$A,0),MATCH(P$3,'LT Collect Forecast'!$AA$2:$AG$2,0))</f>
        <v>46.623011865462168</v>
      </c>
      <c r="Q7" s="397" cm="1">
        <f t="array" ref="Q7">INDEX('LT Collect Forecast'!$AA$1:$AG$55,MATCH(M2,'LT Collect Forecast'!$A:$A,0)+1,MATCH(Q$3,'LT Collect Forecast'!$AA$2:$AG$2,0))</f>
        <v>50.999999999999993</v>
      </c>
      <c r="R7" s="396" cm="1">
        <f t="array" ref="R7">INDEX('LT Collect Forecast'!$AA$1:$AG$55,MATCH(M2,'LT Collect Forecast'!$A:$A,0)+1,MATCH(R$3,'LT Collect Forecast'!$AA$2:$AG$2,0))</f>
        <v>51.999999999999993</v>
      </c>
      <c r="S7" s="397" cm="1">
        <f t="array" ref="S7">INDEX('LT Collect Forecast'!$AA$1:$AG$55,MATCH(M2,'LT Collect Forecast'!$A:$A,0)+1,MATCH(S$3,'LT Collect Forecast'!$AA$2:$AG$2,0))</f>
        <v>53.000000000000007</v>
      </c>
      <c r="T7" s="398" cm="1">
        <f t="array" ref="T7">INDEX('LT Collect Forecast'!$AA$1:$AG$55,MATCH(M2,'LT Collect Forecast'!$A:$A,0)+1,MATCH(T$3,'LT Collect Forecast'!$AA$2:$AG$2,0))</f>
        <v>0</v>
      </c>
      <c r="U7" s="383"/>
      <c r="V7" s="394">
        <f>INDEX('LT Collect Forecast'!$AA$1:$AG$55,MATCH(U2,'LT Collect Forecast'!$A:$A,0),MATCH(V$3,'LT Collect Forecast'!$AA$2:$AG$2,0))</f>
        <v>47.174250863939186</v>
      </c>
      <c r="W7" s="395">
        <f>INDEX('LT Collect Forecast'!$AA$1:$AG$55,MATCH(U2,'LT Collect Forecast'!$A:$A,0),MATCH(W$3,'LT Collect Forecast'!$AA$2:$AG$2,0))</f>
        <v>45.470676054522073</v>
      </c>
      <c r="X7" s="395">
        <f>INDEX('LT Collect Forecast'!$AA$1:$AG$55,MATCH(U2,'LT Collect Forecast'!$A:$A,0),MATCH(X$3,'LT Collect Forecast'!$AA$2:$AG$2,0))</f>
        <v>47.452303161863135</v>
      </c>
      <c r="Y7" s="397" cm="1">
        <f t="array" ref="Y7">INDEX('LT Collect Forecast'!$AA$1:$AG$55,MATCH(U2,'LT Collect Forecast'!$A:$A,0)+1,MATCH(Y$3,'LT Collect Forecast'!$AA$2:$AG$2,0))</f>
        <v>48.000000000000007</v>
      </c>
      <c r="Z7" s="396" cm="1">
        <f t="array" ref="Z7">INDEX('LT Collect Forecast'!$AA$1:$AG$55,MATCH(U2,'LT Collect Forecast'!$A:$A,0)+1,MATCH(Z$3,'LT Collect Forecast'!$AA$2:$AG$2,0))</f>
        <v>53</v>
      </c>
      <c r="AA7" s="397" cm="1">
        <f t="array" ref="AA7">INDEX('LT Collect Forecast'!$AA$1:$AG$55,MATCH(U2,'LT Collect Forecast'!$A:$A,0)+1,MATCH(AA$3,'LT Collect Forecast'!$AA$2:$AG$2,0))</f>
        <v>52</v>
      </c>
      <c r="AB7" s="398" cm="1">
        <f t="array" ref="AB7">INDEX('LT Collect Forecast'!$AA$1:$AG$55,MATCH(U2,'LT Collect Forecast'!$A:$A,0)+1,MATCH(AB$3,'LT Collect Forecast'!$AA$2:$AG$2,0))</f>
        <v>0</v>
      </c>
      <c r="AC7" s="383"/>
      <c r="AD7" s="394">
        <f>INDEX('LT Collect Forecast'!$AA$1:$AG$55,MATCH(AC2,'LT Collect Forecast'!$A:$A,0),MATCH(AD$3,'LT Collect Forecast'!$AA$2:$AG$2,0))</f>
        <v>47.429850746268656</v>
      </c>
      <c r="AE7" s="395">
        <f>INDEX('LT Collect Forecast'!$AA$1:$AG$55,MATCH(AC2,'LT Collect Forecast'!$A:$A,0),MATCH(AE$3,'LT Collect Forecast'!$AA$2:$AG$2,0))</f>
        <v>44.639534883720934</v>
      </c>
      <c r="AF7" s="395">
        <f>INDEX('LT Collect Forecast'!$AA$1:$AG$55,MATCH(AC2,'LT Collect Forecast'!$A:$A,0),MATCH(AF$3,'LT Collect Forecast'!$AA$2:$AG$2,0))</f>
        <v>48.000000000000007</v>
      </c>
      <c r="AG7" s="397" cm="1">
        <f t="array" ref="AG7">INDEX('LT Collect Forecast'!$AA$1:$AG$55,MATCH(AC2,'LT Collect Forecast'!$A:$A,0)+1,MATCH(AG$3,'LT Collect Forecast'!$AA$2:$AG$2,0))</f>
        <v>46.958076019058964</v>
      </c>
      <c r="AH7" s="396" cm="1">
        <f t="array" ref="AH7">INDEX('LT Collect Forecast'!$AA$1:$AG$55,MATCH(AC2,'LT Collect Forecast'!$A:$A,0)+1,MATCH(AH$3,'LT Collect Forecast'!$AA$2:$AG$2,0))</f>
        <v>49.05513414333091</v>
      </c>
      <c r="AI7" s="397" cm="1">
        <f t="array" ref="AI7">INDEX('LT Collect Forecast'!$AA$1:$AG$55,MATCH(AC2,'LT Collect Forecast'!$A:$A,0)+1,MATCH(AI$3,'LT Collect Forecast'!$AA$2:$AG$2,0))</f>
        <v>49.376894381945597</v>
      </c>
      <c r="AJ7" s="398" cm="1">
        <f t="array" ref="AJ7">INDEX('LT Collect Forecast'!$AA$1:$AG$55,MATCH(AC2,'LT Collect Forecast'!$A:$A,0)+1,MATCH(AJ$3,'LT Collect Forecast'!$AA$2:$AG$2,0))</f>
        <v>0</v>
      </c>
      <c r="AK7" s="383"/>
      <c r="AL7" s="394">
        <f>INDEX('LT Collect Forecast'!$AA$1:$AG$55,MATCH(AK2,'LT Collect Forecast'!$A:$A,0),MATCH(AL$3,'LT Collect Forecast'!$AA$2:$AG$2,0))</f>
        <v>47.268702387492368</v>
      </c>
      <c r="AM7" s="395">
        <f>INDEX('LT Collect Forecast'!$AA$1:$AG$55,MATCH(AK2,'LT Collect Forecast'!$A:$A,0),MATCH(AM$3,'LT Collect Forecast'!$AA$2:$AG$2,0))</f>
        <v>44.711875188364395</v>
      </c>
      <c r="AN7" s="395">
        <f>INDEX('LT Collect Forecast'!$AA$1:$AG$55,MATCH(AK2,'LT Collect Forecast'!$A:$A,0),MATCH(AN$3,'LT Collect Forecast'!$AA$2:$AG$2,0))</f>
        <v>46.137204238530686</v>
      </c>
      <c r="AO7" s="397" cm="1">
        <f t="array" ref="AO7">INDEX('LT Collect Forecast'!$AA$1:$AG$55,MATCH(AK2,'LT Collect Forecast'!$A:$A,0)+1,MATCH(AO$3,'LT Collect Forecast'!$AA$2:$AG$2,0))</f>
        <v>48.096622134424223</v>
      </c>
      <c r="AP7" s="396" cm="1">
        <f t="array" ref="AP7">INDEX('LT Collect Forecast'!$AA$1:$AG$55,MATCH(AK2,'LT Collect Forecast'!$A:$A,0)+1,MATCH(AP$3,'LT Collect Forecast'!$AA$2:$AG$2,0))</f>
        <v>50.794562823884732</v>
      </c>
      <c r="AQ7" s="397" cm="1">
        <f t="array" ref="AQ7">INDEX('LT Collect Forecast'!$AA$1:$AG$55,MATCH(AK2,'LT Collect Forecast'!$A:$A,0)+1,MATCH(AQ$3,'LT Collect Forecast'!$AA$2:$AG$2,0))</f>
        <v>50.507182544130124</v>
      </c>
      <c r="AR7" s="398" cm="1">
        <f t="array" ref="AR7">INDEX('LT Collect Forecast'!$AA$1:$AG$55,MATCH(AK2,'LT Collect Forecast'!$A:$A,0)+1,MATCH(AR$3,'LT Collect Forecast'!$AA$2:$AG$2,0))</f>
        <v>0</v>
      </c>
      <c r="AS7" s="383"/>
      <c r="AT7" s="394">
        <f>INDEX('LT Collect Forecast'!$AA$1:$AG$55,MATCH(AS2,'LT Collect Forecast'!$A:$A,0),MATCH(AT$3,'LT Collect Forecast'!$AA$2:$AG$2,0))</f>
        <v>47.986398881341046</v>
      </c>
      <c r="AU7" s="395">
        <f>INDEX('LT Collect Forecast'!$AA$1:$AG$55,MATCH(AS2,'LT Collect Forecast'!$A:$A,0),MATCH(AU$3,'LT Collect Forecast'!$AA$2:$AG$2,0))</f>
        <v>45.968880828393679</v>
      </c>
      <c r="AV7" s="395">
        <f>INDEX('LT Collect Forecast'!$AA$1:$AG$55,MATCH(AS2,'LT Collect Forecast'!$A:$A,0),MATCH(AV$3,'LT Collect Forecast'!$AA$2:$AG$2,0))</f>
        <v>47.366626495783322</v>
      </c>
      <c r="AW7" s="397" cm="1">
        <f t="array" ref="AW7">INDEX('LT Collect Forecast'!$AA$1:$AG$55,MATCH(AS2,'LT Collect Forecast'!$A:$A,0)+1,MATCH(AW$3,'LT Collect Forecast'!$AA$2:$AG$2,0))</f>
        <v>47.963250099108983</v>
      </c>
      <c r="AX7" s="396" cm="1">
        <f t="array" ref="AX7">INDEX('LT Collect Forecast'!$AA$1:$AG$55,MATCH(AS2,'LT Collect Forecast'!$A:$A,0)+1,MATCH(AX$3,'LT Collect Forecast'!$AA$2:$AG$2,0))</f>
        <v>51.194292961819038</v>
      </c>
      <c r="AY7" s="397" cm="1">
        <f t="array" ref="AY7">INDEX('LT Collect Forecast'!$AA$1:$AG$55,MATCH(AS2,'LT Collect Forecast'!$A:$A,0)+1,MATCH(AY$3,'LT Collect Forecast'!$AA$2:$AG$2,0))</f>
        <v>50.40409999994187</v>
      </c>
      <c r="AZ7" s="398" cm="1">
        <f t="array" ref="AZ7">INDEX('LT Collect Forecast'!$AA$1:$AG$55,MATCH(AS2,'LT Collect Forecast'!$A:$A,0)+1,MATCH(AZ$3,'LT Collect Forecast'!$AA$2:$AG$2,0))</f>
        <v>0</v>
      </c>
      <c r="BA7" s="383"/>
      <c r="BB7" s="394">
        <f>INDEX('LT Collect Forecast'!$AA$1:$AG$55,MATCH(BA2,'LT Collect Forecast'!$A:$A,0),MATCH(BB$3,'LT Collect Forecast'!$AA$2:$AG$2,0))</f>
        <v>47.804943632674814</v>
      </c>
      <c r="BC7" s="395">
        <f>INDEX('LT Collect Forecast'!$AA$1:$AG$55,MATCH(BA2,'LT Collect Forecast'!$A:$A,0),MATCH(BC$3,'LT Collect Forecast'!$AA$2:$AG$2,0))</f>
        <v>49.412713909918601</v>
      </c>
      <c r="BD7" s="395">
        <f>INDEX('LT Collect Forecast'!$AA$1:$AG$55,MATCH(BA2,'LT Collect Forecast'!$A:$A,0),MATCH(BD$3,'LT Collect Forecast'!$AA$2:$AG$2,0))</f>
        <v>50.656071559667367</v>
      </c>
      <c r="BE7" s="397" cm="1">
        <f t="array" ref="BE7">INDEX('LT Collect Forecast'!$AA$1:$AG$55,MATCH(BA2,'LT Collect Forecast'!$A:$A,0)+1,MATCH(BE$3,'LT Collect Forecast'!$AA$2:$AG$2,0))</f>
        <v>49.60583546338934</v>
      </c>
      <c r="BF7" s="396" cm="1">
        <f t="array" ref="BF7">INDEX('LT Collect Forecast'!$AA$1:$AG$55,MATCH(BA2,'LT Collect Forecast'!$A:$A,0)+1,MATCH(BF$3,'LT Collect Forecast'!$AA$2:$AG$2,0))</f>
        <v>52.296486312906282</v>
      </c>
      <c r="BG7" s="397" cm="1">
        <f t="array" ref="BG7">INDEX('LT Collect Forecast'!$AA$1:$AG$55,MATCH(BA2,'LT Collect Forecast'!$A:$A,0)+1,MATCH(BG$3,'LT Collect Forecast'!$AA$2:$AG$2,0))</f>
        <v>50.873471249806904</v>
      </c>
      <c r="BH7" s="398" cm="1">
        <f t="array" ref="BH7">INDEX('LT Collect Forecast'!$AA$1:$AG$55,MATCH(BA2,'LT Collect Forecast'!$A:$A,0)+1,MATCH(BH$3,'LT Collect Forecast'!$AA$2:$AG$2,0))</f>
        <v>0</v>
      </c>
      <c r="BI7" s="383"/>
      <c r="BJ7" s="394">
        <f>INDEX('LT Collect Forecast'!$AA$1:$AG$55,MATCH(BI2,'LT Collect Forecast'!$A:$A,0),MATCH(BJ$3,'LT Collect Forecast'!$AA$2:$AG$2,0))</f>
        <v>48.627944905628581</v>
      </c>
      <c r="BK7" s="395">
        <f>INDEX('LT Collect Forecast'!$AA$1:$AG$55,MATCH(BI2,'LT Collect Forecast'!$A:$A,0),MATCH(BK$3,'LT Collect Forecast'!$AA$2:$AG$2,0))</f>
        <v>45.749039422813475</v>
      </c>
      <c r="BL7" s="395">
        <f>INDEX('LT Collect Forecast'!$AA$1:$AG$55,MATCH(BI2,'LT Collect Forecast'!$A:$A,0),MATCH(BL$3,'LT Collect Forecast'!$AA$2:$AG$2,0))</f>
        <v>47.958344728403056</v>
      </c>
      <c r="BM7" s="397" cm="1">
        <f t="array" ref="BM7">INDEX('LT Collect Forecast'!$AA$1:$AG$55,MATCH(BI2,'LT Collect Forecast'!$A:$A,0)+1,MATCH(BM$3,'LT Collect Forecast'!$AA$2:$AG$2,0))</f>
        <v>49.228120184975303</v>
      </c>
      <c r="BN7" s="396" cm="1">
        <f t="array" ref="BN7">INDEX('LT Collect Forecast'!$AA$1:$AG$55,MATCH(BI2,'LT Collect Forecast'!$A:$A,0)+1,MATCH(BN$3,'LT Collect Forecast'!$AA$2:$AG$2,0))</f>
        <v>51.589574892283395</v>
      </c>
      <c r="BO7" s="397" cm="1">
        <f t="array" ref="BO7">INDEX('LT Collect Forecast'!$AA$1:$AG$55,MATCH(BI2,'LT Collect Forecast'!$A:$A,0)+1,MATCH(BO$3,'LT Collect Forecast'!$AA$2:$AG$2,0))</f>
        <v>49.835195994840348</v>
      </c>
      <c r="BP7" s="398" cm="1">
        <f t="array" ref="BP7">INDEX('LT Collect Forecast'!$AA$1:$AG$55,MATCH(BI2,'LT Collect Forecast'!$A:$A,0)+1,MATCH(BP$3,'LT Collect Forecast'!$AA$2:$AG$2,0))</f>
        <v>0</v>
      </c>
      <c r="BQ7" s="383"/>
      <c r="BR7" s="394">
        <f>INDEX('LT Collect Forecast'!$AA$1:$AG$55,MATCH(BQ2,'LT Collect Forecast'!$A:$A,0),MATCH(BR$3,'LT Collect Forecast'!$AA$2:$AG$2,0))</f>
        <v>47.451199931484496</v>
      </c>
      <c r="BS7" s="395">
        <f>INDEX('LT Collect Forecast'!$AA$1:$AG$55,MATCH(BQ2,'LT Collect Forecast'!$A:$A,0),MATCH(BS$3,'LT Collect Forecast'!$AA$2:$AG$2,0))</f>
        <v>45.284946988980224</v>
      </c>
      <c r="BT7" s="395">
        <f>INDEX('LT Collect Forecast'!$AA$1:$AG$55,MATCH(BQ2,'LT Collect Forecast'!$A:$A,0),MATCH(BT$3,'LT Collect Forecast'!$AA$2:$AG$2,0))</f>
        <v>47.460910003845655</v>
      </c>
      <c r="BU7" s="397" cm="1">
        <f t="array" ref="BU7">INDEX('LT Collect Forecast'!$AA$1:$AG$55,MATCH(BQ2,'LT Collect Forecast'!$A:$A,0)+1,MATCH(BU$3,'LT Collect Forecast'!$AA$2:$AG$2,0))</f>
        <v>48.968819177924793</v>
      </c>
      <c r="BV7" s="396" cm="1">
        <f t="array" ref="BV7">INDEX('LT Collect Forecast'!$AA$1:$AG$55,MATCH(BQ2,'LT Collect Forecast'!$A:$A,0)+1,MATCH(BV$3,'LT Collect Forecast'!$AA$2:$AG$2,0))</f>
        <v>50.619953014848441</v>
      </c>
      <c r="BW7" s="397" cm="1">
        <f t="array" ref="BW7">INDEX('LT Collect Forecast'!$AA$1:$AG$55,MATCH(BQ2,'LT Collect Forecast'!$A:$A,0)+1,MATCH(BW$3,'LT Collect Forecast'!$AA$2:$AG$2,0))</f>
        <v>49.083264211340556</v>
      </c>
      <c r="BX7" s="398" cm="1">
        <f t="array" ref="BX7">INDEX('LT Collect Forecast'!$AA$1:$AG$55,MATCH(BQ2,'LT Collect Forecast'!$A:$A,0)+1,MATCH(BX$3,'LT Collect Forecast'!$AA$2:$AG$2,0))</f>
        <v>0</v>
      </c>
      <c r="BY7" s="383"/>
      <c r="BZ7" s="394">
        <f>INDEX('LT Collect Forecast'!$AA$1:$AG$55,MATCH(BY2,'LT Collect Forecast'!$A:$A,0),MATCH(BZ$3,'LT Collect Forecast'!$AA$2:$AG$2,0))</f>
        <v>47.506718726138502</v>
      </c>
      <c r="CA7" s="395">
        <f>INDEX('LT Collect Forecast'!$AA$1:$AG$55,MATCH(BY2,'LT Collect Forecast'!$A:$A,0),MATCH(CA$3,'LT Collect Forecast'!$AA$2:$AG$2,0))</f>
        <v>48.05691816081567</v>
      </c>
      <c r="CB7" s="395">
        <f>INDEX('LT Collect Forecast'!$AA$1:$AG$55,MATCH(BY2,'LT Collect Forecast'!$A:$A,0),MATCH(CB$3,'LT Collect Forecast'!$AA$2:$AG$2,0))</f>
        <v>48.622742470437608</v>
      </c>
      <c r="CC7" s="397" cm="1">
        <f t="array" ref="CC7">INDEX('LT Collect Forecast'!$AA$1:$AG$55,MATCH(BY2,'LT Collect Forecast'!$A:$A,0)+1,MATCH(CC$3,'LT Collect Forecast'!$AA$2:$AG$2,0))</f>
        <v>49.090899756043285</v>
      </c>
      <c r="CD7" s="396" cm="1">
        <f t="array" ref="CD7">INDEX('LT Collect Forecast'!$AA$1:$AG$55,MATCH(BY2,'LT Collect Forecast'!$A:$A,0)+1,MATCH(CD$3,'LT Collect Forecast'!$AA$2:$AG$2,0))</f>
        <v>50.74614991385738</v>
      </c>
      <c r="CE7" s="397" cm="1">
        <f t="array" ref="CE7">INDEX('LT Collect Forecast'!$AA$1:$AG$55,MATCH(BY2,'LT Collect Forecast'!$A:$A,0)+1,MATCH(CE$3,'LT Collect Forecast'!$AA$2:$AG$2,0))</f>
        <v>49.205630103993414</v>
      </c>
      <c r="CF7" s="398" cm="1">
        <f t="array" ref="CF7">INDEX('LT Collect Forecast'!$AA$1:$AG$55,MATCH(BY2,'LT Collect Forecast'!$A:$A,0)+1,MATCH(CF$3,'LT Collect Forecast'!$AA$2:$AG$2,0))</f>
        <v>0</v>
      </c>
      <c r="CG7" s="383"/>
      <c r="CH7" s="394">
        <f>INDEX('LT Collect Forecast'!$AA$1:$AG$55,MATCH(CG2,'LT Collect Forecast'!$A:$A,0),MATCH(CH$3,'LT Collect Forecast'!$AA$2:$AG$2,0))</f>
        <v>47.625154248660017</v>
      </c>
      <c r="CI7" s="395">
        <f>INDEX('LT Collect Forecast'!$AA$1:$AG$55,MATCH(CG2,'LT Collect Forecast'!$A:$A,0),MATCH(CI$3,'LT Collect Forecast'!$AA$2:$AG$2,0))</f>
        <v>45.909179356188965</v>
      </c>
      <c r="CJ7" s="395">
        <f>INDEX('LT Collect Forecast'!$AA$1:$AG$55,MATCH(CG2,'LT Collect Forecast'!$A:$A,0),MATCH(CJ$3,'LT Collect Forecast'!$AA$2:$AG$2,0))</f>
        <v>48.335649558515634</v>
      </c>
      <c r="CK7" s="397" cm="1">
        <f t="array" ref="CK7">INDEX('LT Collect Forecast'!$AA$1:$AG$55,MATCH(CG2,'LT Collect Forecast'!$A:$A,0)+1,MATCH(CK$3,'LT Collect Forecast'!$AA$2:$AG$2,0))</f>
        <v>47.582425992349663</v>
      </c>
      <c r="CL7" s="396" cm="1">
        <f t="array" ref="CL7">INDEX('LT Collect Forecast'!$AA$1:$AG$55,MATCH(CG2,'LT Collect Forecast'!$A:$A,0)+1,MATCH(CL$3,'LT Collect Forecast'!$AA$2:$AG$2,0))</f>
        <v>48.716428359018387</v>
      </c>
      <c r="CM7" s="397" cm="1">
        <f t="array" ref="CM7">INDEX('LT Collect Forecast'!$AA$1:$AG$55,MATCH(CG2,'LT Collect Forecast'!$A:$A,0)+1,MATCH(CM$3,'LT Collect Forecast'!$AA$2:$AG$2,0))</f>
        <v>47.719188143339551</v>
      </c>
      <c r="CN7" s="398" cm="1">
        <f t="array" ref="CN7">INDEX('LT Collect Forecast'!$AA$1:$AG$55,MATCH(CG2,'LT Collect Forecast'!$A:$A,0)+1,MATCH(CN$3,'LT Collect Forecast'!$AA$2:$AG$2,0))</f>
        <v>0</v>
      </c>
      <c r="CO7" s="383"/>
      <c r="CP7" s="394">
        <f>INDEX('LT Collect Forecast'!$AA$1:$AG$55,MATCH(CO2,'LT Collect Forecast'!$A:$A,0),MATCH(CP$3,'LT Collect Forecast'!$AA$2:$AG$2,0))</f>
        <v>46.098674052065682</v>
      </c>
      <c r="CQ7" s="395">
        <f>INDEX('LT Collect Forecast'!$AA$1:$AG$55,MATCH(CO2,'LT Collect Forecast'!$A:$A,0),MATCH(CQ$3,'LT Collect Forecast'!$AA$2:$AG$2,0))</f>
        <v>46.251971336955144</v>
      </c>
      <c r="CR7" s="395">
        <f>INDEX('LT Collect Forecast'!$AA$1:$AG$55,MATCH(CO2,'LT Collect Forecast'!$A:$A,0),MATCH(CR$3,'LT Collect Forecast'!$AA$2:$AG$2,0))</f>
        <v>48.701872754330687</v>
      </c>
      <c r="CS7" s="397" cm="1">
        <f t="array" ref="CS7">INDEX('LT Collect Forecast'!$AA$1:$AG$55,MATCH(CO2,'LT Collect Forecast'!$A:$A,0)+1,MATCH(CS$3,'LT Collect Forecast'!$AA$2:$AG$2,0))</f>
        <v>49.917305554642709</v>
      </c>
      <c r="CT7" s="396" cm="1">
        <f t="array" ref="CT7">INDEX('LT Collect Forecast'!$AA$1:$AG$55,MATCH(CO2,'LT Collect Forecast'!$A:$A,0)+1,MATCH(CT$3,'LT Collect Forecast'!$AA$2:$AG$2,0))</f>
        <v>51.480782791628215</v>
      </c>
      <c r="CU7" s="397" cm="1">
        <f t="array" ref="CU7">INDEX('LT Collect Forecast'!$AA$1:$AG$55,MATCH(CO2,'LT Collect Forecast'!$A:$A,0)+1,MATCH(CU$3,'LT Collect Forecast'!$AA$2:$AG$2,0))</f>
        <v>50.961413280887072</v>
      </c>
      <c r="CV7" s="398" cm="1">
        <f t="array" ref="CV7">INDEX('LT Collect Forecast'!$AA$1:$AG$55,MATCH(CO2,'LT Collect Forecast'!$A:$A,0)+1,MATCH(CV$3,'LT Collect Forecast'!$AA$2:$AG$2,0))</f>
        <v>0</v>
      </c>
      <c r="CW7" s="383"/>
      <c r="CX7" s="394">
        <f>INDEX('LT Collect Forecast'!$AA$1:$AG$55,MATCH(CW2,'LT Collect Forecast'!$A:$A,0),MATCH(CX$3,'LT Collect Forecast'!$AA$2:$AG$2,0))</f>
        <v>48.850490554155932</v>
      </c>
      <c r="CY7" s="395">
        <f>INDEX('LT Collect Forecast'!$AA$1:$AG$55,MATCH(CW2,'LT Collect Forecast'!$A:$A,0),MATCH(CY$3,'LT Collect Forecast'!$AA$2:$AG$2,0))</f>
        <v>46.954696741216466</v>
      </c>
      <c r="CZ7" s="395">
        <f>INDEX('LT Collect Forecast'!$AA$1:$AG$55,MATCH(CW2,'LT Collect Forecast'!$A:$A,0),MATCH(CZ$3,'LT Collect Forecast'!$AA$2:$AG$2,0))</f>
        <v>48.900640879253473</v>
      </c>
      <c r="DA7" s="397" cm="1">
        <f t="array" ref="DA7">INDEX('LT Collect Forecast'!$AA$1:$AG$55,MATCH(CW2,'LT Collect Forecast'!$A:$A,0)+1,MATCH(DA$3,'LT Collect Forecast'!$AA$2:$AG$2,0))</f>
        <v>53.746849862614077</v>
      </c>
      <c r="DB7" s="396" cm="1">
        <f t="array" ref="DB7">INDEX('LT Collect Forecast'!$AA$1:$AG$55,MATCH(CW2,'LT Collect Forecast'!$A:$A,0)+1,MATCH(DB$3,'LT Collect Forecast'!$AA$2:$AG$2,0))</f>
        <v>50.622354090057414</v>
      </c>
      <c r="DC7" s="397" cm="1">
        <f t="array" ref="DC7">INDEX('LT Collect Forecast'!$AA$1:$AG$55,MATCH(CW2,'LT Collect Forecast'!$A:$A,0)+1,MATCH(DC$3,'LT Collect Forecast'!$AA$2:$AG$2,0))</f>
        <v>49.690244027563004</v>
      </c>
      <c r="DD7" s="398" cm="1">
        <f t="array" ref="DD7">INDEX('LT Collect Forecast'!$AA$1:$AG$55,MATCH(CW2,'LT Collect Forecast'!$A:$A,0)+1,MATCH(DD$3,'LT Collect Forecast'!$AA$2:$AG$2,0))</f>
        <v>0</v>
      </c>
      <c r="DE7" s="383"/>
      <c r="DF7" s="394">
        <f>INDEX('LT Collect Forecast'!$AA$1:$AG$55,MATCH(DE2,'LT Collect Forecast'!$A:$A,0),MATCH(DF$3,'LT Collect Forecast'!$AA$2:$AG$2,0))</f>
        <v>47.922117739570062</v>
      </c>
      <c r="DG7" s="395">
        <f>INDEX('LT Collect Forecast'!$AA$1:$AG$55,MATCH(DE2,'LT Collect Forecast'!$A:$A,0),MATCH(DG$3,'LT Collect Forecast'!$AA$2:$AG$2,0))</f>
        <v>44.377559187729155</v>
      </c>
      <c r="DH7" s="395">
        <f>INDEX('LT Collect Forecast'!$AA$1:$AG$55,MATCH(DE2,'LT Collect Forecast'!$A:$A,0),MATCH(DH$3,'LT Collect Forecast'!$AA$2:$AG$2,0))</f>
        <v>46.956559912291532</v>
      </c>
      <c r="DI7" s="397" cm="1">
        <f t="array" ref="DI7">INDEX('LT Collect Forecast'!$AA$1:$AG$55,MATCH(DE2,'LT Collect Forecast'!$A:$A,0)+1,MATCH(DI$3,'LT Collect Forecast'!$AA$2:$AG$2,0))</f>
        <v>49.789157175242181</v>
      </c>
      <c r="DJ7" s="396" cm="1">
        <f t="array" ref="DJ7">INDEX('LT Collect Forecast'!$AA$1:$AG$55,MATCH(DE2,'LT Collect Forecast'!$A:$A,0)+1,MATCH(DJ$3,'LT Collect Forecast'!$AA$2:$AG$2,0))</f>
        <v>47.528797631846118</v>
      </c>
      <c r="DK7" s="397" cm="1">
        <f t="array" ref="DK7">INDEX('LT Collect Forecast'!$AA$1:$AG$55,MATCH(DE2,'LT Collect Forecast'!$A:$A,0)+1,MATCH(DK$3,'LT Collect Forecast'!$AA$2:$AG$2,0))</f>
        <v>48.206219301887813</v>
      </c>
      <c r="DL7" s="398" cm="1">
        <f t="array" ref="DL7">INDEX('LT Collect Forecast'!$AA$1:$AG$55,MATCH(DE2,'LT Collect Forecast'!$A:$A,0)+1,MATCH(DL$3,'LT Collect Forecast'!$AA$2:$AG$2,0))</f>
        <v>0</v>
      </c>
      <c r="DM7" s="383"/>
      <c r="DN7" s="394">
        <f>INDEX('LT Collect Forecast'!$AA$1:$AG$55,MATCH(DM2,'LT Collect Forecast'!$A:$A,0),MATCH(DN$3,'LT Collect Forecast'!$AA$2:$AG$2,0))</f>
        <v>47.90727897553591</v>
      </c>
      <c r="DO7" s="395">
        <f>INDEX('LT Collect Forecast'!$AA$1:$AG$55,MATCH(DM2,'LT Collect Forecast'!$A:$A,0),MATCH(DO$3,'LT Collect Forecast'!$AA$2:$AG$2,0))</f>
        <v>44.354465822171633</v>
      </c>
      <c r="DP7" s="395">
        <f>INDEX('LT Collect Forecast'!$AA$1:$AG$55,MATCH(DM2,'LT Collect Forecast'!$A:$A,0),MATCH(DP$3,'LT Collect Forecast'!$AA$2:$AG$2,0))</f>
        <v>46.710081296435689</v>
      </c>
      <c r="DQ7" s="397" cm="1">
        <f t="array" ref="DQ7">INDEX('LT Collect Forecast'!$AA$1:$AG$55,MATCH(DM2,'LT Collect Forecast'!$A:$A,0)+1,MATCH(DQ$3,'LT Collect Forecast'!$AA$2:$AG$2,0))</f>
        <v>47.29969931648008</v>
      </c>
      <c r="DR7" s="396" cm="1">
        <f t="array" ref="DR7">INDEX('LT Collect Forecast'!$AA$1:$AG$55,MATCH(DM2,'LT Collect Forecast'!$A:$A,0)+1,MATCH(DR$3,'LT Collect Forecast'!$AA$2:$AG$2,0))</f>
        <v>49.395633655211697</v>
      </c>
      <c r="DS7" s="397" cm="1">
        <f t="array" ref="DS7">INDEX('LT Collect Forecast'!$AA$1:$AG$55,MATCH(DM2,'LT Collect Forecast'!$A:$A,0)+1,MATCH(DS$3,'LT Collect Forecast'!$AA$2:$AG$2,0))</f>
        <v>49.690244027562997</v>
      </c>
      <c r="DT7" s="398" cm="1">
        <f t="array" ref="DT7">INDEX('LT Collect Forecast'!$AA$1:$AG$55,MATCH(DM2,'LT Collect Forecast'!$A:$A,0)+1,MATCH(DT$3,'LT Collect Forecast'!$AA$2:$AG$2,0))</f>
        <v>0</v>
      </c>
      <c r="DU7" s="383"/>
      <c r="DV7" s="394">
        <f>INDEX('LT Collect Forecast'!$AA$1:$AG$55,MATCH(DU2,'LT Collect Forecast'!$A:$A,0),MATCH(DV$3,'LT Collect Forecast'!$AA$2:$AG$2,0))</f>
        <v>0</v>
      </c>
      <c r="DW7" s="395">
        <f>INDEX('LT Collect Forecast'!$AA$1:$AG$55,MATCH(DU2,'LT Collect Forecast'!$A:$A,0),MATCH(DW$3,'LT Collect Forecast'!$AA$2:$AG$2,0))</f>
        <v>46.581612829877272</v>
      </c>
      <c r="DX7" s="395">
        <f>INDEX('LT Collect Forecast'!$AA$1:$AG$55,MATCH(DU2,'LT Collect Forecast'!$A:$A,0),MATCH(DX$3,'LT Collect Forecast'!$AA$2:$AG$2,0))</f>
        <v>46.67344527768541</v>
      </c>
      <c r="DY7" s="397" cm="1">
        <f t="array" ref="DY7">INDEX('LT Collect Forecast'!$AA$1:$AG$55,MATCH(DU2,'LT Collect Forecast'!$A:$A,0)+1,MATCH(DY$3,'LT Collect Forecast'!$AA$2:$AG$2,0))</f>
        <v>47.350287557401174</v>
      </c>
      <c r="DZ7" s="396" cm="1">
        <f t="array" ref="DZ7">INDEX('LT Collect Forecast'!$AA$1:$AG$55,MATCH(DU2,'LT Collect Forecast'!$A:$A,0)+1,MATCH(DZ$3,'LT Collect Forecast'!$AA$2:$AG$2,0))</f>
        <v>47.001641027439163</v>
      </c>
      <c r="EA7" s="397" cm="1">
        <f t="array" ref="EA7">INDEX('LT Collect Forecast'!$AA$1:$AG$55,MATCH(DU2,'LT Collect Forecast'!$A:$A,0)+1,MATCH(EA$3,'LT Collect Forecast'!$AA$2:$AG$2,0))</f>
        <v>46.19549164768133</v>
      </c>
      <c r="EB7" s="398" cm="1">
        <f t="array" ref="EB7">INDEX('LT Collect Forecast'!$AA$1:$AG$55,MATCH(DU2,'LT Collect Forecast'!$A:$A,0)+1,MATCH(EB$3,'LT Collect Forecast'!$AA$2:$AG$2,0))</f>
        <v>0</v>
      </c>
      <c r="EC7" s="383"/>
      <c r="ED7" s="394">
        <f>INDEX('LT Collect Forecast'!$AA$1:$AG$55,MATCH(EC2,'LT Collect Forecast'!$A:$A,0),MATCH(ED$3,'LT Collect Forecast'!$AA$2:$AG$2,0))</f>
        <v>43.67133027456947</v>
      </c>
      <c r="EE7" s="395">
        <f>INDEX('LT Collect Forecast'!$AA$1:$AG$55,MATCH(EC2,'LT Collect Forecast'!$A:$A,0),MATCH(EE$3,'LT Collect Forecast'!$AA$2:$AG$2,0))</f>
        <v>43.2911570065015</v>
      </c>
      <c r="EF7" s="395">
        <f>INDEX('LT Collect Forecast'!$AA$1:$AG$55,MATCH(EC2,'LT Collect Forecast'!$A:$A,0),MATCH(EF$3,'LT Collect Forecast'!$AA$2:$AG$2,0))</f>
        <v>42.321718957512992</v>
      </c>
      <c r="EG7" s="397" cm="1">
        <f t="array" ref="EG7">INDEX('LT Collect Forecast'!$AA$1:$AG$55,MATCH(EC2,'LT Collect Forecast'!$A:$A,0)+1,MATCH(EG$3,'LT Collect Forecast'!$AA$2:$AG$2,0))</f>
        <v>43.975975562652401</v>
      </c>
      <c r="EH7" s="396" cm="1">
        <f t="array" ref="EH7">INDEX('LT Collect Forecast'!$AA$1:$AG$55,MATCH(EC2,'LT Collect Forecast'!$A:$A,0)+1,MATCH(EH$3,'LT Collect Forecast'!$AA$2:$AG$2,0))</f>
        <v>48.820583350306954</v>
      </c>
      <c r="EI7" s="397" cm="1">
        <f t="array" ref="EI7">INDEX('LT Collect Forecast'!$AA$1:$AG$55,MATCH(EC2,'LT Collect Forecast'!$A:$A,0)+1,MATCH(EI$3,'LT Collect Forecast'!$AA$2:$AG$2,0))</f>
        <v>48.214692395544446</v>
      </c>
      <c r="EJ7" s="398" cm="1">
        <f t="array" ref="EJ7">INDEX('LT Collect Forecast'!$AA$1:$AG$55,MATCH(EC2,'LT Collect Forecast'!$A:$A,0)+1,MATCH(EJ$3,'LT Collect Forecast'!$AA$2:$AG$2,0))</f>
        <v>0</v>
      </c>
      <c r="EK7" s="383"/>
      <c r="EL7" s="394">
        <f>INDEX('LT Collect Forecast'!$AA$1:$AG$55,MATCH(EK2,'LT Collect Forecast'!$A:$A,0),MATCH(EL$3,'LT Collect Forecast'!$AA$2:$AG$2,0))</f>
        <v>46.292888639587737</v>
      </c>
      <c r="EM7" s="395">
        <f>INDEX('LT Collect Forecast'!$AA$1:$AG$55,MATCH(EK2,'LT Collect Forecast'!$A:$A,0),MATCH(EM$3,'LT Collect Forecast'!$AA$2:$AG$2,0))</f>
        <v>44.053628944800096</v>
      </c>
      <c r="EN7" s="395">
        <f>INDEX('LT Collect Forecast'!$AA$1:$AG$55,MATCH(EK2,'LT Collect Forecast'!$A:$A,0),MATCH(EN$3,'LT Collect Forecast'!$AA$2:$AG$2,0))</f>
        <v>43.702353788872877</v>
      </c>
      <c r="EO7" s="397" cm="1">
        <f t="array" ref="EO7">INDEX('LT Collect Forecast'!$AA$1:$AG$55,MATCH(EK2,'LT Collect Forecast'!$A:$A,0)+1,MATCH(EO$3,'LT Collect Forecast'!$AA$2:$AG$2,0))</f>
        <v>45.407163214718942</v>
      </c>
      <c r="EP7" s="396" cm="1">
        <f t="array" ref="EP7">INDEX('LT Collect Forecast'!$AA$1:$AG$55,MATCH(EK2,'LT Collect Forecast'!$A:$A,0)+1,MATCH(EP$3,'LT Collect Forecast'!$AA$2:$AG$2,0))</f>
        <v>53.212223501816112</v>
      </c>
      <c r="EQ7" s="397" cm="1">
        <f t="array" ref="EQ7">INDEX('LT Collect Forecast'!$AA$1:$AG$55,MATCH(EK2,'LT Collect Forecast'!$A:$A,0)+1,MATCH(EQ$3,'LT Collect Forecast'!$AA$2:$AG$2,0))</f>
        <v>52.245101128905709</v>
      </c>
      <c r="ER7" s="398" cm="1">
        <f t="array" ref="ER7">INDEX('LT Collect Forecast'!$AA$1:$AG$55,MATCH(EK2,'LT Collect Forecast'!$A:$A,0)+1,MATCH(ER$3,'LT Collect Forecast'!$AA$2:$AG$2,0))</f>
        <v>0</v>
      </c>
      <c r="ES7" s="383"/>
      <c r="ET7" s="394">
        <f>INDEX('LT Collect Forecast'!$AA$1:$AG$55,MATCH(ES2,'LT Collect Forecast'!$A:$A,0),MATCH(ET$3,'LT Collect Forecast'!$AA$2:$AG$2,0))</f>
        <v>49.979842246608499</v>
      </c>
      <c r="EU7" s="395">
        <f>INDEX('LT Collect Forecast'!$AA$1:$AG$55,MATCH(ES2,'LT Collect Forecast'!$A:$A,0),MATCH(EU$3,'LT Collect Forecast'!$AA$2:$AG$2,0))</f>
        <v>46.91041871841535</v>
      </c>
      <c r="EV7" s="395">
        <f>INDEX('LT Collect Forecast'!$AA$1:$AG$55,MATCH(ES2,'LT Collect Forecast'!$A:$A,0),MATCH(EV$3,'LT Collect Forecast'!$AA$2:$AG$2,0))</f>
        <v>47.80715560545606</v>
      </c>
      <c r="EW7" s="397" cm="1">
        <f t="array" ref="EW7">INDEX('LT Collect Forecast'!$AA$1:$AG$55,MATCH(ES2,'LT Collect Forecast'!$A:$A,0)+1,MATCH(EW$3,'LT Collect Forecast'!$AA$2:$AG$2,0))</f>
        <v>49.107096258977116</v>
      </c>
      <c r="EX7" s="396" cm="1">
        <f t="array" ref="EX7">INDEX('LT Collect Forecast'!$AA$1:$AG$55,MATCH(ES2,'LT Collect Forecast'!$A:$A,0)+1,MATCH(EX$3,'LT Collect Forecast'!$AA$2:$AG$2,0))</f>
        <v>52.959454453078131</v>
      </c>
      <c r="EY7" s="397" cm="1">
        <f t="array" ref="EY7">INDEX('LT Collect Forecast'!$AA$1:$AG$55,MATCH(ES2,'LT Collect Forecast'!$A:$A,0)+1,MATCH(EY$3,'LT Collect Forecast'!$AA$2:$AG$2,0))</f>
        <v>52.206442087555587</v>
      </c>
      <c r="EZ7" s="398" cm="1">
        <f t="array" ref="EZ7">INDEX('LT Collect Forecast'!$AA$1:$AG$55,MATCH(ES2,'LT Collect Forecast'!$A:$A,0)+1,MATCH(EZ$3,'LT Collect Forecast'!$AA$2:$AG$2,0))</f>
        <v>0</v>
      </c>
      <c r="FA7" s="383"/>
      <c r="FB7" s="394">
        <f>INDEX('LT Collect Forecast'!$AA$1:$AG$55,MATCH(FA2,'LT Collect Forecast'!$A:$A,0),MATCH(FB$3,'LT Collect Forecast'!$AA$2:$AG$2,0))</f>
        <v>49.260059107617707</v>
      </c>
      <c r="FC7" s="395">
        <f>INDEX('LT Collect Forecast'!$AA$1:$AG$55,MATCH(FA2,'LT Collect Forecast'!$A:$A,0),MATCH(FC$3,'LT Collect Forecast'!$AA$2:$AG$2,0))</f>
        <v>46.457358826095223</v>
      </c>
      <c r="FD7" s="395">
        <f>INDEX('LT Collect Forecast'!$AA$1:$AG$55,MATCH(FA2,'LT Collect Forecast'!$A:$A,0),MATCH(FD$3,'LT Collect Forecast'!$AA$2:$AG$2,0))</f>
        <v>46.753026479484454</v>
      </c>
      <c r="FE7" s="397" cm="1">
        <f t="array" ref="FE7">INDEX('LT Collect Forecast'!$AA$1:$AG$55,MATCH(FA2,'LT Collect Forecast'!$A:$A,0)+1,MATCH(FE$3,'LT Collect Forecast'!$AA$2:$AG$2,0))</f>
        <v>47.906080226006011</v>
      </c>
      <c r="FF7" s="396" cm="1">
        <f t="array" ref="FF7">INDEX('LT Collect Forecast'!$AA$1:$AG$55,MATCH(FA2,'LT Collect Forecast'!$A:$A,0)+1,MATCH(FF$3,'LT Collect Forecast'!$AA$2:$AG$2,0))</f>
        <v>51.376068525329821</v>
      </c>
      <c r="FG7" s="397" cm="1">
        <f t="array" ref="FG7">INDEX('LT Collect Forecast'!$AA$1:$AG$55,MATCH(FA2,'LT Collect Forecast'!$A:$A,0)+1,MATCH(FG$3,'LT Collect Forecast'!$AA$2:$AG$2,0))</f>
        <v>51.440959297862342</v>
      </c>
      <c r="FH7" s="398" cm="1">
        <f t="array" ref="FH7">INDEX('LT Collect Forecast'!$AA$1:$AG$55,MATCH(FA2,'LT Collect Forecast'!$A:$A,0)+1,MATCH(FH$3,'LT Collect Forecast'!$AA$2:$AG$2,0))</f>
        <v>0</v>
      </c>
      <c r="FI7" s="383"/>
      <c r="FJ7" s="394">
        <f>INDEX('LT Collect Forecast'!$AA$1:$AG$55,MATCH(FI2,'LT Collect Forecast'!$A:$A,0),MATCH(FJ$3,'LT Collect Forecast'!$AA$2:$AG$2,0))</f>
        <v>47.927321055158174</v>
      </c>
      <c r="FK7" s="395">
        <f>INDEX('LT Collect Forecast'!$AA$1:$AG$55,MATCH(FI2,'LT Collect Forecast'!$A:$A,0),MATCH(FK$3,'LT Collect Forecast'!$AA$2:$AG$2,0))</f>
        <v>43.808758596704443</v>
      </c>
      <c r="FL7" s="395">
        <f>INDEX('LT Collect Forecast'!$AA$1:$AG$55,MATCH(FI2,'LT Collect Forecast'!$A:$A,0),MATCH(FL$3,'LT Collect Forecast'!$AA$2:$AG$2,0))</f>
        <v>45.830678953212043</v>
      </c>
      <c r="FM7" s="397" cm="1">
        <f t="array" ref="FM7">INDEX('LT Collect Forecast'!$AA$1:$AG$55,MATCH(FI2,'LT Collect Forecast'!$A:$A,0)+1,MATCH(FM$3,'LT Collect Forecast'!$AA$2:$AG$2,0))</f>
        <v>0</v>
      </c>
      <c r="FN7" s="396" cm="1">
        <f t="array" ref="FN7">INDEX('LT Collect Forecast'!$AA$1:$AG$55,MATCH(FI2,'LT Collect Forecast'!$A:$A,0)+1,MATCH(FN$3,'LT Collect Forecast'!$AA$2:$AG$2,0))</f>
        <v>53.989050314939441</v>
      </c>
      <c r="FO7" s="397" cm="1">
        <f t="array" ref="FO7">INDEX('LT Collect Forecast'!$AA$1:$AG$55,MATCH(FI2,'LT Collect Forecast'!$A:$A,0)+1,MATCH(FO$3,'LT Collect Forecast'!$AA$2:$AG$2,0))</f>
        <v>53.773680133137383</v>
      </c>
      <c r="FP7" s="398" cm="1">
        <f t="array" ref="FP7">INDEX('LT Collect Forecast'!$AA$1:$AG$55,MATCH(FI2,'LT Collect Forecast'!$A:$A,0)+1,MATCH(FP$3,'LT Collect Forecast'!$AA$2:$AG$2,0))</f>
        <v>0</v>
      </c>
      <c r="FQ7" s="383"/>
      <c r="FR7" s="394">
        <f>INDEX('LT Collect Forecast'!$AA$1:$AG$55,MATCH(FQ2,'LT Collect Forecast'!$A:$A,0),MATCH(FR$3,'LT Collect Forecast'!$AA$2:$AG$2,0))</f>
        <v>49.731801262164637</v>
      </c>
      <c r="FS7" s="395">
        <f>INDEX('LT Collect Forecast'!$AA$1:$AG$55,MATCH(FQ2,'LT Collect Forecast'!$A:$A,0),MATCH(FS$3,'LT Collect Forecast'!$AA$2:$AG$2,0))</f>
        <v>45.456816486982042</v>
      </c>
      <c r="FT7" s="395">
        <f>INDEX('LT Collect Forecast'!$AA$1:$AG$55,MATCH(FQ2,'LT Collect Forecast'!$A:$A,0),MATCH(FT$3,'LT Collect Forecast'!$AA$2:$AG$2,0))</f>
        <v>47.615552205801009</v>
      </c>
      <c r="FU7" s="397" cm="1">
        <f t="array" ref="FU7">INDEX('LT Collect Forecast'!$AA$1:$AG$55,MATCH(FQ2,'LT Collect Forecast'!$A:$A,0)+1,MATCH(FU$3,'LT Collect Forecast'!$AA$2:$AG$2,0))</f>
        <v>51.05920829402632</v>
      </c>
      <c r="FV7" s="396" cm="1">
        <f t="array" ref="FV7">INDEX('LT Collect Forecast'!$AA$1:$AG$55,MATCH(FQ2,'LT Collect Forecast'!$A:$A,0)+1,MATCH(FV$3,'LT Collect Forecast'!$AA$2:$AG$2,0))</f>
        <v>48.767309418687653</v>
      </c>
      <c r="FW7" s="397" cm="1">
        <f t="array" ref="FW7">INDEX('LT Collect Forecast'!$AA$1:$AG$55,MATCH(FQ2,'LT Collect Forecast'!$A:$A,0)+1,MATCH(FW$3,'LT Collect Forecast'!$AA$2:$AG$2,0))</f>
        <v>48.568805600791855</v>
      </c>
      <c r="FX7" s="398" cm="1">
        <f t="array" ref="FX7">INDEX('LT Collect Forecast'!$AA$1:$AG$55,MATCH(FQ2,'LT Collect Forecast'!$A:$A,0)+1,MATCH(FX$3,'LT Collect Forecast'!$AA$2:$AG$2,0))</f>
        <v>0</v>
      </c>
      <c r="FY7" s="383"/>
      <c r="FZ7" s="394">
        <f>INDEX('LT Collect Forecast'!$AA$1:$AG$55,MATCH(FY2,'LT Collect Forecast'!$A:$A,0),MATCH(FZ$3,'LT Collect Forecast'!$AA$2:$AG$2,0))</f>
        <v>0</v>
      </c>
      <c r="GA7" s="395">
        <f>INDEX('LT Collect Forecast'!$AA$1:$AG$55,MATCH(FY2,'LT Collect Forecast'!$A:$A,0),MATCH(GA$3,'LT Collect Forecast'!$AA$2:$AG$2,0))</f>
        <v>41.996897046257224</v>
      </c>
      <c r="GB7" s="395">
        <f>INDEX('LT Collect Forecast'!$AA$1:$AG$55,MATCH(FY2,'LT Collect Forecast'!$A:$A,0),MATCH(GB$3,'LT Collect Forecast'!$AA$2:$AG$2,0))</f>
        <v>41.723045885249348</v>
      </c>
      <c r="GC7" s="397" cm="1">
        <f t="array" ref="GC7">INDEX('LT Collect Forecast'!$AA$1:$AG$55,MATCH(FY2,'LT Collect Forecast'!$A:$A,0)+1,MATCH(GC$3,'LT Collect Forecast'!$AA$2:$AG$2,0))</f>
        <v>51.2</v>
      </c>
      <c r="GD7" s="396" cm="1">
        <f t="array" ref="GD7">INDEX('LT Collect Forecast'!$AA$1:$AG$55,MATCH(FY2,'LT Collect Forecast'!$A:$A,0)+1,MATCH(GD$3,'LT Collect Forecast'!$AA$2:$AG$2,0))</f>
        <v>51.271276883862996</v>
      </c>
      <c r="GE7" s="397" cm="1">
        <f t="array" ref="GE7">INDEX('LT Collect Forecast'!$AA$1:$AG$55,MATCH(FY2,'LT Collect Forecast'!$A:$A,0)+1,MATCH(GE$3,'LT Collect Forecast'!$AA$2:$AG$2,0))</f>
        <v>51.990323005742958</v>
      </c>
      <c r="GF7" s="398" cm="1">
        <f t="array" ref="GF7">INDEX('LT Collect Forecast'!$AA$1:$AG$55,MATCH(FY2,'LT Collect Forecast'!$A:$A,0)+1,MATCH(GF$3,'LT Collect Forecast'!$AA$2:$AG$2,0))</f>
        <v>0</v>
      </c>
      <c r="GG7" s="383"/>
      <c r="GH7" s="394">
        <f>INDEX('LT Collect Forecast'!$AA$1:$AG$55,MATCH(GG2,'LT Collect Forecast'!$A:$A,0),MATCH(GH$3,'LT Collect Forecast'!$AA$2:$AG$2,0))</f>
        <v>46.968830000977356</v>
      </c>
      <c r="GI7" s="395">
        <f>INDEX('LT Collect Forecast'!$AA$1:$AG$55,MATCH(GG2,'LT Collect Forecast'!$A:$A,0),MATCH(GI$3,'LT Collect Forecast'!$AA$2:$AG$2,0))</f>
        <v>45.546059506614817</v>
      </c>
      <c r="GJ7" s="395">
        <f>INDEX('LT Collect Forecast'!$AA$1:$AG$55,MATCH(GG2,'LT Collect Forecast'!$A:$A,0),MATCH(GJ$3,'LT Collect Forecast'!$AA$2:$AG$2,0))</f>
        <v>45.691574043389409</v>
      </c>
      <c r="GK7" s="397" cm="1">
        <f t="array" ref="GK7">INDEX('LT Collect Forecast'!$AA$1:$AG$55,MATCH(GG2,'LT Collect Forecast'!$A:$A,0)+1,MATCH(GK$3,'LT Collect Forecast'!$AA$2:$AG$2,0))</f>
        <v>46.177633595938651</v>
      </c>
      <c r="GL7" s="396" cm="1">
        <f t="array" ref="GL7">INDEX('LT Collect Forecast'!$AA$1:$AG$55,MATCH(GG2,'LT Collect Forecast'!$A:$A,0)+1,MATCH(GL$3,'LT Collect Forecast'!$AA$2:$AG$2,0))</f>
        <v>52.371393656822185</v>
      </c>
      <c r="GM7" s="397" cm="1">
        <f t="array" ref="GM7">INDEX('LT Collect Forecast'!$AA$1:$AG$55,MATCH(GG2,'LT Collect Forecast'!$A:$A,0)+1,MATCH(GM$3,'LT Collect Forecast'!$AA$2:$AG$2,0))</f>
        <v>52.525649673827587</v>
      </c>
      <c r="GN7" s="398" cm="1">
        <f t="array" ref="GN7">INDEX('LT Collect Forecast'!$AA$1:$AG$55,MATCH(GG2,'LT Collect Forecast'!$A:$A,0)+1,MATCH(GN$3,'LT Collect Forecast'!$AA$2:$AG$2,0))</f>
        <v>0</v>
      </c>
      <c r="GO7" s="383"/>
      <c r="GP7" s="394">
        <f>INDEX('LT Collect Forecast'!$AA$1:$AG$55,MATCH(GO2,'LT Collect Forecast'!$A:$A,0),MATCH(GP$3,'LT Collect Forecast'!$AA$2:$AG$2,0))</f>
        <v>48.102404544368646</v>
      </c>
      <c r="GQ7" s="395">
        <f>INDEX('LT Collect Forecast'!$AA$1:$AG$55,MATCH(GO2,'LT Collect Forecast'!$A:$A,0),MATCH(GQ$3,'LT Collect Forecast'!$AA$2:$AG$2,0))</f>
        <v>46.575615536126001</v>
      </c>
      <c r="GR7" s="395">
        <f>INDEX('LT Collect Forecast'!$AA$1:$AG$55,MATCH(GO2,'LT Collect Forecast'!$A:$A,0),MATCH(GR$3,'LT Collect Forecast'!$AA$2:$AG$2,0))</f>
        <v>45.522349069678981</v>
      </c>
      <c r="GS7" s="397" cm="1">
        <f t="array" ref="GS7">INDEX('LT Collect Forecast'!$AA$1:$AG$55,MATCH(GO2,'LT Collect Forecast'!$A:$A,0)+1,MATCH(GS$3,'LT Collect Forecast'!$AA$2:$AG$2,0))</f>
        <v>47.44768316544446</v>
      </c>
      <c r="GT7" s="396" cm="1">
        <f t="array" ref="GT7">INDEX('LT Collect Forecast'!$AA$1:$AG$55,MATCH(GO2,'LT Collect Forecast'!$A:$A,0)+1,MATCH(GT$3,'LT Collect Forecast'!$AA$2:$AG$2,0))</f>
        <v>50.713977679024147</v>
      </c>
      <c r="GU7" s="397" cm="1">
        <f t="array" ref="GU7">INDEX('LT Collect Forecast'!$AA$1:$AG$55,MATCH(GO2,'LT Collect Forecast'!$A:$A,0)+1,MATCH(GU$3,'LT Collect Forecast'!$AA$2:$AG$2,0))</f>
        <v>50.86335190141984</v>
      </c>
      <c r="GV7" s="398" cm="1">
        <f t="array" ref="GV7">INDEX('LT Collect Forecast'!$AA$1:$AG$55,MATCH(GO2,'LT Collect Forecast'!$A:$A,0)+1,MATCH(GV$3,'LT Collect Forecast'!$AA$2:$AG$2,0))</f>
        <v>0</v>
      </c>
      <c r="GW7" s="383"/>
      <c r="GX7" s="394">
        <f>INDEX('LT Collect Forecast'!$AA$1:$AG$55,MATCH(GW2,'LT Collect Forecast'!$A:$A,0),MATCH(GX$3,'LT Collect Forecast'!$AA$2:$AG$2,0))</f>
        <v>46.580090771610067</v>
      </c>
      <c r="GY7" s="395">
        <f>INDEX('LT Collect Forecast'!$AA$1:$AG$55,MATCH(GW2,'LT Collect Forecast'!$A:$A,0),MATCH(GY$3,'LT Collect Forecast'!$AA$2:$AG$2,0))</f>
        <v>45.101620593940645</v>
      </c>
      <c r="GZ7" s="395">
        <f>INDEX('LT Collect Forecast'!$AA$1:$AG$55,MATCH(GW2,'LT Collect Forecast'!$A:$A,0),MATCH(GZ$3,'LT Collect Forecast'!$AA$2:$AG$2,0))</f>
        <v>44.08168722307262</v>
      </c>
      <c r="HA7" s="397" cm="1">
        <f t="array" ref="HA7">INDEX('LT Collect Forecast'!$AA$1:$AG$55,MATCH(GW2,'LT Collect Forecast'!$A:$A,0)+1,MATCH(HA$3,'LT Collect Forecast'!$AA$2:$AG$2,0))</f>
        <v>45.310992465385787</v>
      </c>
      <c r="HB7" s="396" cm="1">
        <f t="array" ref="HB7">INDEX('LT Collect Forecast'!$AA$1:$AG$55,MATCH(GW2,'LT Collect Forecast'!$A:$A,0)+1,MATCH(HB$3,'LT Collect Forecast'!$AA$2:$AG$2,0))</f>
        <v>51.237509277053853</v>
      </c>
      <c r="HC7" s="397" cm="1">
        <f t="array" ref="HC7">INDEX('LT Collect Forecast'!$AA$1:$AG$55,MATCH(GW2,'LT Collect Forecast'!$A:$A,0)+1,MATCH(HC$3,'LT Collect Forecast'!$AA$2:$AG$2,0))</f>
        <v>51.449404487228136</v>
      </c>
      <c r="HD7" s="398" cm="1">
        <f t="array" ref="HD7">INDEX('LT Collect Forecast'!$AA$1:$AG$55,MATCH(GW2,'LT Collect Forecast'!$A:$A,0)+1,MATCH(HD$3,'LT Collect Forecast'!$AA$2:$AG$2,0))</f>
        <v>0</v>
      </c>
      <c r="HE7" s="383"/>
      <c r="HF7" s="394">
        <f>INDEX('LT Collect Forecast'!$AA$1:$AG$55,MATCH(HE2,'LT Collect Forecast'!$A:$A,0),MATCH(HF$3,'LT Collect Forecast'!$AA$2:$AG$2,0))</f>
        <v>47.825040804827289</v>
      </c>
      <c r="HG7" s="395">
        <f>INDEX('LT Collect Forecast'!$AA$1:$AG$55,MATCH(HE2,'LT Collect Forecast'!$A:$A,0),MATCH(HG$3,'LT Collect Forecast'!$AA$2:$AG$2,0))</f>
        <v>44.30043568609716</v>
      </c>
      <c r="HH7" s="395">
        <f>INDEX('LT Collect Forecast'!$AA$1:$AG$55,MATCH(HE2,'LT Collect Forecast'!$A:$A,0),MATCH(HH$3,'LT Collect Forecast'!$AA$2:$AG$2,0))</f>
        <v>42.816714267823592</v>
      </c>
      <c r="HI7" s="397" cm="1">
        <f t="array" ref="HI7">INDEX('LT Collect Forecast'!$AA$1:$AG$55,MATCH(HE2,'LT Collect Forecast'!$A:$A,0)+1,MATCH(HI$3,'LT Collect Forecast'!$AA$2:$AG$2,0))</f>
        <v>46.446197571962699</v>
      </c>
      <c r="HJ7" s="396" cm="1">
        <f t="array" ref="HJ7">INDEX('LT Collect Forecast'!$AA$1:$AG$55,MATCH(HE2,'LT Collect Forecast'!$A:$A,0)+1,MATCH(HJ$3,'LT Collect Forecast'!$AA$2:$AG$2,0))</f>
        <v>51.242339611905599</v>
      </c>
      <c r="HK7" s="397" cm="1">
        <f t="array" ref="HK7">INDEX('LT Collect Forecast'!$AA$1:$AG$55,MATCH(HE2,'LT Collect Forecast'!$A:$A,0)+1,MATCH(HK$3,'LT Collect Forecast'!$AA$2:$AG$2,0))</f>
        <v>50.882989140058037</v>
      </c>
      <c r="HL7" s="398" cm="1">
        <f t="array" ref="HL7">INDEX('LT Collect Forecast'!$AA$1:$AG$55,MATCH(HE2,'LT Collect Forecast'!$A:$A,0)+1,MATCH(HL$3,'LT Collect Forecast'!$AA$2:$AG$2,0))</f>
        <v>0</v>
      </c>
      <c r="HM7" s="383"/>
      <c r="HN7" s="394">
        <f>INDEX('LT Collect Forecast'!$AA$1:$AG$55,MATCH(HM2,'LT Collect Forecast'!$A:$A,0),MATCH(HN$3,'LT Collect Forecast'!$AA$2:$AG$2,0))</f>
        <v>46.301115023414333</v>
      </c>
      <c r="HO7" s="395">
        <f>INDEX('LT Collect Forecast'!$AA$1:$AG$55,MATCH(HM2,'LT Collect Forecast'!$A:$A,0),MATCH(HO$3,'LT Collect Forecast'!$AA$2:$AG$2,0))</f>
        <v>44.357838881316333</v>
      </c>
      <c r="HP7" s="395">
        <f>INDEX('LT Collect Forecast'!$AA$1:$AG$55,MATCH(HM2,'LT Collect Forecast'!$A:$A,0),MATCH(HP$3,'LT Collect Forecast'!$AA$2:$AG$2,0))</f>
        <v>43.158484303529335</v>
      </c>
      <c r="HQ7" s="397" cm="1">
        <f t="array" ref="HQ7">INDEX('LT Collect Forecast'!$AA$1:$AG$55,MATCH(HM2,'LT Collect Forecast'!$A:$A,0)+1,MATCH(HQ$3,'LT Collect Forecast'!$AA$2:$AG$2,0))</f>
        <v>44.907845696996233</v>
      </c>
      <c r="HR7" s="396" cm="1">
        <f t="array" ref="HR7">INDEX('LT Collect Forecast'!$AA$1:$AG$55,MATCH(HM2,'LT Collect Forecast'!$A:$A,0)+1,MATCH(HR$3,'LT Collect Forecast'!$AA$2:$AG$2,0))</f>
        <v>50.013079590584638</v>
      </c>
      <c r="HS7" s="397" cm="1">
        <f t="array" ref="HS7">INDEX('LT Collect Forecast'!$AA$1:$AG$55,MATCH(HM2,'LT Collect Forecast'!$A:$A,0)+1,MATCH(HS$3,'LT Collect Forecast'!$AA$2:$AG$2,0))</f>
        <v>49.658863675812583</v>
      </c>
      <c r="HT7" s="398" cm="1">
        <f t="array" ref="HT7">INDEX('LT Collect Forecast'!$AA$1:$AG$55,MATCH(HM2,'LT Collect Forecast'!$A:$A,0)+1,MATCH(HT$3,'LT Collect Forecast'!$AA$2:$AG$2,0))</f>
        <v>0</v>
      </c>
      <c r="HU7" s="383"/>
      <c r="HV7" s="394">
        <f>INDEX('LT Collect Forecast'!$AA$1:$AG$55,MATCH(HU2,'LT Collect Forecast'!$A:$A,0),MATCH(HV$3,'LT Collect Forecast'!$AA$2:$AG$2,0))</f>
        <v>45.694577795163966</v>
      </c>
      <c r="HW7" s="395">
        <f>INDEX('LT Collect Forecast'!$AA$1:$AG$55,MATCH(HU2,'LT Collect Forecast'!$A:$A,0),MATCH(HW$3,'LT Collect Forecast'!$AA$2:$AG$2,0))</f>
        <v>43.144007344419606</v>
      </c>
      <c r="HX7" s="395">
        <f>INDEX('LT Collect Forecast'!$AA$1:$AG$55,MATCH(HU2,'LT Collect Forecast'!$A:$A,0),MATCH(HX$3,'LT Collect Forecast'!$AA$2:$AG$2,0))</f>
        <v>42.192942715635802</v>
      </c>
      <c r="HY7" s="397" cm="1">
        <f t="array" ref="HY7">INDEX('LT Collect Forecast'!$AA$1:$AG$55,MATCH(HU2,'LT Collect Forecast'!$A:$A,0)+1,MATCH(HY$3,'LT Collect Forecast'!$AA$2:$AG$2,0))</f>
        <v>0</v>
      </c>
      <c r="HZ7" s="396" cm="1">
        <f t="array" ref="HZ7">INDEX('LT Collect Forecast'!$AA$1:$AG$55,MATCH(HU2,'LT Collect Forecast'!$A:$A,0)+1,MATCH(HZ$3,'LT Collect Forecast'!$AA$2:$AG$2,0))</f>
        <v>49.327323297789491</v>
      </c>
      <c r="IA7" s="397" cm="1">
        <f t="array" ref="IA7">INDEX('LT Collect Forecast'!$AA$1:$AG$55,MATCH(HU2,'LT Collect Forecast'!$A:$A,0)+1,MATCH(IA$3,'LT Collect Forecast'!$AA$2:$AG$2,0))</f>
        <v>49.11335273740243</v>
      </c>
      <c r="IB7" s="398" cm="1">
        <f t="array" ref="IB7">INDEX('LT Collect Forecast'!$AA$1:$AG$55,MATCH(HU2,'LT Collect Forecast'!$A:$A,0)+1,MATCH(IB$3,'LT Collect Forecast'!$AA$2:$AG$2,0))</f>
        <v>0</v>
      </c>
      <c r="IC7" s="383"/>
      <c r="ID7" s="394">
        <f>INDEX('LT Collect Forecast'!$AA$1:$AG$55,MATCH(IC2,'LT Collect Forecast'!$A:$A,0),MATCH(ID$3,'LT Collect Forecast'!$AA$2:$AG$2,0))</f>
        <v>46.073293794727803</v>
      </c>
      <c r="IE7" s="395">
        <f>INDEX('LT Collect Forecast'!$AA$1:$AG$55,MATCH(IC2,'LT Collect Forecast'!$A:$A,0),MATCH(IE$3,'LT Collect Forecast'!$AA$2:$AG$2,0))</f>
        <v>43.52310185254435</v>
      </c>
      <c r="IF7" s="395">
        <f>INDEX('LT Collect Forecast'!$AA$1:$AG$55,MATCH(IC2,'LT Collect Forecast'!$A:$A,0),MATCH(IF$3,'LT Collect Forecast'!$AA$2:$AG$2,0))</f>
        <v>42.835730829075956</v>
      </c>
      <c r="IG7" s="397" cm="1">
        <f t="array" ref="IG7">INDEX('LT Collect Forecast'!$AA$1:$AG$55,MATCH(IC2,'LT Collect Forecast'!$A:$A,0)+1,MATCH(IG$3,'LT Collect Forecast'!$AA$2:$AG$2,0))</f>
        <v>44.7619390114873</v>
      </c>
      <c r="IH7" s="396" cm="1">
        <f t="array" ref="IH7">INDEX('LT Collect Forecast'!$AA$1:$AG$55,MATCH(IC2,'LT Collect Forecast'!$A:$A,0)+1,MATCH(IH$3,'LT Collect Forecast'!$AA$2:$AG$2,0))</f>
        <v>48.436586179036183</v>
      </c>
      <c r="II7" s="397" cm="1">
        <f t="array" ref="II7">INDEX('LT Collect Forecast'!$AA$1:$AG$55,MATCH(IC2,'LT Collect Forecast'!$A:$A,0)+1,MATCH(II$3,'LT Collect Forecast'!$AA$2:$AG$2,0))</f>
        <v>47.990728904862479</v>
      </c>
      <c r="IJ7" s="398" cm="1">
        <f t="array" ref="IJ7">INDEX('LT Collect Forecast'!$AA$1:$AG$55,MATCH(IC2,'LT Collect Forecast'!$A:$A,0)+1,MATCH(IJ$3,'LT Collect Forecast'!$AA$2:$AG$2,0))</f>
        <v>0</v>
      </c>
      <c r="IK7" s="383"/>
      <c r="IL7" s="394">
        <f>INDEX('LT Collect Forecast'!$AA$1:$AG$55,MATCH(IK2,'LT Collect Forecast'!$A:$A,0),MATCH(IL$3,'LT Collect Forecast'!$AA$2:$AG$2,0))</f>
        <v>47.07014344184055</v>
      </c>
      <c r="IM7" s="395">
        <f>INDEX('LT Collect Forecast'!$AA$1:$AG$55,MATCH(IK2,'LT Collect Forecast'!$A:$A,0),MATCH(IM$3,'LT Collect Forecast'!$AA$2:$AG$2,0))</f>
        <v>44.119171069087365</v>
      </c>
      <c r="IN7" s="395">
        <f>INDEX('LT Collect Forecast'!$AA$1:$AG$55,MATCH(IK2,'LT Collect Forecast'!$A:$A,0),MATCH(IN$3,'LT Collect Forecast'!$AA$2:$AG$2,0))</f>
        <v>42.825251974106237</v>
      </c>
      <c r="IO7" s="397" cm="1">
        <f t="array" ref="IO7">INDEX('LT Collect Forecast'!$AA$1:$AG$55,MATCH(IK2,'LT Collect Forecast'!$A:$A,0)+1,MATCH(IO$3,'LT Collect Forecast'!$AA$2:$AG$2,0))</f>
        <v>42.715953572678814</v>
      </c>
      <c r="IP7" s="396" cm="1">
        <f t="array" ref="IP7">INDEX('LT Collect Forecast'!$AA$1:$AG$55,MATCH(IK2,'LT Collect Forecast'!$A:$A,0)+1,MATCH(IP$3,'LT Collect Forecast'!$AA$2:$AG$2,0))</f>
        <v>47.019329304869167</v>
      </c>
      <c r="IQ7" s="397" cm="1">
        <f t="array" ref="IQ7">INDEX('LT Collect Forecast'!$AA$1:$AG$55,MATCH(IK2,'LT Collect Forecast'!$A:$A,0)+1,MATCH(IQ$3,'LT Collect Forecast'!$AA$2:$AG$2,0))</f>
        <v>46.424968108265482</v>
      </c>
      <c r="IR7" s="398" cm="1">
        <f t="array" ref="IR7">INDEX('LT Collect Forecast'!$AA$1:$AG$55,MATCH(IK2,'LT Collect Forecast'!$A:$A,0)+1,MATCH(IR$3,'LT Collect Forecast'!$AA$2:$AG$2,0))</f>
        <v>0</v>
      </c>
      <c r="IS7" s="383"/>
      <c r="IT7" s="394">
        <f>INDEX('LT Collect Forecast'!$AA$1:$AG$55,MATCH(IS2,'LT Collect Forecast'!$A:$A,0),MATCH(IT$3,'LT Collect Forecast'!$AA$2:$AG$2,0))</f>
        <v>45.51536107094509</v>
      </c>
      <c r="IU7" s="395">
        <f>INDEX('LT Collect Forecast'!$AA$1:$AG$55,MATCH(IS2,'LT Collect Forecast'!$A:$A,0),MATCH(IU$3,'LT Collect Forecast'!$AA$2:$AG$2,0))</f>
        <v>42.487421138009921</v>
      </c>
      <c r="IV7" s="395">
        <f>INDEX('LT Collect Forecast'!$AA$1:$AG$55,MATCH(IS2,'LT Collect Forecast'!$A:$A,0),MATCH(IV$3,'LT Collect Forecast'!$AA$2:$AG$2,0))</f>
        <v>42.108473337933788</v>
      </c>
      <c r="IW7" s="397" cm="1">
        <f t="array" ref="IW7">INDEX('LT Collect Forecast'!$AA$1:$AG$55,MATCH(IS2,'LT Collect Forecast'!$A:$A,0)+1,MATCH(IW$3,'LT Collect Forecast'!$AA$2:$AG$2,0))</f>
        <v>41.513077117834108</v>
      </c>
      <c r="IX7" s="396" cm="1">
        <f t="array" ref="IX7">INDEX('LT Collect Forecast'!$AA$1:$AG$55,MATCH(IS2,'LT Collect Forecast'!$A:$A,0)+1,MATCH(IX$3,'LT Collect Forecast'!$AA$2:$AG$2,0))</f>
        <v>46.080230377995704</v>
      </c>
      <c r="IY7" s="397" cm="1">
        <f t="array" ref="IY7">INDEX('LT Collect Forecast'!$AA$1:$AG$55,MATCH(IS2,'LT Collect Forecast'!$A:$A,0)+1,MATCH(IY$3,'LT Collect Forecast'!$AA$2:$AG$2,0))</f>
        <v>46.359374383016949</v>
      </c>
      <c r="IZ7" s="398" cm="1">
        <f t="array" ref="IZ7">INDEX('LT Collect Forecast'!$AA$1:$AG$55,MATCH(IS2,'LT Collect Forecast'!$A:$A,0)+1,MATCH(IZ$3,'LT Collect Forecast'!$AA$2:$AG$2,0))</f>
        <v>0</v>
      </c>
      <c r="JA7" s="383"/>
      <c r="JB7" s="394">
        <f>INDEX('LT Collect Forecast'!$AA$1:$AG$55,MATCH(JA2,'LT Collect Forecast'!$A:$A,0),MATCH(JB$3,'LT Collect Forecast'!$AA$2:$AG$2,0))</f>
        <v>0</v>
      </c>
      <c r="JC7" s="395">
        <f>INDEX('LT Collect Forecast'!$AA$1:$AG$55,MATCH(JA2,'LT Collect Forecast'!$A:$A,0),MATCH(JC$3,'LT Collect Forecast'!$AA$2:$AG$2,0))</f>
        <v>42.18893386327801</v>
      </c>
      <c r="JD7" s="395">
        <f>INDEX('LT Collect Forecast'!$AA$1:$AG$55,MATCH(JA2,'LT Collect Forecast'!$A:$A,0),MATCH(JD$3,'LT Collect Forecast'!$AA$2:$AG$2,0))</f>
        <v>41.269604475623503</v>
      </c>
      <c r="JE7" s="397" cm="1">
        <f t="array" ref="JE7">INDEX('LT Collect Forecast'!$AA$1:$AG$55,MATCH(JA2,'LT Collect Forecast'!$A:$A,0)+1,MATCH(JE$3,'LT Collect Forecast'!$AA$2:$AG$2,0))</f>
        <v>41.615846988449839</v>
      </c>
      <c r="JF7" s="396" cm="1">
        <f t="array" ref="JF7">INDEX('LT Collect Forecast'!$AA$1:$AG$55,MATCH(JA2,'LT Collect Forecast'!$A:$A,0)+1,MATCH(JF$3,'LT Collect Forecast'!$AA$2:$AG$2,0))</f>
        <v>46.194306703883264</v>
      </c>
      <c r="JG7" s="397" cm="1">
        <f t="array" ref="JG7">INDEX('LT Collect Forecast'!$AA$1:$AG$55,MATCH(JA2,'LT Collect Forecast'!$A:$A,0)+1,MATCH(JG$3,'LT Collect Forecast'!$AA$2:$AG$2,0))</f>
        <v>46.474141758454927</v>
      </c>
      <c r="JH7" s="398" cm="1">
        <f t="array" ref="JH7">INDEX('LT Collect Forecast'!$AA$1:$AG$55,MATCH(JA2,'LT Collect Forecast'!$A:$A,0)+1,MATCH(JH$3,'LT Collect Forecast'!$AA$2:$AG$2,0))</f>
        <v>0</v>
      </c>
      <c r="JI7" s="383"/>
      <c r="JJ7" s="394">
        <f>INDEX('LT Collect Forecast'!$AA$1:$AG$55,MATCH(JI2,'LT Collect Forecast'!$A:$A,0),MATCH(JJ$3,'LT Collect Forecast'!$AA$2:$AG$2,0))</f>
        <v>45.144653258443938</v>
      </c>
      <c r="JK7" s="395">
        <f>INDEX('LT Collect Forecast'!$AA$1:$AG$55,MATCH(JI2,'LT Collect Forecast'!$A:$A,0),MATCH(JK$3,'LT Collect Forecast'!$AA$2:$AG$2,0))</f>
        <v>42.293376886430394</v>
      </c>
      <c r="JL7" s="395">
        <f>INDEX('LT Collect Forecast'!$AA$1:$AG$55,MATCH(JI2,'LT Collect Forecast'!$A:$A,0),MATCH(JL$3,'LT Collect Forecast'!$AA$2:$AG$2,0))</f>
        <v>41.371771604797836</v>
      </c>
      <c r="JM7" s="397" cm="1">
        <f t="array" ref="JM7">INDEX('LT Collect Forecast'!$AA$1:$AG$55,MATCH(JI2,'LT Collect Forecast'!$A:$A,0)+1,MATCH(JM$3,'LT Collect Forecast'!$AA$2:$AG$2,0))</f>
        <v>43.849245165510688</v>
      </c>
      <c r="JN7" s="396" cm="1">
        <f t="array" ref="JN7">INDEX('LT Collect Forecast'!$AA$1:$AG$55,MATCH(JI2,'LT Collect Forecast'!$A:$A,0)+1,MATCH(JN$3,'LT Collect Forecast'!$AA$2:$AG$2,0))</f>
        <v>50.404027259566632</v>
      </c>
      <c r="JO7" s="397" cm="1">
        <f t="array" ref="JO7">INDEX('LT Collect Forecast'!$AA$1:$AG$55,MATCH(JI2,'LT Collect Forecast'!$A:$A,0)+1,MATCH(JO$3,'LT Collect Forecast'!$AA$2:$AG$2,0))</f>
        <v>49.898258824181696</v>
      </c>
      <c r="JP7" s="398" cm="1">
        <f t="array" ref="JP7">INDEX('LT Collect Forecast'!$AA$1:$AG$55,MATCH(JI2,'LT Collect Forecast'!$A:$A,0)+1,MATCH(JP$3,'LT Collect Forecast'!$AA$2:$AG$2,0))</f>
        <v>0</v>
      </c>
      <c r="JQ7" s="383"/>
      <c r="JR7" s="394">
        <f>INDEX('LT Collect Forecast'!$AA$1:$AG$55,MATCH(JQ2,'LT Collect Forecast'!$A:$A,0),MATCH(JR$3,'LT Collect Forecast'!$AA$2:$AG$2,0))</f>
        <v>48.474993246704202</v>
      </c>
      <c r="JS7" s="395">
        <f>INDEX('LT Collect Forecast'!$AA$1:$AG$55,MATCH(JQ2,'LT Collect Forecast'!$A:$A,0),MATCH(JS$3,'LT Collect Forecast'!$AA$2:$AG$2,0))</f>
        <v>44.61182328580594</v>
      </c>
      <c r="JT7" s="395">
        <f>INDEX('LT Collect Forecast'!$AA$1:$AG$55,MATCH(JQ2,'LT Collect Forecast'!$A:$A,0),MATCH(JT$3,'LT Collect Forecast'!$AA$2:$AG$2,0))</f>
        <v>43.907376429388748</v>
      </c>
      <c r="JU7" s="397" cm="1">
        <f t="array" ref="JU7">INDEX('LT Collect Forecast'!$AA$1:$AG$55,MATCH(JQ2,'LT Collect Forecast'!$A:$A,0)+1,MATCH(JU$3,'LT Collect Forecast'!$AA$2:$AG$2,0))</f>
        <v>45.319213073743406</v>
      </c>
      <c r="JV7" s="396" cm="1">
        <f t="array" ref="JV7">INDEX('LT Collect Forecast'!$AA$1:$AG$55,MATCH(JQ2,'LT Collect Forecast'!$A:$A,0)+1,MATCH(JV$3,'LT Collect Forecast'!$AA$2:$AG$2,0))</f>
        <v>52.090323961205783</v>
      </c>
      <c r="JW7" s="397" cm="1">
        <f t="array" ref="JW7">INDEX('LT Collect Forecast'!$AA$1:$AG$55,MATCH(JQ2,'LT Collect Forecast'!$A:$A,0)+1,MATCH(JW$3,'LT Collect Forecast'!$AA$2:$AG$2,0))</f>
        <v>52.177561449133094</v>
      </c>
      <c r="JX7" s="398" cm="1">
        <f t="array" ref="JX7">INDEX('LT Collect Forecast'!$AA$1:$AG$55,MATCH(JQ2,'LT Collect Forecast'!$A:$A,0)+1,MATCH(JX$3,'LT Collect Forecast'!$AA$2:$AG$2,0))</f>
        <v>0</v>
      </c>
      <c r="JY7" s="383"/>
      <c r="JZ7" s="394">
        <f>INDEX('LT Collect Forecast'!$AA$1:$AG$55,MATCH(JY2,'LT Collect Forecast'!$A:$A,0),MATCH(JZ$3,'LT Collect Forecast'!$AA$2:$AG$2,0))</f>
        <v>51.220922874916837</v>
      </c>
      <c r="KA7" s="395">
        <f>INDEX('LT Collect Forecast'!$AA$1:$AG$55,MATCH(JY2,'LT Collect Forecast'!$A:$A,0),MATCH(KA$3,'LT Collect Forecast'!$AA$2:$AG$2,0))</f>
        <v>44.824313440474896</v>
      </c>
      <c r="KB7" s="395">
        <f>INDEX('LT Collect Forecast'!$AA$1:$AG$55,MATCH(JY2,'LT Collect Forecast'!$A:$A,0),MATCH(KB$3,'LT Collect Forecast'!$AA$2:$AG$2,0))</f>
        <v>45.171220975847596</v>
      </c>
      <c r="KC7" s="397" cm="1">
        <f t="array" ref="KC7">INDEX('LT Collect Forecast'!$AA$1:$AG$55,MATCH(JY2,'LT Collect Forecast'!$A:$A,0)+1,MATCH(KC$3,'LT Collect Forecast'!$AA$2:$AG$2,0))</f>
        <v>43.349411722876283</v>
      </c>
      <c r="KD7" s="396" cm="1">
        <f t="array" ref="KD7">INDEX('LT Collect Forecast'!$AA$1:$AG$55,MATCH(JY2,'LT Collect Forecast'!$A:$A,0)+1,MATCH(KD$3,'LT Collect Forecast'!$AA$2:$AG$2,0))</f>
        <v>50.702334205488057</v>
      </c>
      <c r="KE7" s="397" cm="1">
        <f t="array" ref="KE7">INDEX('LT Collect Forecast'!$AA$1:$AG$55,MATCH(JY2,'LT Collect Forecast'!$A:$A,0)+1,MATCH(KE$3,'LT Collect Forecast'!$AA$2:$AG$2,0))</f>
        <v>50.827329793489994</v>
      </c>
      <c r="KF7" s="398" cm="1">
        <f t="array" ref="KF7">INDEX('LT Collect Forecast'!$AA$1:$AG$55,MATCH(JY2,'LT Collect Forecast'!$A:$A,0)+1,MATCH(KF$3,'LT Collect Forecast'!$AA$2:$AG$2,0))</f>
        <v>0</v>
      </c>
      <c r="KG7" s="383"/>
      <c r="KH7" s="394">
        <f>INDEX('LT Collect Forecast'!$AA$1:$AG$55,MATCH(KG2,'LT Collect Forecast'!$A:$A,0),MATCH(KH$3,'LT Collect Forecast'!$AA$2:$AG$2,0))</f>
        <v>50.468576614269494</v>
      </c>
      <c r="KI7" s="395">
        <v>44</v>
      </c>
      <c r="KJ7" s="395">
        <f>INDEX('LT Collect Forecast'!$AA$1:$AG$55,MATCH(KG2,'LT Collect Forecast'!$A:$A,0),MATCH(KJ$3,'LT Collect Forecast'!$AA$2:$AG$2,0))</f>
        <v>44.903279810756096</v>
      </c>
      <c r="KK7" s="397">
        <v>44</v>
      </c>
      <c r="KL7" s="396" cm="1">
        <f t="array" ref="KL7">INDEX('LT Collect Forecast'!$AA$1:$AG$55,MATCH(KG2,'LT Collect Forecast'!$A:$A,0)+1,MATCH(KL$3,'LT Collect Forecast'!$AA$2:$AG$2,0))</f>
        <v>51.228737112652702</v>
      </c>
      <c r="KM7" s="397" cm="1">
        <f t="array" ref="KM7">INDEX('LT Collect Forecast'!$AA$1:$AG$55,MATCH(KG2,'LT Collect Forecast'!$A:$A,0)+1,MATCH(KM$3,'LT Collect Forecast'!$AA$2:$AG$2,0))</f>
        <v>50.413999999999994</v>
      </c>
      <c r="KN7" s="398" cm="1">
        <f t="array" ref="KN7">INDEX('LT Collect Forecast'!$AA$1:$AG$55,MATCH(KG2,'LT Collect Forecast'!$A:$A,0)+1,MATCH(KN$3,'LT Collect Forecast'!$AA$2:$AG$2,0))</f>
        <v>0</v>
      </c>
      <c r="KO7" s="383"/>
      <c r="KP7" s="394">
        <f>INDEX('LT Collect Forecast'!$AA$1:$AG$55,MATCH(KO2,'LT Collect Forecast'!$A:$A,0),MATCH(KP$3,'LT Collect Forecast'!$AA$2:$AG$2,0))</f>
        <v>46.814432989690722</v>
      </c>
      <c r="KQ7" s="395">
        <f>INDEX('LT Collect Forecast'!$AA$1:$AG$55,MATCH(KO2,'LT Collect Forecast'!$A:$A,0),MATCH(KQ$3,'LT Collect Forecast'!$AA$2:$AG$2,0))</f>
        <v>39.4</v>
      </c>
      <c r="KR7" s="395">
        <f>INDEX('LT Collect Forecast'!$AA$1:$AG$55,MATCH(KO2,'LT Collect Forecast'!$A:$A,0),MATCH(KR$3,'LT Collect Forecast'!$AA$2:$AG$2,0))</f>
        <v>40.1</v>
      </c>
      <c r="KS7" s="397" cm="1">
        <f t="array" ref="KS7">INDEX('LT Collect Forecast'!$AA$1:$AG$55,MATCH(KO2,'LT Collect Forecast'!$A:$A,0)+1,MATCH(KS$3,'LT Collect Forecast'!$AA$2:$AG$2,0))</f>
        <v>43.450322526418688</v>
      </c>
      <c r="KT7" s="396" cm="1">
        <f t="array" ref="KT7">INDEX('LT Collect Forecast'!$AA$1:$AG$55,MATCH(KO2,'LT Collect Forecast'!$A:$A,0)+1,MATCH(KT$3,'LT Collect Forecast'!$AA$2:$AG$2,0))</f>
        <v>51.928930730548288</v>
      </c>
      <c r="KU7" s="397" cm="1">
        <f t="array" ref="KU7">INDEX('LT Collect Forecast'!$AA$1:$AG$55,MATCH(KO2,'LT Collect Forecast'!$A:$A,0)+1,MATCH(KU$3,'LT Collect Forecast'!$AA$2:$AG$2,0))</f>
        <v>51.907341179703934</v>
      </c>
      <c r="KV7" s="398" cm="1">
        <f t="array" ref="KV7">INDEX('LT Collect Forecast'!$AA$1:$AG$55,MATCH(KO2,'LT Collect Forecast'!$A:$A,0)+1,MATCH(KV$3,'LT Collect Forecast'!$AA$2:$AG$2,0))</f>
        <v>0</v>
      </c>
      <c r="KW7" s="383"/>
      <c r="KX7" s="394">
        <f>INDEX('LT Collect Forecast'!$AA$1:$AG$55,MATCH(KW2,'LT Collect Forecast'!$A:$A,0),MATCH(KX$3,'LT Collect Forecast'!$AA$2:$AG$2,0))</f>
        <v>48.906415180855291</v>
      </c>
      <c r="KY7" s="395">
        <f>INDEX('LT Collect Forecast'!$AA$1:$AG$55,MATCH(KW2,'LT Collect Forecast'!$A:$A,0),MATCH(KY$3,'LT Collect Forecast'!$AA$2:$AG$2,0))</f>
        <v>43.599032038943051</v>
      </c>
      <c r="KZ7" s="395">
        <f>INDEX('LT Collect Forecast'!$AA$1:$AG$55,MATCH(KW2,'LT Collect Forecast'!$A:$A,0),MATCH(KZ$3,'LT Collect Forecast'!$AA$2:$AG$2,0))</f>
        <v>41.522412441421395</v>
      </c>
      <c r="LA7" s="397" cm="1">
        <f t="array" ref="LA7">INDEX('LT Collect Forecast'!$AA$1:$AG$55,MATCH(KW2,'LT Collect Forecast'!$A:$A,0)+1,MATCH(LA$3,'LT Collect Forecast'!$AA$2:$AG$2,0))</f>
        <v>43.928866968859573</v>
      </c>
      <c r="LB7" s="396" cm="1">
        <f t="array" ref="LB7">INDEX('LT Collect Forecast'!$AA$1:$AG$55,MATCH(KW2,'LT Collect Forecast'!$A:$A,0)+1,MATCH(LB$3,'LT Collect Forecast'!$AA$2:$AG$2,0))</f>
        <v>48.735159116864565</v>
      </c>
      <c r="LC7" s="397" cm="1">
        <f t="array" ref="LC7">INDEX('LT Collect Forecast'!$AA$1:$AG$55,MATCH(KW2,'LT Collect Forecast'!$A:$A,0)+1,MATCH(LC$3,'LT Collect Forecast'!$AA$2:$AG$2,0))</f>
        <v>47.333394610470691</v>
      </c>
      <c r="LD7" s="398" cm="1">
        <f t="array" ref="LD7">INDEX('LT Collect Forecast'!$AA$1:$AG$55,MATCH(KW2,'LT Collect Forecast'!$A:$A,0)+1,MATCH(LD$3,'LT Collect Forecast'!$AA$2:$AG$2,0))</f>
        <v>0</v>
      </c>
      <c r="LE7" s="383"/>
      <c r="LF7" s="394">
        <f>INDEX('LT Collect Forecast'!$AA$1:$AG$55,MATCH(LE2,'LT Collect Forecast'!$A:$A,0),MATCH(LF$3,'LT Collect Forecast'!$AA$2:$AG$2,0))</f>
        <v>44.673177326333089</v>
      </c>
      <c r="LG7" s="395">
        <f>INDEX('LT Collect Forecast'!$AA$1:$AG$55,MATCH(LE2,'LT Collect Forecast'!$A:$A,0),MATCH(LG$3,'LT Collect Forecast'!$AA$2:$AG$2,0))</f>
        <v>39.249937232813259</v>
      </c>
      <c r="LH7" s="395">
        <f>INDEX('LT Collect Forecast'!$AA$1:$AG$55,MATCH(LE2,'LT Collect Forecast'!$A:$A,0),MATCH(LH$3,'LT Collect Forecast'!$AA$2:$AG$2,0))</f>
        <v>37.884995323506921</v>
      </c>
      <c r="LI7" s="397" cm="1">
        <f t="array" ref="LI7">INDEX('LT Collect Forecast'!$AA$1:$AG$55,MATCH(LE2,'LT Collect Forecast'!$A:$A,0)+1,MATCH(LI$3,'LT Collect Forecast'!$AA$2:$AG$2,0))</f>
        <v>40.693676263215501</v>
      </c>
      <c r="LJ7" s="396" cm="1">
        <f t="array" ref="LJ7">INDEX('LT Collect Forecast'!$AA$1:$AG$55,MATCH(LE2,'LT Collect Forecast'!$A:$A,0)+1,MATCH(LJ$3,'LT Collect Forecast'!$AA$2:$AG$2,0))</f>
        <v>51.592636472309863</v>
      </c>
      <c r="LK7" s="397" cm="1">
        <f t="array" ref="LK7">INDEX('LT Collect Forecast'!$AA$1:$AG$55,MATCH(LE2,'LT Collect Forecast'!$A:$A,0)+1,MATCH(LK$3,'LT Collect Forecast'!$AA$2:$AG$2,0))</f>
        <v>50.678639147456515</v>
      </c>
      <c r="LL7" s="398" cm="1">
        <f t="array" ref="LL7">INDEX('LT Collect Forecast'!$AA$1:$AG$55,MATCH(LE2,'LT Collect Forecast'!$A:$A,0)+1,MATCH(LL$3,'LT Collect Forecast'!$AA$2:$AG$2,0))</f>
        <v>0</v>
      </c>
      <c r="LM7" s="383"/>
      <c r="LN7" s="394">
        <f>INDEX('LT Collect Forecast'!$AA$1:$AG$55,MATCH(LM2,'LT Collect Forecast'!$A:$A,0),MATCH(LN$3,'LT Collect Forecast'!$AA$2:$AG$2,0))</f>
        <v>48.110059587769335</v>
      </c>
      <c r="LO7" s="395">
        <f>INDEX('LT Collect Forecast'!$AA$1:$AG$55,MATCH(LM2,'LT Collect Forecast'!$A:$A,0),MATCH(LO$3,'LT Collect Forecast'!$AA$2:$AG$2,0))</f>
        <v>41.389452378513631</v>
      </c>
      <c r="LP7" s="395">
        <f>INDEX('LT Collect Forecast'!$AA$1:$AG$55,MATCH(LM2,'LT Collect Forecast'!$A:$A,0),MATCH(LP$3,'LT Collect Forecast'!$AA$2:$AG$2,0))</f>
        <v>39.946705574553164</v>
      </c>
      <c r="LQ7" s="397" cm="1">
        <f t="array" ref="LQ7">INDEX('LT Collect Forecast'!$AA$1:$AG$55,MATCH(LM2,'LT Collect Forecast'!$A:$A,0)+1,MATCH(LQ$3,'LT Collect Forecast'!$AA$2:$AG$2,0))</f>
        <v>44.782867462521828</v>
      </c>
      <c r="LR7" s="396" cm="1">
        <f t="array" ref="LR7">INDEX('LT Collect Forecast'!$AA$1:$AG$55,MATCH(LM2,'LT Collect Forecast'!$A:$A,0)+1,MATCH(LR$3,'LT Collect Forecast'!$AA$2:$AG$2,0))</f>
        <v>51.616666551731477</v>
      </c>
      <c r="LS7" s="397" cm="1">
        <f t="array" ref="LS7">INDEX('LT Collect Forecast'!$AA$1:$AG$55,MATCH(LM2,'LT Collect Forecast'!$A:$A,0)+1,MATCH(LS$3,'LT Collect Forecast'!$AA$2:$AG$2,0))</f>
        <v>51.256330005904942</v>
      </c>
      <c r="LT7" s="398" cm="1">
        <f t="array" ref="LT7">INDEX('LT Collect Forecast'!$AA$1:$AG$55,MATCH(LM2,'LT Collect Forecast'!$A:$A,0)+1,MATCH(LT$3,'LT Collect Forecast'!$AA$2:$AG$2,0))</f>
        <v>0</v>
      </c>
      <c r="LU7" s="383"/>
      <c r="LV7" s="394">
        <f>INDEX('LT Collect Forecast'!$AA$1:$AG$55,MATCH(LU2,'LT Collect Forecast'!$A:$A,0),MATCH(LV$3,'LT Collect Forecast'!$AA$2:$AG$2,0))</f>
        <v>48.665359724130212</v>
      </c>
      <c r="LW7" s="395">
        <f>INDEX('LT Collect Forecast'!$AA$1:$AG$55,MATCH(LU2,'LT Collect Forecast'!$A:$A,0),MATCH(LW$3,'LT Collect Forecast'!$AA$2:$AG$2,0))</f>
        <v>42.644030436027933</v>
      </c>
      <c r="LX7" s="395">
        <f>INDEX('LT Collect Forecast'!$AA$1:$AG$55,MATCH(LU2,'LT Collect Forecast'!$A:$A,0),MATCH(LX$3,'LT Collect Forecast'!$AA$2:$AG$2,0))</f>
        <v>43.375738453558739</v>
      </c>
      <c r="LY7" s="397" cm="1">
        <f t="array" ref="LY7">INDEX('LT Collect Forecast'!$AA$1:$AG$55,MATCH(LU2,'LT Collect Forecast'!$A:$A,0)+1,MATCH(LY$3,'LT Collect Forecast'!$AA$2:$AG$2,0))</f>
        <v>44.377521222287918</v>
      </c>
      <c r="LZ7" s="396" cm="1">
        <f t="array" ref="LZ7">INDEX('LT Collect Forecast'!$AA$1:$AG$55,MATCH(LU2,'LT Collect Forecast'!$A:$A,0)+1,MATCH(LZ$3,'LT Collect Forecast'!$AA$2:$AG$2,0))</f>
        <v>49.422358267272315</v>
      </c>
      <c r="MA7" s="397" cm="1">
        <f t="array" ref="MA7">INDEX('LT Collect Forecast'!$AA$1:$AG$55,MATCH(LU2,'LT Collect Forecast'!$A:$A,0)+1,MATCH(MA$3,'LT Collect Forecast'!$AA$2:$AG$2,0))</f>
        <v>49.077340212943263</v>
      </c>
      <c r="MB7" s="398" cm="1">
        <f t="array" ref="MB7">INDEX('LT Collect Forecast'!$AA$1:$AG$55,MATCH(LU2,'LT Collect Forecast'!$A:$A,0)+1,MATCH(MB$3,'LT Collect Forecast'!$AA$2:$AG$2,0))</f>
        <v>0</v>
      </c>
      <c r="MC7" s="383"/>
      <c r="MD7" s="394">
        <f>INDEX('LT Collect Forecast'!$AA$1:$AG$55,MATCH(MC2,'LT Collect Forecast'!$A:$A,0),MATCH(MD$3,'LT Collect Forecast'!$AA$2:$AG$2,0))</f>
        <v>46.538583432407052</v>
      </c>
      <c r="ME7" s="395">
        <f>INDEX('LT Collect Forecast'!$AA$1:$AG$55,MATCH(MC2,'LT Collect Forecast'!$A:$A,0),MATCH(ME$3,'LT Collect Forecast'!$AA$2:$AG$2,0))</f>
        <v>40.909487575644114</v>
      </c>
      <c r="MF7" s="395">
        <f>INDEX('LT Collect Forecast'!$AA$1:$AG$55,MATCH(MC2,'LT Collect Forecast'!$A:$A,0),MATCH(MF$3,'LT Collect Forecast'!$AA$2:$AG$2,0))</f>
        <v>41.531765400053118</v>
      </c>
      <c r="MG7" s="397" cm="1">
        <f t="array" ref="MG7">INDEX('LT Collect Forecast'!$AA$1:$AG$55,MATCH(MC2,'LT Collect Forecast'!$A:$A,0)+1,MATCH(MG$3,'LT Collect Forecast'!$AA$2:$AG$2,0))</f>
        <v>43.631967861485002</v>
      </c>
      <c r="MH7" s="396" cm="1">
        <f t="array" ref="MH7">INDEX('LT Collect Forecast'!$AA$1:$AG$55,MATCH(MC2,'LT Collect Forecast'!$A:$A,0)+1,MATCH(MH$3,'LT Collect Forecast'!$AA$2:$AG$2,0))</f>
        <v>52.284124568198159</v>
      </c>
      <c r="MI7" s="397" cm="1">
        <f t="array" ref="MI7">INDEX('LT Collect Forecast'!$AA$1:$AG$55,MATCH(MC2,'LT Collect Forecast'!$A:$A,0)+1,MATCH(MI$3,'LT Collect Forecast'!$AA$2:$AG$2,0))</f>
        <v>50.903590649888258</v>
      </c>
      <c r="MJ7" s="398" cm="1">
        <f t="array" ref="MJ7">INDEX('LT Collect Forecast'!$AA$1:$AG$55,MATCH(MC2,'LT Collect Forecast'!$A:$A,0)+1,MATCH(MJ$3,'LT Collect Forecast'!$AA$2:$AG$2,0))</f>
        <v>0</v>
      </c>
      <c r="MK7" s="383"/>
      <c r="ML7" s="394">
        <f>INDEX('LT Collect Forecast'!$AA$1:$AG$55,MATCH(MK2,'LT Collect Forecast'!$A:$A,0),MATCH(ML$3,'LT Collect Forecast'!$AA$2:$AG$2,0))</f>
        <v>47.137825862313619</v>
      </c>
      <c r="MM7" s="395">
        <f>INDEX('LT Collect Forecast'!$AA$1:$AG$55,MATCH(MK2,'LT Collect Forecast'!$A:$A,0),MATCH(MM$3,'LT Collect Forecast'!$AA$2:$AG$2,0))</f>
        <v>0</v>
      </c>
      <c r="MN7" s="395">
        <f>INDEX('LT Collect Forecast'!$AA$1:$AG$55,MATCH(MK2,'LT Collect Forecast'!$A:$A,0),MATCH(MN$3,'LT Collect Forecast'!$AA$2:$AG$2,0))</f>
        <v>42.720562683239464</v>
      </c>
      <c r="MO7" s="397" cm="1">
        <f t="array" ref="MO7">INDEX('LT Collect Forecast'!$AA$1:$AG$55,MATCH(MK2,'LT Collect Forecast'!$A:$A,0)+1,MATCH(MO$3,'LT Collect Forecast'!$AA$2:$AG$2,0))</f>
        <v>45.192516549830685</v>
      </c>
      <c r="MP7" s="396" cm="1">
        <f t="array" ref="MP7">INDEX('LT Collect Forecast'!$AA$1:$AG$55,MATCH(MK2,'LT Collect Forecast'!$A:$A,0)+1,MATCH(MP$3,'LT Collect Forecast'!$AA$2:$AG$2,0))</f>
        <v>54.31132923824569</v>
      </c>
      <c r="MQ7" s="397" cm="1">
        <f t="array" ref="MQ7">INDEX('LT Collect Forecast'!$AA$1:$AG$55,MATCH(MK2,'LT Collect Forecast'!$A:$A,0)+1,MATCH(MQ$3,'LT Collect Forecast'!$AA$2:$AG$2,0))</f>
        <v>52.877268081419899</v>
      </c>
      <c r="MR7" s="398" cm="1">
        <f t="array" ref="MR7">INDEX('LT Collect Forecast'!$AA$1:$AG$55,MATCH(MK2,'LT Collect Forecast'!$A:$A,0)+1,MATCH(MR$3,'LT Collect Forecast'!$AA$2:$AG$2,0))</f>
        <v>0</v>
      </c>
      <c r="MS7" s="383"/>
      <c r="MT7" s="394">
        <f>INDEX('LT Collect Forecast'!$AA$1:$AG$55,MATCH(MS2,'LT Collect Forecast'!$A:$A,0),MATCH(MT$3,'LT Collect Forecast'!$AA$2:$AG$2,0))</f>
        <v>48.965493849741158</v>
      </c>
      <c r="MU7" s="395">
        <f>INDEX('LT Collect Forecast'!$AA$1:$AG$55,MATCH(MS2,'LT Collect Forecast'!$A:$A,0),MATCH(MU$3,'LT Collect Forecast'!$AA$2:$AG$2,0))</f>
        <v>43.114570377617241</v>
      </c>
      <c r="MV7" s="395">
        <f>INDEX('LT Collect Forecast'!$AA$1:$AG$55,MATCH(MS2,'LT Collect Forecast'!$A:$A,0),MATCH(MV$3,'LT Collect Forecast'!$AA$2:$AG$2,0))</f>
        <v>44.376960775275187</v>
      </c>
      <c r="MW7" s="397" cm="1">
        <f t="array" ref="MW7">INDEX('LT Collect Forecast'!$AA$1:$AG$55,MATCH(MS2,'LT Collect Forecast'!$A:$A,0)+1,MATCH(MW$3,'LT Collect Forecast'!$AA$2:$AG$2,0))</f>
        <v>46.944759345471603</v>
      </c>
      <c r="MX7" s="396" cm="1">
        <f t="array" ref="MX7">INDEX('LT Collect Forecast'!$AA$1:$AG$55,MATCH(MS2,'LT Collect Forecast'!$A:$A,0)+1,MATCH(MX$3,'LT Collect Forecast'!$AA$2:$AG$2,0))</f>
        <v>0</v>
      </c>
      <c r="MY7" s="397" cm="1">
        <f t="array" ref="MY7">INDEX('LT Collect Forecast'!$AA$1:$AG$55,MATCH(MS2,'LT Collect Forecast'!$A:$A,0)+1,MATCH(MY$3,'LT Collect Forecast'!$AA$2:$AG$2,0))</f>
        <v>52.075541399117448</v>
      </c>
      <c r="MZ7" s="398" cm="1">
        <f t="array" ref="MZ7">INDEX('LT Collect Forecast'!$AA$1:$AG$55,MATCH(MS2,'LT Collect Forecast'!$A:$A,0)+1,MATCH(MZ$3,'LT Collect Forecast'!$AA$2:$AG$2,0))</f>
        <v>0</v>
      </c>
      <c r="NA7" s="383"/>
      <c r="NB7" s="394">
        <f>INDEX('LT Collect Forecast'!$AA$1:$AG$55,MATCH(NA2,'LT Collect Forecast'!$A:$A,0),MATCH(NB$3,'LT Collect Forecast'!$AA$2:$AG$2,0))</f>
        <v>48.798119696549577</v>
      </c>
      <c r="NC7" s="395">
        <f>INDEX('LT Collect Forecast'!$AA$1:$AG$55,MATCH(NA2,'LT Collect Forecast'!$A:$A,0),MATCH(NC$3,'LT Collect Forecast'!$AA$2:$AG$2,0))</f>
        <v>47.999071592183206</v>
      </c>
      <c r="ND7" s="395">
        <f>INDEX('LT Collect Forecast'!$AA$1:$AG$55,MATCH(NA2,'LT Collect Forecast'!$A:$A,0),MATCH(ND$3,'LT Collect Forecast'!$AA$2:$AG$2,0))</f>
        <v>47.024592825537276</v>
      </c>
      <c r="NE7" s="397" cm="1">
        <f t="array" ref="NE7">INDEX('LT Collect Forecast'!$AA$1:$AG$55,MATCH(NA2,'LT Collect Forecast'!$A:$A,0)+1,MATCH(NE$3,'LT Collect Forecast'!$AA$2:$AG$2,0))</f>
        <v>45.779065237513166</v>
      </c>
      <c r="NF7" s="396" cm="1">
        <f t="array" ref="NF7">INDEX('LT Collect Forecast'!$AA$1:$AG$55,MATCH(NA2,'LT Collect Forecast'!$A:$A,0)+1,MATCH(NF$3,'LT Collect Forecast'!$AA$2:$AG$2,0))</f>
        <v>51.666815650041386</v>
      </c>
      <c r="NG7" s="397" cm="1">
        <f t="array" ref="NG7">INDEX('LT Collect Forecast'!$AA$1:$AG$55,MATCH(NA2,'LT Collect Forecast'!$A:$A,0)+1,MATCH(NG$3,'LT Collect Forecast'!$AA$2:$AG$2,0))</f>
        <v>51.69714438658459</v>
      </c>
      <c r="NH7" s="398" cm="1">
        <f t="array" ref="NH7">INDEX('LT Collect Forecast'!$AA$1:$AG$55,MATCH(NA2,'LT Collect Forecast'!$A:$A,0)+1,MATCH(NH$3,'LT Collect Forecast'!$AA$2:$AG$2,0))</f>
        <v>0</v>
      </c>
      <c r="NI7" s="383"/>
      <c r="NJ7" s="394">
        <f>INDEX('LT Collect Forecast'!$AA$1:$AG$55,MATCH(NI2,'LT Collect Forecast'!$A:$A,0),MATCH(NJ$3,'LT Collect Forecast'!$AA$2:$AG$2,0))</f>
        <v>49.047557796087879</v>
      </c>
      <c r="NK7" s="395">
        <f>INDEX('LT Collect Forecast'!$AA$1:$AG$55,MATCH(NI2,'LT Collect Forecast'!$A:$A,0),MATCH(NK$3,'LT Collect Forecast'!$AA$2:$AG$2,0))</f>
        <v>49.472312182461366</v>
      </c>
      <c r="NL7" s="395">
        <f>INDEX('LT Collect Forecast'!$AA$1:$AG$55,MATCH(NI2,'LT Collect Forecast'!$A:$A,0),MATCH(NL$3,'LT Collect Forecast'!$AA$2:$AG$2,0))</f>
        <v>49.960585388135613</v>
      </c>
      <c r="NM7" s="397" cm="1">
        <f t="array" ref="NM7">INDEX('LT Collect Forecast'!$AA$1:$AG$55,MATCH(NI2,'LT Collect Forecast'!$A:$A,0)+1,MATCH(NM$3,'LT Collect Forecast'!$AA$2:$AG$2,0))</f>
        <v>50.627842014407008</v>
      </c>
      <c r="NN7" s="396" cm="1">
        <f t="array" ref="NN7">INDEX('LT Collect Forecast'!$AA$1:$AG$55,MATCH(NI2,'LT Collect Forecast'!$A:$A,0)+1,MATCH(NN$3,'LT Collect Forecast'!$AA$2:$AG$2,0))</f>
        <v>53.14068187559171</v>
      </c>
      <c r="NO7" s="397" cm="1">
        <f t="array" ref="NO7">INDEX('LT Collect Forecast'!$AA$1:$AG$55,MATCH(NI2,'LT Collect Forecast'!$A:$A,0)+1,MATCH(NO$3,'LT Collect Forecast'!$AA$2:$AG$2,0))</f>
        <v>53.171875780616709</v>
      </c>
      <c r="NP7" s="398" cm="1">
        <f t="array" ref="NP7">INDEX('LT Collect Forecast'!$AA$1:$AG$55,MATCH(NI2,'LT Collect Forecast'!$A:$A,0)+1,MATCH(NP$3,'LT Collect Forecast'!$AA$2:$AG$2,0))</f>
        <v>0</v>
      </c>
      <c r="NQ7" s="383"/>
      <c r="NR7" s="394">
        <f>INDEX('LT Collect Forecast'!$AA$1:$AG$55,MATCH(NQ2,'LT Collect Forecast'!$A:$A,0),MATCH(NR$3,'LT Collect Forecast'!$AA$2:$AG$2,0))</f>
        <v>48.785462492122043</v>
      </c>
      <c r="NS7" s="395">
        <f>INDEX('LT Collect Forecast'!$AA$1:$AG$55,MATCH(NQ2,'LT Collect Forecast'!$A:$A,0),MATCH(NS$3,'LT Collect Forecast'!$AA$2:$AG$2,0))</f>
        <v>56.155002306905345</v>
      </c>
      <c r="NT7" s="395">
        <f>INDEX('LT Collect Forecast'!$AA$1:$AG$55,MATCH(NQ2,'LT Collect Forecast'!$A:$A,0),MATCH(NT$3,'LT Collect Forecast'!$AA$2:$AG$2,0))</f>
        <v>50.147977395439199</v>
      </c>
      <c r="NU7" s="397" cm="1">
        <f t="array" ref="NU7">INDEX('LT Collect Forecast'!$AA$1:$AG$55,MATCH(NQ2,'LT Collect Forecast'!$A:$A,0)+1,MATCH(NU$3,'LT Collect Forecast'!$AA$2:$AG$2,0))</f>
        <v>50.627842014407001</v>
      </c>
      <c r="NV7" s="396" cm="1">
        <f t="array" ref="NV7">INDEX('LT Collect Forecast'!$AA$1:$AG$55,MATCH(NQ2,'LT Collect Forecast'!$A:$A,0)+1,MATCH(NV$3,'LT Collect Forecast'!$AA$2:$AG$2,0))</f>
        <v>51.520878428968132</v>
      </c>
      <c r="NW7" s="397" cm="1">
        <f t="array" ref="NW7">INDEX('LT Collect Forecast'!$AA$1:$AG$55,MATCH(NQ2,'LT Collect Forecast'!$A:$A,0)+1,MATCH(NW$3,'LT Collect Forecast'!$AA$2:$AG$2,0))</f>
        <v>51.572017983800016</v>
      </c>
      <c r="NX7" s="398" cm="1">
        <f t="array" ref="NX7">INDEX('LT Collect Forecast'!$AA$1:$AG$55,MATCH(NQ2,'LT Collect Forecast'!$A:$A,0)+1,MATCH(NX$3,'LT Collect Forecast'!$AA$2:$AG$2,0))</f>
        <v>0</v>
      </c>
      <c r="NY7" s="383"/>
      <c r="NZ7" s="394">
        <f>INDEX('LT Collect Forecast'!$AA$1:$AG$55,MATCH(NY2,'LT Collect Forecast'!$A:$A,0),MATCH(NZ$3,'LT Collect Forecast'!$AA$2:$AG$2,0))</f>
        <v>48.496803230514942</v>
      </c>
      <c r="OA7" s="395">
        <f>INDEX('LT Collect Forecast'!$AA$1:$AG$55,MATCH(NY2,'LT Collect Forecast'!$A:$A,0),MATCH(OA$3,'LT Collect Forecast'!$AA$2:$AG$2,0))</f>
        <v>43.422563254430216</v>
      </c>
      <c r="OB7" s="395">
        <f>INDEX('LT Collect Forecast'!$AA$1:$AG$55,MATCH(NY2,'LT Collect Forecast'!$A:$A,0),MATCH(OB$3,'LT Collect Forecast'!$AA$2:$AG$2,0))</f>
        <v>44.053031208971916</v>
      </c>
      <c r="OC7" s="397" cm="1">
        <f t="array" ref="OC7">INDEX('LT Collect Forecast'!$AA$1:$AG$55,MATCH(NY2,'LT Collect Forecast'!$A:$A,0)+1,MATCH(OC$3,'LT Collect Forecast'!$AA$2:$AG$2,0))</f>
        <v>41.340876081131235</v>
      </c>
      <c r="OD7" s="396" cm="1">
        <f t="array" ref="OD7">INDEX('LT Collect Forecast'!$AA$1:$AG$55,MATCH(NY2,'LT Collect Forecast'!$A:$A,0)+1,MATCH(OD$3,'LT Collect Forecast'!$AA$2:$AG$2,0))</f>
        <v>47.857228818962689</v>
      </c>
      <c r="OE7" s="397" cm="1">
        <f t="array" ref="OE7">INDEX('LT Collect Forecast'!$AA$1:$AG$55,MATCH(NY2,'LT Collect Forecast'!$A:$A,0)+1,MATCH(OE$3,'LT Collect Forecast'!$AA$2:$AG$2,0))</f>
        <v>47.833988429279927</v>
      </c>
      <c r="OF7" s="398" cm="1">
        <f t="array" ref="OF7">INDEX('LT Collect Forecast'!$AA$1:$AG$55,MATCH(NY2,'LT Collect Forecast'!$A:$A,0)+1,MATCH(OF$3,'LT Collect Forecast'!$AA$2:$AG$2,0))</f>
        <v>0</v>
      </c>
      <c r="OG7" s="383"/>
      <c r="OH7" s="394">
        <f>INDEX('LT Collect Forecast'!$AA$1:$AG$55,MATCH(OG2,'LT Collect Forecast'!$A:$A,0),MATCH(OH$3,'LT Collect Forecast'!$AA$2:$AG$2,0))</f>
        <v>44.908657780783749</v>
      </c>
      <c r="OI7" s="395">
        <f>INDEX('LT Collect Forecast'!$AA$1:$AG$55,MATCH(OG2,'LT Collect Forecast'!$A:$A,0),MATCH(OI$3,'LT Collect Forecast'!$AA$2:$AG$2,0))</f>
        <v>42.269814580550147</v>
      </c>
      <c r="OJ7" s="395">
        <f>INDEX('LT Collect Forecast'!$AA$1:$AG$55,MATCH(OG2,'LT Collect Forecast'!$A:$A,0),MATCH(OJ$3,'LT Collect Forecast'!$AA$2:$AG$2,0))</f>
        <v>41.806874001157375</v>
      </c>
      <c r="OK7" s="397" cm="1">
        <f t="array" ref="OK7">INDEX('LT Collect Forecast'!$AA$1:$AG$55,MATCH(OG2,'LT Collect Forecast'!$A:$A,0)+1,MATCH(OK$3,'LT Collect Forecast'!$AA$2:$AG$2,0))</f>
        <v>42.356060263398483</v>
      </c>
      <c r="OL7" s="396" cm="1">
        <f t="array" ref="OL7">INDEX('LT Collect Forecast'!$AA$1:$AG$55,MATCH(OG2,'LT Collect Forecast'!$A:$A,0)+1,MATCH(OL$3,'LT Collect Forecast'!$AA$2:$AG$2,0))</f>
        <v>50.102915825782908</v>
      </c>
      <c r="OM7" s="397" cm="1">
        <f t="array" ref="OM7">INDEX('LT Collect Forecast'!$AA$1:$AG$55,MATCH(OG2,'LT Collect Forecast'!$A:$A,0)+1,MATCH(OM$3,'LT Collect Forecast'!$AA$2:$AG$2,0))</f>
        <v>51.776169028955216</v>
      </c>
      <c r="ON7" s="398" cm="1">
        <f t="array" ref="ON7">INDEX('LT Collect Forecast'!$AA$1:$AG$55,MATCH(OG2,'LT Collect Forecast'!$A:$A,0)+1,MATCH(ON$3,'LT Collect Forecast'!$AA$2:$AG$2,0))</f>
        <v>0</v>
      </c>
      <c r="OO7" s="383"/>
      <c r="OP7" s="394">
        <f>INDEX('LT Collect Forecast'!$AA$1:$AG$55,MATCH(OO2,'LT Collect Forecast'!$A:$A,0),MATCH(OP$3,'LT Collect Forecast'!$AA$2:$AG$2,0))</f>
        <v>47.769999999999996</v>
      </c>
      <c r="OQ7" s="395">
        <f>INDEX('LT Collect Forecast'!$AA$1:$AG$55,MATCH(OO2,'LT Collect Forecast'!$A:$A,0),MATCH(OQ$3,'LT Collect Forecast'!$AA$2:$AG$2,0))</f>
        <v>45.47</v>
      </c>
      <c r="OR7" s="395">
        <f>INDEX('LT Collect Forecast'!$AA$1:$AG$55,MATCH(OO2,'LT Collect Forecast'!$A:$A,0),MATCH(OR$3,'LT Collect Forecast'!$AA$2:$AG$2,0))</f>
        <v>41.73</v>
      </c>
      <c r="OS7" s="397" cm="1">
        <f t="array" ref="OS7">INDEX('LT Collect Forecast'!$AA$1:$AG$55,MATCH(OO2,'LT Collect Forecast'!$A:$A,0)+1,MATCH(OS$3,'LT Collect Forecast'!$AA$2:$AG$2,0))</f>
        <v>43.099999999999994</v>
      </c>
      <c r="OT7" s="396" cm="1">
        <f t="array" ref="OT7">INDEX('LT Collect Forecast'!$AA$1:$AG$55,MATCH(OO2,'LT Collect Forecast'!$A:$A,0)+1,MATCH(OT$3,'LT Collect Forecast'!$AA$2:$AG$2,0))</f>
        <v>41.7</v>
      </c>
      <c r="OU7" s="397" cm="1">
        <f t="array" ref="OU7">INDEX('LT Collect Forecast'!$AA$1:$AG$55,MATCH(OO2,'LT Collect Forecast'!$A:$A,0)+1,MATCH(OU$3,'LT Collect Forecast'!$AA$2:$AG$2,0))</f>
        <v>36.61</v>
      </c>
      <c r="OV7" s="398" cm="1">
        <f t="array" ref="OV7">INDEX('LT Collect Forecast'!$AA$1:$AG$55,MATCH(OO2,'LT Collect Forecast'!$A:$A,0)+1,MATCH(OV$3,'LT Collect Forecast'!$AA$2:$AG$2,0))</f>
        <v>0</v>
      </c>
      <c r="OW7" s="383"/>
      <c r="OX7" s="394">
        <f>INDEX('LT Collect Forecast'!$AA$1:$AG$55,MATCH(OW2,'LT Collect Forecast'!$A:$A,0),MATCH(OX$3,'LT Collect Forecast'!$AA$2:$AG$2,0))</f>
        <v>41.71</v>
      </c>
      <c r="OY7" s="395">
        <f>INDEX('LT Collect Forecast'!$AA$1:$AG$55,MATCH(OW2,'LT Collect Forecast'!$A:$A,0),MATCH(OY$3,'LT Collect Forecast'!$AA$2:$AG$2,0))</f>
        <v>42.59</v>
      </c>
      <c r="OZ7" s="395">
        <f>INDEX('LT Collect Forecast'!$AA$1:$AG$55,MATCH(OW2,'LT Collect Forecast'!$A:$A,0),MATCH(OZ$3,'LT Collect Forecast'!$AA$2:$AG$2,0))</f>
        <v>41.52</v>
      </c>
      <c r="PA7" s="397" cm="1">
        <f t="array" ref="PA7">INDEX('LT Collect Forecast'!$AA$1:$AG$55,MATCH(OW2,'LT Collect Forecast'!$A:$A,0)+1,MATCH(PA$3,'LT Collect Forecast'!$AA$2:$AG$2,0))</f>
        <v>40.799999999999997</v>
      </c>
      <c r="PB7" s="396" cm="1">
        <f t="array" ref="PB7">INDEX('LT Collect Forecast'!$AA$1:$AG$55,MATCH(OW2,'LT Collect Forecast'!$A:$A,0)+1,MATCH(PB$3,'LT Collect Forecast'!$AA$2:$AG$2,0))</f>
        <v>40.35</v>
      </c>
      <c r="PC7" s="397" cm="1">
        <f t="array" ref="PC7">INDEX('LT Collect Forecast'!$AA$1:$AG$55,MATCH(OW2,'LT Collect Forecast'!$A:$A,0)+1,MATCH(PC$3,'LT Collect Forecast'!$AA$2:$AG$2,0))</f>
        <v>35.340000000000003</v>
      </c>
      <c r="PD7" s="398" cm="1">
        <f t="array" ref="PD7">INDEX('LT Collect Forecast'!$AA$1:$AG$55,MATCH(OW2,'LT Collect Forecast'!$A:$A,0)+1,MATCH(PD$3,'LT Collect Forecast'!$AA$2:$AG$2,0))</f>
        <v>0</v>
      </c>
      <c r="PE7" s="383"/>
      <c r="PF7" s="394">
        <v>46</v>
      </c>
      <c r="PG7" s="395">
        <v>43</v>
      </c>
      <c r="PH7" s="395">
        <v>43</v>
      </c>
      <c r="PI7" s="397">
        <v>42</v>
      </c>
      <c r="PJ7" s="396">
        <v>49</v>
      </c>
      <c r="PK7" s="397">
        <v>49</v>
      </c>
      <c r="PL7" s="398" cm="1">
        <f t="array" ref="PL7">INDEX('LT Collect Forecast'!$AA$1:$AG$55,MATCH(PE2,'LT Collect Forecast'!$A:$A,0)+1,MATCH(PL$3,'LT Collect Forecast'!$AA$2:$AG$2,0))</f>
        <v>0</v>
      </c>
    </row>
    <row r="8" spans="1:428" ht="14.85" customHeight="1" outlineLevel="1" thickBot="1" x14ac:dyDescent="0.35">
      <c r="B8" s="1014"/>
      <c r="C8" s="863" t="s">
        <v>211</v>
      </c>
      <c r="D8" s="256" t="s">
        <v>302</v>
      </c>
      <c r="E8" s="383"/>
      <c r="F8" s="376">
        <f>INDEX('LT HD Forecast'!$AA$1:$AG$55,MATCH(E2,'LT HD Forecast'!$A:$A,0),MATCH(F$3,'LT HD Forecast'!$AA$2:$AG$2,0))</f>
        <v>49.512369851021816</v>
      </c>
      <c r="G8" s="377">
        <f>INDEX('LT HD Forecast'!$AA$1:$AG$55,MATCH(E2,'LT HD Forecast'!$A:$A,0),MATCH(G$3,'LT HD Forecast'!$AA$2:$AG$2,0))</f>
        <v>49.145396519071276</v>
      </c>
      <c r="H8" s="378">
        <f>INDEX('LT HD Forecast'!$AA$1:$AG$55,MATCH(E2,'LT HD Forecast'!$A:$A,0),MATCH(H$3,'LT HD Forecast'!$AA$2:$AG$2,0))</f>
        <v>49.947849611078091</v>
      </c>
      <c r="I8" s="260">
        <f>INDEX('LT HD Forecast'!$AA$1:$AG$55,MATCH(E2,'LT HD Forecast'!$A:$A,0)+1,MATCH(I$3,'LT HD Forecast'!$AA$2:$AG$2,0))</f>
        <v>50</v>
      </c>
      <c r="J8" s="378">
        <f>INDEX('LT HD Forecast'!$AA$1:$AG$55,MATCH(E2,'LT HD Forecast'!$A:$A,0)+1,MATCH(J$3,'LT HD Forecast'!$AA$2:$AG$2,0))</f>
        <v>54</v>
      </c>
      <c r="K8" s="378">
        <f>INDEX('LT HD Forecast'!$AA$1:$AG$55,MATCH(E2,'LT HD Forecast'!$A:$A,0)+1,MATCH(K$3,'LT HD Forecast'!$AA$2:$AG$2,0))</f>
        <v>53</v>
      </c>
      <c r="L8" s="379">
        <f>INDEX('LT HD Forecast'!$AA$1:$AG$55,MATCH(E2,'LT HD Forecast'!$A:$A,0)+1,MATCH(L$3,'LT HD Forecast'!$AA$2:$AG$2,0))</f>
        <v>57</v>
      </c>
      <c r="M8" s="383"/>
      <c r="N8" s="376">
        <f>INDEX('LT HD Forecast'!$AA$1:$AG$55,MATCH(M2,'LT HD Forecast'!$A:$A,0),MATCH(N$3,'LT HD Forecast'!$AA$2:$AG$2,0))</f>
        <v>52.405512237002895</v>
      </c>
      <c r="O8" s="377">
        <f>INDEX('LT HD Forecast'!$AA$1:$AG$55,MATCH(M2,'LT HD Forecast'!$A:$A,0),MATCH(O$3,'LT HD Forecast'!$AA$2:$AG$2,0))</f>
        <v>50.501999368071964</v>
      </c>
      <c r="P8" s="378">
        <f>INDEX('LT HD Forecast'!$AA$1:$AG$55,MATCH(M2,'LT HD Forecast'!$A:$A,0),MATCH(P$3,'LT HD Forecast'!$AA$2:$AG$2,0))</f>
        <v>51.829743068840898</v>
      </c>
      <c r="Q8" s="260">
        <f>INDEX('LT HD Forecast'!$AA$1:$AG$55,MATCH(M2,'LT HD Forecast'!$A:$A,0)+1,MATCH(Q$3,'LT HD Forecast'!$AA$2:$AG$2,0))</f>
        <v>55</v>
      </c>
      <c r="R8" s="378">
        <f>INDEX('LT HD Forecast'!$AA$1:$AG$55,MATCH(M2,'LT HD Forecast'!$A:$A,0)+1,MATCH(R$3,'LT HD Forecast'!$AA$2:$AG$2,0))</f>
        <v>59</v>
      </c>
      <c r="S8" s="378">
        <f>INDEX('LT HD Forecast'!$AA$1:$AG$55,MATCH(M2,'LT HD Forecast'!$A:$A,0)+1,MATCH(S$3,'LT HD Forecast'!$AA$2:$AG$2,0))</f>
        <v>59</v>
      </c>
      <c r="T8" s="379">
        <f>INDEX('LT HD Forecast'!$AA$1:$AG$55,MATCH(M2,'LT HD Forecast'!$A:$A,0)+1,MATCH(T$3,'LT HD Forecast'!$AA$2:$AG$2,0))</f>
        <v>57</v>
      </c>
      <c r="U8" s="383"/>
      <c r="V8" s="376">
        <f>INDEX('LT HD Forecast'!$AA$1:$AG$55,MATCH(U2,'LT HD Forecast'!$A:$A,0),MATCH(V$3,'LT HD Forecast'!$AA$2:$AG$2,0))</f>
        <v>52.094859755414575</v>
      </c>
      <c r="W8" s="377">
        <f>INDEX('LT HD Forecast'!$AA$1:$AG$55,MATCH(U2,'LT HD Forecast'!$A:$A,0),MATCH(W$3,'LT HD Forecast'!$AA$2:$AG$2,0))</f>
        <v>50.202618348304917</v>
      </c>
      <c r="X8" s="378">
        <f>INDEX('LT HD Forecast'!$AA$1:$AG$55,MATCH(U2,'LT HD Forecast'!$A:$A,0),MATCH(X$3,'LT HD Forecast'!$AA$2:$AG$2,0))</f>
        <v>51.522469358321835</v>
      </c>
      <c r="Y8" s="260">
        <f>INDEX('LT HD Forecast'!$AA$1:$AG$55,MATCH(U2,'LT HD Forecast'!$A:$A,0)+1,MATCH(Y$3,'LT HD Forecast'!$AA$2:$AG$2,0))</f>
        <v>48</v>
      </c>
      <c r="Z8" s="378">
        <f>INDEX('LT HD Forecast'!$AA$1:$AG$55,MATCH(U2,'LT HD Forecast'!$A:$A,0)+1,MATCH(Z$3,'LT HD Forecast'!$AA$2:$AG$2,0))</f>
        <v>53</v>
      </c>
      <c r="AA8" s="378">
        <f>INDEX('LT HD Forecast'!$AA$1:$AG$55,MATCH(U2,'LT HD Forecast'!$A:$A,0)+1,MATCH(AA$3,'LT HD Forecast'!$AA$2:$AG$2,0))</f>
        <v>54</v>
      </c>
      <c r="AB8" s="379">
        <f>INDEX('LT HD Forecast'!$AA$1:$AG$55,MATCH(U2,'LT HD Forecast'!$A:$A,0)+1,MATCH(AB$3,'LT HD Forecast'!$AA$2:$AG$2,0))</f>
        <v>56</v>
      </c>
      <c r="AC8" s="383"/>
      <c r="AD8" s="376">
        <f>INDEX('LT HD Forecast'!$AA$1:$AG$55,MATCH(AC2,'LT HD Forecast'!$A:$A,0),MATCH(AD$3,'LT HD Forecast'!$AA$2:$AG$2,0))</f>
        <v>50.398886827458256</v>
      </c>
      <c r="AE8" s="377">
        <f>INDEX('LT HD Forecast'!$AA$1:$AG$55,MATCH(AC2,'LT HD Forecast'!$A:$A,0),MATCH(AE$3,'LT HD Forecast'!$AA$2:$AG$2,0))</f>
        <v>47.027683341427874</v>
      </c>
      <c r="AF8" s="378">
        <f>INDEX('LT HD Forecast'!$AA$1:$AG$55,MATCH(AC2,'LT HD Forecast'!$A:$A,0),MATCH(AF$3,'LT HD Forecast'!$AA$2:$AG$2,0))</f>
        <v>48</v>
      </c>
      <c r="AG8" s="260">
        <f>INDEX('LT HD Forecast'!$AA$1:$AG$55,MATCH(AC2,'LT HD Forecast'!$A:$A,0)+1,MATCH(AG$3,'LT HD Forecast'!$AA$2:$AG$2,0))</f>
        <v>48.815579409219417</v>
      </c>
      <c r="AH8" s="378">
        <f>INDEX('LT HD Forecast'!$AA$1:$AG$55,MATCH(AC2,'LT HD Forecast'!$A:$A,0)+1,MATCH(AH$3,'LT HD Forecast'!$AA$2:$AG$2,0))</f>
        <v>50.593866020328271</v>
      </c>
      <c r="AI8" s="378">
        <f>INDEX('LT HD Forecast'!$AA$1:$AG$55,MATCH(AC2,'LT HD Forecast'!$A:$A,0)+1,MATCH(AI$3,'LT HD Forecast'!$AA$2:$AG$2,0))</f>
        <v>50.760162999161963</v>
      </c>
      <c r="AJ8" s="379">
        <f>INDEX('LT HD Forecast'!$AA$1:$AG$55,MATCH(AC2,'LT HD Forecast'!$A:$A,0)+1,MATCH(AJ$3,'LT HD Forecast'!$AA$2:$AG$2,0))</f>
        <v>56.032863716438641</v>
      </c>
      <c r="AK8" s="383"/>
      <c r="AL8" s="376">
        <f>INDEX('LT HD Forecast'!$AA$1:$AG$55,MATCH(AK2,'LT HD Forecast'!$A:$A,0),MATCH(AL$3,'LT HD Forecast'!$AA$2:$AG$2,0))</f>
        <v>49.807324860859879</v>
      </c>
      <c r="AM8" s="377">
        <f>INDEX('LT HD Forecast'!$AA$1:$AG$55,MATCH(AK2,'LT HD Forecast'!$A:$A,0),MATCH(AM$3,'LT HD Forecast'!$AA$2:$AG$2,0))</f>
        <v>47.764897719016751</v>
      </c>
      <c r="AN8" s="378">
        <f>INDEX('LT HD Forecast'!$AA$1:$AG$55,MATCH(AK2,'LT HD Forecast'!$A:$A,0),MATCH(AN$3,'LT HD Forecast'!$AA$2:$AG$2,0))</f>
        <v>48.47282624605829</v>
      </c>
      <c r="AO8" s="260">
        <f>INDEX('LT HD Forecast'!$AA$1:$AG$55,MATCH(AK2,'LT HD Forecast'!$A:$A,0)+1,MATCH(AO$3,'LT HD Forecast'!$AA$2:$AG$2,0))</f>
        <v>48.790838934936389</v>
      </c>
      <c r="AP8" s="378">
        <f>INDEX('LT HD Forecast'!$AA$1:$AG$55,MATCH(AK2,'LT HD Forecast'!$A:$A,0)+1,MATCH(AP$3,'LT HD Forecast'!$AA$2:$AG$2,0))</f>
        <v>50.720626866603361</v>
      </c>
      <c r="AQ8" s="378">
        <f>INDEX('LT HD Forecast'!$AA$1:$AG$55,MATCH(AK2,'LT HD Forecast'!$A:$A,0)+1,MATCH(AQ$3,'LT HD Forecast'!$AA$2:$AG$2,0))</f>
        <v>51.320092572030788</v>
      </c>
      <c r="AR8" s="379">
        <f>INDEX('LT HD Forecast'!$AA$1:$AG$55,MATCH(AK2,'LT HD Forecast'!$A:$A,0)+1,MATCH(AR$3,'LT HD Forecast'!$AA$2:$AG$2,0))</f>
        <v>55.799674437386301</v>
      </c>
      <c r="AS8" s="383"/>
      <c r="AT8" s="376">
        <f>INDEX('LT HD Forecast'!$AA$1:$AG$55,MATCH(AS2,'LT HD Forecast'!$A:$A,0),MATCH(AT$3,'LT HD Forecast'!$AA$2:$AG$2,0))</f>
        <v>50.118564914448925</v>
      </c>
      <c r="AU8" s="377">
        <f>INDEX('LT HD Forecast'!$AA$1:$AG$55,MATCH(AS2,'LT HD Forecast'!$A:$A,0),MATCH(AU$3,'LT HD Forecast'!$AA$2:$AG$2,0))</f>
        <v>48.371326132089855</v>
      </c>
      <c r="AV8" s="378">
        <f>INDEX('LT HD Forecast'!$AA$1:$AG$55,MATCH(AS2,'LT HD Forecast'!$A:$A,0),MATCH(AV$3,'LT HD Forecast'!$AA$2:$AG$2,0))</f>
        <v>49.080688751709658</v>
      </c>
      <c r="AW8" s="260">
        <f>INDEX('LT HD Forecast'!$AA$1:$AG$55,MATCH(AS2,'LT HD Forecast'!$A:$A,0)+1,MATCH(AW$3,'LT HD Forecast'!$AA$2:$AG$2,0))</f>
        <v>48.305614420574699</v>
      </c>
      <c r="AX8" s="378">
        <f>INDEX('LT HD Forecast'!$AA$1:$AG$55,MATCH(AS2,'LT HD Forecast'!$A:$A,0)+1,MATCH(AX$3,'LT HD Forecast'!$AA$2:$AG$2,0))</f>
        <v>50.543030329140635</v>
      </c>
      <c r="AY8" s="378">
        <f>INDEX('LT HD Forecast'!$AA$1:$AG$55,MATCH(AS2,'LT HD Forecast'!$A:$A,0)+1,MATCH(AY$3,'LT HD Forecast'!$AA$2:$AG$2,0))</f>
        <v>50.424296425099875</v>
      </c>
      <c r="AZ8" s="379">
        <f>INDEX('LT HD Forecast'!$AA$1:$AG$55,MATCH(AS2,'LT HD Forecast'!$A:$A,0)+1,MATCH(AZ$3,'LT HD Forecast'!$AA$2:$AG$2,0))</f>
        <v>53.52513125092981</v>
      </c>
      <c r="BA8" s="383"/>
      <c r="BB8" s="376">
        <f>INDEX('LT HD Forecast'!$AA$1:$AG$55,MATCH(BA2,'LT HD Forecast'!$A:$A,0),MATCH(BB$3,'LT HD Forecast'!$AA$2:$AG$2,0))</f>
        <v>49.323862767677412</v>
      </c>
      <c r="BC8" s="377">
        <f>INDEX('LT HD Forecast'!$AA$1:$AG$55,MATCH(BA2,'LT HD Forecast'!$A:$A,0),MATCH(BC$3,'LT HD Forecast'!$AA$2:$AG$2,0))</f>
        <v>50.484437646418584</v>
      </c>
      <c r="BD8" s="378">
        <f>INDEX('LT HD Forecast'!$AA$1:$AG$55,MATCH(BA2,'LT HD Forecast'!$A:$A,0),MATCH(BD$3,'LT HD Forecast'!$AA$2:$AG$2,0))</f>
        <v>50.6252081971842</v>
      </c>
      <c r="BE8" s="260">
        <f>INDEX('LT HD Forecast'!$AA$1:$AG$55,MATCH(BA2,'LT HD Forecast'!$A:$A,0)+1,MATCH(BE$3,'LT HD Forecast'!$AA$2:$AG$2,0))</f>
        <v>50.297197327742794</v>
      </c>
      <c r="BF8" s="378">
        <f>INDEX('LT HD Forecast'!$AA$1:$AG$55,MATCH(BA2,'LT HD Forecast'!$A:$A,0)+1,MATCH(BF$3,'LT HD Forecast'!$AA$2:$AG$2,0))</f>
        <v>52.844192173725169</v>
      </c>
      <c r="BG8" s="378">
        <f>INDEX('LT HD Forecast'!$AA$1:$AG$55,MATCH(BA2,'LT HD Forecast'!$A:$A,0)+1,MATCH(BG$3,'LT HD Forecast'!$AA$2:$AG$2,0))</f>
        <v>52.265285018238252</v>
      </c>
      <c r="BH8" s="379">
        <f>INDEX('LT HD Forecast'!$AA$1:$AG$55,MATCH(BA2,'LT HD Forecast'!$A:$A,0)+1,MATCH(BH$3,'LT HD Forecast'!$AA$2:$AG$2,0))</f>
        <v>54.714699446368876</v>
      </c>
      <c r="BI8" s="383"/>
      <c r="BJ8" s="376">
        <f>INDEX('LT HD Forecast'!$AA$1:$AG$55,MATCH(BI2,'LT HD Forecast'!$A:$A,0),MATCH(BJ$3,'LT HD Forecast'!$AA$2:$AG$2,0))</f>
        <v>50.909683743797316</v>
      </c>
      <c r="BK8" s="377">
        <f>INDEX('LT HD Forecast'!$AA$1:$AG$55,MATCH(BI2,'LT HD Forecast'!$A:$A,0),MATCH(BK$3,'LT HD Forecast'!$AA$2:$AG$2,0))</f>
        <v>49.008794889752131</v>
      </c>
      <c r="BL8" s="378">
        <f>INDEX('LT HD Forecast'!$AA$1:$AG$55,MATCH(BI2,'LT HD Forecast'!$A:$A,0),MATCH(BL$3,'LT HD Forecast'!$AA$2:$AG$2,0))</f>
        <v>49.877765520034295</v>
      </c>
      <c r="BM8" s="260">
        <f>INDEX('LT HD Forecast'!$AA$1:$AG$55,MATCH(BI2,'LT HD Forecast'!$A:$A,0)+1,MATCH(BM$3,'LT HD Forecast'!$AA$2:$AG$2,0))</f>
        <v>50.84082878899401</v>
      </c>
      <c r="BN8" s="378">
        <f>INDEX('LT HD Forecast'!$AA$1:$AG$55,MATCH(BI2,'LT HD Forecast'!$A:$A,0)+1,MATCH(BN$3,'LT HD Forecast'!$AA$2:$AG$2,0))</f>
        <v>52.889608435368629</v>
      </c>
      <c r="BO8" s="378">
        <f>INDEX('LT HD Forecast'!$AA$1:$AG$55,MATCH(BI2,'LT HD Forecast'!$A:$A,0)+1,MATCH(BO$3,'LT HD Forecast'!$AA$2:$AG$2,0))</f>
        <v>52.015748789611045</v>
      </c>
      <c r="BP8" s="379">
        <f>INDEX('LT HD Forecast'!$AA$1:$AG$55,MATCH(BI2,'LT HD Forecast'!$A:$A,0)+1,MATCH(BP$3,'LT HD Forecast'!$AA$2:$AG$2,0))</f>
        <v>54.513742556911666</v>
      </c>
      <c r="BQ8" s="383"/>
      <c r="BR8" s="376">
        <f>INDEX('LT HD Forecast'!$AA$1:$AG$55,MATCH(BQ2,'LT HD Forecast'!$A:$A,0),MATCH(BR$3,'LT HD Forecast'!$AA$2:$AG$2,0))</f>
        <v>50.332263027690772</v>
      </c>
      <c r="BS8" s="377">
        <f>INDEX('LT HD Forecast'!$AA$1:$AG$55,MATCH(BQ2,'LT HD Forecast'!$A:$A,0),MATCH(BS$3,'LT HD Forecast'!$AA$2:$AG$2,0))</f>
        <v>48.833005283226392</v>
      </c>
      <c r="BT8" s="378">
        <f>INDEX('LT HD Forecast'!$AA$1:$AG$55,MATCH(BQ2,'LT HD Forecast'!$A:$A,0),MATCH(BT$3,'LT HD Forecast'!$AA$2:$AG$2,0))</f>
        <v>49.635866422797029</v>
      </c>
      <c r="BU8" s="260">
        <f>INDEX('LT HD Forecast'!$AA$1:$AG$55,MATCH(BQ2,'LT HD Forecast'!$A:$A,0)+1,MATCH(BU$3,'LT HD Forecast'!$AA$2:$AG$2,0))</f>
        <v>50.913196389697404</v>
      </c>
      <c r="BV8" s="378">
        <f>INDEX('LT HD Forecast'!$AA$1:$AG$55,MATCH(BQ2,'LT HD Forecast'!$A:$A,0)+1,MATCH(BV$3,'LT HD Forecast'!$AA$2:$AG$2,0))</f>
        <v>53.296415923921735</v>
      </c>
      <c r="BW8" s="378">
        <f>INDEX('LT HD Forecast'!$AA$1:$AG$55,MATCH(BQ2,'LT HD Forecast'!$A:$A,0)+1,MATCH(BW$3,'LT HD Forecast'!$AA$2:$AG$2,0))</f>
        <v>52.182291072020377</v>
      </c>
      <c r="BX8" s="379">
        <f>INDEX('LT HD Forecast'!$AA$1:$AG$55,MATCH(BQ2,'LT HD Forecast'!$A:$A,0)+1,MATCH(BX$3,'LT HD Forecast'!$AA$2:$AG$2,0))</f>
        <v>55.690427427293777</v>
      </c>
      <c r="BY8" s="383"/>
      <c r="BZ8" s="376">
        <f>INDEX('LT HD Forecast'!$AA$1:$AG$55,MATCH(BY2,'LT HD Forecast'!$A:$A,0),MATCH(BZ$3,'LT HD Forecast'!$AA$2:$AG$2,0))</f>
        <v>50.676062236534342</v>
      </c>
      <c r="CA8" s="377">
        <f>INDEX('LT HD Forecast'!$AA$1:$AG$55,MATCH(BY2,'LT HD Forecast'!$A:$A,0),MATCH(CA$3,'LT HD Forecast'!$AA$2:$AG$2,0))</f>
        <v>50.950802658366037</v>
      </c>
      <c r="CB8" s="378">
        <f>INDEX('LT HD Forecast'!$AA$1:$AG$55,MATCH(BY2,'LT HD Forecast'!$A:$A,0),MATCH(CB$3,'LT HD Forecast'!$AA$2:$AG$2,0))</f>
        <v>51.233513400073036</v>
      </c>
      <c r="CC8" s="260">
        <f>INDEX('LT HD Forecast'!$AA$1:$AG$55,MATCH(BY2,'LT HD Forecast'!$A:$A,0)+1,MATCH(CC$3,'LT HD Forecast'!$AA$2:$AG$2,0))</f>
        <v>51.121604184200493</v>
      </c>
      <c r="CD8" s="378">
        <f>INDEX('LT HD Forecast'!$AA$1:$AG$55,MATCH(BY2,'LT HD Forecast'!$A:$A,0)+1,MATCH(CD$3,'LT HD Forecast'!$AA$2:$AG$2,0))</f>
        <v>53.513732329026361</v>
      </c>
      <c r="CE8" s="378">
        <f>INDEX('LT HD Forecast'!$AA$1:$AG$55,MATCH(BY2,'LT HD Forecast'!$A:$A,0)+1,MATCH(CE$3,'LT HD Forecast'!$AA$2:$AG$2,0))</f>
        <v>52.395442814858448</v>
      </c>
      <c r="CF8" s="379">
        <f>INDEX('LT HD Forecast'!$AA$1:$AG$55,MATCH(BY2,'LT HD Forecast'!$A:$A,0)+1,MATCH(CF$3,'LT HD Forecast'!$AA$2:$AG$2,0))</f>
        <v>55.949211292628334</v>
      </c>
      <c r="CG8" s="383"/>
      <c r="CH8" s="376">
        <f>INDEX('LT HD Forecast'!$AA$1:$AG$55,MATCH(CG2,'LT HD Forecast'!$A:$A,0),MATCH(CH$3,'LT HD Forecast'!$AA$2:$AG$2,0))</f>
        <v>50.883583610042415</v>
      </c>
      <c r="CI8" s="377">
        <f>INDEX('LT HD Forecast'!$AA$1:$AG$55,MATCH(CG2,'LT HD Forecast'!$A:$A,0),MATCH(CI$3,'LT HD Forecast'!$AA$2:$AG$2,0))</f>
        <v>49.669959917440295</v>
      </c>
      <c r="CJ8" s="378">
        <f>INDEX('LT HD Forecast'!$AA$1:$AG$55,MATCH(CG2,'LT HD Forecast'!$A:$A,0),MATCH(CJ$3,'LT HD Forecast'!$AA$2:$AG$2,0))</f>
        <v>51.187440984537126</v>
      </c>
      <c r="CK8" s="260">
        <f>INDEX('LT HD Forecast'!$AA$1:$AG$55,MATCH(CG2,'LT HD Forecast'!$A:$A,0)+1,MATCH(CK$3,'LT HD Forecast'!$AA$2:$AG$2,0))</f>
        <v>49.926581964984102</v>
      </c>
      <c r="CL8" s="378">
        <f>INDEX('LT HD Forecast'!$AA$1:$AG$55,MATCH(CG2,'LT HD Forecast'!$A:$A,0)+1,MATCH(CL$3,'LT HD Forecast'!$AA$2:$AG$2,0))</f>
        <v>51.214764054271875</v>
      </c>
      <c r="CM8" s="378">
        <f>INDEX('LT HD Forecast'!$AA$1:$AG$55,MATCH(CG2,'LT HD Forecast'!$A:$A,0)+1,MATCH(CM$3,'LT HD Forecast'!$AA$2:$AG$2,0))</f>
        <v>51.17956252920559</v>
      </c>
      <c r="CN8" s="379">
        <f>INDEX('LT HD Forecast'!$AA$1:$AG$55,MATCH(CG2,'LT HD Forecast'!$A:$A,0)+1,MATCH(CN$3,'LT HD Forecast'!$AA$2:$AG$2,0))</f>
        <v>57.247041169517644</v>
      </c>
      <c r="CO8" s="383"/>
      <c r="CP8" s="376">
        <f>INDEX('LT HD Forecast'!$AA$1:$AG$55,MATCH(CO2,'LT HD Forecast'!$A:$A,0),MATCH(CP$3,'LT HD Forecast'!$AA$2:$AG$2,0))</f>
        <v>50.457324897017735</v>
      </c>
      <c r="CQ8" s="377">
        <f>INDEX('LT HD Forecast'!$AA$1:$AG$55,MATCH(CO2,'LT HD Forecast'!$A:$A,0),MATCH(CQ$3,'LT HD Forecast'!$AA$2:$AG$2,0))</f>
        <v>51.111809457359271</v>
      </c>
      <c r="CR8" s="378">
        <f>INDEX('LT HD Forecast'!$AA$1:$AG$55,MATCH(CO2,'LT HD Forecast'!$A:$A,0),MATCH(CR$3,'LT HD Forecast'!$AA$2:$AG$2,0))</f>
        <v>51.022453819301866</v>
      </c>
      <c r="CS8" s="260">
        <f>INDEX('LT HD Forecast'!$AA$1:$AG$55,MATCH(CO2,'LT HD Forecast'!$A:$A,0)+1,MATCH(CS$3,'LT HD Forecast'!$AA$2:$AG$2,0))</f>
        <v>51.080908820460564</v>
      </c>
      <c r="CT8" s="378">
        <f>INDEX('LT HD Forecast'!$AA$1:$AG$55,MATCH(CO2,'LT HD Forecast'!$A:$A,0)+1,MATCH(CT$3,'LT HD Forecast'!$AA$2:$AG$2,0))</f>
        <v>52.524935722519949</v>
      </c>
      <c r="CU8" s="378">
        <f>INDEX('LT HD Forecast'!$AA$1:$AG$55,MATCH(CO2,'LT HD Forecast'!$A:$A,0)+1,MATCH(CU$3,'LT HD Forecast'!$AA$2:$AG$2,0))</f>
        <v>52.661303481028519</v>
      </c>
      <c r="CV8" s="379">
        <f>INDEX('LT HD Forecast'!$AA$1:$AG$55,MATCH(CO2,'LT HD Forecast'!$A:$A,0)+1,MATCH(CV$3,'LT HD Forecast'!$AA$2:$AG$2,0))</f>
        <v>59.743213348737669</v>
      </c>
      <c r="CW8" s="383"/>
      <c r="CX8" s="376">
        <f>INDEX('LT HD Forecast'!$AA$1:$AG$55,MATCH(CW2,'LT HD Forecast'!$A:$A,0),MATCH(CX$3,'LT HD Forecast'!$AA$2:$AG$2,0))</f>
        <v>52.347479765907643</v>
      </c>
      <c r="CY8" s="377">
        <f>INDEX('LT HD Forecast'!$AA$1:$AG$55,MATCH(CW2,'LT HD Forecast'!$A:$A,0),MATCH(CY$3,'LT HD Forecast'!$AA$2:$AG$2,0))</f>
        <v>49.896965460115545</v>
      </c>
      <c r="CZ8" s="378">
        <f>INDEX('LT HD Forecast'!$AA$1:$AG$55,MATCH(CW2,'LT HD Forecast'!$A:$A,0),MATCH(CZ$3,'LT HD Forecast'!$AA$2:$AG$2,0))</f>
        <v>50.943613788913119</v>
      </c>
      <c r="DA8" s="260">
        <f>INDEX('LT HD Forecast'!$AA$1:$AG$55,MATCH(CW2,'LT HD Forecast'!$A:$A,0)+1,MATCH(DA$3,'LT HD Forecast'!$AA$2:$AG$2,0))</f>
        <v>53.51551640476049</v>
      </c>
      <c r="DB8" s="378">
        <f>INDEX('LT HD Forecast'!$AA$1:$AG$55,MATCH(CW2,'LT HD Forecast'!$A:$A,0)+1,MATCH(DB$3,'LT HD Forecast'!$AA$2:$AG$2,0))</f>
        <v>52.509240919992962</v>
      </c>
      <c r="DC8" s="378">
        <f>INDEX('LT HD Forecast'!$AA$1:$AG$55,MATCH(CW2,'LT HD Forecast'!$A:$A,0)+1,MATCH(DC$3,'LT HD Forecast'!$AA$2:$AG$2,0))</f>
        <v>52.616729955884239</v>
      </c>
      <c r="DD8" s="379">
        <f>INDEX('LT HD Forecast'!$AA$1:$AG$55,MATCH(CW2,'LT HD Forecast'!$A:$A,0)+1,MATCH(DD$3,'LT HD Forecast'!$AA$2:$AG$2,0))</f>
        <v>55.508677759855473</v>
      </c>
      <c r="DE8" s="383"/>
      <c r="DF8" s="376">
        <f>INDEX('LT HD Forecast'!$AA$1:$AG$55,MATCH(DE2,'LT HD Forecast'!$A:$A,0),MATCH(DF$3,'LT HD Forecast'!$AA$2:$AG$2,0))</f>
        <v>50.601438786766437</v>
      </c>
      <c r="DG8" s="377">
        <f>INDEX('LT HD Forecast'!$AA$1:$AG$55,MATCH(DE2,'LT HD Forecast'!$A:$A,0),MATCH(DG$3,'LT HD Forecast'!$AA$2:$AG$2,0))</f>
        <v>47.945235190155479</v>
      </c>
      <c r="DH8" s="378">
        <f>INDEX('LT HD Forecast'!$AA$1:$AG$55,MATCH(DE2,'LT HD Forecast'!$A:$A,0),MATCH(DH$3,'LT HD Forecast'!$AA$2:$AG$2,0))</f>
        <v>47.81940066929716</v>
      </c>
      <c r="DI8" s="260">
        <f>INDEX('LT HD Forecast'!$AA$1:$AG$55,MATCH(DE2,'LT HD Forecast'!$A:$A,0)+1,MATCH(DI$3,'LT HD Forecast'!$AA$2:$AG$2,0))</f>
        <v>51.306715631519957</v>
      </c>
      <c r="DJ8" s="378">
        <f>INDEX('LT HD Forecast'!$AA$1:$AG$55,MATCH(DE2,'LT HD Forecast'!$A:$A,0)+1,MATCH(DJ$3,'LT HD Forecast'!$AA$2:$AG$2,0))</f>
        <v>51.924593838177856</v>
      </c>
      <c r="DK8" s="378">
        <f>INDEX('LT HD Forecast'!$AA$1:$AG$55,MATCH(DE2,'LT HD Forecast'!$A:$A,0)+1,MATCH(DK$3,'LT HD Forecast'!$AA$2:$AG$2,0))</f>
        <v>51.159541646050393</v>
      </c>
      <c r="DL8" s="379">
        <f>INDEX('LT HD Forecast'!$AA$1:$AG$55,MATCH(DE2,'LT HD Forecast'!$A:$A,0)+1,MATCH(DL$3,'LT HD Forecast'!$AA$2:$AG$2,0))</f>
        <v>55.508677759855473</v>
      </c>
      <c r="DM8" s="383"/>
      <c r="DN8" s="376">
        <f>INDEX('LT HD Forecast'!$AA$1:$AG$55,MATCH(DM2,'LT HD Forecast'!$A:$A,0),MATCH(DN$3,'LT HD Forecast'!$AA$2:$AG$2,0))</f>
        <v>50.665210325568232</v>
      </c>
      <c r="DO8" s="377">
        <f>INDEX('LT HD Forecast'!$AA$1:$AG$55,MATCH(DM2,'LT HD Forecast'!$A:$A,0),MATCH(DO$3,'LT HD Forecast'!$AA$2:$AG$2,0))</f>
        <v>47.48820801283442</v>
      </c>
      <c r="DP8" s="378">
        <f>INDEX('LT HD Forecast'!$AA$1:$AG$55,MATCH(DM2,'LT HD Forecast'!$A:$A,0),MATCH(DP$3,'LT HD Forecast'!$AA$2:$AG$2,0))</f>
        <v>47.679026500929901</v>
      </c>
      <c r="DQ8" s="260">
        <f>INDEX('LT HD Forecast'!$AA$1:$AG$55,MATCH(DM2,'LT HD Forecast'!$A:$A,0)+1,MATCH(DQ$3,'LT HD Forecast'!$AA$2:$AG$2,0))</f>
        <v>51.306715631519957</v>
      </c>
      <c r="DR8" s="378">
        <f>INDEX('LT HD Forecast'!$AA$1:$AG$55,MATCH(DM2,'LT HD Forecast'!$A:$A,0)+1,MATCH(DR$3,'LT HD Forecast'!$AA$2:$AG$2,0))</f>
        <v>50.717644391276117</v>
      </c>
      <c r="DS8" s="378">
        <f>INDEX('LT HD Forecast'!$AA$1:$AG$55,MATCH(DM2,'LT HD Forecast'!$A:$A,0)+1,MATCH(DS$3,'LT HD Forecast'!$AA$2:$AG$2,0))</f>
        <v>52.645152821030607</v>
      </c>
      <c r="DT8" s="379">
        <f>INDEX('LT HD Forecast'!$AA$1:$AG$55,MATCH(DM2,'LT HD Forecast'!$A:$A,0)+1,MATCH(DT$3,'LT HD Forecast'!$AA$2:$AG$2,0))</f>
        <v>54.066665589136321</v>
      </c>
      <c r="DU8" s="383"/>
      <c r="DV8" s="376">
        <f>INDEX('LT HD Forecast'!$AA$1:$AG$55,MATCH(DU2,'LT HD Forecast'!$A:$A,0),MATCH(DV$3,'LT HD Forecast'!$AA$2:$AG$2,0))</f>
        <v>0</v>
      </c>
      <c r="DW8" s="377">
        <f>INDEX('LT HD Forecast'!$AA$1:$AG$55,MATCH(DU2,'LT HD Forecast'!$A:$A,0),MATCH(DW$3,'LT HD Forecast'!$AA$2:$AG$2,0))</f>
        <v>46.316018664315258</v>
      </c>
      <c r="DX8" s="378">
        <f>INDEX('LT HD Forecast'!$AA$1:$AG$55,MATCH(DU2,'LT HD Forecast'!$A:$A,0),MATCH(DX$3,'LT HD Forecast'!$AA$2:$AG$2,0))</f>
        <v>48.542086863886972</v>
      </c>
      <c r="DY8" s="260">
        <f>INDEX('LT HD Forecast'!$AA$1:$AG$55,MATCH(DU2,'LT HD Forecast'!$A:$A,0)+1,MATCH(DY$3,'LT HD Forecast'!$AA$2:$AG$2,0))</f>
        <v>50.197359268866002</v>
      </c>
      <c r="DZ8" s="378">
        <f>INDEX('LT HD Forecast'!$AA$1:$AG$55,MATCH(DU2,'LT HD Forecast'!$A:$A,0)+1,MATCH(DZ$3,'LT HD Forecast'!$AA$2:$AG$2,0))</f>
        <v>51.388485987976168</v>
      </c>
      <c r="EA8" s="378">
        <f>INDEX('LT HD Forecast'!$AA$1:$AG$55,MATCH(DU2,'LT HD Forecast'!$A:$A,0)+1,MATCH(EA$3,'LT HD Forecast'!$AA$2:$AG$2,0))</f>
        <v>51.588202038389305</v>
      </c>
      <c r="EB8" s="379">
        <f>INDEX('LT HD Forecast'!$AA$1:$AG$55,MATCH(DU2,'LT HD Forecast'!$A:$A,0)+1,MATCH(EB$3,'LT HD Forecast'!$AA$2:$AG$2,0))</f>
        <v>53.913768808833602</v>
      </c>
      <c r="EC8" s="383"/>
      <c r="ED8" s="376">
        <f>INDEX('LT HD Forecast'!$AA$1:$AG$55,MATCH(EC2,'LT HD Forecast'!$A:$A,0),MATCH(ED$3,'LT HD Forecast'!$AA$2:$AG$2,0))</f>
        <v>49.665993070037771</v>
      </c>
      <c r="EE8" s="377">
        <f>INDEX('LT HD Forecast'!$AA$1:$AG$55,MATCH(EC2,'LT HD Forecast'!$A:$A,0),MATCH(EE$3,'LT HD Forecast'!$AA$2:$AG$2,0))</f>
        <v>48.544070295072054</v>
      </c>
      <c r="EF8" s="378">
        <f>INDEX('LT HD Forecast'!$AA$1:$AG$55,MATCH(EC2,'LT HD Forecast'!$A:$A,0),MATCH(EF$3,'LT HD Forecast'!$AA$2:$AG$2,0))</f>
        <v>49.141225372253956</v>
      </c>
      <c r="EG8" s="260">
        <f>INDEX('LT HD Forecast'!$AA$1:$AG$55,MATCH(EC2,'LT HD Forecast'!$A:$A,0)+1,MATCH(EG$3,'LT HD Forecast'!$AA$2:$AG$2,0))</f>
        <v>50.583997054246929</v>
      </c>
      <c r="EH8" s="378">
        <f>INDEX('LT HD Forecast'!$AA$1:$AG$55,MATCH(EC2,'LT HD Forecast'!$A:$A,0)+1,MATCH(EH$3,'LT HD Forecast'!$AA$2:$AG$2,0))</f>
        <v>51.614225684730052</v>
      </c>
      <c r="EI8" s="378">
        <f>INDEX('LT HD Forecast'!$AA$1:$AG$55,MATCH(EC2,'LT HD Forecast'!$A:$A,0)+1,MATCH(EI$3,'LT HD Forecast'!$AA$2:$AG$2,0))</f>
        <v>50.116990562625269</v>
      </c>
      <c r="EJ8" s="379">
        <f>INDEX('LT HD Forecast'!$AA$1:$AG$55,MATCH(EC2,'LT HD Forecast'!$A:$A,0)+1,MATCH(EJ$3,'LT HD Forecast'!$AA$2:$AG$2,0))</f>
        <v>0</v>
      </c>
      <c r="EK8" s="383"/>
      <c r="EL8" s="376">
        <f>INDEX('LT HD Forecast'!$AA$1:$AG$55,MATCH(EK2,'LT HD Forecast'!$A:$A,0),MATCH(EL$3,'LT HD Forecast'!$AA$2:$AG$2,0))</f>
        <v>50.413169190426622</v>
      </c>
      <c r="EM8" s="377">
        <f>INDEX('LT HD Forecast'!$AA$1:$AG$55,MATCH(EK2,'LT HD Forecast'!$A:$A,0),MATCH(EM$3,'LT HD Forecast'!$AA$2:$AG$2,0))</f>
        <v>48.953486824683829</v>
      </c>
      <c r="EN8" s="378">
        <f>INDEX('LT HD Forecast'!$AA$1:$AG$55,MATCH(EK2,'LT HD Forecast'!$A:$A,0),MATCH(EN$3,'LT HD Forecast'!$AA$2:$AG$2,0))</f>
        <v>49.742543427520708</v>
      </c>
      <c r="EO8" s="260">
        <f>INDEX('LT HD Forecast'!$AA$1:$AG$55,MATCH(EK2,'LT HD Forecast'!$A:$A,0)+1,MATCH(EO$3,'LT HD Forecast'!$AA$2:$AG$2,0))</f>
        <v>49.452495946291769</v>
      </c>
      <c r="EP8" s="378">
        <f>INDEX('LT HD Forecast'!$AA$1:$AG$55,MATCH(EK2,'LT HD Forecast'!$A:$A,0)+1,MATCH(EP$3,'LT HD Forecast'!$AA$2:$AG$2,0))</f>
        <v>52.99509950875369</v>
      </c>
      <c r="EQ8" s="378">
        <f>INDEX('LT HD Forecast'!$AA$1:$AG$55,MATCH(EK2,'LT HD Forecast'!$A:$A,0)+1,MATCH(EQ$3,'LT HD Forecast'!$AA$2:$AG$2,0))</f>
        <v>51.485016046863088</v>
      </c>
      <c r="ER8" s="379">
        <f>INDEX('LT HD Forecast'!$AA$1:$AG$55,MATCH(EK2,'LT HD Forecast'!$A:$A,0)+1,MATCH(ER$3,'LT HD Forecast'!$AA$2:$AG$2,0))</f>
        <v>55.893814952991569</v>
      </c>
      <c r="ES8" s="383"/>
      <c r="ET8" s="376">
        <f>INDEX('LT HD Forecast'!$AA$1:$AG$55,MATCH(ES2,'LT HD Forecast'!$A:$A,0),MATCH(ET$3,'LT HD Forecast'!$AA$2:$AG$2,0))</f>
        <v>51.217559468310512</v>
      </c>
      <c r="EU8" s="377">
        <f>INDEX('LT HD Forecast'!$AA$1:$AG$55,MATCH(ES2,'LT HD Forecast'!$A:$A,0),MATCH(EU$3,'LT HD Forecast'!$AA$2:$AG$2,0))</f>
        <v>50.017703439379112</v>
      </c>
      <c r="EV8" s="378">
        <f>INDEX('LT HD Forecast'!$AA$1:$AG$55,MATCH(ES2,'LT HD Forecast'!$A:$A,0),MATCH(EV$3,'LT HD Forecast'!$AA$2:$AG$2,0))</f>
        <v>50.711392192436755</v>
      </c>
      <c r="EW8" s="260">
        <f>INDEX('LT HD Forecast'!$AA$1:$AG$55,MATCH(ES2,'LT HD Forecast'!$A:$A,0)+1,MATCH(EW$3,'LT HD Forecast'!$AA$2:$AG$2,0))</f>
        <v>50.504609732851733</v>
      </c>
      <c r="EX8" s="378">
        <f>INDEX('LT HD Forecast'!$AA$1:$AG$55,MATCH(ES2,'LT HD Forecast'!$A:$A,0)+1,MATCH(EX$3,'LT HD Forecast'!$AA$2:$AG$2,0))</f>
        <v>52.841494836950964</v>
      </c>
      <c r="EY8" s="378">
        <f>INDEX('LT HD Forecast'!$AA$1:$AG$55,MATCH(ES2,'LT HD Forecast'!$A:$A,0)+1,MATCH(EY$3,'LT HD Forecast'!$AA$2:$AG$2,0))</f>
        <v>51.413692586151477</v>
      </c>
      <c r="EZ8" s="379">
        <f>INDEX('LT HD Forecast'!$AA$1:$AG$55,MATCH(ES2,'LT HD Forecast'!$A:$A,0)+1,MATCH(EZ$3,'LT HD Forecast'!$AA$2:$AG$2,0))</f>
        <v>54.175497006192309</v>
      </c>
      <c r="FA8" s="383"/>
      <c r="FB8" s="376">
        <f>INDEX('LT HD Forecast'!$AA$1:$AG$55,MATCH(FA2,'LT HD Forecast'!$A:$A,0),MATCH(FB$3,'LT HD Forecast'!$AA$2:$AG$2,0))</f>
        <v>50.867613187396906</v>
      </c>
      <c r="FC8" s="377">
        <f>INDEX('LT HD Forecast'!$AA$1:$AG$55,MATCH(FA2,'LT HD Forecast'!$A:$A,0),MATCH(FC$3,'LT HD Forecast'!$AA$2:$AG$2,0))</f>
        <v>49.729867391912698</v>
      </c>
      <c r="FD8" s="378">
        <f>INDEX('LT HD Forecast'!$AA$1:$AG$55,MATCH(FA2,'LT HD Forecast'!$A:$A,0),MATCH(FD$3,'LT HD Forecast'!$AA$2:$AG$2,0))</f>
        <v>50.649111953764155</v>
      </c>
      <c r="FE8" s="260">
        <f>INDEX('LT HD Forecast'!$AA$1:$AG$55,MATCH(FA2,'LT HD Forecast'!$A:$A,0)+1,MATCH(FE$3,'LT HD Forecast'!$AA$2:$AG$2,0))</f>
        <v>50.163748746151356</v>
      </c>
      <c r="FF8" s="378">
        <f>INDEX('LT HD Forecast'!$AA$1:$AG$55,MATCH(FA2,'LT HD Forecast'!$A:$A,0)+1,MATCH(FF$3,'LT HD Forecast'!$AA$2:$AG$2,0))</f>
        <v>50.644815107310272</v>
      </c>
      <c r="FG8" s="378">
        <f>INDEX('LT HD Forecast'!$AA$1:$AG$55,MATCH(FA2,'LT HD Forecast'!$A:$A,0)+1,MATCH(FG$3,'LT HD Forecast'!$AA$2:$AG$2,0))</f>
        <v>50.232870264314293</v>
      </c>
      <c r="FH8" s="379">
        <f>INDEX('LT HD Forecast'!$AA$1:$AG$55,MATCH(FA2,'LT HD Forecast'!$A:$A,0)+1,MATCH(FH$3,'LT HD Forecast'!$AA$2:$AG$2,0))</f>
        <v>53.39240619094776</v>
      </c>
      <c r="FI8" s="383"/>
      <c r="FJ8" s="376">
        <f>INDEX('LT HD Forecast'!$AA$1:$AG$55,MATCH(FI2,'LT HD Forecast'!$A:$A,0),MATCH(FJ$3,'LT HD Forecast'!$AA$2:$AG$2,0))</f>
        <v>49.579974707286013</v>
      </c>
      <c r="FK8" s="377">
        <f>INDEX('LT HD Forecast'!$AA$1:$AG$55,MATCH(FI2,'LT HD Forecast'!$A:$A,0),MATCH(FK$3,'LT HD Forecast'!$AA$2:$AG$2,0))</f>
        <v>48.463647578540169</v>
      </c>
      <c r="FL8" s="378">
        <f>INDEX('LT HD Forecast'!$AA$1:$AG$55,MATCH(FI2,'LT HD Forecast'!$A:$A,0),MATCH(FL$3,'LT HD Forecast'!$AA$2:$AG$2,0))</f>
        <v>48.929243226483848</v>
      </c>
      <c r="FM8" s="260">
        <f>INDEX('LT HD Forecast'!$AA$1:$AG$55,MATCH(FI2,'LT HD Forecast'!$A:$A,0)+1,MATCH(FM$3,'LT HD Forecast'!$AA$2:$AG$2,0))</f>
        <v>0</v>
      </c>
      <c r="FN8" s="378">
        <f>INDEX('LT HD Forecast'!$AA$1:$AG$55,MATCH(FI2,'LT HD Forecast'!$A:$A,0)+1,MATCH(FN$3,'LT HD Forecast'!$AA$2:$AG$2,0))</f>
        <v>52.344376659698256</v>
      </c>
      <c r="FO8" s="378">
        <f>INDEX('LT HD Forecast'!$AA$1:$AG$55,MATCH(FI2,'LT HD Forecast'!$A:$A,0)+1,MATCH(FO$3,'LT HD Forecast'!$AA$2:$AG$2,0))</f>
        <v>52.15984564458136</v>
      </c>
      <c r="FP8" s="379">
        <f>INDEX('LT HD Forecast'!$AA$1:$AG$55,MATCH(FI2,'LT HD Forecast'!$A:$A,0)+1,MATCH(FP$3,'LT HD Forecast'!$AA$2:$AG$2,0))</f>
        <v>53.17665414566661</v>
      </c>
      <c r="FQ8" s="383"/>
      <c r="FR8" s="376">
        <f>INDEX('LT HD Forecast'!$AA$1:$AG$55,MATCH(FQ2,'LT HD Forecast'!$A:$A,0),MATCH(FR$3,'LT HD Forecast'!$AA$2:$AG$2,0))</f>
        <v>50.640972064084153</v>
      </c>
      <c r="FS8" s="377">
        <f>INDEX('LT HD Forecast'!$AA$1:$AG$55,MATCH(FQ2,'LT HD Forecast'!$A:$A,0),MATCH(FS$3,'LT HD Forecast'!$AA$2:$AG$2,0))</f>
        <v>48.962087033349874</v>
      </c>
      <c r="FT8" s="378">
        <f>INDEX('LT HD Forecast'!$AA$1:$AG$55,MATCH(FQ2,'LT HD Forecast'!$A:$A,0),MATCH(FT$3,'LT HD Forecast'!$AA$2:$AG$2,0))</f>
        <v>49.942837309800005</v>
      </c>
      <c r="FU8" s="260">
        <f>INDEX('LT HD Forecast'!$AA$1:$AG$55,MATCH(FQ2,'LT HD Forecast'!$A:$A,0)+1,MATCH(FU$3,'LT HD Forecast'!$AA$2:$AG$2,0))</f>
        <v>50.041550454896878</v>
      </c>
      <c r="FV8" s="378">
        <f>INDEX('LT HD Forecast'!$AA$1:$AG$55,MATCH(FQ2,'LT HD Forecast'!$A:$A,0)+1,MATCH(FV$3,'LT HD Forecast'!$AA$2:$AG$2,0))</f>
        <v>51.243325600164603</v>
      </c>
      <c r="FW8" s="378">
        <f>INDEX('LT HD Forecast'!$AA$1:$AG$55,MATCH(FQ2,'LT HD Forecast'!$A:$A,0)+1,MATCH(FW$3,'LT HD Forecast'!$AA$2:$AG$2,0))</f>
        <v>50.797751264382391</v>
      </c>
      <c r="FX8" s="379">
        <f>INDEX('LT HD Forecast'!$AA$1:$AG$55,MATCH(FQ2,'LT HD Forecast'!$A:$A,0)+1,MATCH(FX$3,'LT HD Forecast'!$AA$2:$AG$2,0))</f>
        <v>51.18085773050074</v>
      </c>
      <c r="FY8" s="383"/>
      <c r="FZ8" s="376">
        <f>INDEX('LT HD Forecast'!$AA$1:$AG$55,MATCH(FY2,'LT HD Forecast'!$A:$A,0),MATCH(FZ$3,'LT HD Forecast'!$AA$2:$AG$2,0))</f>
        <v>0</v>
      </c>
      <c r="GA8" s="377">
        <f>INDEX('LT HD Forecast'!$AA$1:$AG$55,MATCH(FY2,'LT HD Forecast'!$A:$A,0),MATCH(GA$3,'LT HD Forecast'!$AA$2:$AG$2,0))</f>
        <v>48.045713382547184</v>
      </c>
      <c r="GB8" s="378">
        <f>INDEX('LT HD Forecast'!$AA$1:$AG$55,MATCH(FY2,'LT HD Forecast'!$A:$A,0),MATCH(GB$3,'LT HD Forecast'!$AA$2:$AG$2,0))</f>
        <v>49.623571544262347</v>
      </c>
      <c r="GC8" s="260">
        <f>INDEX('LT HD Forecast'!$AA$1:$AG$55,MATCH(FY2,'LT HD Forecast'!$A:$A,0)+1,MATCH(GC$3,'LT HD Forecast'!$AA$2:$AG$2,0))</f>
        <v>51.928708411344566</v>
      </c>
      <c r="GD8" s="378">
        <f>INDEX('LT HD Forecast'!$AA$1:$AG$55,MATCH(FY2,'LT HD Forecast'!$A:$A,0)+1,MATCH(GD$3,'LT HD Forecast'!$AA$2:$AG$2,0))</f>
        <v>52.480580766132178</v>
      </c>
      <c r="GE8" s="378">
        <f>INDEX('LT HD Forecast'!$AA$1:$AG$55,MATCH(FY2,'LT HD Forecast'!$A:$A,0)+1,MATCH(GE$3,'LT HD Forecast'!$AA$2:$AG$2,0))</f>
        <v>52.023448366740169</v>
      </c>
      <c r="GF8" s="379">
        <f>INDEX('LT HD Forecast'!$AA$1:$AG$55,MATCH(FY2,'LT HD Forecast'!$A:$A,0)+1,MATCH(GF$3,'LT HD Forecast'!$AA$2:$AG$2,0))</f>
        <v>52.404861886218562</v>
      </c>
      <c r="GG8" s="383"/>
      <c r="GH8" s="376">
        <f>INDEX('LT HD Forecast'!$AA$1:$AG$55,MATCH(GG2,'LT HD Forecast'!$A:$A,0),MATCH(GH$3,'LT HD Forecast'!$AA$2:$AG$2,0))</f>
        <v>50.786553675198142</v>
      </c>
      <c r="GI8" s="377">
        <f>INDEX('LT HD Forecast'!$AA$1:$AG$55,MATCH(GG2,'LT HD Forecast'!$A:$A,0),MATCH(GI$3,'LT HD Forecast'!$AA$2:$AG$2,0))</f>
        <v>49.202504720972172</v>
      </c>
      <c r="GJ8" s="378">
        <f>INDEX('LT HD Forecast'!$AA$1:$AG$55,MATCH(GG2,'LT HD Forecast'!$A:$A,0),MATCH(GJ$3,'LT HD Forecast'!$AA$2:$AG$2,0))</f>
        <v>50.809852194138635</v>
      </c>
      <c r="GK8" s="260">
        <f>INDEX('LT HD Forecast'!$AA$1:$AG$55,MATCH(GG2,'LT HD Forecast'!$A:$A,0)+1,MATCH(GK$3,'LT HD Forecast'!$AA$2:$AG$2,0))</f>
        <v>51.370696771054824</v>
      </c>
      <c r="GL8" s="378">
        <f>INDEX('LT HD Forecast'!$AA$1:$AG$55,MATCH(GG2,'LT HD Forecast'!$A:$A,0)+1,MATCH(GL$3,'LT HD Forecast'!$AA$2:$AG$2,0))</f>
        <v>52.612669040499576</v>
      </c>
      <c r="GM8" s="378">
        <f>INDEX('LT HD Forecast'!$AA$1:$AG$55,MATCH(GG2,'LT HD Forecast'!$A:$A,0)+1,MATCH(GM$3,'LT HD Forecast'!$AA$2:$AG$2,0))</f>
        <v>51.623055347374482</v>
      </c>
      <c r="GN8" s="379">
        <f>INDEX('LT HD Forecast'!$AA$1:$AG$55,MATCH(GG2,'LT HD Forecast'!$A:$A,0)+1,MATCH(GN$3,'LT HD Forecast'!$AA$2:$AG$2,0))</f>
        <v>50.132015693995527</v>
      </c>
      <c r="GO8" s="383"/>
      <c r="GP8" s="376">
        <f>INDEX('LT HD Forecast'!$AA$1:$AG$55,MATCH(GO2,'LT HD Forecast'!$A:$A,0),MATCH(GP$3,'LT HD Forecast'!$AA$2:$AG$2,0))</f>
        <v>49.395975545949362</v>
      </c>
      <c r="GQ8" s="377">
        <f>INDEX('LT HD Forecast'!$AA$1:$AG$55,MATCH(GO2,'LT HD Forecast'!$A:$A,0),MATCH(GQ$3,'LT HD Forecast'!$AA$2:$AG$2,0))</f>
        <v>48.977971208429025</v>
      </c>
      <c r="GR8" s="378">
        <f>INDEX('LT HD Forecast'!$AA$1:$AG$55,MATCH(GO2,'LT HD Forecast'!$A:$A,0),MATCH(GR$3,'LT HD Forecast'!$AA$2:$AG$2,0))</f>
        <v>50.24833179091064</v>
      </c>
      <c r="GS8" s="260">
        <f>INDEX('LT HD Forecast'!$AA$1:$AG$55,MATCH(GO2,'LT HD Forecast'!$A:$A,0)+1,MATCH(GS$3,'LT HD Forecast'!$AA$2:$AG$2,0))</f>
        <v>50.469153686013286</v>
      </c>
      <c r="GT8" s="378">
        <f>INDEX('LT HD Forecast'!$AA$1:$AG$55,MATCH(GO2,'LT HD Forecast'!$A:$A,0)+1,MATCH(GT$3,'LT HD Forecast'!$AA$2:$AG$2,0))</f>
        <v>52.426912902684563</v>
      </c>
      <c r="GU8" s="378">
        <f>INDEX('LT HD Forecast'!$AA$1:$AG$55,MATCH(GO2,'LT HD Forecast'!$A:$A,0)+1,MATCH(GU$3,'LT HD Forecast'!$AA$2:$AG$2,0))</f>
        <v>51.440687876750843</v>
      </c>
      <c r="GV8" s="379">
        <f>INDEX('LT HD Forecast'!$AA$1:$AG$55,MATCH(GO2,'LT HD Forecast'!$A:$A,0)+1,MATCH(GV$3,'LT HD Forecast'!$AA$2:$AG$2,0))</f>
        <v>49.962940324500053</v>
      </c>
      <c r="GW8" s="383"/>
      <c r="GX8" s="376">
        <f>INDEX('LT HD Forecast'!$AA$1:$AG$55,MATCH(GW2,'LT HD Forecast'!$A:$A,0),MATCH(GX$3,'LT HD Forecast'!$AA$2:$AG$2,0))</f>
        <v>49.215645406251717</v>
      </c>
      <c r="GY8" s="377">
        <f>INDEX('LT HD Forecast'!$AA$1:$AG$55,MATCH(GW2,'LT HD Forecast'!$A:$A,0),MATCH(GY$3,'LT HD Forecast'!$AA$2:$AG$2,0))</f>
        <v>48.805169173605563</v>
      </c>
      <c r="GZ8" s="378">
        <f>INDEX('LT HD Forecast'!$AA$1:$AG$55,MATCH(GW2,'LT HD Forecast'!$A:$A,0),MATCH(GZ$3,'LT HD Forecast'!$AA$2:$AG$2,0))</f>
        <v>50.071225355730057</v>
      </c>
      <c r="HA8" s="260">
        <f>INDEX('LT HD Forecast'!$AA$1:$AG$55,MATCH(GW2,'LT HD Forecast'!$A:$A,0)+1,MATCH(HA$3,'LT HD Forecast'!$AA$2:$AG$2,0))</f>
        <v>50.355246125526953</v>
      </c>
      <c r="HB8" s="378">
        <f>INDEX('LT HD Forecast'!$AA$1:$AG$55,MATCH(GW2,'LT HD Forecast'!$A:$A,0)+1,MATCH(HB$3,'LT HD Forecast'!$AA$2:$AG$2,0))</f>
        <v>51.61945677583217</v>
      </c>
      <c r="HC8" s="378">
        <f>INDEX('LT HD Forecast'!$AA$1:$AG$55,MATCH(GW2,'LT HD Forecast'!$A:$A,0)+1,MATCH(HC$3,'LT HD Forecast'!$AA$2:$AG$2,0))</f>
        <v>50.191349336949663</v>
      </c>
      <c r="HD8" s="379">
        <f>INDEX('LT HD Forecast'!$AA$1:$AG$55,MATCH(GW2,'LT HD Forecast'!$A:$A,0)+1,MATCH(HD$3,'LT HD Forecast'!$AA$2:$AG$2,0))</f>
        <v>51.452853264769338</v>
      </c>
      <c r="HE8" s="383"/>
      <c r="HF8" s="376">
        <f>INDEX('LT HD Forecast'!$AA$1:$AG$55,MATCH(HE2,'LT HD Forecast'!$A:$A,0),MATCH(HF$3,'LT HD Forecast'!$AA$2:$AG$2,0))</f>
        <v>49.127787986666469</v>
      </c>
      <c r="HG8" s="377">
        <f>INDEX('LT HD Forecast'!$AA$1:$AG$55,MATCH(HE2,'LT HD Forecast'!$A:$A,0),MATCH(HG$3,'LT HD Forecast'!$AA$2:$AG$2,0))</f>
        <v>47.702732896443628</v>
      </c>
      <c r="HH8" s="378">
        <f>INDEX('LT HD Forecast'!$AA$1:$AG$55,MATCH(HE2,'LT HD Forecast'!$A:$A,0),MATCH(HH$3,'LT HD Forecast'!$AA$2:$AG$2,0))</f>
        <v>49.117737193087983</v>
      </c>
      <c r="HI8" s="260">
        <f>INDEX('LT HD Forecast'!$AA$1:$AG$55,MATCH(HE2,'LT HD Forecast'!$A:$A,0)+1,MATCH(HI$3,'LT HD Forecast'!$AA$2:$AG$2,0))</f>
        <v>49.378047119912011</v>
      </c>
      <c r="HJ8" s="378">
        <f>INDEX('LT HD Forecast'!$AA$1:$AG$55,MATCH(HE2,'LT HD Forecast'!$A:$A,0)+1,MATCH(HJ$3,'LT HD Forecast'!$AA$2:$AG$2,0))</f>
        <v>50.854057935510752</v>
      </c>
      <c r="HK8" s="378">
        <f>INDEX('LT HD Forecast'!$AA$1:$AG$55,MATCH(HE2,'LT HD Forecast'!$A:$A,0)+1,MATCH(HK$3,'LT HD Forecast'!$AA$2:$AG$2,0))</f>
        <v>49.609281828291152</v>
      </c>
      <c r="HL8" s="379">
        <f>INDEX('LT HD Forecast'!$AA$1:$AG$55,MATCH(HE2,'LT HD Forecast'!$A:$A,0)+1,MATCH(HL$3,'LT HD Forecast'!$AA$2:$AG$2,0))</f>
        <v>0</v>
      </c>
      <c r="HM8" s="383"/>
      <c r="HN8" s="376">
        <f>INDEX('LT HD Forecast'!$AA$1:$AG$55,MATCH(HM2,'LT HD Forecast'!$A:$A,0),MATCH(HN$3,'LT HD Forecast'!$AA$2:$AG$2,0))</f>
        <v>48.765550856411032</v>
      </c>
      <c r="HO8" s="377">
        <f>INDEX('LT HD Forecast'!$AA$1:$AG$55,MATCH(HM2,'LT HD Forecast'!$A:$A,0),MATCH(HO$3,'LT HD Forecast'!$AA$2:$AG$2,0))</f>
        <v>47.494216696616142</v>
      </c>
      <c r="HP8" s="378">
        <f>INDEX('LT HD Forecast'!$AA$1:$AG$55,MATCH(HM2,'LT HD Forecast'!$A:$A,0),MATCH(HP$3,'LT HD Forecast'!$AA$2:$AG$2,0))</f>
        <v>47.982262685687111</v>
      </c>
      <c r="HQ8" s="260">
        <f>INDEX('LT HD Forecast'!$AA$1:$AG$55,MATCH(HM2,'LT HD Forecast'!$A:$A,0)+1,MATCH(HQ$3,'LT HD Forecast'!$AA$2:$AG$2,0))</f>
        <v>48.693982170731843</v>
      </c>
      <c r="HR8" s="378">
        <f>INDEX('LT HD Forecast'!$AA$1:$AG$55,MATCH(HM2,'LT HD Forecast'!$A:$A,0)+1,MATCH(HR$3,'LT HD Forecast'!$AA$2:$AG$2,0))</f>
        <v>50.025030783053431</v>
      </c>
      <c r="HS8" s="378">
        <f>INDEX('LT HD Forecast'!$AA$1:$AG$55,MATCH(HM2,'LT HD Forecast'!$A:$A,0)+1,MATCH(HS$3,'LT HD Forecast'!$AA$2:$AG$2,0))</f>
        <v>49.115282998128713</v>
      </c>
      <c r="HT8" s="379">
        <f>INDEX('LT HD Forecast'!$AA$1:$AG$55,MATCH(HM2,'LT HD Forecast'!$A:$A,0)+1,MATCH(HT$3,'LT HD Forecast'!$AA$2:$AG$2,0))</f>
        <v>0</v>
      </c>
      <c r="HU8" s="383"/>
      <c r="HV8" s="376">
        <f>INDEX('LT HD Forecast'!$AA$1:$AG$55,MATCH(HU2,'LT HD Forecast'!$A:$A,0),MATCH(HV$3,'LT HD Forecast'!$AA$2:$AG$2,0))</f>
        <v>48.012726773104617</v>
      </c>
      <c r="HW8" s="377">
        <f>INDEX('LT HD Forecast'!$AA$1:$AG$55,MATCH(HU2,'LT HD Forecast'!$A:$A,0),MATCH(HW$3,'LT HD Forecast'!$AA$2:$AG$2,0))</f>
        <v>46.733298709494285</v>
      </c>
      <c r="HX8" s="378">
        <f>INDEX('LT HD Forecast'!$AA$1:$AG$55,MATCH(HU2,'LT HD Forecast'!$A:$A,0),MATCH(HX$3,'LT HD Forecast'!$AA$2:$AG$2,0))</f>
        <v>46.91686797592498</v>
      </c>
      <c r="HY8" s="260">
        <f>INDEX('LT HD Forecast'!$AA$1:$AG$55,MATCH(HU2,'LT HD Forecast'!$A:$A,0)+1,MATCH(HY$3,'LT HD Forecast'!$AA$2:$AG$2,0))</f>
        <v>0</v>
      </c>
      <c r="HZ8" s="378">
        <f>INDEX('LT HD Forecast'!$AA$1:$AG$55,MATCH(HU2,'LT HD Forecast'!$A:$A,0)+1,MATCH(HZ$3,'LT HD Forecast'!$AA$2:$AG$2,0))</f>
        <v>49.468724494292481</v>
      </c>
      <c r="IA8" s="378">
        <f>INDEX('LT HD Forecast'!$AA$1:$AG$55,MATCH(HU2,'LT HD Forecast'!$A:$A,0)+1,MATCH(IA$3,'LT HD Forecast'!$AA$2:$AG$2,0))</f>
        <v>48.577880462728821</v>
      </c>
      <c r="IB8" s="379">
        <f>INDEX('LT HD Forecast'!$AA$1:$AG$55,MATCH(HU2,'LT HD Forecast'!$A:$A,0)+1,MATCH(IB$3,'LT HD Forecast'!$AA$2:$AG$2,0))</f>
        <v>0</v>
      </c>
      <c r="IC8" s="383"/>
      <c r="ID8" s="376">
        <f>INDEX('LT HD Forecast'!$AA$1:$AG$55,MATCH(IC2,'LT HD Forecast'!$A:$A,0),MATCH(ID$3,'LT HD Forecast'!$AA$2:$AG$2,0))</f>
        <v>47.146669813841825</v>
      </c>
      <c r="IE8" s="377">
        <f>INDEX('LT HD Forecast'!$AA$1:$AG$55,MATCH(IC2,'LT HD Forecast'!$A:$A,0),MATCH(IE$3,'LT HD Forecast'!$AA$2:$AG$2,0))</f>
        <v>46.539877728570303</v>
      </c>
      <c r="IF8" s="378">
        <f>INDEX('LT HD Forecast'!$AA$1:$AG$55,MATCH(IC2,'LT HD Forecast'!$A:$A,0),MATCH(IF$3,'LT HD Forecast'!$AA$2:$AG$2,0))</f>
        <v>46.905249242696421</v>
      </c>
      <c r="IG8" s="260">
        <f>INDEX('LT HD Forecast'!$AA$1:$AG$55,MATCH(IC2,'LT HD Forecast'!$A:$A,0)+1,MATCH(IG$3,'LT HD Forecast'!$AA$2:$AG$2,0))</f>
        <v>47.067441928000477</v>
      </c>
      <c r="IH8" s="378">
        <f>INDEX('LT HD Forecast'!$AA$1:$AG$55,MATCH(IC2,'LT HD Forecast'!$A:$A,0)+1,MATCH(IH$3,'LT HD Forecast'!$AA$2:$AG$2,0))</f>
        <v>48.691696461071913</v>
      </c>
      <c r="II8" s="378">
        <f>INDEX('LT HD Forecast'!$AA$1:$AG$55,MATCH(IC2,'LT HD Forecast'!$A:$A,0)+1,MATCH(II$3,'LT HD Forecast'!$AA$2:$AG$2,0))</f>
        <v>48.878016806936976</v>
      </c>
      <c r="IJ8" s="379">
        <f>INDEX('LT HD Forecast'!$AA$1:$AG$55,MATCH(IC2,'LT HD Forecast'!$A:$A,0)+1,MATCH(IJ$3,'LT HD Forecast'!$AA$2:$AG$2,0))</f>
        <v>0</v>
      </c>
      <c r="IK8" s="383"/>
      <c r="IL8" s="376">
        <f>INDEX('LT HD Forecast'!$AA$1:$AG$55,MATCH(IK2,'LT HD Forecast'!$A:$A,0),MATCH(IL$3,'LT HD Forecast'!$AA$2:$AG$2,0))</f>
        <v>46.446210925004202</v>
      </c>
      <c r="IM8" s="377">
        <f>INDEX('LT HD Forecast'!$AA$1:$AG$55,MATCH(IK2,'LT HD Forecast'!$A:$A,0),MATCH(IM$3,'LT HD Forecast'!$AA$2:$AG$2,0))</f>
        <v>44.656179434406383</v>
      </c>
      <c r="IN8" s="378">
        <f>INDEX('LT HD Forecast'!$AA$1:$AG$55,MATCH(IK2,'LT HD Forecast'!$A:$A,0),MATCH(IN$3,'LT HD Forecast'!$AA$2:$AG$2,0))</f>
        <v>46.051996014317574</v>
      </c>
      <c r="IO8" s="260">
        <f>INDEX('LT HD Forecast'!$AA$1:$AG$55,MATCH(IK2,'LT HD Forecast'!$A:$A,0)+1,MATCH(IO$3,'LT HD Forecast'!$AA$2:$AG$2,0))</f>
        <v>47.908522798289823</v>
      </c>
      <c r="IP8" s="378">
        <f>INDEX('LT HD Forecast'!$AA$1:$AG$55,MATCH(IK2,'LT HD Forecast'!$A:$A,0)+1,MATCH(IP$3,'LT HD Forecast'!$AA$2:$AG$2,0))</f>
        <v>49.855127694954071</v>
      </c>
      <c r="IQ8" s="378">
        <f>INDEX('LT HD Forecast'!$AA$1:$AG$55,MATCH(IK2,'LT HD Forecast'!$A:$A,0)+1,MATCH(IQ$3,'LT HD Forecast'!$AA$2:$AG$2,0))</f>
        <v>49.824391281399819</v>
      </c>
      <c r="IR8" s="379">
        <f>INDEX('LT HD Forecast'!$AA$1:$AG$55,MATCH(IK2,'LT HD Forecast'!$A:$A,0)+1,MATCH(IR$3,'LT HD Forecast'!$AA$2:$AG$2,0))</f>
        <v>0</v>
      </c>
      <c r="IS8" s="383"/>
      <c r="IT8" s="376">
        <f>INDEX('LT HD Forecast'!$AA$1:$AG$55,MATCH(IS2,'LT HD Forecast'!$A:$A,0),MATCH(IT$3,'LT HD Forecast'!$AA$2:$AG$2,0))</f>
        <v>48.131395432170763</v>
      </c>
      <c r="IU8" s="377">
        <f>INDEX('LT HD Forecast'!$AA$1:$AG$55,MATCH(IS2,'LT HD Forecast'!$A:$A,0),MATCH(IU$3,'LT HD Forecast'!$AA$2:$AG$2,0))</f>
        <v>45.860092047315547</v>
      </c>
      <c r="IV8" s="378">
        <f>INDEX('LT HD Forecast'!$AA$1:$AG$55,MATCH(IS2,'LT HD Forecast'!$A:$A,0),MATCH(IV$3,'LT HD Forecast'!$AA$2:$AG$2,0))</f>
        <v>46.787284104349915</v>
      </c>
      <c r="IW8" s="260">
        <f>INDEX('LT HD Forecast'!$AA$1:$AG$55,MATCH(IS2,'LT HD Forecast'!$A:$A,0)+1,MATCH(IW$3,'LT HD Forecast'!$AA$2:$AG$2,0))</f>
        <v>46.475118919026094</v>
      </c>
      <c r="IX8" s="378">
        <f>INDEX('LT HD Forecast'!$AA$1:$AG$55,MATCH(IS2,'LT HD Forecast'!$A:$A,0)+1,MATCH(IX$3,'LT HD Forecast'!$AA$2:$AG$2,0))</f>
        <v>48.134045353624309</v>
      </c>
      <c r="IY8" s="378">
        <f>INDEX('LT HD Forecast'!$AA$1:$AG$55,MATCH(IS2,'LT HD Forecast'!$A:$A,0)+1,MATCH(IY$3,'LT HD Forecast'!$AA$2:$AG$2,0))</f>
        <v>48.315571251366293</v>
      </c>
      <c r="IZ8" s="379">
        <f>INDEX('LT HD Forecast'!$AA$1:$AG$55,MATCH(IS2,'LT HD Forecast'!$A:$A,0)+1,MATCH(IZ$3,'LT HD Forecast'!$AA$2:$AG$2,0))</f>
        <v>0</v>
      </c>
      <c r="JA8" s="383"/>
      <c r="JB8" s="376">
        <f>INDEX('LT HD Forecast'!$AA$1:$AG$55,MATCH(JA2,'LT HD Forecast'!$A:$A,0),MATCH(JB$3,'LT HD Forecast'!$AA$2:$AG$2,0))</f>
        <v>0</v>
      </c>
      <c r="JC8" s="377">
        <f>INDEX('LT HD Forecast'!$AA$1:$AG$55,MATCH(JA2,'LT HD Forecast'!$A:$A,0),MATCH(JC$3,'LT HD Forecast'!$AA$2:$AG$2,0))</f>
        <v>44.438576629249049</v>
      </c>
      <c r="JD8" s="378">
        <f>INDEX('LT HD Forecast'!$AA$1:$AG$55,MATCH(JA2,'LT HD Forecast'!$A:$A,0),MATCH(JD$3,'LT HD Forecast'!$AA$2:$AG$2,0))</f>
        <v>45.438002190222235</v>
      </c>
      <c r="JE8" s="260">
        <f>INDEX('LT HD Forecast'!$AA$1:$AG$55,MATCH(JA2,'LT HD Forecast'!$A:$A,0)+1,MATCH(JE$3,'LT HD Forecast'!$AA$2:$AG$2,0))</f>
        <v>46.943995111217497</v>
      </c>
      <c r="JF8" s="378">
        <f>INDEX('LT HD Forecast'!$AA$1:$AG$55,MATCH(JA2,'LT HD Forecast'!$A:$A,0)+1,MATCH(JF$3,'LT HD Forecast'!$AA$2:$AG$2,0))</f>
        <v>48.648108233002027</v>
      </c>
      <c r="JG8" s="378">
        <f>INDEX('LT HD Forecast'!$AA$1:$AG$55,MATCH(JA2,'LT HD Forecast'!$A:$A,0)+1,MATCH(JG$3,'LT HD Forecast'!$AA$2:$AG$2,0))</f>
        <v>48.822453348214495</v>
      </c>
      <c r="JH8" s="379">
        <f>INDEX('LT HD Forecast'!$AA$1:$AG$55,MATCH(JA2,'LT HD Forecast'!$A:$A,0)+1,MATCH(JH$3,'LT HD Forecast'!$AA$2:$AG$2,0))</f>
        <v>0</v>
      </c>
      <c r="JI8" s="383"/>
      <c r="JJ8" s="376">
        <f>INDEX('LT HD Forecast'!$AA$1:$AG$55,MATCH(JI2,'LT HD Forecast'!$A:$A,0),MATCH(JJ$3,'LT HD Forecast'!$AA$2:$AG$2,0))</f>
        <v>47.622442281542725</v>
      </c>
      <c r="JK8" s="377">
        <f>INDEX('LT HD Forecast'!$AA$1:$AG$55,MATCH(JI2,'LT HD Forecast'!$A:$A,0),MATCH(JK$3,'LT HD Forecast'!$AA$2:$AG$2,0))</f>
        <v>44.891544622711727</v>
      </c>
      <c r="JL8" s="378">
        <f>INDEX('LT HD Forecast'!$AA$1:$AG$55,MATCH(JI2,'LT HD Forecast'!$A:$A,0),MATCH(JL$3,'LT HD Forecast'!$AA$2:$AG$2,0))</f>
        <v>45.894619073678342</v>
      </c>
      <c r="JM8" s="260">
        <f>INDEX('LT HD Forecast'!$AA$1:$AG$55,MATCH(JI2,'LT HD Forecast'!$A:$A,0)+1,MATCH(JM$3,'LT HD Forecast'!$AA$2:$AG$2,0))</f>
        <v>47.755297664776151</v>
      </c>
      <c r="JN8" s="378">
        <f>INDEX('LT HD Forecast'!$AA$1:$AG$55,MATCH(JI2,'LT HD Forecast'!$A:$A,0)+1,MATCH(JN$3,'LT HD Forecast'!$AA$2:$AG$2,0))</f>
        <v>50.216137715264018</v>
      </c>
      <c r="JO8" s="378">
        <f>INDEX('LT HD Forecast'!$AA$1:$AG$55,MATCH(JI2,'LT HD Forecast'!$A:$A,0)+1,MATCH(JO$3,'LT HD Forecast'!$AA$2:$AG$2,0))</f>
        <v>50.104069675585002</v>
      </c>
      <c r="JP8" s="379">
        <f>INDEX('LT HD Forecast'!$AA$1:$AG$55,MATCH(JI2,'LT HD Forecast'!$A:$A,0)+1,MATCH(JP$3,'LT HD Forecast'!$AA$2:$AG$2,0))</f>
        <v>0</v>
      </c>
      <c r="JQ8" s="383"/>
      <c r="JR8" s="376">
        <f>INDEX('LT HD Forecast'!$AA$1:$AG$55,MATCH(JQ2,'LT HD Forecast'!$A:$A,0),MATCH(JR$3,'LT HD Forecast'!$AA$2:$AG$2,0))</f>
        <v>49.706511611694268</v>
      </c>
      <c r="JS8" s="377">
        <f>INDEX('LT HD Forecast'!$AA$1:$AG$55,MATCH(JQ2,'LT HD Forecast'!$A:$A,0),MATCH(JS$3,'LT HD Forecast'!$AA$2:$AG$2,0))</f>
        <v>47.284188270846727</v>
      </c>
      <c r="JT8" s="378">
        <f>INDEX('LT HD Forecast'!$AA$1:$AG$55,MATCH(JQ2,'LT HD Forecast'!$A:$A,0),MATCH(JT$3,'LT HD Forecast'!$AA$2:$AG$2,0))</f>
        <v>47.251547934933875</v>
      </c>
      <c r="JU8" s="260">
        <f>INDEX('LT HD Forecast'!$AA$1:$AG$55,MATCH(JQ2,'LT HD Forecast'!$A:$A,0)+1,MATCH(JU$3,'LT HD Forecast'!$AA$2:$AG$2,0))</f>
        <v>48.718888955918139</v>
      </c>
      <c r="JV8" s="378">
        <f>INDEX('LT HD Forecast'!$AA$1:$AG$55,MATCH(JQ2,'LT HD Forecast'!$A:$A,0)+1,MATCH(JV$3,'LT HD Forecast'!$AA$2:$AG$2,0))</f>
        <v>51.070661537905721</v>
      </c>
      <c r="JW8" s="378">
        <f>INDEX('LT HD Forecast'!$AA$1:$AG$55,MATCH(JQ2,'LT HD Forecast'!$A:$A,0)+1,MATCH(JW$3,'LT HD Forecast'!$AA$2:$AG$2,0))</f>
        <v>51.542495044616551</v>
      </c>
      <c r="JX8" s="379">
        <f>INDEX('LT HD Forecast'!$AA$1:$AG$55,MATCH(JQ2,'LT HD Forecast'!$A:$A,0)+1,MATCH(JX$3,'LT HD Forecast'!$AA$2:$AG$2,0))</f>
        <v>0</v>
      </c>
      <c r="JY8" s="383"/>
      <c r="JZ8" s="376">
        <f>INDEX('LT HD Forecast'!$AA$1:$AG$55,MATCH(JY2,'LT HD Forecast'!$A:$A,0),MATCH(JZ$3,'LT HD Forecast'!$AA$2:$AG$2,0))</f>
        <v>51.97984880853906</v>
      </c>
      <c r="KA8" s="377">
        <f>INDEX('LT HD Forecast'!$AA$1:$AG$55,MATCH(JY2,'LT HD Forecast'!$A:$A,0),MATCH(KA$3,'LT HD Forecast'!$AA$2:$AG$2,0))</f>
        <v>49.027344768282127</v>
      </c>
      <c r="KB8" s="378">
        <f>INDEX('LT HD Forecast'!$AA$1:$AG$55,MATCH(JY2,'LT HD Forecast'!$A:$A,0),MATCH(KB$3,'LT HD Forecast'!$AA$2:$AG$2,0))</f>
        <v>50.828996328432993</v>
      </c>
      <c r="KC8" s="260">
        <f>INDEX('LT HD Forecast'!$AA$1:$AG$55,MATCH(JY2,'LT HD Forecast'!$A:$A,0)+1,MATCH(KC$3,'LT HD Forecast'!$AA$2:$AG$2,0))</f>
        <v>48.594146852246588</v>
      </c>
      <c r="KD8" s="378">
        <f>INDEX('LT HD Forecast'!$AA$1:$AG$55,MATCH(JY2,'LT HD Forecast'!$A:$A,0)+1,MATCH(KD$3,'LT HD Forecast'!$AA$2:$AG$2,0))</f>
        <v>50.708263415745421</v>
      </c>
      <c r="KE8" s="378">
        <f>INDEX('LT HD Forecast'!$AA$1:$AG$55,MATCH(JY2,'LT HD Forecast'!$A:$A,0)+1,MATCH(KE$3,'LT HD Forecast'!$AA$2:$AG$2,0))</f>
        <v>51.53556352820857</v>
      </c>
      <c r="KF8" s="379">
        <f>INDEX('LT HD Forecast'!$AA$1:$AG$55,MATCH(JY2,'LT HD Forecast'!$A:$A,0)+1,MATCH(KF$3,'LT HD Forecast'!$AA$2:$AG$2,0))</f>
        <v>0</v>
      </c>
      <c r="KG8" s="383"/>
      <c r="KH8" s="376">
        <f>INDEX('LT HD Forecast'!$AA$1:$AG$55,MATCH(KG2,'LT HD Forecast'!$A:$A,0),MATCH(KH$3,'LT HD Forecast'!$AA$2:$AG$2,0))</f>
        <v>51.445051379526539</v>
      </c>
      <c r="KI8" s="377">
        <f>INDEX('LT HD Forecast'!$AA$1:$AG$55,MATCH(KG2,'LT HD Forecast'!$A:$A,0),MATCH(KI$3,'LT HD Forecast'!$AA$2:$AG$2,0))</f>
        <v>48.953008769527344</v>
      </c>
      <c r="KJ8" s="378">
        <f>INDEX('LT HD Forecast'!$AA$1:$AG$55,MATCH(KG2,'LT HD Forecast'!$A:$A,0),MATCH(KJ$3,'LT HD Forecast'!$AA$2:$AG$2,0))</f>
        <v>50.718304017505183</v>
      </c>
      <c r="KK8" s="260">
        <f>INDEX('LT HD Forecast'!$AA$1:$AG$55,MATCH(KG2,'LT HD Forecast'!$A:$A,0)+1,MATCH(KK$3,'LT HD Forecast'!$AA$2:$AG$2,0))</f>
        <v>48.16590761607474</v>
      </c>
      <c r="KL8" s="378">
        <f>INDEX('LT HD Forecast'!$AA$1:$AG$55,MATCH(KG2,'LT HD Forecast'!$A:$A,0)+1,MATCH(KL$3,'LT HD Forecast'!$AA$2:$AG$2,0))</f>
        <v>50.598027561223432</v>
      </c>
      <c r="KM8" s="378">
        <f>INDEX('LT HD Forecast'!$AA$1:$AG$55,MATCH(KG2,'LT HD Forecast'!$A:$A,0)+1,MATCH(KM$3,'LT HD Forecast'!$AA$2:$AG$2,0))</f>
        <v>48.612435829141447</v>
      </c>
      <c r="KN8" s="379">
        <f>INDEX('LT HD Forecast'!$AA$1:$AG$55,MATCH(KG2,'LT HD Forecast'!$A:$A,0)+1,MATCH(KN$3,'LT HD Forecast'!$AA$2:$AG$2,0))</f>
        <v>0</v>
      </c>
      <c r="KO8" s="383"/>
      <c r="KP8" s="376">
        <f>INDEX('LT HD Forecast'!$AA$1:$AG$55,MATCH(KO2,'LT HD Forecast'!$A:$A,0),MATCH(KP$3,'LT HD Forecast'!$AA$2:$AG$2,0))</f>
        <v>47.277443095244735</v>
      </c>
      <c r="KQ8" s="377">
        <f>INDEX('LT HD Forecast'!$AA$1:$AG$55,MATCH(KO2,'LT HD Forecast'!$A:$A,0),MATCH(KQ$3,'LT HD Forecast'!$AA$2:$AG$2,0))</f>
        <v>44.42071451364184</v>
      </c>
      <c r="KR8" s="378">
        <f>INDEX('LT HD Forecast'!$AA$1:$AG$55,MATCH(KO2,'LT HD Forecast'!$A:$A,0),MATCH(KR$3,'LT HD Forecast'!$AA$2:$AG$2,0))</f>
        <v>45.708314019620254</v>
      </c>
      <c r="KS8" s="260">
        <f>INDEX('LT HD Forecast'!$AA$1:$AG$55,MATCH(KO2,'LT HD Forecast'!$A:$A,0)+1,MATCH(KS$3,'LT HD Forecast'!$AA$2:$AG$2,0))</f>
        <v>48.002928947453825</v>
      </c>
      <c r="KT8" s="378">
        <f>INDEX('LT HD Forecast'!$AA$1:$AG$55,MATCH(KO2,'LT HD Forecast'!$A:$A,0)+1,MATCH(KT$3,'LT HD Forecast'!$AA$2:$AG$2,0))</f>
        <v>51.347304250892577</v>
      </c>
      <c r="KU8" s="378">
        <f>INDEX('LT HD Forecast'!$AA$1:$AG$55,MATCH(KO2,'LT HD Forecast'!$A:$A,0)+1,MATCH(KU$3,'LT HD Forecast'!$AA$2:$AG$2,0))</f>
        <v>50.405812671299266</v>
      </c>
      <c r="KV8" s="379">
        <f>INDEX('LT HD Forecast'!$AA$1:$AG$55,MATCH(KO2,'LT HD Forecast'!$A:$A,0)+1,MATCH(KV$3,'LT HD Forecast'!$AA$2:$AG$2,0))</f>
        <v>0</v>
      </c>
      <c r="KW8" s="383"/>
      <c r="KX8" s="376">
        <f>INDEX('LT HD Forecast'!$AA$1:$AG$55,MATCH(KW2,'LT HD Forecast'!$A:$A,0),MATCH(KX$3,'LT HD Forecast'!$AA$2:$AG$2,0))</f>
        <v>45.377777066001549</v>
      </c>
      <c r="KY8" s="377">
        <f>INDEX('LT HD Forecast'!$AA$1:$AG$55,MATCH(KW2,'LT HD Forecast'!$A:$A,0),MATCH(KY$3,'LT HD Forecast'!$AA$2:$AG$2,0))</f>
        <v>48.145570792635581</v>
      </c>
      <c r="KZ8" s="378">
        <f>INDEX('LT HD Forecast'!$AA$1:$AG$55,MATCH(KW2,'LT HD Forecast'!$A:$A,0),MATCH(KZ$3,'LT HD Forecast'!$AA$2:$AG$2,0))</f>
        <v>48.883093678339996</v>
      </c>
      <c r="LA8" s="260">
        <f>INDEX('LT HD Forecast'!$AA$1:$AG$55,MATCH(KW2,'LT HD Forecast'!$A:$A,0)+1,MATCH(LA$3,'LT HD Forecast'!$AA$2:$AG$2,0))</f>
        <v>49.436800179699858</v>
      </c>
      <c r="LB8" s="378">
        <f>INDEX('LT HD Forecast'!$AA$1:$AG$55,MATCH(KW2,'LT HD Forecast'!$A:$A,0)+1,MATCH(LB$3,'LT HD Forecast'!$AA$2:$AG$2,0))</f>
        <v>50.691192061806063</v>
      </c>
      <c r="LC8" s="378">
        <f>INDEX('LT HD Forecast'!$AA$1:$AG$55,MATCH(KW2,'LT HD Forecast'!$A:$A,0)+1,MATCH(LC$3,'LT HD Forecast'!$AA$2:$AG$2,0))</f>
        <v>50.133553129503504</v>
      </c>
      <c r="LD8" s="379">
        <f>INDEX('LT HD Forecast'!$AA$1:$AG$55,MATCH(KW2,'LT HD Forecast'!$A:$A,0)+1,MATCH(LD$3,'LT HD Forecast'!$AA$2:$AG$2,0))</f>
        <v>0</v>
      </c>
      <c r="LE8" s="383"/>
      <c r="LF8" s="376">
        <f>INDEX('LT HD Forecast'!$AA$1:$AG$55,MATCH(LE2,'LT HD Forecast'!$A:$A,0),MATCH(LF$3,'LT HD Forecast'!$AA$2:$AG$2,0))</f>
        <v>49.353970183174624</v>
      </c>
      <c r="LG8" s="377">
        <f>INDEX('LT HD Forecast'!$AA$1:$AG$55,MATCH(LE2,'LT HD Forecast'!$A:$A,0),MATCH(LG$3,'LT HD Forecast'!$AA$2:$AG$2,0))</f>
        <v>47.22242820266333</v>
      </c>
      <c r="LH8" s="378">
        <f>INDEX('LT HD Forecast'!$AA$1:$AG$55,MATCH(LE2,'LT HD Forecast'!$A:$A,0),MATCH(LH$3,'LT HD Forecast'!$AA$2:$AG$2,0))</f>
        <v>47.880666269925108</v>
      </c>
      <c r="LI8" s="260">
        <f>INDEX('LT HD Forecast'!$AA$1:$AG$55,MATCH(LE2,'LT HD Forecast'!$A:$A,0)+1,MATCH(LI$3,'LT HD Forecast'!$AA$2:$AG$2,0))</f>
        <v>48.865742433718651</v>
      </c>
      <c r="LJ8" s="378">
        <f>INDEX('LT HD Forecast'!$AA$1:$AG$55,MATCH(LE2,'LT HD Forecast'!$A:$A,0)+1,MATCH(LJ$3,'LT HD Forecast'!$AA$2:$AG$2,0))</f>
        <v>51.646023910098968</v>
      </c>
      <c r="LK8" s="378">
        <f>INDEX('LT HD Forecast'!$AA$1:$AG$55,MATCH(LE2,'LT HD Forecast'!$A:$A,0)+1,MATCH(LK$3,'LT HD Forecast'!$AA$2:$AG$2,0))</f>
        <v>51.56287019022848</v>
      </c>
      <c r="LL8" s="379">
        <f>INDEX('LT HD Forecast'!$AA$1:$AG$55,MATCH(LE2,'LT HD Forecast'!$A:$A,0)+1,MATCH(LL$3,'LT HD Forecast'!$AA$2:$AG$2,0))</f>
        <v>0</v>
      </c>
      <c r="LM8" s="383"/>
      <c r="LN8" s="376">
        <f>INDEX('LT HD Forecast'!$AA$1:$AG$55,MATCH(LM2,'LT HD Forecast'!$A:$A,0),MATCH(LN$3,'LT HD Forecast'!$AA$2:$AG$2,0))</f>
        <v>50.072541070168036</v>
      </c>
      <c r="LO8" s="377">
        <f>INDEX('LT HD Forecast'!$AA$1:$AG$55,MATCH(LM2,'LT HD Forecast'!$A:$A,0),MATCH(LO$3,'LT HD Forecast'!$AA$2:$AG$2,0))</f>
        <v>48.184306495762847</v>
      </c>
      <c r="LP8" s="378">
        <f>INDEX('LT HD Forecast'!$AA$1:$AG$55,MATCH(LM2,'LT HD Forecast'!$A:$A,0),MATCH(LP$3,'LT HD Forecast'!$AA$2:$AG$2,0))</f>
        <v>48.322842806116263</v>
      </c>
      <c r="LQ8" s="260">
        <f>INDEX('LT HD Forecast'!$AA$1:$AG$55,MATCH(LM2,'LT HD Forecast'!$A:$A,0)+1,MATCH(LQ$3,'LT HD Forecast'!$AA$2:$AG$2,0))</f>
        <v>49.285979068142709</v>
      </c>
      <c r="LR8" s="378">
        <f>INDEX('LT HD Forecast'!$AA$1:$AG$55,MATCH(LM2,'LT HD Forecast'!$A:$A,0)+1,MATCH(LR$3,'LT HD Forecast'!$AA$2:$AG$2,0))</f>
        <v>51.295889203800293</v>
      </c>
      <c r="LS8" s="378">
        <f>INDEX('LT HD Forecast'!$AA$1:$AG$55,MATCH(LM2,'LT HD Forecast'!$A:$A,0)+1,MATCH(LS$3,'LT HD Forecast'!$AA$2:$AG$2,0))</f>
        <v>52.040124060982151</v>
      </c>
      <c r="LT8" s="379">
        <f>INDEX('LT HD Forecast'!$AA$1:$AG$55,MATCH(LM2,'LT HD Forecast'!$A:$A,0)+1,MATCH(LT$3,'LT HD Forecast'!$AA$2:$AG$2,0))</f>
        <v>0</v>
      </c>
      <c r="LU8" s="383"/>
      <c r="LV8" s="376">
        <f>INDEX('LT HD Forecast'!$AA$1:$AG$55,MATCH(LU2,'LT HD Forecast'!$A:$A,0),MATCH(LV$3,'LT HD Forecast'!$AA$2:$AG$2,0))</f>
        <v>50.082639783140138</v>
      </c>
      <c r="LW8" s="377">
        <f>INDEX('LT HD Forecast'!$AA$1:$AG$55,MATCH(LU2,'LT HD Forecast'!$A:$A,0),MATCH(LW$3,'LT HD Forecast'!$AA$2:$AG$2,0))</f>
        <v>48.435882497684524</v>
      </c>
      <c r="LX8" s="378">
        <f>INDEX('LT HD Forecast'!$AA$1:$AG$55,MATCH(LU2,'LT HD Forecast'!$A:$A,0),MATCH(LX$3,'LT HD Forecast'!$AA$2:$AG$2,0))</f>
        <v>48.83837548612788</v>
      </c>
      <c r="LY8" s="260">
        <f>INDEX('LT HD Forecast'!$AA$1:$AG$55,MATCH(LU2,'LT HD Forecast'!$A:$A,0)+1,MATCH(LY$3,'LT HD Forecast'!$AA$2:$AG$2,0))</f>
        <v>49.142936630785485</v>
      </c>
      <c r="LZ8" s="378">
        <f>INDEX('LT HD Forecast'!$AA$1:$AG$55,MATCH(LU2,'LT HD Forecast'!$A:$A,0)+1,MATCH(LZ$3,'LT HD Forecast'!$AA$2:$AG$2,0))</f>
        <v>50.521001740655684</v>
      </c>
      <c r="MA8" s="378">
        <f>INDEX('LT HD Forecast'!$AA$1:$AG$55,MATCH(LU2,'LT HD Forecast'!$A:$A,0)+1,MATCH(MA$3,'LT HD Forecast'!$AA$2:$AG$2,0))</f>
        <v>51.261108390265299</v>
      </c>
      <c r="MB8" s="379">
        <f>INDEX('LT HD Forecast'!$AA$1:$AG$55,MATCH(LU2,'LT HD Forecast'!$A:$A,0)+1,MATCH(MB$3,'LT HD Forecast'!$AA$2:$AG$2,0))</f>
        <v>0</v>
      </c>
      <c r="MC8" s="383"/>
      <c r="MD8" s="376">
        <f>INDEX('LT HD Forecast'!$AA$1:$AG$55,MATCH(MC2,'LT HD Forecast'!$A:$A,0),MATCH(MD$3,'LT HD Forecast'!$AA$2:$AG$2,0))</f>
        <v>49.325866154989747</v>
      </c>
      <c r="ME8" s="377">
        <f>INDEX('LT HD Forecast'!$AA$1:$AG$55,MATCH(MC2,'LT HD Forecast'!$A:$A,0),MATCH(ME$3,'LT HD Forecast'!$AA$2:$AG$2,0))</f>
        <v>47.708077888500966</v>
      </c>
      <c r="MF8" s="378">
        <f>INDEX('LT HD Forecast'!$AA$1:$AG$55,MATCH(MC2,'LT HD Forecast'!$A:$A,0),MATCH(MF$3,'LT HD Forecast'!$AA$2:$AG$2,0))</f>
        <v>48.078325257563478</v>
      </c>
      <c r="MG8" s="260">
        <f>INDEX('LT HD Forecast'!$AA$1:$AG$55,MATCH(MC2,'LT HD Forecast'!$A:$A,0)+1,MATCH(MG$3,'LT HD Forecast'!$AA$2:$AG$2,0))</f>
        <v>47.886997547659142</v>
      </c>
      <c r="MH8" s="378">
        <f>INDEX('LT HD Forecast'!$AA$1:$AG$55,MATCH(MC2,'LT HD Forecast'!$A:$A,0)+1,MATCH(MH$3,'LT HD Forecast'!$AA$2:$AG$2,0))</f>
        <v>49.319616999262749</v>
      </c>
      <c r="MI8" s="378">
        <f>INDEX('LT HD Forecast'!$AA$1:$AG$55,MATCH(MC2,'LT HD Forecast'!$A:$A,0)+1,MATCH(MI$3,'LT HD Forecast'!$AA$2:$AG$2,0))</f>
        <v>49.820279799181336</v>
      </c>
      <c r="MJ8" s="379">
        <f>INDEX('LT HD Forecast'!$AA$1:$AG$55,MATCH(MC2,'LT HD Forecast'!$A:$A,0)+1,MATCH(MJ$3,'LT HD Forecast'!$AA$2:$AG$2,0))</f>
        <v>0</v>
      </c>
      <c r="MK8" s="383"/>
      <c r="ML8" s="376">
        <f>INDEX('LT HD Forecast'!$AA$1:$AG$55,MATCH(MK2,'LT HD Forecast'!$A:$A,0),MATCH(ML$3,'LT HD Forecast'!$AA$2:$AG$2,0))</f>
        <v>47.705282126489458</v>
      </c>
      <c r="MM8" s="377">
        <f>INDEX('LT HD Forecast'!$AA$1:$AG$55,MATCH(MK2,'LT HD Forecast'!$A:$A,0),MATCH(MM$3,'LT HD Forecast'!$AA$2:$AG$2,0))</f>
        <v>0</v>
      </c>
      <c r="MN8" s="378">
        <f>INDEX('LT HD Forecast'!$AA$1:$AG$55,MATCH(MK2,'LT HD Forecast'!$A:$A,0),MATCH(MN$3,'LT HD Forecast'!$AA$2:$AG$2,0))</f>
        <v>46.328789950572322</v>
      </c>
      <c r="MO8" s="260">
        <f>INDEX('LT HD Forecast'!$AA$1:$AG$55,MATCH(MK2,'LT HD Forecast'!$A:$A,0)+1,MATCH(MO$3,'LT HD Forecast'!$AA$2:$AG$2,0))</f>
        <v>47.39099292386549</v>
      </c>
      <c r="MP8" s="378">
        <f>INDEX('LT HD Forecast'!$AA$1:$AG$55,MATCH(MK2,'LT HD Forecast'!$A:$A,0)+1,MATCH(MP$3,'LT HD Forecast'!$AA$2:$AG$2,0))</f>
        <v>51.007044940297959</v>
      </c>
      <c r="MQ8" s="378">
        <f>INDEX('LT HD Forecast'!$AA$1:$AG$55,MATCH(MK2,'LT HD Forecast'!$A:$A,0)+1,MATCH(MQ$3,'LT HD Forecast'!$AA$2:$AG$2,0))</f>
        <v>51.753251676808119</v>
      </c>
      <c r="MR8" s="379">
        <f>INDEX('LT HD Forecast'!$AA$1:$AG$55,MATCH(MK2,'LT HD Forecast'!$A:$A,0)+1,MATCH(MR$3,'LT HD Forecast'!$AA$2:$AG$2,0))</f>
        <v>0</v>
      </c>
      <c r="MS8" s="383"/>
      <c r="MT8" s="376">
        <f>INDEX('LT HD Forecast'!$AA$1:$AG$55,MATCH(MS2,'LT HD Forecast'!$A:$A,0),MATCH(MT$3,'LT HD Forecast'!$AA$2:$AG$2,0))</f>
        <v>49.771318257777857</v>
      </c>
      <c r="MU8" s="377">
        <f>INDEX('LT HD Forecast'!$AA$1:$AG$55,MATCH(MS2,'LT HD Forecast'!$A:$A,0),MATCH(MU$3,'LT HD Forecast'!$AA$2:$AG$2,0))</f>
        <v>48.198008861765821</v>
      </c>
      <c r="MV8" s="378">
        <f>INDEX('LT HD Forecast'!$AA$1:$AG$55,MATCH(MS2,'LT HD Forecast'!$A:$A,0),MATCH(MV$3,'LT HD Forecast'!$AA$2:$AG$2,0))</f>
        <v>48.519083794371717</v>
      </c>
      <c r="MW8" s="260">
        <f>INDEX('LT HD Forecast'!$AA$1:$AG$55,MATCH(MS2,'LT HD Forecast'!$A:$A,0)+1,MATCH(MW$3,'LT HD Forecast'!$AA$2:$AG$2,0))</f>
        <v>48.311375438530504</v>
      </c>
      <c r="MX8" s="378">
        <f>INDEX('LT HD Forecast'!$AA$1:$AG$55,MATCH(MS2,'LT HD Forecast'!$A:$A,0)+1,MATCH(MX$3,'LT HD Forecast'!$AA$2:$AG$2,0))</f>
        <v>0</v>
      </c>
      <c r="MY8" s="378">
        <f>INDEX('LT HD Forecast'!$AA$1:$AG$55,MATCH(MS2,'LT HD Forecast'!$A:$A,0)+1,MATCH(MY$3,'LT HD Forecast'!$AA$2:$AG$2,0))</f>
        <v>52.302801241089703</v>
      </c>
      <c r="MZ8" s="379">
        <f>INDEX('LT HD Forecast'!$AA$1:$AG$55,MATCH(MS2,'LT HD Forecast'!$A:$A,0)+1,MATCH(MZ$3,'LT HD Forecast'!$AA$2:$AG$2,0))</f>
        <v>0</v>
      </c>
      <c r="NA8" s="383"/>
      <c r="NB8" s="376">
        <f>INDEX('LT HD Forecast'!$AA$1:$AG$55,MATCH(NA2,'LT HD Forecast'!$A:$A,0),MATCH(NB$3,'LT HD Forecast'!$AA$2:$AG$2,0))</f>
        <v>50.16463529984577</v>
      </c>
      <c r="NC8" s="377">
        <f>INDEX('LT HD Forecast'!$AA$1:$AG$55,MATCH(NA2,'LT HD Forecast'!$A:$A,0),MATCH(NC$3,'LT HD Forecast'!$AA$2:$AG$2,0))</f>
        <v>49.74560523865069</v>
      </c>
      <c r="ND8" s="378">
        <f>INDEX('LT HD Forecast'!$AA$1:$AG$55,MATCH(NA2,'LT HD Forecast'!$A:$A,0),MATCH(ND$3,'LT HD Forecast'!$AA$2:$AG$2,0))</f>
        <v>50.373431777499107</v>
      </c>
      <c r="NE8" s="260">
        <f>INDEX('LT HD Forecast'!$AA$1:$AG$55,MATCH(NA2,'LT HD Forecast'!$A:$A,0)+1,MATCH(NE$3,'LT HD Forecast'!$AA$2:$AG$2,0))</f>
        <v>50.61913610160363</v>
      </c>
      <c r="NF8" s="378">
        <f>INDEX('LT HD Forecast'!$AA$1:$AG$55,MATCH(NA2,'LT HD Forecast'!$A:$A,0)+1,MATCH(NF$3,'LT HD Forecast'!$AA$2:$AG$2,0))</f>
        <v>48.731326039766515</v>
      </c>
      <c r="NG8" s="378">
        <f>INDEX('LT HD Forecast'!$AA$1:$AG$55,MATCH(NA2,'LT HD Forecast'!$A:$A,0)+1,MATCH(NG$3,'LT HD Forecast'!$AA$2:$AG$2,0))</f>
        <v>48.175131722890818</v>
      </c>
      <c r="NH8" s="379">
        <f>INDEX('LT HD Forecast'!$AA$1:$AG$55,MATCH(NA2,'LT HD Forecast'!$A:$A,0)+1,MATCH(NH$3,'LT HD Forecast'!$AA$2:$AG$2,0))</f>
        <v>0</v>
      </c>
      <c r="NI8" s="383"/>
      <c r="NJ8" s="376">
        <f>INDEX('LT HD Forecast'!$AA$1:$AG$55,MATCH(NI2,'LT HD Forecast'!$A:$A,0),MATCH(NJ$3,'LT HD Forecast'!$AA$2:$AG$2,0))</f>
        <v>47.616185730158875</v>
      </c>
      <c r="NK8" s="377">
        <f>INDEX('LT HD Forecast'!$AA$1:$AG$55,MATCH(NI2,'LT HD Forecast'!$A:$A,0),MATCH(NK$3,'LT HD Forecast'!$AA$2:$AG$2,0))</f>
        <v>48.615994175283198</v>
      </c>
      <c r="NL8" s="378">
        <f>INDEX('LT HD Forecast'!$AA$1:$AG$55,MATCH(NI2,'LT HD Forecast'!$A:$A,0),MATCH(NL$3,'LT HD Forecast'!$AA$2:$AG$2,0))</f>
        <v>50.493160171224211</v>
      </c>
      <c r="NM8" s="260">
        <f>INDEX('LT HD Forecast'!$AA$1:$AG$55,MATCH(NI2,'LT HD Forecast'!$A:$A,0)+1,MATCH(NM$3,'LT HD Forecast'!$AA$2:$AG$2,0))</f>
        <v>48.001309625904241</v>
      </c>
      <c r="NN8" s="378">
        <f>INDEX('LT HD Forecast'!$AA$1:$AG$55,MATCH(NI2,'LT HD Forecast'!$A:$A,0)+1,MATCH(NN$3,'LT HD Forecast'!$AA$2:$AG$2,0))</f>
        <v>52.470828558081799</v>
      </c>
      <c r="NO8" s="378">
        <f>INDEX('LT HD Forecast'!$AA$1:$AG$55,MATCH(NI2,'LT HD Forecast'!$A:$A,0)+1,MATCH(NO$3,'LT HD Forecast'!$AA$2:$AG$2,0))</f>
        <v>51.945527975963934</v>
      </c>
      <c r="NP8" s="379">
        <f>INDEX('LT HD Forecast'!$AA$1:$AG$55,MATCH(NI2,'LT HD Forecast'!$A:$A,0)+1,MATCH(NP$3,'LT HD Forecast'!$AA$2:$AG$2,0))</f>
        <v>0</v>
      </c>
      <c r="NQ8" s="383"/>
      <c r="NR8" s="376">
        <f>INDEX('LT HD Forecast'!$AA$1:$AG$55,MATCH(NQ2,'LT HD Forecast'!$A:$A,0),MATCH(NR$3,'LT HD Forecast'!$AA$2:$AG$2,0))</f>
        <v>51.299347455523602</v>
      </c>
      <c r="NS8" s="377">
        <f>INDEX('LT HD Forecast'!$AA$1:$AG$55,MATCH(NQ2,'LT HD Forecast'!$A:$A,0),MATCH(NS$3,'LT HD Forecast'!$AA$2:$AG$2,0))</f>
        <v>50.261943918549548</v>
      </c>
      <c r="NT8" s="378">
        <f>INDEX('LT HD Forecast'!$AA$1:$AG$55,MATCH(NQ2,'LT HD Forecast'!$A:$A,0),MATCH(NT$3,'LT HD Forecast'!$AA$2:$AG$2,0))</f>
        <v>52.022503830402165</v>
      </c>
      <c r="NU8" s="260">
        <f>INDEX('LT HD Forecast'!$AA$1:$AG$55,MATCH(NQ2,'LT HD Forecast'!$A:$A,0)+1,MATCH(NU$3,'LT HD Forecast'!$AA$2:$AG$2,0))</f>
        <v>51.662950265189139</v>
      </c>
      <c r="NV8" s="378">
        <f>INDEX('LT HD Forecast'!$AA$1:$AG$55,MATCH(NQ2,'LT HD Forecast'!$A:$A,0)+1,MATCH(NV$3,'LT HD Forecast'!$AA$2:$AG$2,0))</f>
        <v>49.91508175877118</v>
      </c>
      <c r="NW8" s="378">
        <f>INDEX('LT HD Forecast'!$AA$1:$AG$55,MATCH(NQ2,'LT HD Forecast'!$A:$A,0)+1,MATCH(NW$3,'LT HD Forecast'!$AA$2:$AG$2,0))</f>
        <v>48.900730487350025</v>
      </c>
      <c r="NX8" s="379">
        <f>INDEX('LT HD Forecast'!$AA$1:$AG$55,MATCH(NQ2,'LT HD Forecast'!$A:$A,0)+1,MATCH(NX$3,'LT HD Forecast'!$AA$2:$AG$2,0))</f>
        <v>0</v>
      </c>
      <c r="NY8" s="383"/>
      <c r="NZ8" s="376">
        <f>INDEX('LT HD Forecast'!$AA$1:$AG$55,MATCH(NY2,'LT HD Forecast'!$A:$A,0),MATCH(NZ$3,'LT HD Forecast'!$AA$2:$AG$2,0))</f>
        <v>48.854093662780855</v>
      </c>
      <c r="OA8" s="377">
        <f>INDEX('LT HD Forecast'!$AA$1:$AG$55,MATCH(NY2,'LT HD Forecast'!$A:$A,0),MATCH(OA$3,'LT HD Forecast'!$AA$2:$AG$2,0))</f>
        <v>47.777988227021567</v>
      </c>
      <c r="OB8" s="378">
        <f>INDEX('LT HD Forecast'!$AA$1:$AG$55,MATCH(NY2,'LT HD Forecast'!$A:$A,0),MATCH(OB$3,'LT HD Forecast'!$AA$2:$AG$2,0))</f>
        <v>49.482723224697907</v>
      </c>
      <c r="OC8" s="260">
        <f>INDEX('LT HD Forecast'!$AA$1:$AG$55,MATCH(NY2,'LT HD Forecast'!$A:$A,0)+1,MATCH(OC$3,'LT HD Forecast'!$AA$2:$AG$2,0))</f>
        <v>49.409074952807366</v>
      </c>
      <c r="OD8" s="378">
        <f>INDEX('LT HD Forecast'!$AA$1:$AG$55,MATCH(NY2,'LT HD Forecast'!$A:$A,0)+1,MATCH(OD$3,'LT HD Forecast'!$AA$2:$AG$2,0))</f>
        <v>48.414027999394968</v>
      </c>
      <c r="OE8" s="378">
        <f>INDEX('LT HD Forecast'!$AA$1:$AG$55,MATCH(NY2,'LT HD Forecast'!$A:$A,0)+1,MATCH(OE$3,'LT HD Forecast'!$AA$2:$AG$2,0))</f>
        <v>48.283550888571114</v>
      </c>
      <c r="OF8" s="379">
        <f>INDEX('LT HD Forecast'!$AA$1:$AG$55,MATCH(NY2,'LT HD Forecast'!$A:$A,0)+1,MATCH(OF$3,'LT HD Forecast'!$AA$2:$AG$2,0))</f>
        <v>0</v>
      </c>
      <c r="OG8" s="383"/>
      <c r="OH8" s="376">
        <f>INDEX('LT HD Forecast'!$AA$1:$AG$55,MATCH(OG2,'LT HD Forecast'!$A:$A,0),MATCH(OH$3,'LT HD Forecast'!$AA$2:$AG$2,0))</f>
        <v>47.737769298598167</v>
      </c>
      <c r="OI8" s="377">
        <f>INDEX('LT HD Forecast'!$AA$1:$AG$55,MATCH(OG2,'LT HD Forecast'!$A:$A,0),MATCH(OI$3,'LT HD Forecast'!$AA$2:$AG$2,0))</f>
        <v>48.315151322211342</v>
      </c>
      <c r="OJ8" s="378">
        <f>INDEX('LT HD Forecast'!$AA$1:$AG$55,MATCH(OG2,'LT HD Forecast'!$A:$A,0),MATCH(OJ$3,'LT HD Forecast'!$AA$2:$AG$2,0))</f>
        <v>48.839263491810826</v>
      </c>
      <c r="OK8" s="260">
        <f>INDEX('LT HD Forecast'!$AA$1:$AG$55,MATCH(OG2,'LT HD Forecast'!$A:$A,0)+1,MATCH(OK$3,'LT HD Forecast'!$AA$2:$AG$2,0))</f>
        <v>47.233679975222273</v>
      </c>
      <c r="OL8" s="378">
        <f>INDEX('LT HD Forecast'!$AA$1:$AG$55,MATCH(OG2,'LT HD Forecast'!$A:$A,0)+1,MATCH(OL$3,'LT HD Forecast'!$AA$2:$AG$2,0))</f>
        <v>48.463883542058802</v>
      </c>
      <c r="OM8" s="378">
        <f>INDEX('LT HD Forecast'!$AA$1:$AG$55,MATCH(OG2,'LT HD Forecast'!$A:$A,0)+1,MATCH(OM$3,'LT HD Forecast'!$AA$2:$AG$2,0))</f>
        <v>51.062105146553321</v>
      </c>
      <c r="ON8" s="379">
        <f>INDEX('LT HD Forecast'!$AA$1:$AG$55,MATCH(OG2,'LT HD Forecast'!$A:$A,0)+1,MATCH(ON$3,'LT HD Forecast'!$AA$2:$AG$2,0))</f>
        <v>0</v>
      </c>
      <c r="OO8" s="383"/>
      <c r="OP8" s="376">
        <f>INDEX('LT HD Forecast'!$AA$1:$AG$55,MATCH(OO2,'LT HD Forecast'!$A:$A,0),MATCH(OP$3,'LT HD Forecast'!$AA$2:$AG$2,0))</f>
        <v>52.5</v>
      </c>
      <c r="OQ8" s="377">
        <f>INDEX('LT HD Forecast'!$AA$1:$AG$55,MATCH(OO2,'LT HD Forecast'!$A:$A,0),MATCH(OQ$3,'LT HD Forecast'!$AA$2:$AG$2,0))</f>
        <v>49.85</v>
      </c>
      <c r="OR8" s="378">
        <f>INDEX('LT HD Forecast'!$AA$1:$AG$55,MATCH(OO2,'LT HD Forecast'!$A:$A,0),MATCH(OR$3,'LT HD Forecast'!$AA$2:$AG$2,0))</f>
        <v>48.95</v>
      </c>
      <c r="OS8" s="260">
        <f>INDEX('LT HD Forecast'!$AA$1:$AG$55,MATCH(OO2,'LT HD Forecast'!$A:$A,0)+1,MATCH(OS$3,'LT HD Forecast'!$AA$2:$AG$2,0))</f>
        <v>50.17</v>
      </c>
      <c r="OT8" s="378">
        <f>INDEX('LT HD Forecast'!$AA$1:$AG$55,MATCH(OO2,'LT HD Forecast'!$A:$A,0)+1,MATCH(OT$3,'LT HD Forecast'!$AA$2:$AG$2,0))</f>
        <v>49.55</v>
      </c>
      <c r="OU8" s="378">
        <f>INDEX('LT HD Forecast'!$AA$1:$AG$55,MATCH(OO2,'LT HD Forecast'!$A:$A,0)+1,MATCH(OU$3,'LT HD Forecast'!$AA$2:$AG$2,0))</f>
        <v>45.69</v>
      </c>
      <c r="OV8" s="379">
        <f>INDEX('LT HD Forecast'!$AA$1:$AG$55,MATCH(OO2,'LT HD Forecast'!$A:$A,0)+1,MATCH(OV$3,'LT HD Forecast'!$AA$2:$AG$2,0))</f>
        <v>0</v>
      </c>
      <c r="OW8" s="383"/>
      <c r="OX8" s="376">
        <f>INDEX('LT HD Forecast'!$AA$1:$AG$55,MATCH(OW2,'LT HD Forecast'!$A:$A,0),MATCH(OX$3,'LT HD Forecast'!$AA$2:$AG$2,0))</f>
        <v>47.21</v>
      </c>
      <c r="OY8" s="377">
        <f>INDEX('LT HD Forecast'!$AA$1:$AG$55,MATCH(OW2,'LT HD Forecast'!$A:$A,0),MATCH(OY$3,'LT HD Forecast'!$AA$2:$AG$2,0))</f>
        <v>45.68</v>
      </c>
      <c r="OZ8" s="378">
        <f>INDEX('LT HD Forecast'!$AA$1:$AG$55,MATCH(OW2,'LT HD Forecast'!$A:$A,0),MATCH(OZ$3,'LT HD Forecast'!$AA$2:$AG$2,0))</f>
        <v>45.79</v>
      </c>
      <c r="PA8" s="260">
        <f>INDEX('LT HD Forecast'!$AA$1:$AG$55,MATCH(OW2,'LT HD Forecast'!$A:$A,0)+1,MATCH(PA$3,'LT HD Forecast'!$AA$2:$AG$2,0))</f>
        <v>46.05</v>
      </c>
      <c r="PB8" s="378">
        <f>INDEX('LT HD Forecast'!$AA$1:$AG$55,MATCH(OW2,'LT HD Forecast'!$A:$A,0)+1,MATCH(PB$3,'LT HD Forecast'!$AA$2:$AG$2,0))</f>
        <v>45.55</v>
      </c>
      <c r="PC8" s="378">
        <f>INDEX('LT HD Forecast'!$AA$1:$AG$55,MATCH(OW2,'LT HD Forecast'!$A:$A,0)+1,MATCH(PC$3,'LT HD Forecast'!$AA$2:$AG$2,0))</f>
        <v>45.09</v>
      </c>
      <c r="PD8" s="379">
        <f>INDEX('LT HD Forecast'!$AA$1:$AG$55,MATCH(OW2,'LT HD Forecast'!$A:$A,0)+1,MATCH(PD$3,'LT HD Forecast'!$AA$2:$AG$2,0))</f>
        <v>0</v>
      </c>
      <c r="PE8" s="383"/>
      <c r="PF8" s="376">
        <v>47</v>
      </c>
      <c r="PG8" s="377">
        <v>47</v>
      </c>
      <c r="PH8" s="378">
        <v>47</v>
      </c>
      <c r="PI8" s="260">
        <v>47</v>
      </c>
      <c r="PJ8" s="378">
        <v>48</v>
      </c>
      <c r="PK8" s="378">
        <v>48</v>
      </c>
      <c r="PL8" s="379">
        <f>INDEX('LT HD Forecast'!$AA$1:$AG$55,MATCH(PE2,'LT HD Forecast'!$A:$A,0)+1,MATCH(PL$3,'LT HD Forecast'!$AA$2:$AG$2,0))</f>
        <v>0</v>
      </c>
    </row>
    <row r="9" spans="1:428" ht="14.85" customHeight="1" outlineLevel="1" x14ac:dyDescent="0.3">
      <c r="B9" s="1014"/>
      <c r="C9" s="1017" t="s">
        <v>212</v>
      </c>
      <c r="D9" s="250" t="s">
        <v>216</v>
      </c>
      <c r="E9" s="253">
        <f>SUM(F9:L9)</f>
        <v>764376.78934883536</v>
      </c>
      <c r="F9" s="251">
        <f t="shared" ref="F9:L9" si="366">SUM(F10:F11)</f>
        <v>75120.922872487237</v>
      </c>
      <c r="G9" s="252">
        <f t="shared" si="366"/>
        <v>134356.27671830452</v>
      </c>
      <c r="H9" s="252">
        <f t="shared" si="366"/>
        <v>133669.58975804353</v>
      </c>
      <c r="I9" s="391">
        <f t="shared" si="366"/>
        <v>124500</v>
      </c>
      <c r="J9" s="252">
        <f t="shared" si="366"/>
        <v>148500</v>
      </c>
      <c r="K9" s="252">
        <f t="shared" si="366"/>
        <v>143100</v>
      </c>
      <c r="L9" s="390">
        <f t="shared" si="366"/>
        <v>5130</v>
      </c>
      <c r="M9" s="253">
        <f>SUM(N9:T9)</f>
        <v>827404.01544842636</v>
      </c>
      <c r="N9" s="251">
        <f t="shared" ref="N9:T9" si="367">SUM(N10:N11)</f>
        <v>111220.51417848557</v>
      </c>
      <c r="O9" s="252">
        <f t="shared" si="367"/>
        <v>126459.33291313886</v>
      </c>
      <c r="P9" s="252">
        <f t="shared" si="367"/>
        <v>124119.16835680191</v>
      </c>
      <c r="Q9" s="391">
        <f t="shared" si="367"/>
        <v>144725</v>
      </c>
      <c r="R9" s="252">
        <f t="shared" si="367"/>
        <v>158900</v>
      </c>
      <c r="S9" s="252">
        <f t="shared" si="367"/>
        <v>156850</v>
      </c>
      <c r="T9" s="390">
        <f t="shared" si="367"/>
        <v>5130</v>
      </c>
      <c r="U9" s="253">
        <f>SUM(V9:AB9)</f>
        <v>818035.58632682776</v>
      </c>
      <c r="V9" s="251">
        <f>SUM(V10:V11)</f>
        <v>113769.00822565003</v>
      </c>
      <c r="W9" s="252">
        <f t="shared" ref="W9:AB9" si="368">SUM(W10:W11)</f>
        <v>127687.64232932308</v>
      </c>
      <c r="X9" s="252">
        <f t="shared" si="368"/>
        <v>133888.93577185471</v>
      </c>
      <c r="Y9" s="391">
        <f t="shared" si="368"/>
        <v>132000</v>
      </c>
      <c r="Z9" s="252">
        <f t="shared" si="368"/>
        <v>156350</v>
      </c>
      <c r="AA9" s="252">
        <f t="shared" si="368"/>
        <v>149300</v>
      </c>
      <c r="AB9" s="390">
        <f t="shared" si="368"/>
        <v>5040</v>
      </c>
      <c r="AC9" s="253">
        <f>SUM(AD9:AJ9)</f>
        <v>791894.32183630986</v>
      </c>
      <c r="AD9" s="251">
        <f t="shared" ref="AD9:AJ9" si="369">SUM(AD10:AD11)</f>
        <v>111467.62190900784</v>
      </c>
      <c r="AE9" s="252">
        <f t="shared" si="369"/>
        <v>123190.4717801597</v>
      </c>
      <c r="AF9" s="252">
        <f t="shared" si="369"/>
        <v>132000</v>
      </c>
      <c r="AG9" s="391">
        <f t="shared" si="369"/>
        <v>126582.2977111113</v>
      </c>
      <c r="AH9" s="252">
        <f t="shared" si="369"/>
        <v>140277.96616762155</v>
      </c>
      <c r="AI9" s="252">
        <f t="shared" si="369"/>
        <v>148290.0487994506</v>
      </c>
      <c r="AJ9" s="390">
        <f t="shared" si="369"/>
        <v>10085.915468958956</v>
      </c>
      <c r="AK9" s="253">
        <f>SUM(AL9:AR9)</f>
        <v>818224.2703582067</v>
      </c>
      <c r="AL9" s="251">
        <f t="shared" ref="AL9:AR9" si="370">SUM(AL10:AL11)</f>
        <v>115143.24656799508</v>
      </c>
      <c r="AM9" s="252">
        <f t="shared" si="370"/>
        <v>127133.4103229538</v>
      </c>
      <c r="AN9" s="252">
        <f t="shared" si="370"/>
        <v>134322.54028444664</v>
      </c>
      <c r="AO9" s="391">
        <f t="shared" si="370"/>
        <v>130168.38575069876</v>
      </c>
      <c r="AP9" s="252">
        <f t="shared" si="370"/>
        <v>144624.02572923689</v>
      </c>
      <c r="AQ9" s="252">
        <f t="shared" si="370"/>
        <v>155672.7268153982</v>
      </c>
      <c r="AR9" s="390">
        <f t="shared" si="370"/>
        <v>11159.93488747726</v>
      </c>
      <c r="AS9" s="253">
        <f>SUM(AT9:AZ9)</f>
        <v>804402.71626104135</v>
      </c>
      <c r="AT9" s="251">
        <f t="shared" ref="AT9:AZ9" si="371">SUM(AT10:AT11)</f>
        <v>118685.43126984651</v>
      </c>
      <c r="AU9" s="252">
        <f t="shared" si="371"/>
        <v>129281.23563960972</v>
      </c>
      <c r="AV9" s="252">
        <f t="shared" si="371"/>
        <v>136397.49115123122</v>
      </c>
      <c r="AW9" s="391">
        <f t="shared" si="371"/>
        <v>113364.12994369096</v>
      </c>
      <c r="AX9" s="252">
        <f t="shared" si="371"/>
        <v>152280.3536201003</v>
      </c>
      <c r="AY9" s="252">
        <f t="shared" si="371"/>
        <v>143689.04838637664</v>
      </c>
      <c r="AZ9" s="390">
        <f t="shared" si="371"/>
        <v>10705.026250185962</v>
      </c>
      <c r="BA9" s="253">
        <f>SUM(BB9:BH9)</f>
        <v>816291.67638738372</v>
      </c>
      <c r="BB9" s="251">
        <f t="shared" ref="BB9:BH9" si="372">SUM(BB10:BB11)</f>
        <v>112305.6950144061</v>
      </c>
      <c r="BC9" s="252">
        <f t="shared" si="372"/>
        <v>130670.08982561332</v>
      </c>
      <c r="BD9" s="252">
        <f t="shared" si="372"/>
        <v>131642.51616204466</v>
      </c>
      <c r="BE9" s="391">
        <f t="shared" si="372"/>
        <v>125397.31238718027</v>
      </c>
      <c r="BF9" s="252">
        <f t="shared" si="372"/>
        <v>160627.08026904287</v>
      </c>
      <c r="BG9" s="252">
        <f t="shared" si="372"/>
        <v>150177.5127844596</v>
      </c>
      <c r="BH9" s="390">
        <f t="shared" si="372"/>
        <v>5471.4699446368877</v>
      </c>
      <c r="BI9" s="253">
        <f>SUM(BJ9:BP9)</f>
        <v>804187.54623234202</v>
      </c>
      <c r="BJ9" s="251">
        <f t="shared" ref="BJ9:BP9" si="373">SUM(BJ10:BJ11)</f>
        <v>117926.45266929714</v>
      </c>
      <c r="BK9" s="252">
        <f t="shared" si="373"/>
        <v>123179.56146205167</v>
      </c>
      <c r="BL9" s="252">
        <f t="shared" si="373"/>
        <v>123734.70340427011</v>
      </c>
      <c r="BM9" s="391">
        <f t="shared" si="373"/>
        <v>114856.53119295201</v>
      </c>
      <c r="BN9" s="252">
        <f t="shared" si="373"/>
        <v>165172.22967401744</v>
      </c>
      <c r="BO9" s="252">
        <f t="shared" si="373"/>
        <v>153866.69357406243</v>
      </c>
      <c r="BP9" s="390">
        <f t="shared" si="373"/>
        <v>5451.3742556911666</v>
      </c>
      <c r="BQ9" s="253">
        <f>SUM(BR9:BX9)</f>
        <v>799473.67433227052</v>
      </c>
      <c r="BR9" s="251">
        <f t="shared" ref="BR9:BX9" si="374">SUM(BR10:BR11)</f>
        <v>121009.19394087738</v>
      </c>
      <c r="BS9" s="252">
        <f t="shared" si="374"/>
        <v>123670.16096731117</v>
      </c>
      <c r="BT9" s="252">
        <f t="shared" si="374"/>
        <v>121278.37365084287</v>
      </c>
      <c r="BU9" s="391">
        <f t="shared" si="374"/>
        <v>117498.21186074879</v>
      </c>
      <c r="BV9" s="252">
        <f t="shared" si="374"/>
        <v>159609.95936798066</v>
      </c>
      <c r="BW9" s="252">
        <f t="shared" si="374"/>
        <v>150838.73180178029</v>
      </c>
      <c r="BX9" s="390">
        <f t="shared" si="374"/>
        <v>5569.042742729378</v>
      </c>
      <c r="BY9" s="253">
        <f>SUM(BZ9:CF9)</f>
        <v>782920.5103456754</v>
      </c>
      <c r="BZ9" s="251">
        <f t="shared" ref="BZ9:CF9" si="375">SUM(BZ10:BZ11)</f>
        <v>114177.93551123209</v>
      </c>
      <c r="CA9" s="252">
        <f t="shared" si="375"/>
        <v>120834.9841313033</v>
      </c>
      <c r="CB9" s="252">
        <f t="shared" si="375"/>
        <v>119093.37102535392</v>
      </c>
      <c r="CC9" s="391">
        <f t="shared" si="375"/>
        <v>112411.57474853809</v>
      </c>
      <c r="CD9" s="252">
        <f t="shared" si="375"/>
        <v>158635.86893922178</v>
      </c>
      <c r="CE9" s="252">
        <f t="shared" si="375"/>
        <v>152171.85486076333</v>
      </c>
      <c r="CF9" s="390">
        <f t="shared" si="375"/>
        <v>5594.9211292628333</v>
      </c>
      <c r="CG9" s="253">
        <f>SUM(CH9:CN9)</f>
        <v>765087.21355714614</v>
      </c>
      <c r="CH9" s="251">
        <f t="shared" ref="CH9:CN9" si="376">SUM(CH10:CH11)</f>
        <v>117913.27910151146</v>
      </c>
      <c r="CI9" s="252">
        <f t="shared" si="376"/>
        <v>116508.40906066628</v>
      </c>
      <c r="CJ9" s="252">
        <f t="shared" si="376"/>
        <v>117929.22876064398</v>
      </c>
      <c r="CK9" s="391">
        <f t="shared" si="376"/>
        <v>109488.90782258578</v>
      </c>
      <c r="CL9" s="252">
        <f t="shared" si="376"/>
        <v>149391.39890372637</v>
      </c>
      <c r="CM9" s="252">
        <f t="shared" si="376"/>
        <v>148131.28579106048</v>
      </c>
      <c r="CN9" s="390">
        <f t="shared" si="376"/>
        <v>5724.7041169517643</v>
      </c>
      <c r="CO9" s="253">
        <f>SUM(CP9:CV9)</f>
        <v>794834.69266861514</v>
      </c>
      <c r="CP9" s="251">
        <f t="shared" ref="CP9:CV9" si="377">SUM(CP10:CP11)</f>
        <v>115957.42396335477</v>
      </c>
      <c r="CQ9" s="252">
        <f t="shared" si="377"/>
        <v>125911.17268957528</v>
      </c>
      <c r="CR9" s="252">
        <f t="shared" si="377"/>
        <v>122076.15840517782</v>
      </c>
      <c r="CS9" s="391">
        <f t="shared" si="377"/>
        <v>112756.34713618892</v>
      </c>
      <c r="CT9" s="252">
        <f t="shared" si="377"/>
        <v>160243.36275629778</v>
      </c>
      <c r="CU9" s="252">
        <f t="shared" si="377"/>
        <v>151915.90638314671</v>
      </c>
      <c r="CV9" s="390">
        <f t="shared" si="377"/>
        <v>5974.3213348737672</v>
      </c>
      <c r="CW9" s="253">
        <f>SUM(CX9:DD9)</f>
        <v>806345.34988176438</v>
      </c>
      <c r="CX9" s="251">
        <f t="shared" ref="CX9:DD9" si="378">SUM(CX10:CX11)</f>
        <v>118796.41627228487</v>
      </c>
      <c r="CY9" s="252">
        <f t="shared" si="378"/>
        <v>121758.18752742717</v>
      </c>
      <c r="CZ9" s="252">
        <f t="shared" si="378"/>
        <v>119774.80333462427</v>
      </c>
      <c r="DA9" s="391">
        <f t="shared" si="378"/>
        <v>127994.28003409588</v>
      </c>
      <c r="DB9" s="252">
        <f t="shared" si="378"/>
        <v>163200.31129600987</v>
      </c>
      <c r="DC9" s="252">
        <f t="shared" si="378"/>
        <v>149270.48364133676</v>
      </c>
      <c r="DD9" s="390">
        <f t="shared" si="378"/>
        <v>5550.8677759855473</v>
      </c>
      <c r="DE9" s="253">
        <f>SUM(DF9:DL9)</f>
        <v>778479.27756716602</v>
      </c>
      <c r="DF9" s="251">
        <f t="shared" ref="DF9:DL9" si="379">SUM(DF10:DF11)</f>
        <v>113619.73484819967</v>
      </c>
      <c r="DG9" s="252">
        <f t="shared" si="379"/>
        <v>115191.87071156058</v>
      </c>
      <c r="DH9" s="252">
        <f t="shared" si="379"/>
        <v>116237.28009456671</v>
      </c>
      <c r="DI9" s="391">
        <f t="shared" si="379"/>
        <v>126254.96411071406</v>
      </c>
      <c r="DJ9" s="252">
        <f t="shared" si="379"/>
        <v>160123.29586554723</v>
      </c>
      <c r="DK9" s="252">
        <f t="shared" si="379"/>
        <v>141501.26416059223</v>
      </c>
      <c r="DL9" s="390">
        <f t="shared" si="379"/>
        <v>5550.8677759855473</v>
      </c>
      <c r="DM9" s="253">
        <f>SUM(DN9:DT9)</f>
        <v>786906.65348323679</v>
      </c>
      <c r="DN9" s="251">
        <f t="shared" ref="DN9:DT9" si="380">SUM(DN10:DN11)</f>
        <v>115491.59531392192</v>
      </c>
      <c r="DO9" s="252">
        <f t="shared" si="380"/>
        <v>115806.02997380547</v>
      </c>
      <c r="DP9" s="252">
        <f t="shared" si="380"/>
        <v>117468.92909968947</v>
      </c>
      <c r="DQ9" s="391">
        <f t="shared" si="380"/>
        <v>110670.91541607196</v>
      </c>
      <c r="DR9" s="252">
        <f t="shared" si="380"/>
        <v>155836.58634008834</v>
      </c>
      <c r="DS9" s="252">
        <f t="shared" si="380"/>
        <v>144599.26454509146</v>
      </c>
      <c r="DT9" s="390">
        <f t="shared" si="380"/>
        <v>27033.332794568159</v>
      </c>
      <c r="DU9" s="253">
        <f>SUM(DV9:EB9)</f>
        <v>622643.53983118653</v>
      </c>
      <c r="DV9" s="251">
        <f t="shared" ref="DV9:EB9" si="381">SUM(DV10:DV11)</f>
        <v>0</v>
      </c>
      <c r="DW9" s="252">
        <f t="shared" si="381"/>
        <v>78923.147645229343</v>
      </c>
      <c r="DX9" s="252">
        <f t="shared" si="381"/>
        <v>127608.77731688961</v>
      </c>
      <c r="DY9" s="391">
        <f t="shared" si="381"/>
        <v>123927.50873085935</v>
      </c>
      <c r="DZ9" s="252">
        <f t="shared" si="381"/>
        <v>149778.61300339148</v>
      </c>
      <c r="EA9" s="252">
        <f t="shared" si="381"/>
        <v>137014.1162539334</v>
      </c>
      <c r="EB9" s="390">
        <f t="shared" si="381"/>
        <v>5391.3768808833602</v>
      </c>
      <c r="EC9" s="253">
        <f>SUM(ED9:EJ9)</f>
        <v>736321.61777167162</v>
      </c>
      <c r="ED9" s="251">
        <f t="shared" ref="ED9:EJ9" si="382">SUM(ED10:ED11)</f>
        <v>107552.22045075719</v>
      </c>
      <c r="EE9" s="252">
        <f t="shared" si="382"/>
        <v>109024.90503438044</v>
      </c>
      <c r="EF9" s="252">
        <f t="shared" si="382"/>
        <v>107158.00388020092</v>
      </c>
      <c r="EG9" s="391">
        <f t="shared" si="382"/>
        <v>113039.18247897067</v>
      </c>
      <c r="EH9" s="252">
        <f t="shared" si="382"/>
        <v>155920.1016461218</v>
      </c>
      <c r="EI9" s="252">
        <f t="shared" si="382"/>
        <v>143627.20428124053</v>
      </c>
      <c r="EJ9" s="390">
        <f t="shared" si="382"/>
        <v>0</v>
      </c>
      <c r="EK9" s="253">
        <f>SUM(EL9:ER9)</f>
        <v>809204.95011580864</v>
      </c>
      <c r="EL9" s="251">
        <f t="shared" ref="EL9:ER9" si="383">SUM(EL10:EL11)</f>
        <v>118107.40967143668</v>
      </c>
      <c r="EM9" s="252">
        <f t="shared" si="383"/>
        <v>119933.78812176771</v>
      </c>
      <c r="EN9" s="252">
        <f t="shared" si="383"/>
        <v>118547.12709616942</v>
      </c>
      <c r="EO9" s="391">
        <f t="shared" si="383"/>
        <v>114190.69910799924</v>
      </c>
      <c r="EP9" s="252">
        <f t="shared" si="383"/>
        <v>172472.90979581815</v>
      </c>
      <c r="EQ9" s="252">
        <f t="shared" si="383"/>
        <v>160363.63482731819</v>
      </c>
      <c r="ER9" s="390">
        <f t="shared" si="383"/>
        <v>5589.381495299157</v>
      </c>
      <c r="ES9" s="253">
        <f>SUM(ET9:EZ9)</f>
        <v>863676.98335381271</v>
      </c>
      <c r="ET9" s="251">
        <f t="shared" ref="ET9:EZ9" si="384">SUM(ET10:ET11)</f>
        <v>127115.61075449976</v>
      </c>
      <c r="EU9" s="252">
        <f t="shared" si="384"/>
        <v>130682.54328177639</v>
      </c>
      <c r="EV9" s="252">
        <f t="shared" si="384"/>
        <v>132642.64735776899</v>
      </c>
      <c r="EW9" s="391">
        <f t="shared" si="384"/>
        <v>130403.60154739601</v>
      </c>
      <c r="EX9" s="252">
        <f t="shared" si="384"/>
        <v>177160.55924313833</v>
      </c>
      <c r="EY9" s="252">
        <f t="shared" si="384"/>
        <v>160254.47146861409</v>
      </c>
      <c r="EZ9" s="390">
        <f t="shared" si="384"/>
        <v>5417.5497006192309</v>
      </c>
      <c r="FA9" s="253">
        <f>SUM(FB9:FH9)</f>
        <v>793462.39379602182</v>
      </c>
      <c r="FB9" s="251">
        <f t="shared" ref="FB9:FH9" si="385">SUM(FB10:FB11)</f>
        <v>123339.60904529906</v>
      </c>
      <c r="FC9" s="252">
        <f t="shared" si="385"/>
        <v>124684.03128159602</v>
      </c>
      <c r="FD9" s="252">
        <f t="shared" si="385"/>
        <v>129155.235521505</v>
      </c>
      <c r="FE9" s="391">
        <f t="shared" si="385"/>
        <v>121546.58331598362</v>
      </c>
      <c r="FF9" s="252">
        <f t="shared" si="385"/>
        <v>150170.02065548583</v>
      </c>
      <c r="FG9" s="252">
        <f t="shared" si="385"/>
        <v>139227.67335705756</v>
      </c>
      <c r="FH9" s="390">
        <f t="shared" si="385"/>
        <v>5339.2406190947759</v>
      </c>
      <c r="FI9" s="253">
        <f>SUM(FJ9:FP9)</f>
        <v>651713.22397238144</v>
      </c>
      <c r="FJ9" s="251">
        <f t="shared" ref="FJ9:FP9" si="386">SUM(FJ10:FJ11)</f>
        <v>107919.08679953974</v>
      </c>
      <c r="FK9" s="252">
        <f t="shared" si="386"/>
        <v>111329.38286955975</v>
      </c>
      <c r="FL9" s="252">
        <f t="shared" si="386"/>
        <v>113124.58301827396</v>
      </c>
      <c r="FM9" s="391">
        <f t="shared" si="386"/>
        <v>0</v>
      </c>
      <c r="FN9" s="252">
        <f t="shared" si="386"/>
        <v>142727.78958814029</v>
      </c>
      <c r="FO9" s="252">
        <f t="shared" si="386"/>
        <v>171294.71628230103</v>
      </c>
      <c r="FP9" s="390">
        <f t="shared" si="386"/>
        <v>5317.6654145666607</v>
      </c>
      <c r="FQ9" s="253">
        <f>SUM(FR9:FX9)</f>
        <v>809051.42835675948</v>
      </c>
      <c r="FR9" s="251">
        <f t="shared" ref="FR9:FX9" si="387">SUM(FR10:FR11)</f>
        <v>123343.04491547056</v>
      </c>
      <c r="FS9" s="252">
        <f t="shared" si="387"/>
        <v>125023.00043157057</v>
      </c>
      <c r="FT9" s="252">
        <f t="shared" si="387"/>
        <v>128338.64168788066</v>
      </c>
      <c r="FU9" s="391">
        <f t="shared" si="387"/>
        <v>128216.54836346471</v>
      </c>
      <c r="FV9" s="252">
        <f t="shared" si="387"/>
        <v>153816.12689902511</v>
      </c>
      <c r="FW9" s="252">
        <f t="shared" si="387"/>
        <v>145195.98028629791</v>
      </c>
      <c r="FX9" s="390">
        <f t="shared" si="387"/>
        <v>5118.0857730500738</v>
      </c>
      <c r="FY9" s="253">
        <f>SUM(FZ9:GF9)</f>
        <v>651840.32434050273</v>
      </c>
      <c r="FZ9" s="251">
        <f t="shared" ref="FZ9:GF9" si="388">SUM(FZ10:FZ11)</f>
        <v>0</v>
      </c>
      <c r="GA9" s="252">
        <f t="shared" si="388"/>
        <v>76536.218864483759</v>
      </c>
      <c r="GB9" s="252">
        <f t="shared" si="388"/>
        <v>140069.11552836353</v>
      </c>
      <c r="GC9" s="391">
        <f t="shared" si="388"/>
        <v>124264.54598155468</v>
      </c>
      <c r="GD9" s="252">
        <f t="shared" si="388"/>
        <v>152296.39485866742</v>
      </c>
      <c r="GE9" s="252">
        <f t="shared" si="388"/>
        <v>153433.56291881148</v>
      </c>
      <c r="GF9" s="390">
        <f t="shared" si="388"/>
        <v>5240.4861886218559</v>
      </c>
      <c r="GG9" s="253">
        <f>SUM(GH9:GN9)</f>
        <v>824962.84505750705</v>
      </c>
      <c r="GH9" s="251">
        <f t="shared" ref="GH9:GN9" si="389">SUM(GH10:GH11)</f>
        <v>119024.43606480994</v>
      </c>
      <c r="GI9" s="252">
        <f t="shared" si="389"/>
        <v>125549.82288519538</v>
      </c>
      <c r="GJ9" s="252">
        <f t="shared" si="389"/>
        <v>128778.73490677346</v>
      </c>
      <c r="GK9" s="391">
        <f t="shared" si="389"/>
        <v>125310.90402256735</v>
      </c>
      <c r="GL9" s="252">
        <f t="shared" si="389"/>
        <v>168095.13800755353</v>
      </c>
      <c r="GM9" s="252">
        <f t="shared" si="389"/>
        <v>153190.60760120783</v>
      </c>
      <c r="GN9" s="390">
        <f t="shared" si="389"/>
        <v>5013.2015693995527</v>
      </c>
      <c r="GO9" s="253">
        <f>SUM(GP9:GV9)</f>
        <v>812845.57598324597</v>
      </c>
      <c r="GP9" s="251">
        <f t="shared" ref="GP9:GV9" si="390">SUM(GP10:GP11)</f>
        <v>104481.35890954963</v>
      </c>
      <c r="GQ9" s="252">
        <f t="shared" si="390"/>
        <v>132887.65406895254</v>
      </c>
      <c r="GR9" s="252">
        <f t="shared" si="390"/>
        <v>127810.07302362868</v>
      </c>
      <c r="GS9" s="391">
        <f t="shared" si="390"/>
        <v>126883.45958699257</v>
      </c>
      <c r="GT9" s="252">
        <f t="shared" si="390"/>
        <v>164614.04310058855</v>
      </c>
      <c r="GU9" s="252">
        <f t="shared" si="390"/>
        <v>151172.69326108397</v>
      </c>
      <c r="GV9" s="390">
        <f t="shared" si="390"/>
        <v>4996.294032450005</v>
      </c>
      <c r="GW9" s="253">
        <f>SUM(GX9:HD9)</f>
        <v>783126.70979765488</v>
      </c>
      <c r="GX9" s="251">
        <f t="shared" ref="GX9:HD9" si="391">SUM(GX10:GX11)</f>
        <v>110186.59392083954</v>
      </c>
      <c r="GY9" s="252">
        <f t="shared" si="391"/>
        <v>124671.31070357552</v>
      </c>
      <c r="GZ9" s="252">
        <f t="shared" si="391"/>
        <v>126591.46304530368</v>
      </c>
      <c r="HA9" s="391">
        <f t="shared" si="391"/>
        <v>120343.80081145634</v>
      </c>
      <c r="HB9" s="252">
        <f t="shared" si="391"/>
        <v>154457.32545377928</v>
      </c>
      <c r="HC9" s="252">
        <f t="shared" si="391"/>
        <v>141730.9305362236</v>
      </c>
      <c r="HD9" s="390">
        <f t="shared" si="391"/>
        <v>5145.2853264769337</v>
      </c>
      <c r="HE9" s="253">
        <f>SUM(HF9:HL9)</f>
        <v>692478.39797792851</v>
      </c>
      <c r="HF9" s="251">
        <f t="shared" ref="HF9:HL9" si="392">SUM(HF10:HF11)</f>
        <v>104908.23322132137</v>
      </c>
      <c r="HG9" s="252">
        <f t="shared" si="392"/>
        <v>112785.41034629148</v>
      </c>
      <c r="HH9" s="252">
        <f t="shared" si="392"/>
        <v>112276.17094112455</v>
      </c>
      <c r="HI9" s="391">
        <f t="shared" si="392"/>
        <v>102374.56665523804</v>
      </c>
      <c r="HJ9" s="252">
        <f t="shared" si="392"/>
        <v>137635.99585081465</v>
      </c>
      <c r="HK9" s="252">
        <f t="shared" si="392"/>
        <v>122498.02096313848</v>
      </c>
      <c r="HL9" s="390">
        <f t="shared" si="392"/>
        <v>0</v>
      </c>
      <c r="HM9" s="253">
        <f>SUM(HN9:HT9)</f>
        <v>644101.53728417144</v>
      </c>
      <c r="HN9" s="251">
        <f t="shared" ref="HN9:HT9" si="393">SUM(HN10:HN11)</f>
        <v>98737.161339144266</v>
      </c>
      <c r="HO9" s="252">
        <f t="shared" si="393"/>
        <v>102919.08782490561</v>
      </c>
      <c r="HP9" s="252">
        <f t="shared" si="393"/>
        <v>100991.16450225629</v>
      </c>
      <c r="HQ9" s="391">
        <f t="shared" si="393"/>
        <v>100553.60114535585</v>
      </c>
      <c r="HR9" s="252">
        <f t="shared" si="393"/>
        <v>127554.86510243465</v>
      </c>
      <c r="HS9" s="252">
        <f t="shared" si="393"/>
        <v>113345.65737007475</v>
      </c>
      <c r="HT9" s="390">
        <f t="shared" si="393"/>
        <v>0</v>
      </c>
      <c r="HU9" s="253">
        <f>SUM(HV9:IB9)</f>
        <v>552437.45197783201</v>
      </c>
      <c r="HV9" s="251">
        <f t="shared" ref="HV9:IB9" si="394">SUM(HV10:HV11)</f>
        <v>92581.650167480722</v>
      </c>
      <c r="HW9" s="252">
        <f t="shared" si="394"/>
        <v>101198.07604660382</v>
      </c>
      <c r="HX9" s="252">
        <f t="shared" si="394"/>
        <v>100855.14691689037</v>
      </c>
      <c r="HY9" s="391">
        <f t="shared" si="394"/>
        <v>0</v>
      </c>
      <c r="HZ9" s="252">
        <f t="shared" si="394"/>
        <v>138385.16750716625</v>
      </c>
      <c r="IA9" s="252">
        <f t="shared" si="394"/>
        <v>119417.41133969082</v>
      </c>
      <c r="IB9" s="390">
        <f t="shared" si="394"/>
        <v>0</v>
      </c>
      <c r="IC9" s="253">
        <f>SUM(ID9:IJ9)</f>
        <v>610492.061405521</v>
      </c>
      <c r="ID9" s="251">
        <f t="shared" ref="ID9:IJ9" si="395">SUM(ID10:ID11)</f>
        <v>89095.653437698158</v>
      </c>
      <c r="IE9" s="252">
        <f t="shared" si="395"/>
        <v>101030.18185864299</v>
      </c>
      <c r="IF9" s="252">
        <f t="shared" si="395"/>
        <v>101360.26504780291</v>
      </c>
      <c r="IG9" s="391">
        <f t="shared" si="395"/>
        <v>97804.151736370084</v>
      </c>
      <c r="IH9" s="252">
        <f t="shared" si="395"/>
        <v>114246.90948609399</v>
      </c>
      <c r="II9" s="252">
        <f t="shared" si="395"/>
        <v>106954.89983891293</v>
      </c>
      <c r="IJ9" s="390">
        <f t="shared" si="395"/>
        <v>0</v>
      </c>
      <c r="IK9" s="253">
        <f>SUM(IL9:IR9)</f>
        <v>605252.73612232087</v>
      </c>
      <c r="IL9" s="251">
        <f t="shared" ref="IL9:IR9" si="396">SUM(IL10:IL11)</f>
        <v>90882.077562176361</v>
      </c>
      <c r="IM9" s="252">
        <f t="shared" si="396"/>
        <v>98001.940991300478</v>
      </c>
      <c r="IN9" s="252">
        <f t="shared" si="396"/>
        <v>99862.356413403555</v>
      </c>
      <c r="IO9" s="391">
        <f t="shared" si="396"/>
        <v>93220.760983774147</v>
      </c>
      <c r="IP9" s="252">
        <f t="shared" si="396"/>
        <v>114890.91137107415</v>
      </c>
      <c r="IQ9" s="252">
        <f t="shared" si="396"/>
        <v>108394.68880059221</v>
      </c>
      <c r="IR9" s="390">
        <f t="shared" si="396"/>
        <v>0</v>
      </c>
      <c r="IS9" s="253">
        <f>SUM(IT9:IZ9)</f>
        <v>588594.78576052119</v>
      </c>
      <c r="IT9" s="251">
        <f t="shared" ref="IT9:IZ9" si="397">SUM(IT10:IT11)</f>
        <v>88872.948395676707</v>
      </c>
      <c r="IU9" s="252">
        <f t="shared" si="397"/>
        <v>91264.66771389381</v>
      </c>
      <c r="IV9" s="252">
        <f t="shared" si="397"/>
        <v>90182.450992043421</v>
      </c>
      <c r="IW9" s="391">
        <f t="shared" si="397"/>
        <v>93289.177063526702</v>
      </c>
      <c r="IX9" s="252">
        <f t="shared" si="397"/>
        <v>116388.0498846581</v>
      </c>
      <c r="IY9" s="252">
        <f t="shared" si="397"/>
        <v>108597.4917107225</v>
      </c>
      <c r="IZ9" s="390">
        <f t="shared" si="397"/>
        <v>0</v>
      </c>
      <c r="JA9" s="253">
        <f>SUM(JB9:JH9)</f>
        <v>526678.11206757289</v>
      </c>
      <c r="JB9" s="251">
        <f t="shared" ref="JB9:JH9" si="398">SUM(JB10:JB11)</f>
        <v>0</v>
      </c>
      <c r="JC9" s="252">
        <f t="shared" si="398"/>
        <v>78189.723719871457</v>
      </c>
      <c r="JD9" s="252">
        <f t="shared" si="398"/>
        <v>106758.58651350407</v>
      </c>
      <c r="JE9" s="391">
        <f t="shared" si="398"/>
        <v>101919.51876414429</v>
      </c>
      <c r="JF9" s="252">
        <f t="shared" si="398"/>
        <v>125676.89785010734</v>
      </c>
      <c r="JG9" s="252">
        <f t="shared" si="398"/>
        <v>114133.38521994576</v>
      </c>
      <c r="JH9" s="390">
        <f t="shared" si="398"/>
        <v>0</v>
      </c>
      <c r="JI9" s="253">
        <f>SUM(JJ9:JP9)</f>
        <v>724473.76231308642</v>
      </c>
      <c r="JJ9" s="251">
        <f t="shared" ref="JJ9:JP9" si="399">SUM(JJ10:JJ11)</f>
        <v>100777.68804030264</v>
      </c>
      <c r="JK9" s="252">
        <f t="shared" si="399"/>
        <v>101951.46876409631</v>
      </c>
      <c r="JL9" s="252">
        <f t="shared" si="399"/>
        <v>103296.20013501993</v>
      </c>
      <c r="JM9" s="391">
        <f t="shared" si="399"/>
        <v>112464.38552086677</v>
      </c>
      <c r="JN9" s="252">
        <f t="shared" si="399"/>
        <v>160898.31918757776</v>
      </c>
      <c r="JO9" s="252">
        <f t="shared" si="399"/>
        <v>145085.70066522303</v>
      </c>
      <c r="JP9" s="390">
        <f t="shared" si="399"/>
        <v>0</v>
      </c>
      <c r="JQ9" s="253">
        <f>SUM(JR9:JX9)</f>
        <v>818827.14447698474</v>
      </c>
      <c r="JR9" s="251">
        <f t="shared" ref="JR9:JX9" si="400">SUM(JR10:JR11)</f>
        <v>118433.56501257321</v>
      </c>
      <c r="JS9" s="252">
        <f t="shared" si="400"/>
        <v>123566.06167746731</v>
      </c>
      <c r="JT9" s="252">
        <f t="shared" si="400"/>
        <v>127768.04534246383</v>
      </c>
      <c r="JU9" s="391">
        <f t="shared" si="400"/>
        <v>131767.15530536132</v>
      </c>
      <c r="JV9" s="252">
        <f t="shared" si="400"/>
        <v>167152.26178498869</v>
      </c>
      <c r="JW9" s="252">
        <f t="shared" si="400"/>
        <v>150140.05535413037</v>
      </c>
      <c r="JX9" s="390">
        <f t="shared" si="400"/>
        <v>0</v>
      </c>
      <c r="JY9" s="253">
        <f>SUM(JZ9:KF9)</f>
        <v>816763.80073212297</v>
      </c>
      <c r="JZ9" s="251">
        <f t="shared" ref="JZ9:KF9" si="401">SUM(JZ10:JZ11)</f>
        <v>126781.43513070402</v>
      </c>
      <c r="KA9" s="252">
        <f t="shared" si="401"/>
        <v>135665.20282412713</v>
      </c>
      <c r="KB9" s="252">
        <f t="shared" si="401"/>
        <v>133277.84733995929</v>
      </c>
      <c r="KC9" s="391">
        <f t="shared" si="401"/>
        <v>125365.41132436277</v>
      </c>
      <c r="KD9" s="252">
        <f t="shared" si="401"/>
        <v>152117.97165544028</v>
      </c>
      <c r="KE9" s="252">
        <f t="shared" si="401"/>
        <v>143555.93245752947</v>
      </c>
      <c r="KF9" s="390">
        <f t="shared" si="401"/>
        <v>0</v>
      </c>
      <c r="KG9" s="253">
        <f>SUM(KH9:KN9)</f>
        <v>817233.71144067403</v>
      </c>
      <c r="KH9" s="251">
        <f t="shared" ref="KH9:KN9" si="402">SUM(KH10:KH11)</f>
        <v>127880.27237487357</v>
      </c>
      <c r="KI9" s="252">
        <f t="shared" si="402"/>
        <v>131153.66797753103</v>
      </c>
      <c r="KJ9" s="252">
        <f t="shared" si="402"/>
        <v>135404.81910341489</v>
      </c>
      <c r="KK9" s="391">
        <f t="shared" si="402"/>
        <v>124931.81523214949</v>
      </c>
      <c r="KL9" s="252">
        <f t="shared" si="402"/>
        <v>157516.13046879339</v>
      </c>
      <c r="KM9" s="252">
        <f t="shared" si="402"/>
        <v>140347.00628391167</v>
      </c>
      <c r="KN9" s="390">
        <f t="shared" si="402"/>
        <v>0</v>
      </c>
      <c r="KO9" s="253">
        <f>SUM(KP9:KV9)</f>
        <v>767490.4311990682</v>
      </c>
      <c r="KP9" s="251">
        <f t="shared" ref="KP9:KV9" si="403">SUM(KP10:KP11)</f>
        <v>117846.35015894633</v>
      </c>
      <c r="KQ9" s="252">
        <f t="shared" si="403"/>
        <v>108039.35757591949</v>
      </c>
      <c r="KR9" s="252">
        <f t="shared" si="403"/>
        <v>112910.79663727849</v>
      </c>
      <c r="KS9" s="391">
        <f t="shared" si="403"/>
        <v>126421.08366340073</v>
      </c>
      <c r="KT9" s="252">
        <f t="shared" si="403"/>
        <v>154594.45790835065</v>
      </c>
      <c r="KU9" s="252">
        <f t="shared" si="403"/>
        <v>147678.38525517253</v>
      </c>
      <c r="KV9" s="390">
        <f t="shared" si="403"/>
        <v>0</v>
      </c>
      <c r="KW9" s="253">
        <f>SUM(KX9:LD9)</f>
        <v>765776.43575987977</v>
      </c>
      <c r="KX9" s="251">
        <f t="shared" ref="KX9:LD9" si="404">SUM(KX10:KX11)</f>
        <v>113645.60049210142</v>
      </c>
      <c r="KY9" s="252">
        <f t="shared" si="404"/>
        <v>120270.60920668984</v>
      </c>
      <c r="KZ9" s="252">
        <f t="shared" si="404"/>
        <v>122679.63482153283</v>
      </c>
      <c r="LA9" s="391">
        <f t="shared" si="404"/>
        <v>122483.68387118846</v>
      </c>
      <c r="LB9" s="252">
        <f t="shared" si="404"/>
        <v>150166.44406410021</v>
      </c>
      <c r="LC9" s="252">
        <f t="shared" si="404"/>
        <v>136530.46330426689</v>
      </c>
      <c r="LD9" s="390">
        <f t="shared" si="404"/>
        <v>0</v>
      </c>
      <c r="LE9" s="253">
        <f>SUM(LF9:LL9)</f>
        <v>794971.75576254551</v>
      </c>
      <c r="LF9" s="251">
        <f t="shared" ref="LF9:LL9" si="405">SUM(LF10:LF11)</f>
        <v>119874.33081530541</v>
      </c>
      <c r="LG9" s="252">
        <f t="shared" si="405"/>
        <v>118976.06717583495</v>
      </c>
      <c r="LH9" s="252">
        <f t="shared" si="405"/>
        <v>125621.987462889</v>
      </c>
      <c r="LI9" s="391">
        <f t="shared" si="405"/>
        <v>121739.08731684144</v>
      </c>
      <c r="LJ9" s="252">
        <f t="shared" si="405"/>
        <v>158756.80139982048</v>
      </c>
      <c r="LK9" s="252">
        <f t="shared" si="405"/>
        <v>150003.48159185424</v>
      </c>
      <c r="LL9" s="390">
        <f t="shared" si="405"/>
        <v>0</v>
      </c>
      <c r="LM9" s="253">
        <f>SUM(LN9:LT9)</f>
        <v>825796.41709169163</v>
      </c>
      <c r="LN9" s="251">
        <f t="shared" ref="LN9:LT9" si="406">SUM(LN10:LN11)</f>
        <v>133723.99977765468</v>
      </c>
      <c r="LO9" s="252">
        <f t="shared" si="406"/>
        <v>125680.9723623477</v>
      </c>
      <c r="LP9" s="252">
        <f t="shared" si="406"/>
        <v>131437.99907375901</v>
      </c>
      <c r="LQ9" s="391">
        <f t="shared" si="406"/>
        <v>125441.67861379852</v>
      </c>
      <c r="LR9" s="252">
        <f t="shared" si="406"/>
        <v>161902.8283399021</v>
      </c>
      <c r="LS9" s="252">
        <f t="shared" si="406"/>
        <v>147608.93892422965</v>
      </c>
      <c r="LT9" s="390">
        <f t="shared" si="406"/>
        <v>0</v>
      </c>
      <c r="LU9" s="253">
        <f>SUM(LV9:MB9)</f>
        <v>828775.17524767795</v>
      </c>
      <c r="LV9" s="251">
        <f t="shared" ref="LV9:MB9" si="407">SUM(LV10:LV11)</f>
        <v>131726.89938401442</v>
      </c>
      <c r="LW9" s="252">
        <f t="shared" si="407"/>
        <v>124879.97738187003</v>
      </c>
      <c r="LX9" s="252">
        <f t="shared" si="407"/>
        <v>128586.03159300379</v>
      </c>
      <c r="LY9" s="391">
        <f t="shared" si="407"/>
        <v>121345.80113284723</v>
      </c>
      <c r="LZ9" s="252">
        <f t="shared" si="407"/>
        <v>165510.79792344203</v>
      </c>
      <c r="MA9" s="252">
        <f t="shared" si="407"/>
        <v>156725.66783250039</v>
      </c>
      <c r="MB9" s="390">
        <f t="shared" si="407"/>
        <v>0</v>
      </c>
      <c r="MC9" s="253">
        <f>SUM(MD9:MJ9)</f>
        <v>803938.85316108738</v>
      </c>
      <c r="MD9" s="251">
        <f t="shared" ref="MD9:MJ9" si="408">SUM(MD10:MD11)</f>
        <v>138348.89236365462</v>
      </c>
      <c r="ME9" s="252">
        <f t="shared" si="408"/>
        <v>124392.72659559565</v>
      </c>
      <c r="MF9" s="252">
        <f t="shared" si="408"/>
        <v>125556.21428803966</v>
      </c>
      <c r="MG9" s="391">
        <f t="shared" si="408"/>
        <v>121953.17581220929</v>
      </c>
      <c r="MH9" s="252">
        <f t="shared" si="408"/>
        <v>155707.09488820317</v>
      </c>
      <c r="MI9" s="252">
        <f t="shared" si="408"/>
        <v>137980.7492133849</v>
      </c>
      <c r="MJ9" s="390">
        <f t="shared" si="408"/>
        <v>0</v>
      </c>
      <c r="MK9" s="253">
        <f>SUM(ML9:MR9)</f>
        <v>715514.6873233699</v>
      </c>
      <c r="ML9" s="251">
        <f t="shared" ref="ML9:MR9" si="409">SUM(ML10:ML11)</f>
        <v>128350.29673018087</v>
      </c>
      <c r="MM9" s="252">
        <f t="shared" si="409"/>
        <v>0</v>
      </c>
      <c r="MN9" s="252">
        <f t="shared" si="409"/>
        <v>122381.56241604562</v>
      </c>
      <c r="MO9" s="391">
        <f t="shared" si="409"/>
        <v>131265.77054370075</v>
      </c>
      <c r="MP9" s="252">
        <f t="shared" si="409"/>
        <v>171957.96103072577</v>
      </c>
      <c r="MQ9" s="252">
        <f t="shared" si="409"/>
        <v>161559.09660271695</v>
      </c>
      <c r="MR9" s="390">
        <f t="shared" si="409"/>
        <v>0</v>
      </c>
      <c r="MS9" s="253">
        <f>SUM(MT9:MZ9)</f>
        <v>707782.82064990792</v>
      </c>
      <c r="MT9" s="251">
        <f t="shared" ref="MT9:MZ9" si="410">SUM(MT10:MT11)</f>
        <v>127576.92181795137</v>
      </c>
      <c r="MU9" s="252">
        <f t="shared" si="410"/>
        <v>146552.02690569934</v>
      </c>
      <c r="MV9" s="252">
        <f t="shared" si="410"/>
        <v>141444.78817488829</v>
      </c>
      <c r="MW9" s="391">
        <f t="shared" si="410"/>
        <v>148603.64018034449</v>
      </c>
      <c r="MX9" s="252">
        <f t="shared" si="410"/>
        <v>0</v>
      </c>
      <c r="MY9" s="252">
        <f t="shared" si="410"/>
        <v>143605.44357102443</v>
      </c>
      <c r="MZ9" s="390">
        <f t="shared" si="410"/>
        <v>0</v>
      </c>
      <c r="NA9" s="253">
        <f>SUM(NB9:NH9)</f>
        <v>850752.2422811765</v>
      </c>
      <c r="NB9" s="251">
        <f t="shared" ref="NB9:NH9" si="411">SUM(NB10:NB11)</f>
        <v>129471.49085729168</v>
      </c>
      <c r="NC9" s="252">
        <f t="shared" si="411"/>
        <v>144370.64845284942</v>
      </c>
      <c r="ND9" s="252">
        <f t="shared" si="411"/>
        <v>141387.53524709726</v>
      </c>
      <c r="NE9" s="391">
        <f t="shared" si="411"/>
        <v>133767.62495587554</v>
      </c>
      <c r="NF9" s="252">
        <f t="shared" si="411"/>
        <v>156292.39215502565</v>
      </c>
      <c r="NG9" s="252">
        <f t="shared" si="411"/>
        <v>145462.55061303699</v>
      </c>
      <c r="NH9" s="390">
        <f t="shared" si="411"/>
        <v>0</v>
      </c>
      <c r="NI9" s="253">
        <f>SUM(NJ9:NP9)</f>
        <v>1010661.385500276</v>
      </c>
      <c r="NJ9" s="251">
        <f t="shared" ref="NJ9:NP9" si="412">SUM(NJ10:NJ11)</f>
        <v>130791.85086248146</v>
      </c>
      <c r="NK9" s="252">
        <f t="shared" si="412"/>
        <v>168581.4979119052</v>
      </c>
      <c r="NL9" s="252">
        <f t="shared" si="412"/>
        <v>172406.49880335433</v>
      </c>
      <c r="NM9" s="391">
        <f t="shared" si="412"/>
        <v>164630.95237592957</v>
      </c>
      <c r="NN9" s="252">
        <f t="shared" si="412"/>
        <v>189732.29945598188</v>
      </c>
      <c r="NO9" s="252">
        <f t="shared" si="412"/>
        <v>184518.28609062356</v>
      </c>
      <c r="NP9" s="390">
        <f t="shared" si="412"/>
        <v>0</v>
      </c>
      <c r="NQ9" s="253">
        <f>SUM(NR9:NX9)</f>
        <v>1028892.5317260905</v>
      </c>
      <c r="NR9" s="251">
        <f t="shared" ref="NR9:NX9" si="413">SUM(NR10:NR11)</f>
        <v>156514.0921487216</v>
      </c>
      <c r="NS9" s="252">
        <f t="shared" si="413"/>
        <v>194592.06408204179</v>
      </c>
      <c r="NT9" s="252">
        <f t="shared" si="413"/>
        <v>182664.77268034249</v>
      </c>
      <c r="NU9" s="391">
        <f t="shared" si="413"/>
        <v>168212.80928025139</v>
      </c>
      <c r="NV9" s="252">
        <f t="shared" si="413"/>
        <v>172645.24152749809</v>
      </c>
      <c r="NW9" s="252">
        <f t="shared" si="413"/>
        <v>154263.55200723506</v>
      </c>
      <c r="NX9" s="390">
        <f t="shared" si="413"/>
        <v>0</v>
      </c>
      <c r="NY9" s="253">
        <f>SUM(NZ9:OF9)</f>
        <v>871400.68811769749</v>
      </c>
      <c r="NZ9" s="251">
        <f t="shared" ref="NZ9:OF9" si="414">SUM(NZ10:NZ11)</f>
        <v>134080.78974844792</v>
      </c>
      <c r="OA9" s="252">
        <f t="shared" si="414"/>
        <v>147234.09418567442</v>
      </c>
      <c r="OB9" s="252">
        <f t="shared" si="414"/>
        <v>150696.98336577963</v>
      </c>
      <c r="OC9" s="391">
        <f t="shared" si="414"/>
        <v>134538.01244688322</v>
      </c>
      <c r="OD9" s="252">
        <f t="shared" si="414"/>
        <v>158013.06249709707</v>
      </c>
      <c r="OE9" s="252">
        <f t="shared" si="414"/>
        <v>146837.74587381526</v>
      </c>
      <c r="OF9" s="390">
        <f t="shared" si="414"/>
        <v>0</v>
      </c>
      <c r="OG9" s="253">
        <f>SUM(OH9:ON9)</f>
        <v>822432.95383721066</v>
      </c>
      <c r="OH9" s="251">
        <f t="shared" ref="OH9:ON9" si="415">SUM(OH10:OH11)</f>
        <v>132749.72455524685</v>
      </c>
      <c r="OI9" s="252">
        <f t="shared" si="415"/>
        <v>134070.97922330559</v>
      </c>
      <c r="OJ9" s="252">
        <f t="shared" si="415"/>
        <v>130088.54090808771</v>
      </c>
      <c r="OK9" s="391">
        <f t="shared" si="415"/>
        <v>125907.14659818202</v>
      </c>
      <c r="OL9" s="252">
        <f t="shared" si="415"/>
        <v>153375.49900230957</v>
      </c>
      <c r="OM9" s="252">
        <f t="shared" si="415"/>
        <v>146241.06355007886</v>
      </c>
      <c r="ON9" s="390">
        <f t="shared" si="415"/>
        <v>0</v>
      </c>
      <c r="OO9" s="253">
        <f>SUM(OP9:OV9)</f>
        <v>1004630.25</v>
      </c>
      <c r="OP9" s="251">
        <f t="shared" ref="OP9:OV9" si="416">SUM(OP10:OP11)</f>
        <v>135577.5</v>
      </c>
      <c r="OQ9" s="252">
        <f t="shared" si="416"/>
        <v>165548</v>
      </c>
      <c r="OR9" s="252">
        <f t="shared" si="416"/>
        <v>159932</v>
      </c>
      <c r="OS9" s="391">
        <f t="shared" si="416"/>
        <v>190975.75</v>
      </c>
      <c r="OT9" s="252">
        <f t="shared" si="416"/>
        <v>199192.5</v>
      </c>
      <c r="OU9" s="252">
        <f t="shared" si="416"/>
        <v>153404.5</v>
      </c>
      <c r="OV9" s="390">
        <f t="shared" si="416"/>
        <v>0</v>
      </c>
      <c r="OW9" s="253">
        <f>SUM(OX9:PD9)</f>
        <v>945665.75</v>
      </c>
      <c r="OX9" s="251">
        <f t="shared" ref="OX9:PD9" si="417">SUM(OX10:OX11)</f>
        <v>129105.75</v>
      </c>
      <c r="OY9" s="252">
        <f t="shared" si="417"/>
        <v>157099</v>
      </c>
      <c r="OZ9" s="252">
        <f t="shared" si="417"/>
        <v>156422</v>
      </c>
      <c r="PA9" s="391">
        <f t="shared" si="417"/>
        <v>166650</v>
      </c>
      <c r="PB9" s="252">
        <f t="shared" si="417"/>
        <v>193077.5</v>
      </c>
      <c r="PC9" s="252">
        <f t="shared" si="417"/>
        <v>143311.5</v>
      </c>
      <c r="PD9" s="390">
        <f t="shared" si="417"/>
        <v>0</v>
      </c>
      <c r="PE9" s="253">
        <f>SUM(PF9:PL9)</f>
        <v>832400</v>
      </c>
      <c r="PF9" s="251">
        <f t="shared" ref="PF9:PL9" si="418">SUM(PF10:PF11)</f>
        <v>109675</v>
      </c>
      <c r="PG9" s="252">
        <f t="shared" si="418"/>
        <v>141825</v>
      </c>
      <c r="PH9" s="252">
        <f t="shared" si="418"/>
        <v>140750</v>
      </c>
      <c r="PI9" s="391">
        <f t="shared" si="418"/>
        <v>128600</v>
      </c>
      <c r="PJ9" s="252">
        <f t="shared" si="418"/>
        <v>159400</v>
      </c>
      <c r="PK9" s="252">
        <f t="shared" si="418"/>
        <v>152150</v>
      </c>
      <c r="PL9" s="390">
        <f t="shared" si="418"/>
        <v>0</v>
      </c>
    </row>
    <row r="10" spans="1:428" ht="14.85" customHeight="1" outlineLevel="1" x14ac:dyDescent="0.3">
      <c r="B10" s="1014"/>
      <c r="C10" s="1018"/>
      <c r="D10" s="254" t="s">
        <v>208</v>
      </c>
      <c r="E10" s="261">
        <f t="shared" ref="E10:E11" si="419">SUM(F10:L10)</f>
        <v>211289.83960960197</v>
      </c>
      <c r="F10" s="257">
        <f>F5*F7</f>
        <v>30559.790006567604</v>
      </c>
      <c r="G10" s="259">
        <f t="shared" ref="G10:L10" si="420">G5*G7</f>
        <v>31150.944028254853</v>
      </c>
      <c r="H10" s="259">
        <f t="shared" si="420"/>
        <v>28779.105574779525</v>
      </c>
      <c r="I10" s="259">
        <f t="shared" si="420"/>
        <v>24500</v>
      </c>
      <c r="J10" s="258">
        <f t="shared" si="420"/>
        <v>48600</v>
      </c>
      <c r="K10" s="259">
        <f t="shared" si="420"/>
        <v>47700.000000000007</v>
      </c>
      <c r="L10" s="258">
        <f t="shared" si="420"/>
        <v>0</v>
      </c>
      <c r="M10" s="261">
        <f t="shared" ref="M10:M11" si="421">SUM(N10:T10)</f>
        <v>206189.96091413018</v>
      </c>
      <c r="N10" s="257">
        <f>N5*N7</f>
        <v>29991.970211131073</v>
      </c>
      <c r="O10" s="259">
        <f t="shared" ref="O10:T10" si="422">O5*O7</f>
        <v>25455.334176994929</v>
      </c>
      <c r="P10" s="259">
        <f t="shared" si="422"/>
        <v>25642.656526004193</v>
      </c>
      <c r="Q10" s="259">
        <f t="shared" si="422"/>
        <v>30599.999999999996</v>
      </c>
      <c r="R10" s="258">
        <f t="shared" si="422"/>
        <v>46799.999999999993</v>
      </c>
      <c r="S10" s="259">
        <f t="shared" si="422"/>
        <v>47700.000000000007</v>
      </c>
      <c r="T10" s="258">
        <f t="shared" si="422"/>
        <v>0</v>
      </c>
      <c r="U10" s="261">
        <f t="shared" ref="U10:U11" si="423">SUM(V10:AB10)</f>
        <v>219698.37829268171</v>
      </c>
      <c r="V10" s="257">
        <f>V5*V7</f>
        <v>33021.975604757426</v>
      </c>
      <c r="W10" s="259">
        <f t="shared" ref="W10:AB10" si="424">W5*W7</f>
        <v>27282.405632713242</v>
      </c>
      <c r="X10" s="259">
        <f t="shared" si="424"/>
        <v>30843.997055211039</v>
      </c>
      <c r="Y10" s="259">
        <f t="shared" si="424"/>
        <v>28800.000000000004</v>
      </c>
      <c r="Z10" s="258">
        <f t="shared" si="424"/>
        <v>50350</v>
      </c>
      <c r="AA10" s="259">
        <f t="shared" si="424"/>
        <v>49400</v>
      </c>
      <c r="AB10" s="258">
        <f t="shared" si="424"/>
        <v>0</v>
      </c>
      <c r="AC10" s="261">
        <f t="shared" ref="AC10:AC11" si="425">SUM(AD10:AJ10)</f>
        <v>208235.42555583033</v>
      </c>
      <c r="AD10" s="257">
        <f>AD5*AD7</f>
        <v>30829.402985074626</v>
      </c>
      <c r="AE10" s="259">
        <f t="shared" ref="AE10:AJ10" si="426">AE5*AE7</f>
        <v>26783.720930232561</v>
      </c>
      <c r="AF10" s="259">
        <f t="shared" si="426"/>
        <v>28800.000000000004</v>
      </c>
      <c r="AG10" s="259">
        <f t="shared" si="426"/>
        <v>25826.941810482429</v>
      </c>
      <c r="AH10" s="258">
        <f t="shared" si="426"/>
        <v>44149.620728997819</v>
      </c>
      <c r="AI10" s="259">
        <f t="shared" si="426"/>
        <v>51845.739101042876</v>
      </c>
      <c r="AJ10" s="258">
        <f t="shared" si="426"/>
        <v>0</v>
      </c>
      <c r="AK10" s="261">
        <f t="shared" ref="AK10:AK11" si="427">SUM(AL10:AR10)</f>
        <v>215296.66186799557</v>
      </c>
      <c r="AL10" s="257">
        <f>AL5*AL7</f>
        <v>35451.526790619275</v>
      </c>
      <c r="AM10" s="259">
        <f t="shared" ref="AM10:AR10" si="428">AM5*AM7</f>
        <v>26827.125113018636</v>
      </c>
      <c r="AN10" s="259">
        <f t="shared" si="428"/>
        <v>27682.322543118411</v>
      </c>
      <c r="AO10" s="259">
        <f t="shared" si="428"/>
        <v>24048.311067212111</v>
      </c>
      <c r="AP10" s="258">
        <f t="shared" si="428"/>
        <v>48254.834682690496</v>
      </c>
      <c r="AQ10" s="259">
        <f t="shared" si="428"/>
        <v>53032.541671336628</v>
      </c>
      <c r="AR10" s="258">
        <f t="shared" si="428"/>
        <v>0</v>
      </c>
      <c r="AS10" s="261">
        <f t="shared" ref="AS10:AS11" si="429">SUM(AT10:AZ10)</f>
        <v>212874.51502045227</v>
      </c>
      <c r="AT10" s="257">
        <f>AT5*AT7</f>
        <v>35989.799161005787</v>
      </c>
      <c r="AU10" s="259">
        <f t="shared" ref="AU10:AZ10" si="430">AU5*AU7</f>
        <v>25282.884455616524</v>
      </c>
      <c r="AV10" s="259">
        <f t="shared" si="430"/>
        <v>28419.975897469994</v>
      </c>
      <c r="AW10" s="259">
        <f t="shared" si="430"/>
        <v>21583.462544599042</v>
      </c>
      <c r="AX10" s="258">
        <f t="shared" si="430"/>
        <v>51194.292961819039</v>
      </c>
      <c r="AY10" s="259">
        <f t="shared" si="430"/>
        <v>50404.099999941871</v>
      </c>
      <c r="AZ10" s="258">
        <f t="shared" si="430"/>
        <v>0</v>
      </c>
      <c r="BA10" s="261">
        <f t="shared" ref="BA10:BA11" si="431">SUM(BB10:BH10)</f>
        <v>218864.41502718625</v>
      </c>
      <c r="BB10" s="257">
        <f>BB5*BB7</f>
        <v>35853.707724506108</v>
      </c>
      <c r="BC10" s="259">
        <f t="shared" ref="BC10:BH10" si="432">BC5*BC7</f>
        <v>27176.992650455231</v>
      </c>
      <c r="BD10" s="259">
        <f t="shared" si="432"/>
        <v>27860.839357817051</v>
      </c>
      <c r="BE10" s="259">
        <f t="shared" si="432"/>
        <v>24802.91773169467</v>
      </c>
      <c r="BF10" s="258">
        <f t="shared" si="432"/>
        <v>52296.48631290628</v>
      </c>
      <c r="BG10" s="259">
        <f t="shared" si="432"/>
        <v>50873.471249806906</v>
      </c>
      <c r="BH10" s="258">
        <f t="shared" si="432"/>
        <v>0</v>
      </c>
      <c r="BI10" s="261">
        <f t="shared" ref="BI10:BI11" si="433">SUM(BJ10:BP10)</f>
        <v>216809.89119481013</v>
      </c>
      <c r="BJ10" s="257">
        <f>BJ5*BJ7</f>
        <v>36470.95867922144</v>
      </c>
      <c r="BK10" s="259">
        <f t="shared" ref="BK10:BP10" si="434">BK5*BK7</f>
        <v>25161.97168254741</v>
      </c>
      <c r="BL10" s="259">
        <f t="shared" si="434"/>
        <v>23979.172364201528</v>
      </c>
      <c r="BM10" s="259">
        <f t="shared" si="434"/>
        <v>24614.060092487653</v>
      </c>
      <c r="BN10" s="258">
        <f t="shared" si="434"/>
        <v>56748.532381511737</v>
      </c>
      <c r="BO10" s="259">
        <f t="shared" si="434"/>
        <v>49835.195994840346</v>
      </c>
      <c r="BP10" s="258">
        <f t="shared" si="434"/>
        <v>0</v>
      </c>
      <c r="BQ10" s="261">
        <f t="shared" ref="BQ10:BQ11" si="435">SUM(BR10:BX10)</f>
        <v>213508.11509953279</v>
      </c>
      <c r="BR10" s="257">
        <f>BR5*BR7</f>
        <v>37960.959945187598</v>
      </c>
      <c r="BS10" s="259">
        <f t="shared" ref="BS10:BX10" si="436">BS5*BS7</f>
        <v>22642.47349449011</v>
      </c>
      <c r="BT10" s="259">
        <f t="shared" si="436"/>
        <v>26103.500502115108</v>
      </c>
      <c r="BU10" s="259">
        <f t="shared" si="436"/>
        <v>22035.968630066156</v>
      </c>
      <c r="BV10" s="258">
        <f t="shared" si="436"/>
        <v>55681.948316333284</v>
      </c>
      <c r="BW10" s="259">
        <f t="shared" si="436"/>
        <v>49083.264211340553</v>
      </c>
      <c r="BX10" s="258">
        <f t="shared" si="436"/>
        <v>0</v>
      </c>
      <c r="BY10" s="261">
        <f t="shared" ref="BY10:BY11" si="437">SUM(BZ10:CF10)</f>
        <v>211010.1432691933</v>
      </c>
      <c r="BZ10" s="257">
        <f>BZ5*BZ7</f>
        <v>35630.039044603873</v>
      </c>
      <c r="CA10" s="259">
        <f t="shared" ref="CA10:CF10" si="438">CA5*CA7</f>
        <v>24028.459080407836</v>
      </c>
      <c r="CB10" s="259">
        <f t="shared" si="438"/>
        <v>24311.371235218805</v>
      </c>
      <c r="CC10" s="259">
        <f t="shared" si="438"/>
        <v>22090.904890219477</v>
      </c>
      <c r="CD10" s="258">
        <f t="shared" si="438"/>
        <v>53283.457409550247</v>
      </c>
      <c r="CE10" s="259">
        <f t="shared" si="438"/>
        <v>51665.911609193085</v>
      </c>
      <c r="CF10" s="258">
        <f t="shared" si="438"/>
        <v>0</v>
      </c>
      <c r="CG10" s="261">
        <f t="shared" ref="CG10:CG11" si="439">SUM(CH10:CN10)</f>
        <v>198362.70630419435</v>
      </c>
      <c r="CH10" s="257">
        <f>CH5*CH7</f>
        <v>35718.86568649501</v>
      </c>
      <c r="CI10" s="259">
        <f t="shared" ref="CI10:CN10" si="440">CI5*CI7</f>
        <v>20659.130710285033</v>
      </c>
      <c r="CJ10" s="259">
        <f t="shared" si="440"/>
        <v>21751.042301332036</v>
      </c>
      <c r="CK10" s="259">
        <f t="shared" si="440"/>
        <v>21412.091696557349</v>
      </c>
      <c r="CL10" s="258">
        <f t="shared" si="440"/>
        <v>48716.428359018384</v>
      </c>
      <c r="CM10" s="259">
        <f t="shared" si="440"/>
        <v>50105.147550506532</v>
      </c>
      <c r="CN10" s="258">
        <f t="shared" si="440"/>
        <v>0</v>
      </c>
      <c r="CO10" s="261">
        <f t="shared" ref="CO10:CO11" si="441">SUM(CP10:CV10)</f>
        <v>211816.58038768879</v>
      </c>
      <c r="CP10" s="257">
        <f>CP5*CP7</f>
        <v>34574.005539049263</v>
      </c>
      <c r="CQ10" s="259">
        <f t="shared" ref="CQ10:CV10" si="442">CQ5*CQ7</f>
        <v>25438.584235325328</v>
      </c>
      <c r="CR10" s="259">
        <f t="shared" si="442"/>
        <v>24350.936377165344</v>
      </c>
      <c r="CS10" s="259">
        <f t="shared" si="442"/>
        <v>22462.78749958922</v>
      </c>
      <c r="CT10" s="258">
        <f t="shared" si="442"/>
        <v>51480.782791628219</v>
      </c>
      <c r="CU10" s="259">
        <f t="shared" si="442"/>
        <v>53509.483944931424</v>
      </c>
      <c r="CV10" s="258">
        <f t="shared" si="442"/>
        <v>0</v>
      </c>
      <c r="CW10" s="261">
        <f t="shared" ref="CW10:CW11" si="443">SUM(CX10:DD10)</f>
        <v>201692.14850860008</v>
      </c>
      <c r="CX10" s="257">
        <f>CX5*CX7</f>
        <v>34195.343387909154</v>
      </c>
      <c r="CY10" s="259">
        <f t="shared" ref="CY10:DD10" si="444">CY5*CY7</f>
        <v>23477.348370608233</v>
      </c>
      <c r="CZ10" s="259">
        <f t="shared" si="444"/>
        <v>22005.288395664062</v>
      </c>
      <c r="DA10" s="259">
        <f t="shared" si="444"/>
        <v>24186.082438176334</v>
      </c>
      <c r="DB10" s="258">
        <f t="shared" si="444"/>
        <v>50622.354090057415</v>
      </c>
      <c r="DC10" s="259">
        <f t="shared" si="444"/>
        <v>47205.731826184856</v>
      </c>
      <c r="DD10" s="258">
        <f t="shared" si="444"/>
        <v>0</v>
      </c>
      <c r="DE10" s="261">
        <f t="shared" ref="DE10:DE11" si="445">SUM(DF10:DL10)</f>
        <v>204595.01725224903</v>
      </c>
      <c r="DF10" s="257">
        <f>DF5*DF7</f>
        <v>33545.482417699044</v>
      </c>
      <c r="DG10" s="259">
        <f t="shared" ref="DG10:DL10" si="446">DG5*DG7</f>
        <v>22188.779593864576</v>
      </c>
      <c r="DH10" s="259">
        <f t="shared" si="446"/>
        <v>23478.279956145765</v>
      </c>
      <c r="DI10" s="259">
        <f t="shared" si="446"/>
        <v>24894.57858762109</v>
      </c>
      <c r="DJ10" s="258">
        <f t="shared" si="446"/>
        <v>52281.677395030732</v>
      </c>
      <c r="DK10" s="259">
        <f t="shared" si="446"/>
        <v>48206.219301887817</v>
      </c>
      <c r="DL10" s="258">
        <f t="shared" si="446"/>
        <v>0</v>
      </c>
      <c r="DM10" s="261">
        <f t="shared" ref="DM10:DM11" si="447">SUM(DN10:DT10)</f>
        <v>211101.94193510711</v>
      </c>
      <c r="DN10" s="257">
        <f>DN5*DN7</f>
        <v>35930.459231651934</v>
      </c>
      <c r="DO10" s="259">
        <f t="shared" ref="DO10:DT10" si="448">DO5*DO7</f>
        <v>24394.956202194397</v>
      </c>
      <c r="DP10" s="259">
        <f t="shared" si="448"/>
        <v>25690.544713039628</v>
      </c>
      <c r="DQ10" s="259">
        <f t="shared" si="448"/>
        <v>26014.834624064042</v>
      </c>
      <c r="DR10" s="258">
        <f t="shared" si="448"/>
        <v>51865.415337972285</v>
      </c>
      <c r="DS10" s="259">
        <f t="shared" si="448"/>
        <v>47205.731826184849</v>
      </c>
      <c r="DT10" s="258">
        <f t="shared" si="448"/>
        <v>0</v>
      </c>
      <c r="DU10" s="261">
        <f t="shared" ref="DU10:DU11" si="449">SUM(DV10:EB10)</f>
        <v>172897.76555056407</v>
      </c>
      <c r="DV10" s="257">
        <f>DV5*DV7</f>
        <v>0</v>
      </c>
      <c r="DW10" s="259">
        <f t="shared" ref="DW10:EB10" si="450">DW5*DW7</f>
        <v>32607.128980914091</v>
      </c>
      <c r="DX10" s="259">
        <f t="shared" si="450"/>
        <v>25670.394902726974</v>
      </c>
      <c r="DY10" s="259">
        <f t="shared" si="450"/>
        <v>26042.658156570647</v>
      </c>
      <c r="DZ10" s="258">
        <f t="shared" si="450"/>
        <v>47001.64102743916</v>
      </c>
      <c r="EA10" s="259">
        <f t="shared" si="450"/>
        <v>41575.942482913197</v>
      </c>
      <c r="EB10" s="258">
        <f t="shared" si="450"/>
        <v>0</v>
      </c>
      <c r="EC10" s="261">
        <f t="shared" ref="EC10:EC11" si="451">SUM(ED10:EJ10)</f>
        <v>187578.16346182904</v>
      </c>
      <c r="ED10" s="257">
        <f>ED5*ED7</f>
        <v>30569.93119219863</v>
      </c>
      <c r="EE10" s="259">
        <f t="shared" ref="EE10:EJ10" si="452">EE5*EE7</f>
        <v>21645.578503250748</v>
      </c>
      <c r="EF10" s="259">
        <f t="shared" si="452"/>
        <v>21160.859478756494</v>
      </c>
      <c r="EG10" s="259">
        <f t="shared" si="452"/>
        <v>21987.987781326199</v>
      </c>
      <c r="EH10" s="258">
        <f t="shared" si="452"/>
        <v>48820.583350306952</v>
      </c>
      <c r="EI10" s="259">
        <f t="shared" si="452"/>
        <v>43393.223155990003</v>
      </c>
      <c r="EJ10" s="258">
        <f t="shared" si="452"/>
        <v>0</v>
      </c>
      <c r="EK10" s="261">
        <f t="shared" ref="EK10:EK11" si="453">SUM(EL10:ER10)</f>
        <v>211950.25969225448</v>
      </c>
      <c r="EL10" s="257">
        <f>EL5*EL7</f>
        <v>32405.022047711416</v>
      </c>
      <c r="EM10" s="259">
        <f t="shared" ref="EM10:ER10" si="454">EM5*EM7</f>
        <v>22026.814472400049</v>
      </c>
      <c r="EN10" s="259">
        <f t="shared" si="454"/>
        <v>24036.294583880081</v>
      </c>
      <c r="EO10" s="259">
        <f t="shared" si="454"/>
        <v>22703.581607359472</v>
      </c>
      <c r="EP10" s="258">
        <f t="shared" si="454"/>
        <v>58533.44585199772</v>
      </c>
      <c r="EQ10" s="259">
        <f t="shared" si="454"/>
        <v>52245.101128905706</v>
      </c>
      <c r="ER10" s="258">
        <f t="shared" si="454"/>
        <v>0</v>
      </c>
      <c r="ES10" s="261">
        <f t="shared" ref="ES10:ES11" si="455">SUM(ET10:EZ10)</f>
        <v>247213.47048761926</v>
      </c>
      <c r="ET10" s="257">
        <f>ET5*ET7</f>
        <v>37484.881684956374</v>
      </c>
      <c r="EU10" s="259">
        <f t="shared" ref="EU10:EZ10" si="456">EU5*EU7</f>
        <v>28146.251231049209</v>
      </c>
      <c r="EV10" s="259">
        <f t="shared" si="456"/>
        <v>28684.293363273635</v>
      </c>
      <c r="EW10" s="259">
        <f t="shared" si="456"/>
        <v>31919.612568335124</v>
      </c>
      <c r="EX10" s="258">
        <f t="shared" si="456"/>
        <v>63551.345343693756</v>
      </c>
      <c r="EY10" s="259">
        <f t="shared" si="456"/>
        <v>57427.086296311143</v>
      </c>
      <c r="EZ10" s="258">
        <f t="shared" si="456"/>
        <v>0</v>
      </c>
      <c r="FA10" s="261">
        <f t="shared" ref="FA10:FA11" si="457">SUM(FB10:FH10)</f>
        <v>228980.18118999698</v>
      </c>
      <c r="FB10" s="257">
        <f>FB5*FB7</f>
        <v>39408.047286094166</v>
      </c>
      <c r="FC10" s="259">
        <f t="shared" ref="FC10:FH10" si="458">FC5*FC7</f>
        <v>30197.283236961895</v>
      </c>
      <c r="FD10" s="259">
        <f t="shared" si="458"/>
        <v>30389.467211664894</v>
      </c>
      <c r="FE10" s="259">
        <f t="shared" si="458"/>
        <v>28743.648135603606</v>
      </c>
      <c r="FF10" s="258">
        <f t="shared" si="458"/>
        <v>53944.871951596309</v>
      </c>
      <c r="FG10" s="259">
        <f t="shared" si="458"/>
        <v>46296.863368076105</v>
      </c>
      <c r="FH10" s="258">
        <f t="shared" si="458"/>
        <v>0</v>
      </c>
      <c r="FI10" s="261">
        <f t="shared" ref="FI10:FI11" si="459">SUM(FJ10:FP10)</f>
        <v>190184.09025287503</v>
      </c>
      <c r="FJ10" s="257">
        <f>FJ5*FJ7</f>
        <v>33549.124738610721</v>
      </c>
      <c r="FK10" s="259">
        <f t="shared" ref="FK10:FP10" si="460">FK5*FK7</f>
        <v>24094.817228187443</v>
      </c>
      <c r="FL10" s="259">
        <f t="shared" si="460"/>
        <v>27498.407371927227</v>
      </c>
      <c r="FM10" s="259">
        <f t="shared" si="460"/>
        <v>0</v>
      </c>
      <c r="FN10" s="258">
        <f t="shared" si="460"/>
        <v>45890.692767698521</v>
      </c>
      <c r="FO10" s="259">
        <f t="shared" si="460"/>
        <v>59151.048146451118</v>
      </c>
      <c r="FP10" s="258">
        <f t="shared" si="460"/>
        <v>0</v>
      </c>
      <c r="FQ10" s="261">
        <f t="shared" ref="FQ10:FQ11" si="461">SUM(FR10:FX10)</f>
        <v>225825.68037589639</v>
      </c>
      <c r="FR10" s="257">
        <f>FR5*FR7</f>
        <v>39785.441009731709</v>
      </c>
      <c r="FS10" s="259">
        <f t="shared" ref="FS10:FX10" si="462">FS5*FS7</f>
        <v>29546.930716538329</v>
      </c>
      <c r="FT10" s="259">
        <f t="shared" si="462"/>
        <v>30950.108933770654</v>
      </c>
      <c r="FU10" s="259">
        <f t="shared" si="462"/>
        <v>30635.524976415792</v>
      </c>
      <c r="FV10" s="258">
        <f t="shared" si="462"/>
        <v>48767.309418687655</v>
      </c>
      <c r="FW10" s="259">
        <f t="shared" si="462"/>
        <v>46140.365320752258</v>
      </c>
      <c r="FX10" s="258">
        <f t="shared" si="462"/>
        <v>0</v>
      </c>
      <c r="FY10" s="261">
        <f t="shared" ref="FY10:FY11" si="463">SUM(FZ10:GF10)</f>
        <v>201836.67331255481</v>
      </c>
      <c r="FZ10" s="257">
        <f>FZ5*FZ7</f>
        <v>0</v>
      </c>
      <c r="GA10" s="259">
        <f t="shared" ref="GA10:GF10" si="464">GA5*GA7</f>
        <v>35697.362489318642</v>
      </c>
      <c r="GB10" s="259">
        <f t="shared" si="464"/>
        <v>33378.436708199479</v>
      </c>
      <c r="GC10" s="259">
        <f>GC5*GC7</f>
        <v>25600</v>
      </c>
      <c r="GD10" s="258">
        <f t="shared" si="464"/>
        <v>51271.276883862993</v>
      </c>
      <c r="GE10" s="259">
        <f t="shared" si="464"/>
        <v>55889.597231173677</v>
      </c>
      <c r="GF10" s="258">
        <f t="shared" si="464"/>
        <v>0</v>
      </c>
      <c r="GG10" s="261">
        <f t="shared" ref="GG10:GG11" si="465">SUM(GH10:GN10)</f>
        <v>232371.84716213093</v>
      </c>
      <c r="GH10" s="257">
        <f>GH5*GH7</f>
        <v>35226.622500733014</v>
      </c>
      <c r="GI10" s="259">
        <f t="shared" ref="GI10:GN10" si="466">GI5*GI7</f>
        <v>29604.93867929963</v>
      </c>
      <c r="GJ10" s="259">
        <f t="shared" si="466"/>
        <v>29699.523128203116</v>
      </c>
      <c r="GK10" s="259">
        <f t="shared" si="466"/>
        <v>27706.580157563192</v>
      </c>
      <c r="GL10" s="258">
        <f t="shared" si="466"/>
        <v>57608.533022504402</v>
      </c>
      <c r="GM10" s="259">
        <f t="shared" si="466"/>
        <v>52525.649673827589</v>
      </c>
      <c r="GN10" s="258">
        <f t="shared" si="466"/>
        <v>0</v>
      </c>
      <c r="GO10" s="261">
        <f t="shared" ref="GO10:GO11" si="467">SUM(GP10:GV10)</f>
        <v>214133.0106036776</v>
      </c>
      <c r="GP10" s="257">
        <f>GP5*GP7</f>
        <v>18038.401704138243</v>
      </c>
      <c r="GQ10" s="259">
        <f>GQ5*GQ7</f>
        <v>34931.711652094498</v>
      </c>
      <c r="GR10" s="259">
        <f t="shared" ref="GR10:GV10" si="468">GR5*GR7</f>
        <v>27313.409441807387</v>
      </c>
      <c r="GS10" s="259">
        <f t="shared" si="468"/>
        <v>28468.609899266674</v>
      </c>
      <c r="GT10" s="258">
        <f t="shared" si="468"/>
        <v>54517.52600495096</v>
      </c>
      <c r="GU10" s="259">
        <f t="shared" si="468"/>
        <v>50863.351901419839</v>
      </c>
      <c r="GV10" s="258">
        <f t="shared" si="468"/>
        <v>0</v>
      </c>
      <c r="GW10" s="261">
        <f t="shared" ref="GW10:GW11" si="469">SUM(GX10:HD10)</f>
        <v>214814.4604440495</v>
      </c>
      <c r="GX10" s="257">
        <f>GX5*GX7</f>
        <v>31441.561270836795</v>
      </c>
      <c r="GY10" s="259">
        <f t="shared" ref="GY10:HD10" si="470">GY5*GY7</f>
        <v>27060.972356364386</v>
      </c>
      <c r="GZ10" s="259">
        <f t="shared" si="470"/>
        <v>26449.012333843573</v>
      </c>
      <c r="HA10" s="259">
        <f t="shared" si="470"/>
        <v>27186.595479231473</v>
      </c>
      <c r="HB10" s="258">
        <f t="shared" si="470"/>
        <v>53799.384740906542</v>
      </c>
      <c r="HC10" s="259">
        <f t="shared" si="470"/>
        <v>48876.934262866729</v>
      </c>
      <c r="HD10" s="258">
        <f t="shared" si="470"/>
        <v>0</v>
      </c>
      <c r="HE10" s="261">
        <f t="shared" ref="HE10:HE11" si="471">SUM(HF10:HL10)</f>
        <v>172481.36685216188</v>
      </c>
      <c r="HF10" s="257">
        <f>HF5*HF7</f>
        <v>26303.772442655008</v>
      </c>
      <c r="HG10" s="259">
        <f t="shared" ref="HG10:HL10" si="472">HG5*HG7</f>
        <v>22150.21784304858</v>
      </c>
      <c r="HH10" s="259">
        <f t="shared" si="472"/>
        <v>21408.357133911795</v>
      </c>
      <c r="HI10" s="259">
        <f t="shared" si="472"/>
        <v>20900.788907383216</v>
      </c>
      <c r="HJ10" s="258">
        <f t="shared" si="472"/>
        <v>43555.988670119761</v>
      </c>
      <c r="HK10" s="259">
        <f t="shared" si="472"/>
        <v>38162.241855043525</v>
      </c>
      <c r="HL10" s="258">
        <f t="shared" si="472"/>
        <v>0</v>
      </c>
      <c r="HM10" s="261">
        <f t="shared" ref="HM10:HM11" si="473">SUM(HN10:HT10)</f>
        <v>157230.33971860912</v>
      </c>
      <c r="HN10" s="257">
        <f>HN5*HN7</f>
        <v>23150.557511707168</v>
      </c>
      <c r="HO10" s="259">
        <f t="shared" ref="HO10:HT10" si="474">HO5*HO7</f>
        <v>22178.919440658166</v>
      </c>
      <c r="HP10" s="259">
        <f t="shared" si="474"/>
        <v>19421.317936588199</v>
      </c>
      <c r="HQ10" s="259">
        <f t="shared" si="474"/>
        <v>20208.530563648306</v>
      </c>
      <c r="HR10" s="258">
        <f t="shared" si="474"/>
        <v>37509.809692938477</v>
      </c>
      <c r="HS10" s="259">
        <f t="shared" si="474"/>
        <v>34761.204573068811</v>
      </c>
      <c r="HT10" s="258">
        <f t="shared" si="474"/>
        <v>0</v>
      </c>
      <c r="HU10" s="261">
        <f t="shared" ref="HU10:HU11" si="475">SUM(HV10:IB10)</f>
        <v>142303.44019169288</v>
      </c>
      <c r="HV10" s="257">
        <f>HV5*HV7</f>
        <v>20562.560007823784</v>
      </c>
      <c r="HW10" s="259">
        <f t="shared" ref="HW10:IB10" si="476">HW5*HW7</f>
        <v>19414.803304988822</v>
      </c>
      <c r="HX10" s="259">
        <f t="shared" si="476"/>
        <v>21096.4713578179</v>
      </c>
      <c r="HY10" s="259">
        <f t="shared" si="476"/>
        <v>0</v>
      </c>
      <c r="HZ10" s="258">
        <f t="shared" si="476"/>
        <v>44394.59096801054</v>
      </c>
      <c r="IA10" s="259">
        <f t="shared" si="476"/>
        <v>36835.01455305182</v>
      </c>
      <c r="IB10" s="258">
        <f t="shared" si="476"/>
        <v>0</v>
      </c>
      <c r="IC10" s="261">
        <f t="shared" ref="IC10:IC11" si="477">SUM(ID10:IJ10)</f>
        <v>144836.91358301189</v>
      </c>
      <c r="ID10" s="257">
        <f>ID5*ID7</f>
        <v>20732.982207627512</v>
      </c>
      <c r="IE10" s="259">
        <f t="shared" ref="IE10:IJ10" si="478">IE5*IE7</f>
        <v>19585.395833644958</v>
      </c>
      <c r="IF10" s="259">
        <f t="shared" si="478"/>
        <v>19276.078873084181</v>
      </c>
      <c r="IG10" s="259">
        <f t="shared" si="478"/>
        <v>20142.872555169284</v>
      </c>
      <c r="IH10" s="258">
        <f t="shared" si="478"/>
        <v>33905.610325325331</v>
      </c>
      <c r="II10" s="259">
        <f t="shared" si="478"/>
        <v>31193.973788160612</v>
      </c>
      <c r="IJ10" s="258">
        <f t="shared" si="478"/>
        <v>0</v>
      </c>
      <c r="IK10" s="261">
        <f t="shared" ref="IK10:IK11" si="479">SUM(IL10:IR10)</f>
        <v>155291.6041990846</v>
      </c>
      <c r="IL10" s="257">
        <f>IL5*IL7</f>
        <v>23535.071720920274</v>
      </c>
      <c r="IM10" s="259">
        <f t="shared" ref="IM10:IR10" si="480">IM5*IM7</f>
        <v>19853.626981089314</v>
      </c>
      <c r="IN10" s="259">
        <f t="shared" si="480"/>
        <v>19271.363388347807</v>
      </c>
      <c r="IO10" s="259">
        <f t="shared" si="480"/>
        <v>21357.976786339408</v>
      </c>
      <c r="IP10" s="258">
        <f t="shared" si="480"/>
        <v>37615.463443895336</v>
      </c>
      <c r="IQ10" s="259">
        <f t="shared" si="480"/>
        <v>33658.101878492474</v>
      </c>
      <c r="IR10" s="258">
        <f t="shared" si="480"/>
        <v>0</v>
      </c>
      <c r="IS10" s="261">
        <f t="shared" ref="IS10:IS11" si="481">SUM(IT10:IZ10)</f>
        <v>146536.59577748628</v>
      </c>
      <c r="IT10" s="257">
        <f>IT5*IT7</f>
        <v>23895.564562246171</v>
      </c>
      <c r="IU10" s="259">
        <f t="shared" ref="IU10:IZ10" si="482">IU5*IU7</f>
        <v>20181.525040554712</v>
      </c>
      <c r="IV10" s="259">
        <f t="shared" si="482"/>
        <v>20001.52483551855</v>
      </c>
      <c r="IW10" s="259">
        <f t="shared" si="482"/>
        <v>16605.230847133644</v>
      </c>
      <c r="IX10" s="258">
        <f t="shared" si="482"/>
        <v>34560.172783496775</v>
      </c>
      <c r="IY10" s="259">
        <f t="shared" si="482"/>
        <v>31292.577708536439</v>
      </c>
      <c r="IZ10" s="258">
        <f t="shared" si="482"/>
        <v>0</v>
      </c>
      <c r="JA10" s="261">
        <f t="shared" ref="JA10:JA11" si="483">SUM(JB10:JH10)</f>
        <v>150344.71976523526</v>
      </c>
      <c r="JB10" s="257">
        <f>JB5*JB7</f>
        <v>0</v>
      </c>
      <c r="JC10" s="259">
        <f t="shared" ref="JC10:JH10" si="484">JC5*JC7</f>
        <v>33751.147090622406</v>
      </c>
      <c r="JD10" s="259">
        <f t="shared" si="484"/>
        <v>22698.282461592928</v>
      </c>
      <c r="JE10" s="259">
        <f t="shared" si="484"/>
        <v>19767.527319513672</v>
      </c>
      <c r="JF10" s="258">
        <f t="shared" si="484"/>
        <v>38110.30303070369</v>
      </c>
      <c r="JG10" s="259">
        <f t="shared" si="484"/>
        <v>36017.459862802571</v>
      </c>
      <c r="JH10" s="258">
        <f t="shared" si="484"/>
        <v>0</v>
      </c>
      <c r="JI10" s="261">
        <f t="shared" ref="JI10:JI11" si="485">SUM(JJ10:JP10)</f>
        <v>203131.28545554762</v>
      </c>
      <c r="JJ10" s="257">
        <f>JJ5*JJ7</f>
        <v>29344.024617988558</v>
      </c>
      <c r="JK10" s="259">
        <f t="shared" ref="JK10:JP10" si="486">JK5*JK7</f>
        <v>21146.688443215196</v>
      </c>
      <c r="JL10" s="259">
        <f t="shared" si="486"/>
        <v>20685.88580239892</v>
      </c>
      <c r="JM10" s="259">
        <f t="shared" si="486"/>
        <v>24117.084841030879</v>
      </c>
      <c r="JN10" s="258">
        <f t="shared" si="486"/>
        <v>55444.429985523297</v>
      </c>
      <c r="JO10" s="259">
        <f t="shared" si="486"/>
        <v>52393.171765390784</v>
      </c>
      <c r="JP10" s="258">
        <f t="shared" si="486"/>
        <v>0</v>
      </c>
      <c r="JQ10" s="261">
        <f t="shared" ref="JQ10:JQ11" si="487">SUM(JR10:JX10)</f>
        <v>235617.77566247908</v>
      </c>
      <c r="JR10" s="257">
        <f>JR5*JR7</f>
        <v>33932.49527269294</v>
      </c>
      <c r="JS10" s="259">
        <f t="shared" ref="JS10:JX10" si="488">JS5*JS7</f>
        <v>28997.68513577386</v>
      </c>
      <c r="JT10" s="259">
        <f t="shared" si="488"/>
        <v>28539.794679102684</v>
      </c>
      <c r="JU10" s="259">
        <f t="shared" si="488"/>
        <v>29457.488497933213</v>
      </c>
      <c r="JV10" s="258">
        <f t="shared" si="488"/>
        <v>59903.872555386653</v>
      </c>
      <c r="JW10" s="259">
        <f t="shared" si="488"/>
        <v>54786.439521589746</v>
      </c>
      <c r="JX10" s="258">
        <f t="shared" si="488"/>
        <v>0</v>
      </c>
      <c r="JY10" s="261">
        <f t="shared" ref="JY10:JY11" si="489">SUM(JZ10:KF10)</f>
        <v>240145.45665094684</v>
      </c>
      <c r="JZ10" s="257">
        <f>JZ5*JZ7</f>
        <v>38415.69215618763</v>
      </c>
      <c r="KA10" s="259">
        <f t="shared" ref="KA10:KF10" si="490">KA5*KA7</f>
        <v>30256.411572320554</v>
      </c>
      <c r="KB10" s="259">
        <f t="shared" si="490"/>
        <v>31619.854683093319</v>
      </c>
      <c r="KC10" s="259">
        <f t="shared" si="490"/>
        <v>28177.117619869583</v>
      </c>
      <c r="KD10" s="258">
        <f t="shared" si="490"/>
        <v>58307.684336311264</v>
      </c>
      <c r="KE10" s="259">
        <f t="shared" si="490"/>
        <v>53368.696283164492</v>
      </c>
      <c r="KF10" s="258">
        <f t="shared" si="490"/>
        <v>0</v>
      </c>
      <c r="KG10" s="261">
        <f t="shared" ref="KG10:KG11" si="491">SUM(KH10:KN10)</f>
        <v>232887.9022965167</v>
      </c>
      <c r="KH10" s="257">
        <f>KH5*KH7</f>
        <v>37851.432460702119</v>
      </c>
      <c r="KI10" s="259">
        <f t="shared" ref="KI10:KN10" si="492">KI5*KI7</f>
        <v>30800</v>
      </c>
      <c r="KJ10" s="259">
        <f t="shared" si="492"/>
        <v>31432.295867529268</v>
      </c>
      <c r="KK10" s="259">
        <f t="shared" si="492"/>
        <v>28600</v>
      </c>
      <c r="KL10" s="258">
        <f t="shared" si="492"/>
        <v>53790.173968285337</v>
      </c>
      <c r="KM10" s="259">
        <f t="shared" si="492"/>
        <v>50413.999999999993</v>
      </c>
      <c r="KN10" s="258">
        <f t="shared" si="492"/>
        <v>0</v>
      </c>
      <c r="KO10" s="261">
        <f t="shared" ref="KO10:KO11" si="493">SUM(KP10:KV10)</f>
        <v>216470.87588448595</v>
      </c>
      <c r="KP10" s="257">
        <f>KP5*KP7</f>
        <v>35110.824742268043</v>
      </c>
      <c r="KQ10" s="259">
        <f t="shared" ref="KQ10:KV10" si="494">KQ5*KQ7</f>
        <v>23640</v>
      </c>
      <c r="KR10" s="259">
        <f t="shared" si="494"/>
        <v>26065</v>
      </c>
      <c r="KS10" s="259">
        <f t="shared" si="494"/>
        <v>30415.225768493081</v>
      </c>
      <c r="KT10" s="258">
        <f t="shared" si="494"/>
        <v>49332.484194020872</v>
      </c>
      <c r="KU10" s="259">
        <f t="shared" si="494"/>
        <v>51907.341179703937</v>
      </c>
      <c r="KV10" s="258">
        <f t="shared" si="494"/>
        <v>0</v>
      </c>
      <c r="KW10" s="261">
        <f t="shared" ref="KW10:KW11" si="495">SUM(KX10:LD10)</f>
        <v>202981.3393962573</v>
      </c>
      <c r="KX10" s="257">
        <f>KX5*KX7</f>
        <v>34234.490626598701</v>
      </c>
      <c r="KY10" s="259">
        <f t="shared" ref="KY10:LD10" si="496">KY5*KY7</f>
        <v>23979.467621418677</v>
      </c>
      <c r="KZ10" s="259">
        <f t="shared" si="496"/>
        <v>24913.447464852838</v>
      </c>
      <c r="LA10" s="259">
        <f t="shared" si="496"/>
        <v>28553.763529758722</v>
      </c>
      <c r="LB10" s="258">
        <f t="shared" si="496"/>
        <v>47516.780138942951</v>
      </c>
      <c r="LC10" s="259">
        <f t="shared" si="496"/>
        <v>43783.390014685392</v>
      </c>
      <c r="LD10" s="258">
        <f t="shared" si="496"/>
        <v>0</v>
      </c>
      <c r="LE10" s="261">
        <f t="shared" ref="LE10:LE11" si="497">SUM(LF10:LL10)</f>
        <v>211713.79854140559</v>
      </c>
      <c r="LF10" s="257">
        <f>LF5*LF7</f>
        <v>33504.882994749816</v>
      </c>
      <c r="LG10" s="259">
        <f t="shared" ref="LG10:LL10" si="498">LG5*LG7</f>
        <v>24531.210770508285</v>
      </c>
      <c r="LH10" s="259">
        <f t="shared" si="498"/>
        <v>27466.621609542519</v>
      </c>
      <c r="LI10" s="259">
        <f t="shared" si="498"/>
        <v>26450.889571090076</v>
      </c>
      <c r="LJ10" s="258">
        <f t="shared" si="498"/>
        <v>52882.452384117612</v>
      </c>
      <c r="LK10" s="259">
        <f t="shared" si="498"/>
        <v>46877.741211397275</v>
      </c>
      <c r="LL10" s="258">
        <f t="shared" si="498"/>
        <v>0</v>
      </c>
      <c r="LM10" s="261">
        <f t="shared" ref="LM10:LM11" si="499">SUM(LN10:LT10)</f>
        <v>217562.80195233476</v>
      </c>
      <c r="LN10" s="257">
        <f>LN5*LN7</f>
        <v>36082.544690827002</v>
      </c>
      <c r="LO10" s="259">
        <f t="shared" ref="LO10:LT10" si="500">LO5*LO7</f>
        <v>26903.14404603386</v>
      </c>
      <c r="LP10" s="259">
        <f t="shared" si="500"/>
        <v>29960.029180914873</v>
      </c>
      <c r="LQ10" s="259">
        <f t="shared" si="500"/>
        <v>26869.720477513096</v>
      </c>
      <c r="LR10" s="258">
        <f t="shared" si="500"/>
        <v>51616.666551731476</v>
      </c>
      <c r="LS10" s="259">
        <f t="shared" si="500"/>
        <v>46130.697005314447</v>
      </c>
      <c r="LT10" s="258">
        <f t="shared" si="500"/>
        <v>0</v>
      </c>
      <c r="LU10" s="261">
        <f t="shared" ref="LU10:LU11" si="501">SUM(LV10:MB10)</f>
        <v>214636.62215040153</v>
      </c>
      <c r="LV10" s="257">
        <f>LV5*LV7</f>
        <v>34065.751806891145</v>
      </c>
      <c r="LW10" s="259">
        <f t="shared" ref="LW10:MB10" si="502">LW5*LW7</f>
        <v>25586.41826161676</v>
      </c>
      <c r="LX10" s="259">
        <f t="shared" si="502"/>
        <v>26025.443072135244</v>
      </c>
      <c r="LY10" s="259">
        <f t="shared" si="502"/>
        <v>25517.074702815553</v>
      </c>
      <c r="LZ10" s="258">
        <f t="shared" si="502"/>
        <v>54364.594093999549</v>
      </c>
      <c r="MA10" s="259">
        <f t="shared" si="502"/>
        <v>49077.340212943265</v>
      </c>
      <c r="MB10" s="258">
        <f t="shared" si="502"/>
        <v>0</v>
      </c>
      <c r="MC10" s="261">
        <f t="shared" ref="MC10:MC11" si="503">SUM(MD10:MJ10)</f>
        <v>212480.01182170754</v>
      </c>
      <c r="MD10" s="257">
        <f>MD5*MD7</f>
        <v>37230.866745925639</v>
      </c>
      <c r="ME10" s="259">
        <f t="shared" ref="ME10:MJ10" si="504">ME5*ME7</f>
        <v>26591.166924168676</v>
      </c>
      <c r="MF10" s="259">
        <f t="shared" si="504"/>
        <v>26995.647510034527</v>
      </c>
      <c r="MG10" s="259">
        <f t="shared" si="504"/>
        <v>26179.180716891002</v>
      </c>
      <c r="MH10" s="258">
        <f t="shared" si="504"/>
        <v>49669.918339788252</v>
      </c>
      <c r="MI10" s="259">
        <f t="shared" si="504"/>
        <v>45813.231584899433</v>
      </c>
      <c r="MJ10" s="258">
        <f t="shared" si="504"/>
        <v>0</v>
      </c>
      <c r="MK10" s="261">
        <f t="shared" ref="MK10:MK11" si="505">SUM(ML10:MR10)</f>
        <v>211745.5487031606</v>
      </c>
      <c r="ML10" s="257">
        <f>ML5*ML7</f>
        <v>37710.260689850897</v>
      </c>
      <c r="MM10" s="259">
        <f t="shared" ref="MM10:MR10" si="506">MM5*MM7</f>
        <v>0</v>
      </c>
      <c r="MN10" s="259">
        <f t="shared" si="506"/>
        <v>32040.422012429597</v>
      </c>
      <c r="MO10" s="259">
        <f t="shared" si="506"/>
        <v>29375.135757389944</v>
      </c>
      <c r="MP10" s="258">
        <f t="shared" si="506"/>
        <v>59742.46216207026</v>
      </c>
      <c r="MQ10" s="259">
        <f t="shared" si="506"/>
        <v>52877.268081419897</v>
      </c>
      <c r="MR10" s="258">
        <f t="shared" si="506"/>
        <v>0</v>
      </c>
      <c r="MS10" s="261">
        <f t="shared" ref="MS10:MS11" si="507">SUM(MT10:MZ10)</f>
        <v>193034.09872861707</v>
      </c>
      <c r="MT10" s="257">
        <f>MT5*MT7</f>
        <v>35499.98304106234</v>
      </c>
      <c r="MU10" s="259">
        <f t="shared" ref="MU10:MZ10" si="508">MU5*MU7</f>
        <v>34491.65630209379</v>
      </c>
      <c r="MV10" s="259">
        <f t="shared" si="508"/>
        <v>31063.872542692632</v>
      </c>
      <c r="MW10" s="259">
        <f t="shared" si="508"/>
        <v>39903.045443650859</v>
      </c>
      <c r="MX10" s="258">
        <f t="shared" si="508"/>
        <v>0</v>
      </c>
      <c r="MY10" s="259">
        <f t="shared" si="508"/>
        <v>52075.54139911745</v>
      </c>
      <c r="MZ10" s="258">
        <f t="shared" si="508"/>
        <v>0</v>
      </c>
      <c r="NA10" s="261">
        <f t="shared" ref="NA10:NA11" si="509">SUM(NB10:NH10)</f>
        <v>221587.26683640559</v>
      </c>
      <c r="NB10" s="257">
        <f>NB5*NB7</f>
        <v>34158.683787584705</v>
      </c>
      <c r="NC10" s="259">
        <f t="shared" ref="NC10:NH10" si="510">NC5*NC7</f>
        <v>31199.396534919084</v>
      </c>
      <c r="ND10" s="259">
        <f t="shared" si="510"/>
        <v>30565.985336599231</v>
      </c>
      <c r="NE10" s="259">
        <f t="shared" si="510"/>
        <v>27467.439142507901</v>
      </c>
      <c r="NF10" s="258">
        <f t="shared" si="510"/>
        <v>49083.474867539313</v>
      </c>
      <c r="NG10" s="259">
        <f t="shared" si="510"/>
        <v>49112.287167255359</v>
      </c>
      <c r="NH10" s="258">
        <f t="shared" si="510"/>
        <v>0</v>
      </c>
      <c r="NI10" s="261">
        <f t="shared" ref="NI10:NI11" si="511">SUM(NJ10:NP10)</f>
        <v>313193.72847936657</v>
      </c>
      <c r="NJ10" s="257">
        <f>NJ5*NJ7</f>
        <v>35559.479402163714</v>
      </c>
      <c r="NK10" s="259">
        <f t="shared" ref="NK10:NP10" si="512">NK5*NK7</f>
        <v>49472.312182461363</v>
      </c>
      <c r="NL10" s="259">
        <f t="shared" si="512"/>
        <v>49960.585388135616</v>
      </c>
      <c r="NM10" s="259">
        <f t="shared" si="512"/>
        <v>50627.842014407011</v>
      </c>
      <c r="NN10" s="258">
        <f t="shared" si="512"/>
        <v>66425.852344489642</v>
      </c>
      <c r="NO10" s="259">
        <f t="shared" si="512"/>
        <v>61147.657147709215</v>
      </c>
      <c r="NP10" s="258">
        <f t="shared" si="512"/>
        <v>0</v>
      </c>
      <c r="NQ10" s="261">
        <f t="shared" ref="NQ10:NQ11" si="513">SUM(NR10:NX10)</f>
        <v>326653.68132375408</v>
      </c>
      <c r="NR10" s="257">
        <f>NR5*NR7</f>
        <v>48785.462492122046</v>
      </c>
      <c r="NS10" s="259">
        <f t="shared" ref="NS10:NX10" si="514">NS5*NS7</f>
        <v>70193.752883631678</v>
      </c>
      <c r="NT10" s="259">
        <f t="shared" si="514"/>
        <v>53909.075700097135</v>
      </c>
      <c r="NU10" s="259">
        <f t="shared" si="514"/>
        <v>48096.449913686651</v>
      </c>
      <c r="NV10" s="258">
        <f t="shared" si="514"/>
        <v>54096.922350416542</v>
      </c>
      <c r="NW10" s="259">
        <f t="shared" si="514"/>
        <v>51572.017983800019</v>
      </c>
      <c r="NX10" s="258">
        <f t="shared" si="514"/>
        <v>0</v>
      </c>
      <c r="NY10" s="261">
        <f t="shared" ref="NY10:NY11" si="515">SUM(NZ10:OF10)</f>
        <v>218819.10714722509</v>
      </c>
      <c r="NZ10" s="257">
        <f>NZ5*NZ7</f>
        <v>36372.602422886208</v>
      </c>
      <c r="OA10" s="259">
        <f t="shared" ref="OA10:OF10" si="516">OA5*OA7</f>
        <v>32566.922440822662</v>
      </c>
      <c r="OB10" s="259">
        <f t="shared" si="516"/>
        <v>31938.44762650464</v>
      </c>
      <c r="OC10" s="259">
        <f t="shared" si="516"/>
        <v>25838.047550707022</v>
      </c>
      <c r="OD10" s="258">
        <f t="shared" si="516"/>
        <v>46660.798098488624</v>
      </c>
      <c r="OE10" s="259">
        <f t="shared" si="516"/>
        <v>45442.289007815933</v>
      </c>
      <c r="OF10" s="258">
        <f t="shared" si="516"/>
        <v>0</v>
      </c>
      <c r="OG10" s="261">
        <f t="shared" ref="OG10:OG11" si="517">SUM(OH10:ON10)</f>
        <v>222722.0288827793</v>
      </c>
      <c r="OH10" s="257">
        <f>OH5*OH7</f>
        <v>37274.185958050512</v>
      </c>
      <c r="OI10" s="259">
        <f t="shared" ref="OI10:ON10" si="518">OI5*OI7</f>
        <v>25361.88874833009</v>
      </c>
      <c r="OJ10" s="259">
        <f t="shared" si="518"/>
        <v>25084.124400694425</v>
      </c>
      <c r="OK10" s="259">
        <f t="shared" si="518"/>
        <v>24354.734651454128</v>
      </c>
      <c r="OL10" s="258">
        <f t="shared" si="518"/>
        <v>58870.926095294919</v>
      </c>
      <c r="OM10" s="259">
        <f t="shared" si="518"/>
        <v>51776.169028955213</v>
      </c>
      <c r="ON10" s="258">
        <f t="shared" si="518"/>
        <v>0</v>
      </c>
      <c r="OO10" s="261">
        <f t="shared" ref="OO10:OO11" si="519">SUM(OP10:OV10)</f>
        <v>333689.75</v>
      </c>
      <c r="OP10" s="257">
        <f>OP5*OP7</f>
        <v>35827.5</v>
      </c>
      <c r="OQ10" s="259">
        <f t="shared" ref="OQ10:OV10" si="520">OQ5*OQ7</f>
        <v>40923</v>
      </c>
      <c r="OR10" s="259">
        <f t="shared" si="520"/>
        <v>37557</v>
      </c>
      <c r="OS10" s="259">
        <f t="shared" si="520"/>
        <v>66804.999999999985</v>
      </c>
      <c r="OT10" s="258">
        <f t="shared" si="520"/>
        <v>80272.5</v>
      </c>
      <c r="OU10" s="259">
        <f t="shared" si="520"/>
        <v>72304.75</v>
      </c>
      <c r="OV10" s="258">
        <f t="shared" si="520"/>
        <v>0</v>
      </c>
      <c r="OW10" s="261">
        <f t="shared" ref="OW10:OW11" si="521">SUM(OX10:PD10)</f>
        <v>298504.75</v>
      </c>
      <c r="OX10" s="257">
        <f>OX5*OX7</f>
        <v>32325.25</v>
      </c>
      <c r="OY10" s="259">
        <f t="shared" ref="OY10:PD10" si="522">OY5*OY7</f>
        <v>38331</v>
      </c>
      <c r="OZ10" s="259">
        <f t="shared" si="522"/>
        <v>37368</v>
      </c>
      <c r="PA10" s="259">
        <f t="shared" si="522"/>
        <v>46920</v>
      </c>
      <c r="PB10" s="258">
        <f t="shared" si="522"/>
        <v>74647.5</v>
      </c>
      <c r="PC10" s="259">
        <f t="shared" si="522"/>
        <v>68913</v>
      </c>
      <c r="PD10" s="258">
        <f t="shared" si="522"/>
        <v>0</v>
      </c>
      <c r="PE10" s="261">
        <f>SUM(PF10:PL10)</f>
        <v>213375</v>
      </c>
      <c r="PF10" s="257">
        <f t="shared" ref="PF10:PL11" si="523">PF5*PF7</f>
        <v>35650</v>
      </c>
      <c r="PG10" s="259">
        <f t="shared" si="523"/>
        <v>29025</v>
      </c>
      <c r="PH10" s="259">
        <f t="shared" si="523"/>
        <v>27950</v>
      </c>
      <c r="PI10" s="259">
        <f t="shared" si="523"/>
        <v>25200</v>
      </c>
      <c r="PJ10" s="258">
        <f t="shared" si="523"/>
        <v>49000</v>
      </c>
      <c r="PK10" s="259">
        <f t="shared" si="523"/>
        <v>46550</v>
      </c>
      <c r="PL10" s="258">
        <f t="shared" si="523"/>
        <v>0</v>
      </c>
    </row>
    <row r="11" spans="1:428" ht="15" customHeight="1" outlineLevel="1" thickBot="1" x14ac:dyDescent="0.35">
      <c r="B11" s="1015"/>
      <c r="C11" s="1019"/>
      <c r="D11" s="262" t="s">
        <v>302</v>
      </c>
      <c r="E11" s="263">
        <f t="shared" si="419"/>
        <v>553086.94973923336</v>
      </c>
      <c r="F11" s="385">
        <f>F6*F8</f>
        <v>44561.132865919637</v>
      </c>
      <c r="G11" s="387">
        <f t="shared" ref="G11:L11" si="524">G6*G8</f>
        <v>103205.33269004968</v>
      </c>
      <c r="H11" s="387">
        <f t="shared" si="524"/>
        <v>104890.48418326399</v>
      </c>
      <c r="I11" s="387">
        <f t="shared" si="524"/>
        <v>100000</v>
      </c>
      <c r="J11" s="386">
        <f t="shared" si="524"/>
        <v>99900</v>
      </c>
      <c r="K11" s="387">
        <f t="shared" si="524"/>
        <v>95400</v>
      </c>
      <c r="L11" s="375">
        <f t="shared" si="524"/>
        <v>5130</v>
      </c>
      <c r="M11" s="263">
        <f t="shared" si="421"/>
        <v>621214.05453429616</v>
      </c>
      <c r="N11" s="385">
        <f>N6*N8</f>
        <v>81228.54396735449</v>
      </c>
      <c r="O11" s="387">
        <f t="shared" ref="O11:T11" si="525">O6*O8</f>
        <v>101003.99873614393</v>
      </c>
      <c r="P11" s="387">
        <f t="shared" si="525"/>
        <v>98476.51183079771</v>
      </c>
      <c r="Q11" s="387">
        <f t="shared" si="525"/>
        <v>114125</v>
      </c>
      <c r="R11" s="386">
        <f t="shared" si="525"/>
        <v>112100</v>
      </c>
      <c r="S11" s="387">
        <f t="shared" si="525"/>
        <v>109150</v>
      </c>
      <c r="T11" s="375">
        <f t="shared" si="525"/>
        <v>5130</v>
      </c>
      <c r="U11" s="263">
        <f t="shared" si="423"/>
        <v>598337.20803414611</v>
      </c>
      <c r="V11" s="385">
        <f>V6*V8</f>
        <v>80747.032620892598</v>
      </c>
      <c r="W11" s="387">
        <f t="shared" ref="W11:AB11" si="526">W6*W8</f>
        <v>100405.23669660983</v>
      </c>
      <c r="X11" s="387">
        <f t="shared" si="526"/>
        <v>103044.93871664366</v>
      </c>
      <c r="Y11" s="387">
        <f t="shared" si="526"/>
        <v>103200</v>
      </c>
      <c r="Z11" s="386">
        <f t="shared" si="526"/>
        <v>106000</v>
      </c>
      <c r="AA11" s="387">
        <f t="shared" si="526"/>
        <v>99900</v>
      </c>
      <c r="AB11" s="375">
        <f t="shared" si="526"/>
        <v>5040</v>
      </c>
      <c r="AC11" s="263">
        <f t="shared" si="425"/>
        <v>583658.89628047962</v>
      </c>
      <c r="AD11" s="385">
        <f>AD6*AD8</f>
        <v>80638.218923933207</v>
      </c>
      <c r="AE11" s="387">
        <f t="shared" ref="AE11:AJ11" si="527">AE6*AE8</f>
        <v>96406.750849927135</v>
      </c>
      <c r="AF11" s="387">
        <f t="shared" si="527"/>
        <v>103200</v>
      </c>
      <c r="AG11" s="387">
        <f t="shared" si="527"/>
        <v>100755.35590062887</v>
      </c>
      <c r="AH11" s="386">
        <f t="shared" si="527"/>
        <v>96128.345438623714</v>
      </c>
      <c r="AI11" s="387">
        <f t="shared" si="527"/>
        <v>96444.309698407727</v>
      </c>
      <c r="AJ11" s="375">
        <f t="shared" si="527"/>
        <v>10085.915468958956</v>
      </c>
      <c r="AK11" s="263">
        <f t="shared" si="427"/>
        <v>602927.60849021107</v>
      </c>
      <c r="AL11" s="385">
        <f>AL6*AL8</f>
        <v>79691.719777375809</v>
      </c>
      <c r="AM11" s="387">
        <f t="shared" ref="AM11:AR11" si="528">AM6*AM8</f>
        <v>100306.28520993517</v>
      </c>
      <c r="AN11" s="387">
        <f t="shared" si="528"/>
        <v>106640.21774132823</v>
      </c>
      <c r="AO11" s="387">
        <f t="shared" si="528"/>
        <v>106120.07468348664</v>
      </c>
      <c r="AP11" s="386">
        <f t="shared" si="528"/>
        <v>96369.191046546388</v>
      </c>
      <c r="AQ11" s="387">
        <f t="shared" si="528"/>
        <v>102640.18514406157</v>
      </c>
      <c r="AR11" s="375">
        <f t="shared" si="528"/>
        <v>11159.93488747726</v>
      </c>
      <c r="AS11" s="263">
        <f t="shared" si="429"/>
        <v>591528.20124058903</v>
      </c>
      <c r="AT11" s="385">
        <f>AT6*AT8</f>
        <v>82695.632108840728</v>
      </c>
      <c r="AU11" s="387">
        <f t="shared" ref="AU11:AZ11" si="529">AU6*AU8</f>
        <v>103998.35118399319</v>
      </c>
      <c r="AV11" s="387">
        <f t="shared" si="529"/>
        <v>107977.51525376124</v>
      </c>
      <c r="AW11" s="387">
        <f t="shared" si="529"/>
        <v>91780.667399091923</v>
      </c>
      <c r="AX11" s="386">
        <f t="shared" si="529"/>
        <v>101086.06065828128</v>
      </c>
      <c r="AY11" s="387">
        <f t="shared" si="529"/>
        <v>93284.948386434771</v>
      </c>
      <c r="AZ11" s="375">
        <f t="shared" si="529"/>
        <v>10705.026250185962</v>
      </c>
      <c r="BA11" s="263">
        <f t="shared" si="431"/>
        <v>597427.26136019744</v>
      </c>
      <c r="BB11" s="385">
        <f>BB6*BB8</f>
        <v>76451.987289899989</v>
      </c>
      <c r="BC11" s="387">
        <f t="shared" ref="BC11:BH11" si="530">BC6*BC8</f>
        <v>103493.09717515809</v>
      </c>
      <c r="BD11" s="387">
        <f t="shared" si="530"/>
        <v>103781.67680422761</v>
      </c>
      <c r="BE11" s="387">
        <f t="shared" si="530"/>
        <v>100594.39465548559</v>
      </c>
      <c r="BF11" s="386">
        <f t="shared" si="530"/>
        <v>108330.5939561366</v>
      </c>
      <c r="BG11" s="387">
        <f t="shared" si="530"/>
        <v>99304.041534652686</v>
      </c>
      <c r="BH11" s="375">
        <f t="shared" si="530"/>
        <v>5471.4699446368877</v>
      </c>
      <c r="BI11" s="263">
        <f t="shared" si="433"/>
        <v>587377.65503753186</v>
      </c>
      <c r="BJ11" s="385">
        <f>BJ6*BJ8</f>
        <v>81455.493990075702</v>
      </c>
      <c r="BK11" s="387">
        <f t="shared" ref="BK11:BP11" si="531">BK6*BK8</f>
        <v>98017.589779504269</v>
      </c>
      <c r="BL11" s="387">
        <f t="shared" si="531"/>
        <v>99755.531040068585</v>
      </c>
      <c r="BM11" s="387">
        <f t="shared" si="531"/>
        <v>90242.471100464361</v>
      </c>
      <c r="BN11" s="386">
        <f t="shared" si="531"/>
        <v>108423.69729250569</v>
      </c>
      <c r="BO11" s="387">
        <f t="shared" si="531"/>
        <v>104031.49757922209</v>
      </c>
      <c r="BP11" s="375">
        <f t="shared" si="531"/>
        <v>5451.3742556911666</v>
      </c>
      <c r="BQ11" s="263">
        <f t="shared" si="435"/>
        <v>585965.55923273775</v>
      </c>
      <c r="BR11" s="385">
        <f>BR6*BR8</f>
        <v>83048.233995689778</v>
      </c>
      <c r="BS11" s="387">
        <f t="shared" ref="BS11:BX11" si="532">BS6*BS8</f>
        <v>101027.68747282105</v>
      </c>
      <c r="BT11" s="387">
        <f t="shared" si="532"/>
        <v>95174.873148727755</v>
      </c>
      <c r="BU11" s="387">
        <f t="shared" si="532"/>
        <v>95462.243230682638</v>
      </c>
      <c r="BV11" s="386">
        <f t="shared" si="532"/>
        <v>103928.01105164738</v>
      </c>
      <c r="BW11" s="387">
        <f t="shared" si="532"/>
        <v>101755.46759043973</v>
      </c>
      <c r="BX11" s="375">
        <f t="shared" si="532"/>
        <v>5569.042742729378</v>
      </c>
      <c r="BY11" s="263">
        <f t="shared" si="437"/>
        <v>571910.36707648204</v>
      </c>
      <c r="BZ11" s="385">
        <f>BZ6*BZ8</f>
        <v>78547.896466628226</v>
      </c>
      <c r="CA11" s="387">
        <f t="shared" ref="CA11:CF11" si="533">CA6*CA8</f>
        <v>96806.525050895463</v>
      </c>
      <c r="CB11" s="387">
        <f t="shared" si="533"/>
        <v>94781.999790135116</v>
      </c>
      <c r="CC11" s="387">
        <f t="shared" si="533"/>
        <v>90320.669858318608</v>
      </c>
      <c r="CD11" s="386">
        <f t="shared" si="533"/>
        <v>105352.41152967155</v>
      </c>
      <c r="CE11" s="387">
        <f t="shared" si="533"/>
        <v>100505.94325157025</v>
      </c>
      <c r="CF11" s="375">
        <f t="shared" si="533"/>
        <v>5594.9211292628333</v>
      </c>
      <c r="CG11" s="263">
        <f t="shared" si="439"/>
        <v>566724.50725295173</v>
      </c>
      <c r="CH11" s="385">
        <f>CH6*CH8</f>
        <v>82194.413415016461</v>
      </c>
      <c r="CI11" s="387">
        <f t="shared" ref="CI11:CN11" si="534">CI6*CI8</f>
        <v>95849.278350381239</v>
      </c>
      <c r="CJ11" s="387">
        <f t="shared" si="534"/>
        <v>96178.186459311939</v>
      </c>
      <c r="CK11" s="387">
        <f t="shared" si="534"/>
        <v>88076.816126028425</v>
      </c>
      <c r="CL11" s="386">
        <f t="shared" si="534"/>
        <v>100674.97054470799</v>
      </c>
      <c r="CM11" s="387">
        <f t="shared" si="534"/>
        <v>98026.138240553948</v>
      </c>
      <c r="CN11" s="375">
        <f t="shared" si="534"/>
        <v>5724.7041169517643</v>
      </c>
      <c r="CO11" s="263">
        <f t="shared" si="441"/>
        <v>583018.1122809262</v>
      </c>
      <c r="CP11" s="385">
        <f>CP6*CP8</f>
        <v>81383.418424305506</v>
      </c>
      <c r="CQ11" s="387">
        <f t="shared" ref="CQ11:CV11" si="535">CQ6*CQ8</f>
        <v>100472.58845424996</v>
      </c>
      <c r="CR11" s="387">
        <f t="shared" si="535"/>
        <v>97725.222028012475</v>
      </c>
      <c r="CS11" s="387">
        <f t="shared" si="535"/>
        <v>90293.559636599704</v>
      </c>
      <c r="CT11" s="386">
        <f t="shared" si="535"/>
        <v>108762.57996466955</v>
      </c>
      <c r="CU11" s="387">
        <f t="shared" si="535"/>
        <v>98406.42243821529</v>
      </c>
      <c r="CV11" s="375">
        <f t="shared" si="535"/>
        <v>5974.3213348737672</v>
      </c>
      <c r="CW11" s="263">
        <f t="shared" si="443"/>
        <v>604653.20137316431</v>
      </c>
      <c r="CX11" s="385">
        <f>CX6*CX8</f>
        <v>84601.07288437571</v>
      </c>
      <c r="CY11" s="387">
        <f t="shared" ref="CY11:DD11" si="536">CY6*CY8</f>
        <v>98280.83915681894</v>
      </c>
      <c r="CZ11" s="387">
        <f t="shared" si="536"/>
        <v>97769.514938960216</v>
      </c>
      <c r="DA11" s="387">
        <f t="shared" si="536"/>
        <v>103808.19759591954</v>
      </c>
      <c r="DB11" s="386">
        <f t="shared" si="536"/>
        <v>112577.95720595244</v>
      </c>
      <c r="DC11" s="387">
        <f t="shared" si="536"/>
        <v>102064.7518151519</v>
      </c>
      <c r="DD11" s="375">
        <f t="shared" si="536"/>
        <v>5550.8677759855473</v>
      </c>
      <c r="DE11" s="263">
        <f t="shared" si="445"/>
        <v>573884.26031491708</v>
      </c>
      <c r="DF11" s="385">
        <f>DF6*DF8</f>
        <v>80074.252430500637</v>
      </c>
      <c r="DG11" s="387">
        <f t="shared" ref="DG11:DL11" si="537">DG6*DG8</f>
        <v>93003.091117696007</v>
      </c>
      <c r="DH11" s="387">
        <f t="shared" si="537"/>
        <v>92759.000138420946</v>
      </c>
      <c r="DI11" s="387">
        <f t="shared" si="537"/>
        <v>101360.38552309298</v>
      </c>
      <c r="DJ11" s="386">
        <f t="shared" si="537"/>
        <v>107841.61847051651</v>
      </c>
      <c r="DK11" s="387">
        <f t="shared" si="537"/>
        <v>93295.044858704408</v>
      </c>
      <c r="DL11" s="375">
        <f t="shared" si="537"/>
        <v>5550.8677759855473</v>
      </c>
      <c r="DM11" s="263">
        <f t="shared" si="447"/>
        <v>575804.71154812956</v>
      </c>
      <c r="DN11" s="385">
        <f>DN6*DN8</f>
        <v>79561.136082269979</v>
      </c>
      <c r="DO11" s="387">
        <f t="shared" ref="DO11:DT11" si="538">DO6*DO8</f>
        <v>91411.073771611074</v>
      </c>
      <c r="DP11" s="387">
        <f t="shared" si="538"/>
        <v>91778.38438664985</v>
      </c>
      <c r="DQ11" s="387">
        <f t="shared" si="538"/>
        <v>84656.080792007924</v>
      </c>
      <c r="DR11" s="386">
        <f t="shared" si="538"/>
        <v>103971.17100211604</v>
      </c>
      <c r="DS11" s="387">
        <f t="shared" si="538"/>
        <v>97393.532718906616</v>
      </c>
      <c r="DT11" s="375">
        <f t="shared" si="538"/>
        <v>27033.332794568159</v>
      </c>
      <c r="DU11" s="263">
        <f t="shared" si="449"/>
        <v>449745.77428062249</v>
      </c>
      <c r="DV11" s="385">
        <f>DV6*DV8</f>
        <v>0</v>
      </c>
      <c r="DW11" s="387">
        <f t="shared" ref="DW11:EB11" si="539">DW6*DW8</f>
        <v>46316.018664315256</v>
      </c>
      <c r="DX11" s="387">
        <f t="shared" si="539"/>
        <v>101938.38241416264</v>
      </c>
      <c r="DY11" s="387">
        <f t="shared" si="539"/>
        <v>97884.850574288706</v>
      </c>
      <c r="DZ11" s="386">
        <f t="shared" si="539"/>
        <v>102776.97197595233</v>
      </c>
      <c r="EA11" s="387">
        <f t="shared" si="539"/>
        <v>95438.173771020214</v>
      </c>
      <c r="EB11" s="375">
        <f t="shared" si="539"/>
        <v>5391.3768808833602</v>
      </c>
      <c r="EC11" s="263">
        <f t="shared" si="451"/>
        <v>548743.45430984255</v>
      </c>
      <c r="ED11" s="385">
        <f>ED6*ED8</f>
        <v>76982.289258558551</v>
      </c>
      <c r="EE11" s="387">
        <f t="shared" ref="EE11:EJ11" si="540">EE6*EE8</f>
        <v>87379.3265311297</v>
      </c>
      <c r="EF11" s="387">
        <f t="shared" si="540"/>
        <v>85997.144401444428</v>
      </c>
      <c r="EG11" s="387">
        <f t="shared" si="540"/>
        <v>91051.194697644474</v>
      </c>
      <c r="EH11" s="386">
        <f t="shared" si="540"/>
        <v>107099.51829581485</v>
      </c>
      <c r="EI11" s="387">
        <f t="shared" si="540"/>
        <v>100233.98112525053</v>
      </c>
      <c r="EJ11" s="375">
        <f t="shared" si="540"/>
        <v>0</v>
      </c>
      <c r="EK11" s="263">
        <f t="shared" si="453"/>
        <v>597254.69042355416</v>
      </c>
      <c r="EL11" s="385">
        <f>EL6*EL8</f>
        <v>85702.387623725255</v>
      </c>
      <c r="EM11" s="387">
        <f t="shared" ref="EM11:ER11" si="541">EM6*EM8</f>
        <v>97906.973649367661</v>
      </c>
      <c r="EN11" s="387">
        <f t="shared" si="541"/>
        <v>94510.832512289344</v>
      </c>
      <c r="EO11" s="387">
        <f t="shared" si="541"/>
        <v>91487.117500639768</v>
      </c>
      <c r="EP11" s="386">
        <f t="shared" si="541"/>
        <v>113939.46394382043</v>
      </c>
      <c r="EQ11" s="387">
        <f t="shared" si="541"/>
        <v>108118.53369841249</v>
      </c>
      <c r="ER11" s="375">
        <f t="shared" si="541"/>
        <v>5589.381495299157</v>
      </c>
      <c r="ES11" s="263">
        <f t="shared" si="455"/>
        <v>616463.51286619355</v>
      </c>
      <c r="ET11" s="385">
        <f>ET6*ET8</f>
        <v>89630.729069543391</v>
      </c>
      <c r="EU11" s="387">
        <f t="shared" ref="EU11:EZ11" si="542">EU6*EU8</f>
        <v>102536.29205072718</v>
      </c>
      <c r="EV11" s="387">
        <f t="shared" si="542"/>
        <v>103958.35399449535</v>
      </c>
      <c r="EW11" s="387">
        <f t="shared" si="542"/>
        <v>98483.988979060887</v>
      </c>
      <c r="EX11" s="386">
        <f t="shared" si="542"/>
        <v>113609.21389944457</v>
      </c>
      <c r="EY11" s="387">
        <f t="shared" si="542"/>
        <v>102827.38517230295</v>
      </c>
      <c r="EZ11" s="375">
        <f t="shared" si="542"/>
        <v>5417.5497006192309</v>
      </c>
      <c r="FA11" s="263">
        <f t="shared" si="457"/>
        <v>564482.21260602493</v>
      </c>
      <c r="FB11" s="385">
        <f>FB6*FB8</f>
        <v>83931.561759204895</v>
      </c>
      <c r="FC11" s="387">
        <f t="shared" ref="FC11:FH11" si="543">FC6*FC8</f>
        <v>94486.748044634121</v>
      </c>
      <c r="FD11" s="387">
        <f t="shared" si="543"/>
        <v>98765.768309840103</v>
      </c>
      <c r="FE11" s="387">
        <f t="shared" si="543"/>
        <v>92802.935180380009</v>
      </c>
      <c r="FF11" s="386">
        <f t="shared" si="543"/>
        <v>96225.148703889514</v>
      </c>
      <c r="FG11" s="387">
        <f t="shared" si="543"/>
        <v>92930.809988981448</v>
      </c>
      <c r="FH11" s="375">
        <f t="shared" si="543"/>
        <v>5339.2406190947759</v>
      </c>
      <c r="FI11" s="263">
        <f t="shared" si="459"/>
        <v>461529.13371950638</v>
      </c>
      <c r="FJ11" s="385">
        <f>FJ6*FJ8</f>
        <v>74369.962060929014</v>
      </c>
      <c r="FK11" s="387">
        <f t="shared" ref="FK11:FP11" si="544">FK6*FK8</f>
        <v>87234.565641372305</v>
      </c>
      <c r="FL11" s="387">
        <f t="shared" si="544"/>
        <v>85626.175646346732</v>
      </c>
      <c r="FM11" s="387">
        <f t="shared" si="544"/>
        <v>0</v>
      </c>
      <c r="FN11" s="386">
        <f t="shared" si="544"/>
        <v>96837.096820441773</v>
      </c>
      <c r="FO11" s="387">
        <f t="shared" si="544"/>
        <v>112143.66813584992</v>
      </c>
      <c r="FP11" s="375">
        <f t="shared" si="544"/>
        <v>5317.6654145666607</v>
      </c>
      <c r="FQ11" s="263">
        <f t="shared" si="461"/>
        <v>583225.74798086321</v>
      </c>
      <c r="FR11" s="385">
        <f>FR6*FR8</f>
        <v>83557.603905738855</v>
      </c>
      <c r="FS11" s="387">
        <f t="shared" ref="FS11:FX11" si="545">FS6*FS8</f>
        <v>95476.069715032252</v>
      </c>
      <c r="FT11" s="387">
        <f t="shared" si="545"/>
        <v>97388.532754110012</v>
      </c>
      <c r="FU11" s="387">
        <f t="shared" si="545"/>
        <v>97581.023387048917</v>
      </c>
      <c r="FV11" s="386">
        <f t="shared" si="545"/>
        <v>105048.81748033744</v>
      </c>
      <c r="FW11" s="387">
        <f t="shared" si="545"/>
        <v>99055.614965545668</v>
      </c>
      <c r="FX11" s="375">
        <f t="shared" si="545"/>
        <v>5118.0857730500738</v>
      </c>
      <c r="FY11" s="263">
        <f t="shared" si="463"/>
        <v>450003.6510279479</v>
      </c>
      <c r="FZ11" s="385">
        <f>FZ6*FZ8</f>
        <v>0</v>
      </c>
      <c r="GA11" s="387">
        <f t="shared" ref="GA11:GF11" si="546">GA6*GA8</f>
        <v>40838.856375165109</v>
      </c>
      <c r="GB11" s="387">
        <f t="shared" si="546"/>
        <v>106690.67882016404</v>
      </c>
      <c r="GC11" s="387">
        <f t="shared" si="546"/>
        <v>98664.545981554678</v>
      </c>
      <c r="GD11" s="386">
        <f t="shared" si="546"/>
        <v>101025.11797480444</v>
      </c>
      <c r="GE11" s="387">
        <f t="shared" si="546"/>
        <v>97543.965687637814</v>
      </c>
      <c r="GF11" s="375">
        <f t="shared" si="546"/>
        <v>5240.4861886218559</v>
      </c>
      <c r="GG11" s="263">
        <f t="shared" si="465"/>
        <v>592590.99789537617</v>
      </c>
      <c r="GH11" s="385">
        <f>GH6*GH8</f>
        <v>83797.813564076932</v>
      </c>
      <c r="GI11" s="387">
        <f t="shared" ref="GI11:GN11" si="547">GI6*GI8</f>
        <v>95944.884205895738</v>
      </c>
      <c r="GJ11" s="387">
        <f t="shared" si="547"/>
        <v>99079.211778570345</v>
      </c>
      <c r="GK11" s="387">
        <f t="shared" si="547"/>
        <v>97604.32386500416</v>
      </c>
      <c r="GL11" s="386">
        <f t="shared" si="547"/>
        <v>110486.60498504911</v>
      </c>
      <c r="GM11" s="387">
        <f t="shared" si="547"/>
        <v>100664.95792738024</v>
      </c>
      <c r="GN11" s="375">
        <f t="shared" si="547"/>
        <v>5013.2015693995527</v>
      </c>
      <c r="GO11" s="263">
        <f t="shared" si="467"/>
        <v>598712.56537956826</v>
      </c>
      <c r="GP11" s="385">
        <f>GP6*GP8</f>
        <v>86442.957205411381</v>
      </c>
      <c r="GQ11" s="387">
        <f t="shared" ref="GQ11:GV11" si="548">GQ6*GQ8</f>
        <v>97955.942416858044</v>
      </c>
      <c r="GR11" s="387">
        <f t="shared" si="548"/>
        <v>100496.66358182128</v>
      </c>
      <c r="GS11" s="387">
        <f t="shared" si="548"/>
        <v>98414.849687725902</v>
      </c>
      <c r="GT11" s="386">
        <f t="shared" si="548"/>
        <v>110096.51709563758</v>
      </c>
      <c r="GU11" s="387">
        <f t="shared" si="548"/>
        <v>100309.34135966415</v>
      </c>
      <c r="GV11" s="375">
        <f t="shared" si="548"/>
        <v>4996.294032450005</v>
      </c>
      <c r="GW11" s="263">
        <f t="shared" si="469"/>
        <v>568312.24935360532</v>
      </c>
      <c r="GX11" s="385">
        <f>GX6*GX8</f>
        <v>78745.032650002744</v>
      </c>
      <c r="GY11" s="387">
        <f t="shared" ref="GY11:HD11" si="549">GY6*GY8</f>
        <v>97610.338347211131</v>
      </c>
      <c r="GZ11" s="387">
        <f t="shared" si="549"/>
        <v>100142.45071146011</v>
      </c>
      <c r="HA11" s="387">
        <f t="shared" si="549"/>
        <v>93157.205332224868</v>
      </c>
      <c r="HB11" s="386">
        <f t="shared" si="549"/>
        <v>100657.94071287273</v>
      </c>
      <c r="HC11" s="387">
        <f t="shared" si="549"/>
        <v>92853.996273356883</v>
      </c>
      <c r="HD11" s="375">
        <f t="shared" si="549"/>
        <v>5145.2853264769337</v>
      </c>
      <c r="HE11" s="263">
        <f t="shared" si="471"/>
        <v>519997.03112576669</v>
      </c>
      <c r="HF11" s="385">
        <f>HF6*HF8</f>
        <v>78604.460778666355</v>
      </c>
      <c r="HG11" s="387">
        <f t="shared" ref="HG11:HL11" si="550">HG6*HG8</f>
        <v>90635.192503242899</v>
      </c>
      <c r="HH11" s="387">
        <f t="shared" si="550"/>
        <v>90867.813807212762</v>
      </c>
      <c r="HI11" s="387">
        <f t="shared" si="550"/>
        <v>81473.777747854823</v>
      </c>
      <c r="HJ11" s="386">
        <f t="shared" si="550"/>
        <v>94080.007180694898</v>
      </c>
      <c r="HK11" s="387">
        <f t="shared" si="550"/>
        <v>84335.779108094954</v>
      </c>
      <c r="HL11" s="375">
        <f t="shared" si="550"/>
        <v>0</v>
      </c>
      <c r="HM11" s="263">
        <f t="shared" si="473"/>
        <v>486871.19756556232</v>
      </c>
      <c r="HN11" s="385">
        <f>HN6*HN8</f>
        <v>75586.603827437095</v>
      </c>
      <c r="HO11" s="387">
        <f t="shared" ref="HO11:HT11" si="551">HO6*HO8</f>
        <v>80740.168384247445</v>
      </c>
      <c r="HP11" s="387">
        <f t="shared" si="551"/>
        <v>81569.846565668093</v>
      </c>
      <c r="HQ11" s="387">
        <f t="shared" si="551"/>
        <v>80345.070581707536</v>
      </c>
      <c r="HR11" s="386">
        <f t="shared" si="551"/>
        <v>90045.05540949617</v>
      </c>
      <c r="HS11" s="387">
        <f t="shared" si="551"/>
        <v>78584.452797005943</v>
      </c>
      <c r="HT11" s="375">
        <f t="shared" si="551"/>
        <v>0</v>
      </c>
      <c r="HU11" s="263">
        <f t="shared" si="475"/>
        <v>410134.0117861391</v>
      </c>
      <c r="HV11" s="385">
        <f>HV6*HV8</f>
        <v>72019.090159656931</v>
      </c>
      <c r="HW11" s="387">
        <f t="shared" ref="HW11:IB11" si="552">HW6*HW8</f>
        <v>81783.272741615001</v>
      </c>
      <c r="HX11" s="387">
        <f t="shared" si="552"/>
        <v>79758.675559072464</v>
      </c>
      <c r="HY11" s="387">
        <f t="shared" si="552"/>
        <v>0</v>
      </c>
      <c r="HZ11" s="386">
        <f t="shared" si="552"/>
        <v>93990.576539155707</v>
      </c>
      <c r="IA11" s="387">
        <f t="shared" si="552"/>
        <v>82582.396786639001</v>
      </c>
      <c r="IB11" s="375">
        <f t="shared" si="552"/>
        <v>0</v>
      </c>
      <c r="IC11" s="263">
        <f t="shared" si="477"/>
        <v>465655.14782250917</v>
      </c>
      <c r="ID11" s="385">
        <f>ID6*ID8</f>
        <v>68362.671230070642</v>
      </c>
      <c r="IE11" s="387">
        <f t="shared" ref="IE11:IJ11" si="553">IE6*IE8</f>
        <v>81444.786024998029</v>
      </c>
      <c r="IF11" s="387">
        <f t="shared" si="553"/>
        <v>82084.186174718736</v>
      </c>
      <c r="IG11" s="387">
        <f t="shared" si="553"/>
        <v>77661.279181200793</v>
      </c>
      <c r="IH11" s="386">
        <f t="shared" si="553"/>
        <v>80341.299160768656</v>
      </c>
      <c r="II11" s="387">
        <f t="shared" si="553"/>
        <v>75760.926050752314</v>
      </c>
      <c r="IJ11" s="375">
        <f t="shared" si="553"/>
        <v>0</v>
      </c>
      <c r="IK11" s="263">
        <f t="shared" si="479"/>
        <v>449961.1319232363</v>
      </c>
      <c r="IL11" s="385">
        <f>IL6*IL8</f>
        <v>67347.00584125609</v>
      </c>
      <c r="IM11" s="387">
        <f t="shared" ref="IM11:IR11" si="554">IM6*IM8</f>
        <v>78148.314010211165</v>
      </c>
      <c r="IN11" s="387">
        <f t="shared" si="554"/>
        <v>80590.993025055752</v>
      </c>
      <c r="IO11" s="387">
        <f t="shared" si="554"/>
        <v>71862.784197434739</v>
      </c>
      <c r="IP11" s="386">
        <f t="shared" si="554"/>
        <v>77275.447927178815</v>
      </c>
      <c r="IQ11" s="387">
        <f t="shared" si="554"/>
        <v>74736.586922099727</v>
      </c>
      <c r="IR11" s="375">
        <f t="shared" si="554"/>
        <v>0</v>
      </c>
      <c r="IS11" s="263">
        <f t="shared" si="481"/>
        <v>442058.18998303497</v>
      </c>
      <c r="IT11" s="385">
        <f>IT6*IT8</f>
        <v>64977.383833430533</v>
      </c>
      <c r="IU11" s="387">
        <f t="shared" ref="IU11:IZ11" si="555">IU6*IU8</f>
        <v>71083.142673339098</v>
      </c>
      <c r="IV11" s="387">
        <f t="shared" si="555"/>
        <v>70180.926156524874</v>
      </c>
      <c r="IW11" s="387">
        <f t="shared" si="555"/>
        <v>76683.946216393058</v>
      </c>
      <c r="IX11" s="386">
        <f t="shared" si="555"/>
        <v>81827.877101161328</v>
      </c>
      <c r="IY11" s="387">
        <f t="shared" si="555"/>
        <v>77304.914002186066</v>
      </c>
      <c r="IZ11" s="375">
        <f t="shared" si="555"/>
        <v>0</v>
      </c>
      <c r="JA11" s="263">
        <f t="shared" si="483"/>
        <v>376333.39230233768</v>
      </c>
      <c r="JB11" s="385">
        <f>JB6*JB8</f>
        <v>0</v>
      </c>
      <c r="JC11" s="387">
        <f t="shared" ref="JC11:JH11" si="556">JC6*JC8</f>
        <v>44438.576629249052</v>
      </c>
      <c r="JD11" s="387">
        <f t="shared" si="556"/>
        <v>84060.304051911138</v>
      </c>
      <c r="JE11" s="387">
        <f t="shared" si="556"/>
        <v>82151.991444630621</v>
      </c>
      <c r="JF11" s="386">
        <f t="shared" si="556"/>
        <v>87566.594819403646</v>
      </c>
      <c r="JG11" s="387">
        <f t="shared" si="556"/>
        <v>78115.925357143191</v>
      </c>
      <c r="JH11" s="375">
        <f t="shared" si="556"/>
        <v>0</v>
      </c>
      <c r="JI11" s="263">
        <f t="shared" si="485"/>
        <v>521342.4768575388</v>
      </c>
      <c r="JJ11" s="385">
        <f>JJ6*JJ8</f>
        <v>71433.663422314086</v>
      </c>
      <c r="JK11" s="387">
        <f t="shared" ref="JK11:JP11" si="557">JK6*JK8</f>
        <v>80804.780320881109</v>
      </c>
      <c r="JL11" s="387">
        <f t="shared" si="557"/>
        <v>82610.314332621012</v>
      </c>
      <c r="JM11" s="387">
        <f t="shared" si="557"/>
        <v>88347.300679835884</v>
      </c>
      <c r="JN11" s="386">
        <f t="shared" si="557"/>
        <v>105453.88920205444</v>
      </c>
      <c r="JO11" s="387">
        <f t="shared" si="557"/>
        <v>92692.52889983225</v>
      </c>
      <c r="JP11" s="375">
        <f t="shared" si="557"/>
        <v>0</v>
      </c>
      <c r="JQ11" s="263">
        <f t="shared" si="487"/>
        <v>583209.36881450552</v>
      </c>
      <c r="JR11" s="385">
        <f>JR6*JR8</f>
        <v>84501.069739880259</v>
      </c>
      <c r="JS11" s="387">
        <f t="shared" ref="JS11:JX11" si="558">JS6*JS8</f>
        <v>94568.376541693448</v>
      </c>
      <c r="JT11" s="387">
        <f t="shared" si="558"/>
        <v>99228.250663361134</v>
      </c>
      <c r="JU11" s="387">
        <f t="shared" si="558"/>
        <v>102309.66680742809</v>
      </c>
      <c r="JV11" s="386">
        <f t="shared" si="558"/>
        <v>107248.38922960202</v>
      </c>
      <c r="JW11" s="387">
        <f t="shared" si="558"/>
        <v>95353.615832540614</v>
      </c>
      <c r="JX11" s="375">
        <f t="shared" si="558"/>
        <v>0</v>
      </c>
      <c r="JY11" s="263">
        <f t="shared" si="489"/>
        <v>576618.3440811761</v>
      </c>
      <c r="JZ11" s="385">
        <f>JZ6*JZ8</f>
        <v>88365.742974516397</v>
      </c>
      <c r="KA11" s="387">
        <f t="shared" ref="KA11:KF11" si="559">KA6*KA8</f>
        <v>105408.79125180657</v>
      </c>
      <c r="KB11" s="387">
        <f t="shared" si="559"/>
        <v>101657.99265686599</v>
      </c>
      <c r="KC11" s="387">
        <f t="shared" si="559"/>
        <v>97188.293704493175</v>
      </c>
      <c r="KD11" s="386">
        <f t="shared" si="559"/>
        <v>93810.287319129027</v>
      </c>
      <c r="KE11" s="387">
        <f t="shared" si="559"/>
        <v>90187.236174364996</v>
      </c>
      <c r="KF11" s="375">
        <f t="shared" si="559"/>
        <v>0</v>
      </c>
      <c r="KG11" s="263">
        <f t="shared" si="491"/>
        <v>584345.80914415733</v>
      </c>
      <c r="KH11" s="385">
        <f>KH6*KH8</f>
        <v>90028.839914171447</v>
      </c>
      <c r="KI11" s="387">
        <f t="shared" ref="KI11:KN11" si="560">KI6*KI8</f>
        <v>100353.66797753105</v>
      </c>
      <c r="KJ11" s="387">
        <f t="shared" si="560"/>
        <v>103972.52323588563</v>
      </c>
      <c r="KK11" s="387">
        <f t="shared" si="560"/>
        <v>96331.815232149485</v>
      </c>
      <c r="KL11" s="386">
        <f t="shared" si="560"/>
        <v>103725.95650050804</v>
      </c>
      <c r="KM11" s="387">
        <f t="shared" si="560"/>
        <v>89933.006283911673</v>
      </c>
      <c r="KN11" s="375">
        <f t="shared" si="560"/>
        <v>0</v>
      </c>
      <c r="KO11" s="263">
        <f t="shared" si="493"/>
        <v>551019.55531458219</v>
      </c>
      <c r="KP11" s="385">
        <f>KP6*KP8</f>
        <v>82735.525416678283</v>
      </c>
      <c r="KQ11" s="387">
        <f t="shared" ref="KQ11:KV11" si="561">KQ6*KQ8</f>
        <v>84399.357575919494</v>
      </c>
      <c r="KR11" s="387">
        <f t="shared" si="561"/>
        <v>86845.796637278487</v>
      </c>
      <c r="KS11" s="387">
        <f t="shared" si="561"/>
        <v>96005.857894907647</v>
      </c>
      <c r="KT11" s="386">
        <f t="shared" si="561"/>
        <v>105261.97371432978</v>
      </c>
      <c r="KU11" s="387">
        <f t="shared" si="561"/>
        <v>95771.044075468599</v>
      </c>
      <c r="KV11" s="375">
        <f t="shared" si="561"/>
        <v>0</v>
      </c>
      <c r="KW11" s="263">
        <f t="shared" si="495"/>
        <v>562795.09636362235</v>
      </c>
      <c r="KX11" s="385">
        <f>KX6*KX8</f>
        <v>79411.109865502716</v>
      </c>
      <c r="KY11" s="387">
        <f t="shared" ref="KY11:LD11" si="562">KY6*KY8</f>
        <v>96291.141585271165</v>
      </c>
      <c r="KZ11" s="387">
        <f t="shared" si="562"/>
        <v>97766.187356679991</v>
      </c>
      <c r="LA11" s="387">
        <f t="shared" si="562"/>
        <v>93929.920341429737</v>
      </c>
      <c r="LB11" s="386">
        <f t="shared" si="562"/>
        <v>102649.66392515728</v>
      </c>
      <c r="LC11" s="387">
        <f t="shared" si="562"/>
        <v>92747.073289581487</v>
      </c>
      <c r="LD11" s="375">
        <f t="shared" si="562"/>
        <v>0</v>
      </c>
      <c r="LE11" s="263">
        <f t="shared" si="497"/>
        <v>583257.95722113992</v>
      </c>
      <c r="LF11" s="385">
        <f>LF6*LF8</f>
        <v>86369.447820555593</v>
      </c>
      <c r="LG11" s="387">
        <f t="shared" ref="LG11:LL11" si="563">LG6*LG8</f>
        <v>94444.85640532666</v>
      </c>
      <c r="LH11" s="387">
        <f t="shared" si="563"/>
        <v>98155.365853346477</v>
      </c>
      <c r="LI11" s="387">
        <f t="shared" si="563"/>
        <v>95288.197745751371</v>
      </c>
      <c r="LJ11" s="386">
        <f t="shared" si="563"/>
        <v>105874.34901570289</v>
      </c>
      <c r="LK11" s="387">
        <f t="shared" si="563"/>
        <v>103125.74038045696</v>
      </c>
      <c r="LL11" s="375">
        <f t="shared" si="563"/>
        <v>0</v>
      </c>
      <c r="LM11" s="263">
        <f t="shared" si="499"/>
        <v>608233.61513935693</v>
      </c>
      <c r="LN11" s="385">
        <f>LN6*LN8</f>
        <v>97641.455086827671</v>
      </c>
      <c r="LO11" s="387">
        <f t="shared" ref="LO11:LT11" si="564">LO6*LO8</f>
        <v>98777.82831631384</v>
      </c>
      <c r="LP11" s="387">
        <f t="shared" si="564"/>
        <v>101477.96989284415</v>
      </c>
      <c r="LQ11" s="387">
        <f t="shared" si="564"/>
        <v>98571.958136285422</v>
      </c>
      <c r="LR11" s="386">
        <f t="shared" si="564"/>
        <v>110286.16178817063</v>
      </c>
      <c r="LS11" s="387">
        <f t="shared" si="564"/>
        <v>101478.2419189152</v>
      </c>
      <c r="LT11" s="375">
        <f t="shared" si="564"/>
        <v>0</v>
      </c>
      <c r="LU11" s="263">
        <f t="shared" si="501"/>
        <v>614138.55309727648</v>
      </c>
      <c r="LV11" s="385">
        <f>LV6*LV8</f>
        <v>97661.147577123265</v>
      </c>
      <c r="LW11" s="387">
        <f t="shared" ref="LW11:MB11" si="565">LW6*LW8</f>
        <v>99293.559120253281</v>
      </c>
      <c r="LX11" s="387">
        <f t="shared" si="565"/>
        <v>102560.58852086855</v>
      </c>
      <c r="LY11" s="387">
        <f t="shared" si="565"/>
        <v>95828.726430031689</v>
      </c>
      <c r="LZ11" s="386">
        <f t="shared" si="565"/>
        <v>111146.2038294425</v>
      </c>
      <c r="MA11" s="387">
        <f t="shared" si="565"/>
        <v>107648.32761955712</v>
      </c>
      <c r="MB11" s="375">
        <f t="shared" si="565"/>
        <v>0</v>
      </c>
      <c r="MC11" s="263">
        <f t="shared" si="503"/>
        <v>591458.84133937978</v>
      </c>
      <c r="MD11" s="385">
        <f>MD6*MD8</f>
        <v>101118.02561772898</v>
      </c>
      <c r="ME11" s="387">
        <f t="shared" ref="ME11:MJ11" si="566">ME6*ME8</f>
        <v>97801.559671426978</v>
      </c>
      <c r="MF11" s="387">
        <f t="shared" si="566"/>
        <v>98560.56677800513</v>
      </c>
      <c r="MG11" s="387">
        <f t="shared" si="566"/>
        <v>95773.995095318285</v>
      </c>
      <c r="MH11" s="386">
        <f t="shared" si="566"/>
        <v>106037.17654841491</v>
      </c>
      <c r="MI11" s="387">
        <f t="shared" si="566"/>
        <v>92167.517628485468</v>
      </c>
      <c r="MJ11" s="375">
        <f t="shared" si="566"/>
        <v>0</v>
      </c>
      <c r="MK11" s="263">
        <f t="shared" si="505"/>
        <v>503769.13862020941</v>
      </c>
      <c r="ML11" s="385">
        <f>ML6*ML8</f>
        <v>90640.036040329971</v>
      </c>
      <c r="MM11" s="387">
        <f t="shared" ref="MM11:MR11" si="567">MM6*MM8</f>
        <v>0</v>
      </c>
      <c r="MN11" s="387">
        <f t="shared" si="567"/>
        <v>90341.140403616024</v>
      </c>
      <c r="MO11" s="387">
        <f t="shared" si="567"/>
        <v>101890.63478631081</v>
      </c>
      <c r="MP11" s="386">
        <f t="shared" si="567"/>
        <v>112215.49886865552</v>
      </c>
      <c r="MQ11" s="387">
        <f t="shared" si="567"/>
        <v>108681.82852129705</v>
      </c>
      <c r="MR11" s="375">
        <f t="shared" si="567"/>
        <v>0</v>
      </c>
      <c r="MS11" s="263">
        <f t="shared" si="507"/>
        <v>514748.72192129085</v>
      </c>
      <c r="MT11" s="385">
        <f>MT6*MT8</f>
        <v>92076.93877688903</v>
      </c>
      <c r="MU11" s="387">
        <f t="shared" ref="MU11:MZ11" si="568">MU6*MU8</f>
        <v>112060.37060360554</v>
      </c>
      <c r="MV11" s="387">
        <f t="shared" si="568"/>
        <v>110380.91563219565</v>
      </c>
      <c r="MW11" s="387">
        <f t="shared" si="568"/>
        <v>108700.59473669363</v>
      </c>
      <c r="MX11" s="386">
        <f t="shared" si="568"/>
        <v>0</v>
      </c>
      <c r="MY11" s="387">
        <f t="shared" si="568"/>
        <v>91529.902171906986</v>
      </c>
      <c r="MZ11" s="375">
        <f t="shared" si="568"/>
        <v>0</v>
      </c>
      <c r="NA11" s="263">
        <f t="shared" si="509"/>
        <v>629164.975444771</v>
      </c>
      <c r="NB11" s="385">
        <f>NB6*NB8</f>
        <v>95312.807069706963</v>
      </c>
      <c r="NC11" s="387">
        <f t="shared" ref="NC11:NH11" si="569">NC6*NC8</f>
        <v>113171.25191793032</v>
      </c>
      <c r="ND11" s="387">
        <f t="shared" si="569"/>
        <v>110821.54991049804</v>
      </c>
      <c r="NE11" s="387">
        <f t="shared" si="569"/>
        <v>106300.18581336763</v>
      </c>
      <c r="NF11" s="386">
        <f t="shared" si="569"/>
        <v>107208.91728748633</v>
      </c>
      <c r="NG11" s="387">
        <f t="shared" si="569"/>
        <v>96350.263445781631</v>
      </c>
      <c r="NH11" s="375">
        <f t="shared" si="569"/>
        <v>0</v>
      </c>
      <c r="NI11" s="263">
        <f t="shared" si="511"/>
        <v>697467.65702090948</v>
      </c>
      <c r="NJ11" s="385">
        <f>NJ6*NJ8</f>
        <v>95232.37146031775</v>
      </c>
      <c r="NK11" s="387">
        <f t="shared" ref="NK11:NP11" si="570">NK6*NK8</f>
        <v>119109.18572944384</v>
      </c>
      <c r="NL11" s="387">
        <f t="shared" si="570"/>
        <v>122445.91341521872</v>
      </c>
      <c r="NM11" s="387">
        <f t="shared" si="570"/>
        <v>114003.11036152257</v>
      </c>
      <c r="NN11" s="386">
        <f t="shared" si="570"/>
        <v>123306.44711149222</v>
      </c>
      <c r="NO11" s="387">
        <f t="shared" si="570"/>
        <v>123370.62894291434</v>
      </c>
      <c r="NP11" s="375">
        <f t="shared" si="570"/>
        <v>0</v>
      </c>
      <c r="NQ11" s="263">
        <f t="shared" si="513"/>
        <v>702238.85040233645</v>
      </c>
      <c r="NR11" s="385">
        <f>NR6*NR8</f>
        <v>107728.62965659956</v>
      </c>
      <c r="NS11" s="387">
        <f t="shared" ref="NS11:NX11" si="571">NS6*NS8</f>
        <v>124398.31119841013</v>
      </c>
      <c r="NT11" s="387">
        <f t="shared" si="571"/>
        <v>128755.69698024535</v>
      </c>
      <c r="NU11" s="387">
        <f t="shared" si="571"/>
        <v>120116.35936656475</v>
      </c>
      <c r="NV11" s="386">
        <f t="shared" si="571"/>
        <v>118548.31917708155</v>
      </c>
      <c r="NW11" s="387">
        <f t="shared" si="571"/>
        <v>102691.53402343506</v>
      </c>
      <c r="NX11" s="375">
        <f t="shared" si="571"/>
        <v>0</v>
      </c>
      <c r="NY11" s="263">
        <f t="shared" si="515"/>
        <v>652581.58097047242</v>
      </c>
      <c r="NZ11" s="385">
        <f>NZ6*NZ8</f>
        <v>97708.18732556171</v>
      </c>
      <c r="OA11" s="387">
        <f t="shared" ref="OA11:OF11" si="572">OA6*OA8</f>
        <v>114667.17174485176</v>
      </c>
      <c r="OB11" s="387">
        <f t="shared" si="572"/>
        <v>118758.53573927497</v>
      </c>
      <c r="OC11" s="387">
        <f t="shared" si="572"/>
        <v>108699.9648961762</v>
      </c>
      <c r="OD11" s="386">
        <f t="shared" si="572"/>
        <v>111352.26439860843</v>
      </c>
      <c r="OE11" s="387">
        <f t="shared" si="572"/>
        <v>101395.45686599934</v>
      </c>
      <c r="OF11" s="375">
        <f t="shared" si="572"/>
        <v>0</v>
      </c>
      <c r="OG11" s="263">
        <f t="shared" si="517"/>
        <v>599710.92495443136</v>
      </c>
      <c r="OH11" s="385">
        <f>OH6*OH8</f>
        <v>95475.538597196341</v>
      </c>
      <c r="OI11" s="387">
        <f t="shared" ref="OI11:ON11" si="573">OI6*OI8</f>
        <v>108709.09047497551</v>
      </c>
      <c r="OJ11" s="387">
        <f t="shared" si="573"/>
        <v>105004.41650739328</v>
      </c>
      <c r="OK11" s="387">
        <f t="shared" si="573"/>
        <v>101552.41194672789</v>
      </c>
      <c r="OL11" s="386">
        <f t="shared" si="573"/>
        <v>94504.572907014663</v>
      </c>
      <c r="OM11" s="387">
        <f t="shared" si="573"/>
        <v>94464.894521123642</v>
      </c>
      <c r="ON11" s="375">
        <f t="shared" si="573"/>
        <v>0</v>
      </c>
      <c r="OO11" s="263">
        <f t="shared" si="519"/>
        <v>670940.5</v>
      </c>
      <c r="OP11" s="385">
        <f>OP6*OP8</f>
        <v>99750</v>
      </c>
      <c r="OQ11" s="387">
        <f t="shared" ref="OQ11:OV11" si="574">OQ6*OQ8</f>
        <v>124625</v>
      </c>
      <c r="OR11" s="387">
        <f t="shared" si="574"/>
        <v>122375</v>
      </c>
      <c r="OS11" s="387">
        <f t="shared" si="574"/>
        <v>124170.75</v>
      </c>
      <c r="OT11" s="386">
        <f t="shared" si="574"/>
        <v>118920</v>
      </c>
      <c r="OU11" s="387">
        <f t="shared" si="574"/>
        <v>81099.75</v>
      </c>
      <c r="OV11" s="375">
        <f t="shared" si="574"/>
        <v>0</v>
      </c>
      <c r="OW11" s="263">
        <f t="shared" si="521"/>
        <v>647161</v>
      </c>
      <c r="OX11" s="385">
        <f>OX6*OX8</f>
        <v>96780.5</v>
      </c>
      <c r="OY11" s="387">
        <f t="shared" ref="OY11:PD11" si="575">OY6*OY8</f>
        <v>118768</v>
      </c>
      <c r="OZ11" s="387">
        <f t="shared" si="575"/>
        <v>119054</v>
      </c>
      <c r="PA11" s="387">
        <f t="shared" si="575"/>
        <v>119729.99999999999</v>
      </c>
      <c r="PB11" s="386">
        <f t="shared" si="575"/>
        <v>118429.99999999999</v>
      </c>
      <c r="PC11" s="387">
        <f t="shared" si="575"/>
        <v>74398.5</v>
      </c>
      <c r="PD11" s="375">
        <f t="shared" si="575"/>
        <v>0</v>
      </c>
      <c r="PE11" s="263">
        <f>SUM(PF11:PL11)</f>
        <v>619025</v>
      </c>
      <c r="PF11" s="385">
        <f t="shared" si="523"/>
        <v>74025</v>
      </c>
      <c r="PG11" s="387">
        <f t="shared" si="523"/>
        <v>112800</v>
      </c>
      <c r="PH11" s="387">
        <f t="shared" si="523"/>
        <v>112800</v>
      </c>
      <c r="PI11" s="387">
        <f t="shared" si="523"/>
        <v>103400</v>
      </c>
      <c r="PJ11" s="386">
        <f t="shared" si="523"/>
        <v>110400</v>
      </c>
      <c r="PK11" s="387">
        <f t="shared" si="523"/>
        <v>105600</v>
      </c>
      <c r="PL11" s="375">
        <f t="shared" si="523"/>
        <v>0</v>
      </c>
    </row>
    <row r="12" spans="1:428" ht="7.5" customHeight="1" outlineLevel="1" thickBot="1" x14ac:dyDescent="0.35">
      <c r="B12" s="264"/>
      <c r="C12" s="265"/>
      <c r="D12" s="265"/>
      <c r="E12" s="264"/>
      <c r="F12" s="265"/>
      <c r="G12" s="265"/>
      <c r="H12" s="265"/>
      <c r="I12" s="265"/>
      <c r="J12" s="265"/>
      <c r="K12" s="265"/>
      <c r="L12" s="266"/>
      <c r="M12" s="264"/>
      <c r="N12" s="265"/>
      <c r="O12" s="265"/>
      <c r="P12" s="265"/>
      <c r="Q12" s="265"/>
      <c r="R12" s="265"/>
      <c r="S12" s="265"/>
      <c r="T12" s="266"/>
      <c r="U12" s="264"/>
      <c r="V12" s="265"/>
      <c r="W12" s="265"/>
      <c r="X12" s="265"/>
      <c r="Y12" s="265"/>
      <c r="Z12" s="265"/>
      <c r="AA12" s="265"/>
      <c r="AB12" s="266"/>
      <c r="AC12" s="264"/>
      <c r="AD12" s="265"/>
      <c r="AE12" s="265"/>
      <c r="AF12" s="265"/>
      <c r="AG12" s="265"/>
      <c r="AH12" s="265"/>
      <c r="AI12" s="265"/>
      <c r="AJ12" s="266"/>
      <c r="AK12" s="264"/>
      <c r="AL12" s="265"/>
      <c r="AM12" s="265"/>
      <c r="AN12" s="265"/>
      <c r="AO12" s="265"/>
      <c r="AP12" s="265"/>
      <c r="AQ12" s="265"/>
      <c r="AR12" s="266"/>
      <c r="AS12" s="264"/>
      <c r="AT12" s="265"/>
      <c r="AU12" s="265"/>
      <c r="AV12" s="265"/>
      <c r="AW12" s="265"/>
      <c r="AX12" s="265"/>
      <c r="AY12" s="265"/>
      <c r="AZ12" s="266"/>
      <c r="BA12" s="264"/>
      <c r="BB12" s="265"/>
      <c r="BC12" s="265"/>
      <c r="BD12" s="265"/>
      <c r="BE12" s="265"/>
      <c r="BF12" s="265"/>
      <c r="BG12" s="265"/>
      <c r="BH12" s="266"/>
      <c r="BI12" s="264"/>
      <c r="BJ12" s="265"/>
      <c r="BK12" s="265"/>
      <c r="BL12" s="265"/>
      <c r="BM12" s="265"/>
      <c r="BN12" s="265"/>
      <c r="BO12" s="265"/>
      <c r="BP12" s="266"/>
      <c r="BQ12" s="264"/>
      <c r="BR12" s="265"/>
      <c r="BS12" s="265"/>
      <c r="BT12" s="265"/>
      <c r="BU12" s="265"/>
      <c r="BV12" s="265"/>
      <c r="BW12" s="265"/>
      <c r="BX12" s="266"/>
      <c r="BY12" s="264"/>
      <c r="BZ12" s="265"/>
      <c r="CA12" s="265"/>
      <c r="CB12" s="265"/>
      <c r="CC12" s="265"/>
      <c r="CD12" s="265"/>
      <c r="CE12" s="265"/>
      <c r="CF12" s="266"/>
      <c r="CG12" s="264"/>
      <c r="CH12" s="265"/>
      <c r="CI12" s="265"/>
      <c r="CJ12" s="265"/>
      <c r="CK12" s="265"/>
      <c r="CL12" s="265"/>
      <c r="CM12" s="265"/>
      <c r="CN12" s="266"/>
      <c r="CO12" s="264"/>
      <c r="CP12" s="265"/>
      <c r="CQ12" s="265"/>
      <c r="CR12" s="265"/>
      <c r="CS12" s="265"/>
      <c r="CT12" s="265"/>
      <c r="CU12" s="265"/>
      <c r="CV12" s="266"/>
      <c r="CW12" s="264"/>
      <c r="CX12" s="265"/>
      <c r="CY12" s="265"/>
      <c r="CZ12" s="265"/>
      <c r="DA12" s="265"/>
      <c r="DB12" s="265"/>
      <c r="DC12" s="265"/>
      <c r="DD12" s="266"/>
      <c r="DE12" s="264"/>
      <c r="DF12" s="265"/>
      <c r="DG12" s="265"/>
      <c r="DH12" s="265"/>
      <c r="DI12" s="265"/>
      <c r="DJ12" s="265"/>
      <c r="DK12" s="265"/>
      <c r="DL12" s="266"/>
      <c r="DM12" s="264"/>
      <c r="DN12" s="265"/>
      <c r="DO12" s="265"/>
      <c r="DP12" s="265"/>
      <c r="DQ12" s="265"/>
      <c r="DR12" s="265"/>
      <c r="DS12" s="265"/>
      <c r="DT12" s="266"/>
      <c r="DU12" s="264"/>
      <c r="DV12" s="265"/>
      <c r="DW12" s="265"/>
      <c r="DX12" s="265"/>
      <c r="DY12" s="265"/>
      <c r="DZ12" s="265"/>
      <c r="EA12" s="265"/>
      <c r="EB12" s="266"/>
      <c r="EC12" s="264"/>
      <c r="ED12" s="265"/>
      <c r="EE12" s="265"/>
      <c r="EF12" s="265"/>
      <c r="EG12" s="265"/>
      <c r="EH12" s="265"/>
      <c r="EI12" s="265"/>
      <c r="EJ12" s="266"/>
      <c r="EK12" s="264"/>
      <c r="EL12" s="265"/>
      <c r="EM12" s="265"/>
      <c r="EN12" s="265"/>
      <c r="EO12" s="265"/>
      <c r="EP12" s="265"/>
      <c r="EQ12" s="265"/>
      <c r="ER12" s="266"/>
      <c r="ES12" s="264"/>
      <c r="ET12" s="265"/>
      <c r="EU12" s="265"/>
      <c r="EV12" s="265"/>
      <c r="EW12" s="265"/>
      <c r="EX12" s="265"/>
      <c r="EY12" s="265"/>
      <c r="EZ12" s="266"/>
      <c r="FA12" s="264"/>
      <c r="FB12" s="265"/>
      <c r="FC12" s="265"/>
      <c r="FD12" s="265"/>
      <c r="FE12" s="265"/>
      <c r="FF12" s="265"/>
      <c r="FG12" s="265"/>
      <c r="FH12" s="266"/>
      <c r="FI12" s="264"/>
      <c r="FJ12" s="265"/>
      <c r="FK12" s="265"/>
      <c r="FL12" s="265"/>
      <c r="FM12" s="265"/>
      <c r="FN12" s="265"/>
      <c r="FO12" s="265"/>
      <c r="FP12" s="266"/>
      <c r="FQ12" s="264"/>
      <c r="FR12" s="265"/>
      <c r="FS12" s="265"/>
      <c r="FT12" s="265"/>
      <c r="FU12" s="265"/>
      <c r="FV12" s="265"/>
      <c r="FW12" s="265"/>
      <c r="FX12" s="266"/>
      <c r="FY12" s="264"/>
      <c r="FZ12" s="265"/>
      <c r="GA12" s="265"/>
      <c r="GB12" s="265"/>
      <c r="GC12" s="265"/>
      <c r="GD12" s="265"/>
      <c r="GE12" s="265"/>
      <c r="GF12" s="266"/>
      <c r="GG12" s="264"/>
      <c r="GH12" s="265"/>
      <c r="GI12" s="265"/>
      <c r="GJ12" s="265"/>
      <c r="GK12" s="265"/>
      <c r="GL12" s="265"/>
      <c r="GM12" s="265"/>
      <c r="GN12" s="266"/>
      <c r="GO12" s="264"/>
      <c r="GP12" s="265"/>
      <c r="GQ12" s="265"/>
      <c r="GR12" s="265"/>
      <c r="GS12" s="265"/>
      <c r="GT12" s="265"/>
      <c r="GU12" s="265"/>
      <c r="GV12" s="266"/>
      <c r="GW12" s="264"/>
      <c r="GX12" s="265"/>
      <c r="GY12" s="265"/>
      <c r="GZ12" s="265"/>
      <c r="HA12" s="265"/>
      <c r="HB12" s="265"/>
      <c r="HC12" s="265"/>
      <c r="HD12" s="266"/>
      <c r="HE12" s="264"/>
      <c r="HF12" s="265"/>
      <c r="HG12" s="265"/>
      <c r="HH12" s="265"/>
      <c r="HI12" s="265"/>
      <c r="HJ12" s="265"/>
      <c r="HK12" s="265"/>
      <c r="HL12" s="266"/>
      <c r="HM12" s="264"/>
      <c r="HN12" s="265"/>
      <c r="HO12" s="265"/>
      <c r="HP12" s="265"/>
      <c r="HQ12" s="265"/>
      <c r="HR12" s="265"/>
      <c r="HS12" s="265"/>
      <c r="HT12" s="266"/>
      <c r="HU12" s="264"/>
      <c r="HV12" s="265"/>
      <c r="HW12" s="265"/>
      <c r="HX12" s="265"/>
      <c r="HY12" s="265"/>
      <c r="HZ12" s="265"/>
      <c r="IA12" s="265"/>
      <c r="IB12" s="266"/>
      <c r="IC12" s="264"/>
      <c r="ID12" s="265"/>
      <c r="IE12" s="265"/>
      <c r="IF12" s="265"/>
      <c r="IG12" s="265"/>
      <c r="IH12" s="265"/>
      <c r="II12" s="265"/>
      <c r="IJ12" s="266"/>
      <c r="IK12" s="264"/>
      <c r="IL12" s="265"/>
      <c r="IM12" s="265"/>
      <c r="IN12" s="265"/>
      <c r="IO12" s="265"/>
      <c r="IP12" s="265"/>
      <c r="IQ12" s="265"/>
      <c r="IR12" s="266"/>
      <c r="IS12" s="264"/>
      <c r="IT12" s="265"/>
      <c r="IU12" s="265"/>
      <c r="IV12" s="265"/>
      <c r="IW12" s="265"/>
      <c r="IX12" s="265"/>
      <c r="IY12" s="265"/>
      <c r="IZ12" s="266"/>
      <c r="JA12" s="264"/>
      <c r="JB12" s="265"/>
      <c r="JC12" s="265"/>
      <c r="JD12" s="265"/>
      <c r="JE12" s="265"/>
      <c r="JF12" s="265"/>
      <c r="JG12" s="265"/>
      <c r="JH12" s="266"/>
      <c r="JI12" s="264"/>
      <c r="JJ12" s="265"/>
      <c r="JK12" s="265"/>
      <c r="JL12" s="265"/>
      <c r="JM12" s="265"/>
      <c r="JN12" s="265"/>
      <c r="JO12" s="265"/>
      <c r="JP12" s="266"/>
      <c r="JQ12" s="264"/>
      <c r="JR12" s="265"/>
      <c r="JS12" s="265"/>
      <c r="JT12" s="265"/>
      <c r="JU12" s="265"/>
      <c r="JV12" s="265"/>
      <c r="JW12" s="265"/>
      <c r="JX12" s="266"/>
      <c r="JY12" s="264"/>
      <c r="JZ12" s="265"/>
      <c r="KA12" s="265"/>
      <c r="KB12" s="265"/>
      <c r="KC12" s="265"/>
      <c r="KD12" s="265"/>
      <c r="KE12" s="265"/>
      <c r="KF12" s="266"/>
      <c r="KG12" s="264"/>
      <c r="KH12" s="265"/>
      <c r="KI12" s="265"/>
      <c r="KJ12" s="265"/>
      <c r="KK12" s="265"/>
      <c r="KL12" s="265"/>
      <c r="KM12" s="265"/>
      <c r="KN12" s="266"/>
      <c r="KO12" s="264"/>
      <c r="KP12" s="265"/>
      <c r="KQ12" s="265"/>
      <c r="KR12" s="265"/>
      <c r="KS12" s="265"/>
      <c r="KT12" s="265"/>
      <c r="KU12" s="265"/>
      <c r="KV12" s="266"/>
      <c r="KW12" s="264"/>
      <c r="KX12" s="265"/>
      <c r="KY12" s="265"/>
      <c r="KZ12" s="265"/>
      <c r="LA12" s="265"/>
      <c r="LB12" s="265"/>
      <c r="LC12" s="265"/>
      <c r="LD12" s="266"/>
      <c r="LE12" s="264"/>
      <c r="LF12" s="265"/>
      <c r="LG12" s="265"/>
      <c r="LH12" s="265"/>
      <c r="LI12" s="265"/>
      <c r="LJ12" s="265"/>
      <c r="LK12" s="265"/>
      <c r="LL12" s="266"/>
      <c r="LM12" s="264"/>
      <c r="LN12" s="265"/>
      <c r="LO12" s="265"/>
      <c r="LP12" s="265"/>
      <c r="LQ12" s="265"/>
      <c r="LR12" s="265"/>
      <c r="LS12" s="265"/>
      <c r="LT12" s="266"/>
      <c r="LU12" s="264"/>
      <c r="LV12" s="265"/>
      <c r="LW12" s="265"/>
      <c r="LX12" s="265"/>
      <c r="LY12" s="265"/>
      <c r="LZ12" s="265"/>
      <c r="MA12" s="265"/>
      <c r="MB12" s="266"/>
      <c r="MC12" s="264"/>
      <c r="MD12" s="265"/>
      <c r="ME12" s="265"/>
      <c r="MF12" s="265"/>
      <c r="MG12" s="265"/>
      <c r="MH12" s="265"/>
      <c r="MI12" s="265"/>
      <c r="MJ12" s="266"/>
      <c r="MK12" s="264"/>
      <c r="ML12" s="265"/>
      <c r="MM12" s="265"/>
      <c r="MN12" s="265"/>
      <c r="MO12" s="265"/>
      <c r="MP12" s="265"/>
      <c r="MQ12" s="265"/>
      <c r="MR12" s="266"/>
      <c r="MS12" s="264"/>
      <c r="MT12" s="265"/>
      <c r="MU12" s="265"/>
      <c r="MV12" s="265"/>
      <c r="MW12" s="265"/>
      <c r="MX12" s="265"/>
      <c r="MY12" s="265"/>
      <c r="MZ12" s="266"/>
      <c r="NA12" s="264"/>
      <c r="NB12" s="265"/>
      <c r="NC12" s="265"/>
      <c r="ND12" s="265"/>
      <c r="NE12" s="265"/>
      <c r="NF12" s="265"/>
      <c r="NG12" s="265"/>
      <c r="NH12" s="266"/>
      <c r="NI12" s="264"/>
      <c r="NJ12" s="265"/>
      <c r="NK12" s="265"/>
      <c r="NL12" s="265"/>
      <c r="NM12" s="265"/>
      <c r="NN12" s="265"/>
      <c r="NO12" s="265"/>
      <c r="NP12" s="266"/>
      <c r="NQ12" s="264"/>
      <c r="NR12" s="265"/>
      <c r="NS12" s="265"/>
      <c r="NT12" s="265"/>
      <c r="NU12" s="265"/>
      <c r="NV12" s="265"/>
      <c r="NW12" s="265"/>
      <c r="NX12" s="266"/>
      <c r="NY12" s="264"/>
      <c r="NZ12" s="265"/>
      <c r="OA12" s="265"/>
      <c r="OB12" s="265"/>
      <c r="OC12" s="265"/>
      <c r="OD12" s="265"/>
      <c r="OE12" s="265"/>
      <c r="OF12" s="266"/>
      <c r="OG12" s="264"/>
      <c r="OH12" s="265"/>
      <c r="OI12" s="265"/>
      <c r="OJ12" s="265"/>
      <c r="OK12" s="265"/>
      <c r="OL12" s="265"/>
      <c r="OM12" s="265"/>
      <c r="ON12" s="266"/>
      <c r="OO12" s="264"/>
      <c r="OP12" s="265"/>
      <c r="OQ12" s="265"/>
      <c r="OR12" s="265"/>
      <c r="OS12" s="265"/>
      <c r="OT12" s="265"/>
      <c r="OU12" s="265"/>
      <c r="OV12" s="266"/>
      <c r="OW12" s="264"/>
      <c r="OX12" s="265"/>
      <c r="OY12" s="265"/>
      <c r="OZ12" s="265"/>
      <c r="PA12" s="265"/>
      <c r="PB12" s="265"/>
      <c r="PC12" s="265"/>
      <c r="PD12" s="266"/>
      <c r="PE12" s="264"/>
      <c r="PF12" s="265"/>
      <c r="PG12" s="265"/>
      <c r="PH12" s="265"/>
      <c r="PI12" s="265"/>
      <c r="PJ12" s="265"/>
      <c r="PK12" s="265"/>
      <c r="PL12" s="266"/>
    </row>
    <row r="13" spans="1:428" s="44" customFormat="1" ht="14.85" customHeight="1" x14ac:dyDescent="0.3">
      <c r="A13"/>
      <c r="B13" s="1020" t="s">
        <v>303</v>
      </c>
      <c r="C13" s="1004" t="s">
        <v>210</v>
      </c>
      <c r="D13" s="918" t="s">
        <v>216</v>
      </c>
      <c r="E13" s="543">
        <f>SUM(F13:L13)</f>
        <v>15230</v>
      </c>
      <c r="F13" s="541">
        <f>SUM(F14:F16)</f>
        <v>1600</v>
      </c>
      <c r="G13" s="541">
        <f>SUM(G14:G16)</f>
        <v>2850</v>
      </c>
      <c r="H13" s="541">
        <f t="shared" ref="H13:L13" si="576">SUM(H14:H16)</f>
        <v>2750</v>
      </c>
      <c r="I13" s="541">
        <f t="shared" si="576"/>
        <v>2400</v>
      </c>
      <c r="J13" s="541">
        <f t="shared" si="576"/>
        <v>2750</v>
      </c>
      <c r="K13" s="541">
        <f t="shared" si="576"/>
        <v>2700</v>
      </c>
      <c r="L13" s="542">
        <f t="shared" si="576"/>
        <v>180</v>
      </c>
      <c r="M13" s="543">
        <f>SUM(N13:T13)</f>
        <v>15340</v>
      </c>
      <c r="N13" s="541">
        <f>SUM(N14:N16)</f>
        <v>2150</v>
      </c>
      <c r="O13" s="541">
        <f>SUM(O14:O16)</f>
        <v>2600</v>
      </c>
      <c r="P13" s="541">
        <f t="shared" ref="P13:T13" si="577">SUM(P14:P16)</f>
        <v>2450</v>
      </c>
      <c r="Q13" s="541">
        <f t="shared" si="577"/>
        <v>2500</v>
      </c>
      <c r="R13" s="541">
        <f t="shared" si="577"/>
        <v>2800</v>
      </c>
      <c r="S13" s="541">
        <f t="shared" si="577"/>
        <v>2750</v>
      </c>
      <c r="T13" s="542">
        <f t="shared" si="577"/>
        <v>90</v>
      </c>
      <c r="U13" s="543">
        <f>SUM(V13:AB13)</f>
        <v>15890</v>
      </c>
      <c r="V13" s="541">
        <f>SUM(V14:V16)</f>
        <v>2250</v>
      </c>
      <c r="W13" s="541">
        <f>SUM(W14:W16)</f>
        <v>2600</v>
      </c>
      <c r="X13" s="541">
        <f t="shared" ref="X13:AB13" si="578">SUM(X14:X16)</f>
        <v>2650</v>
      </c>
      <c r="Y13" s="541">
        <f t="shared" si="578"/>
        <v>2550</v>
      </c>
      <c r="Z13" s="541">
        <f t="shared" si="578"/>
        <v>2950</v>
      </c>
      <c r="AA13" s="541">
        <f t="shared" si="578"/>
        <v>2800</v>
      </c>
      <c r="AB13" s="542">
        <f t="shared" si="578"/>
        <v>90</v>
      </c>
      <c r="AC13" s="543">
        <f>SUM(AD13:AJ13)</f>
        <v>16390</v>
      </c>
      <c r="AD13" s="541">
        <f>SUM(AD14:AD16)</f>
        <v>2250</v>
      </c>
      <c r="AE13" s="541">
        <f>SUM(AE14:AE16)</f>
        <v>2650</v>
      </c>
      <c r="AF13" s="541">
        <f t="shared" ref="AF13:AI13" si="579">SUM(AF14:AF16)</f>
        <v>2750</v>
      </c>
      <c r="AG13" s="541">
        <f t="shared" si="579"/>
        <v>2700</v>
      </c>
      <c r="AH13" s="541">
        <f t="shared" si="579"/>
        <v>3000</v>
      </c>
      <c r="AI13" s="541">
        <f t="shared" si="579"/>
        <v>2950</v>
      </c>
      <c r="AJ13" s="542">
        <v>90</v>
      </c>
      <c r="AK13" s="543">
        <f>SUM(AL13:AR13)</f>
        <v>16780</v>
      </c>
      <c r="AL13" s="541">
        <f>SUM(AL14:AL16)</f>
        <v>2350</v>
      </c>
      <c r="AM13" s="541">
        <f>SUM(AM14:AM16)</f>
        <v>2700</v>
      </c>
      <c r="AN13" s="541">
        <f t="shared" ref="AN13:AR13" si="580">SUM(AN14:AN16)</f>
        <v>2800</v>
      </c>
      <c r="AO13" s="541">
        <f t="shared" si="580"/>
        <v>2650</v>
      </c>
      <c r="AP13" s="541">
        <f t="shared" si="580"/>
        <v>3050</v>
      </c>
      <c r="AQ13" s="541">
        <f>SUM(AQ14:AQ16)</f>
        <v>3050</v>
      </c>
      <c r="AR13" s="542">
        <f t="shared" si="580"/>
        <v>180</v>
      </c>
      <c r="AS13" s="543">
        <f>SUM(AT13:AZ13)</f>
        <v>16750</v>
      </c>
      <c r="AT13" s="541">
        <f>SUM(AT14:AT16)</f>
        <v>2400</v>
      </c>
      <c r="AU13" s="541">
        <f>SUM(AU14:AU16)</f>
        <v>2700</v>
      </c>
      <c r="AV13" s="541">
        <f t="shared" ref="AV13:AZ13" si="581">SUM(AV14:AV16)</f>
        <v>2800</v>
      </c>
      <c r="AW13" s="541">
        <f t="shared" si="581"/>
        <v>2600</v>
      </c>
      <c r="AX13" s="541">
        <f t="shared" si="581"/>
        <v>3100</v>
      </c>
      <c r="AY13" s="541">
        <f t="shared" si="581"/>
        <v>2950</v>
      </c>
      <c r="AZ13" s="542">
        <f t="shared" si="581"/>
        <v>200</v>
      </c>
      <c r="BA13" s="543">
        <f>SUM(BB13:BH13)</f>
        <v>16150</v>
      </c>
      <c r="BB13" s="541">
        <f>SUM(BB14:BB16)</f>
        <v>2300</v>
      </c>
      <c r="BC13" s="541">
        <f>SUM(BC14:BC16)</f>
        <v>2600</v>
      </c>
      <c r="BD13" s="541">
        <f t="shared" ref="BD13:BH13" si="582">SUM(BD14:BD16)</f>
        <v>2600</v>
      </c>
      <c r="BE13" s="541">
        <f t="shared" si="582"/>
        <v>2500</v>
      </c>
      <c r="BF13" s="541">
        <f t="shared" si="582"/>
        <v>3050</v>
      </c>
      <c r="BG13" s="541">
        <f t="shared" si="582"/>
        <v>2900</v>
      </c>
      <c r="BH13" s="542">
        <f t="shared" si="582"/>
        <v>200</v>
      </c>
      <c r="BI13" s="543">
        <f>SUM(BJ13:BP13)</f>
        <v>16000</v>
      </c>
      <c r="BJ13" s="541">
        <f>SUM(BJ14:BJ16)</f>
        <v>2300</v>
      </c>
      <c r="BK13" s="541">
        <f>SUM(BK14:BK16)</f>
        <v>2550</v>
      </c>
      <c r="BL13" s="541">
        <f t="shared" ref="BL13:BP13" si="583">SUM(BL14:BL16)</f>
        <v>2500</v>
      </c>
      <c r="BM13" s="541">
        <f t="shared" si="583"/>
        <v>2500</v>
      </c>
      <c r="BN13" s="541">
        <f t="shared" si="583"/>
        <v>3050</v>
      </c>
      <c r="BO13" s="541">
        <f t="shared" si="583"/>
        <v>3000</v>
      </c>
      <c r="BP13" s="542">
        <f t="shared" si="583"/>
        <v>100</v>
      </c>
      <c r="BQ13" s="543">
        <f>SUM(BR13:BX13)</f>
        <v>15850</v>
      </c>
      <c r="BR13" s="541">
        <f>SUM(BR14:BR16)</f>
        <v>2450</v>
      </c>
      <c r="BS13" s="541">
        <f>SUM(BS14:BS16)</f>
        <v>2450</v>
      </c>
      <c r="BT13" s="541">
        <f t="shared" ref="BT13:BX13" si="584">SUM(BT14:BT16)</f>
        <v>2450</v>
      </c>
      <c r="BU13" s="541">
        <f t="shared" si="584"/>
        <v>2400</v>
      </c>
      <c r="BV13" s="541">
        <f t="shared" si="584"/>
        <v>3050</v>
      </c>
      <c r="BW13" s="541">
        <f t="shared" si="584"/>
        <v>2950</v>
      </c>
      <c r="BX13" s="542">
        <f t="shared" si="584"/>
        <v>100</v>
      </c>
      <c r="BY13" s="543">
        <f>SUM(BZ13:CF13)</f>
        <v>15350</v>
      </c>
      <c r="BZ13" s="541">
        <f>SUM(BZ14:BZ16)</f>
        <v>2300</v>
      </c>
      <c r="CA13" s="541">
        <f>SUM(CA14:CA16)</f>
        <v>2400</v>
      </c>
      <c r="CB13" s="541">
        <f t="shared" ref="CB13:CF13" si="585">SUM(CB14:CB16)</f>
        <v>2350</v>
      </c>
      <c r="CC13" s="541">
        <f t="shared" si="585"/>
        <v>2200</v>
      </c>
      <c r="CD13" s="541">
        <f t="shared" si="585"/>
        <v>3050</v>
      </c>
      <c r="CE13" s="541">
        <f t="shared" si="585"/>
        <v>2950</v>
      </c>
      <c r="CF13" s="542">
        <f t="shared" si="585"/>
        <v>100</v>
      </c>
      <c r="CG13" s="543">
        <f>SUM(CH13:CN13)</f>
        <v>15250</v>
      </c>
      <c r="CH13" s="541">
        <f>SUM(CH14:CH16)</f>
        <v>2350</v>
      </c>
      <c r="CI13" s="541">
        <f>SUM(CI14:CI16)</f>
        <v>2350</v>
      </c>
      <c r="CJ13" s="541">
        <f t="shared" ref="CJ13:CN13" si="586">SUM(CJ14:CJ16)</f>
        <v>2350</v>
      </c>
      <c r="CK13" s="541">
        <f t="shared" si="586"/>
        <v>2200</v>
      </c>
      <c r="CL13" s="541">
        <f t="shared" si="586"/>
        <v>2950</v>
      </c>
      <c r="CM13" s="541">
        <f t="shared" si="586"/>
        <v>2950</v>
      </c>
      <c r="CN13" s="542">
        <f t="shared" si="586"/>
        <v>100</v>
      </c>
      <c r="CO13" s="543">
        <f>SUM(CP13:CV13)</f>
        <v>15500</v>
      </c>
      <c r="CP13" s="541">
        <f>SUM(CP14:CP16)</f>
        <v>2350</v>
      </c>
      <c r="CQ13" s="541">
        <f>SUM(CQ14:CQ16)</f>
        <v>2350</v>
      </c>
      <c r="CR13" s="541">
        <f t="shared" ref="CR13:CV13" si="587">SUM(CR14:CR16)</f>
        <v>2400</v>
      </c>
      <c r="CS13" s="541">
        <f t="shared" si="587"/>
        <v>2250</v>
      </c>
      <c r="CT13" s="541">
        <f t="shared" si="587"/>
        <v>3150</v>
      </c>
      <c r="CU13" s="541">
        <f t="shared" si="587"/>
        <v>2900</v>
      </c>
      <c r="CV13" s="542">
        <f t="shared" si="587"/>
        <v>100</v>
      </c>
      <c r="CW13" s="543">
        <f>SUM(CX13:DD13)</f>
        <v>15600</v>
      </c>
      <c r="CX13" s="541">
        <f>SUM(CX14:CX16)</f>
        <v>2300</v>
      </c>
      <c r="CY13" s="541">
        <f>SUM(CY14:CY16)</f>
        <v>2500</v>
      </c>
      <c r="CZ13" s="541">
        <f t="shared" ref="CZ13:DD13" si="588">SUM(CZ14:CZ16)</f>
        <v>2450</v>
      </c>
      <c r="DA13" s="541">
        <f t="shared" si="588"/>
        <v>2300</v>
      </c>
      <c r="DB13" s="541">
        <f t="shared" si="588"/>
        <v>3100</v>
      </c>
      <c r="DC13" s="541">
        <f t="shared" si="588"/>
        <v>2850</v>
      </c>
      <c r="DD13" s="542">
        <f t="shared" si="588"/>
        <v>100</v>
      </c>
      <c r="DE13" s="543">
        <f>SUM(DF13:DL13)</f>
        <v>15700</v>
      </c>
      <c r="DF13" s="541">
        <f>SUM(DF14:DF16)</f>
        <v>2300</v>
      </c>
      <c r="DG13" s="541">
        <f>SUM(DG14:DG16)</f>
        <v>2450</v>
      </c>
      <c r="DH13" s="541">
        <f t="shared" ref="DH13:DL13" si="589">SUM(DH14:DH16)</f>
        <v>2450</v>
      </c>
      <c r="DI13" s="541">
        <f t="shared" si="589"/>
        <v>2450</v>
      </c>
      <c r="DJ13" s="541">
        <f t="shared" si="589"/>
        <v>3150</v>
      </c>
      <c r="DK13" s="541">
        <f t="shared" si="589"/>
        <v>2800</v>
      </c>
      <c r="DL13" s="542">
        <f t="shared" si="589"/>
        <v>100</v>
      </c>
      <c r="DM13" s="543">
        <f>SUM(DN13:DT13)</f>
        <v>16300</v>
      </c>
      <c r="DN13" s="541">
        <f>SUM(DN14:DN16)</f>
        <v>2350</v>
      </c>
      <c r="DO13" s="541">
        <f>SUM(DO14:DO16)</f>
        <v>2500</v>
      </c>
      <c r="DP13" s="541">
        <f t="shared" ref="DP13:DT13" si="590">SUM(DP14:DP16)</f>
        <v>2500</v>
      </c>
      <c r="DQ13" s="541">
        <f t="shared" si="590"/>
        <v>2500</v>
      </c>
      <c r="DR13" s="541">
        <f t="shared" si="590"/>
        <v>3100</v>
      </c>
      <c r="DS13" s="541">
        <f t="shared" si="590"/>
        <v>2850</v>
      </c>
      <c r="DT13" s="542">
        <f t="shared" si="590"/>
        <v>500</v>
      </c>
      <c r="DU13" s="543">
        <f>SUM(DV13:EB13)</f>
        <v>12300</v>
      </c>
      <c r="DV13" s="541">
        <f>SUM(DV14:DV16)</f>
        <v>0</v>
      </c>
      <c r="DW13" s="541">
        <f>SUM(DW14:DW16)</f>
        <v>1400</v>
      </c>
      <c r="DX13" s="541">
        <f t="shared" ref="DX13:EB13" si="591">SUM(DX14:DX16)</f>
        <v>2650</v>
      </c>
      <c r="DY13" s="541">
        <f t="shared" si="591"/>
        <v>2400</v>
      </c>
      <c r="DZ13" s="541">
        <f t="shared" si="591"/>
        <v>3000</v>
      </c>
      <c r="EA13" s="541">
        <f t="shared" si="591"/>
        <v>2750</v>
      </c>
      <c r="EB13" s="542">
        <f t="shared" si="591"/>
        <v>100</v>
      </c>
      <c r="EC13" s="543">
        <f>SUM(ED13:EJ13)</f>
        <v>15175</v>
      </c>
      <c r="ED13" s="541">
        <f>SUM(ED14:ED16)</f>
        <v>2250</v>
      </c>
      <c r="EE13" s="541">
        <f>SUM(EE14:EE16)</f>
        <v>2350</v>
      </c>
      <c r="EF13" s="541">
        <f t="shared" ref="EF13:EI13" si="592">SUM(EF14:EF16)</f>
        <v>2350</v>
      </c>
      <c r="EG13" s="541">
        <f t="shared" si="592"/>
        <v>2300</v>
      </c>
      <c r="EH13" s="541">
        <f t="shared" si="592"/>
        <v>3075</v>
      </c>
      <c r="EI13" s="541">
        <f t="shared" si="592"/>
        <v>2850</v>
      </c>
      <c r="EJ13" s="542">
        <f>SUM(EJ14:EJ16)</f>
        <v>0</v>
      </c>
      <c r="EK13" s="543">
        <f>SUM(EL13:ER13)</f>
        <v>16150</v>
      </c>
      <c r="EL13" s="541">
        <f>SUM(EL14:EL16)</f>
        <v>2400</v>
      </c>
      <c r="EM13" s="541">
        <f>SUM(EM14:EM16)</f>
        <v>2500</v>
      </c>
      <c r="EN13" s="541">
        <f t="shared" ref="EN13:ER13" si="593">SUM(EN14:EN16)</f>
        <v>2450</v>
      </c>
      <c r="EO13" s="541">
        <f t="shared" si="593"/>
        <v>2350</v>
      </c>
      <c r="EP13" s="541">
        <f t="shared" si="593"/>
        <v>3250</v>
      </c>
      <c r="EQ13" s="541">
        <f t="shared" si="593"/>
        <v>3100</v>
      </c>
      <c r="ER13" s="542">
        <f t="shared" si="593"/>
        <v>100</v>
      </c>
      <c r="ES13" s="543">
        <f>SUM(ET13:EZ13)</f>
        <v>16850</v>
      </c>
      <c r="ET13" s="541">
        <f>SUM(ET14:ET16)</f>
        <v>2450</v>
      </c>
      <c r="EU13" s="541">
        <f>SUM(EU14:EU16)</f>
        <v>2650</v>
      </c>
      <c r="EV13" s="541">
        <f t="shared" ref="EV13:EZ13" si="594">SUM(EV14:EV16)</f>
        <v>2650</v>
      </c>
      <c r="EW13" s="541">
        <f t="shared" si="594"/>
        <v>2550</v>
      </c>
      <c r="EX13" s="541">
        <f t="shared" si="594"/>
        <v>3350</v>
      </c>
      <c r="EY13" s="541">
        <f t="shared" si="594"/>
        <v>3100</v>
      </c>
      <c r="EZ13" s="542">
        <f t="shared" si="594"/>
        <v>100</v>
      </c>
      <c r="FA13" s="543">
        <f>SUM(FB13:FH13)</f>
        <v>16200</v>
      </c>
      <c r="FB13" s="541">
        <f>SUM(FB14:FB16)</f>
        <v>2450</v>
      </c>
      <c r="FC13" s="541">
        <f>SUM(FC14:FC16)</f>
        <v>2550</v>
      </c>
      <c r="FD13" s="541">
        <f t="shared" ref="FD13:FH13" si="595">SUM(FD14:FD16)</f>
        <v>2600</v>
      </c>
      <c r="FE13" s="541">
        <f t="shared" si="595"/>
        <v>2550</v>
      </c>
      <c r="FF13" s="541">
        <f t="shared" si="595"/>
        <v>3050</v>
      </c>
      <c r="FG13" s="541">
        <f t="shared" si="595"/>
        <v>2900</v>
      </c>
      <c r="FH13" s="542">
        <f t="shared" si="595"/>
        <v>100</v>
      </c>
      <c r="FI13" s="543">
        <f>SUM(FJ13:FP13)</f>
        <v>13100</v>
      </c>
      <c r="FJ13" s="541">
        <f>SUM(FJ14:FJ16)</f>
        <v>2250</v>
      </c>
      <c r="FK13" s="541">
        <f>SUM(FK14:FK16)</f>
        <v>2400</v>
      </c>
      <c r="FL13" s="541">
        <f t="shared" ref="FL13:FP13" si="596">SUM(FL14:FL16)</f>
        <v>2450</v>
      </c>
      <c r="FM13" s="541">
        <f t="shared" si="596"/>
        <v>0</v>
      </c>
      <c r="FN13" s="541">
        <f t="shared" si="596"/>
        <v>2650</v>
      </c>
      <c r="FO13" s="541">
        <f t="shared" si="596"/>
        <v>3250</v>
      </c>
      <c r="FP13" s="542">
        <f t="shared" si="596"/>
        <v>100</v>
      </c>
      <c r="FQ13" s="543">
        <f>SUM(FR13:FX13)</f>
        <v>16375</v>
      </c>
      <c r="FR13" s="541">
        <f>SUM(FR14:FR16)</f>
        <v>2450</v>
      </c>
      <c r="FS13" s="541">
        <f>SUM(FS14:FS16)</f>
        <v>2600</v>
      </c>
      <c r="FT13" s="541">
        <f t="shared" ref="FT13:FX13" si="597">SUM(FT14:FT16)</f>
        <v>2600</v>
      </c>
      <c r="FU13" s="541">
        <f t="shared" si="597"/>
        <v>2550</v>
      </c>
      <c r="FV13" s="541">
        <f t="shared" si="597"/>
        <v>3075</v>
      </c>
      <c r="FW13" s="541">
        <f t="shared" si="597"/>
        <v>2900</v>
      </c>
      <c r="FX13" s="542">
        <f t="shared" si="597"/>
        <v>200</v>
      </c>
      <c r="FY13" s="543">
        <f>SUM(FZ13:GF13)</f>
        <v>13475</v>
      </c>
      <c r="FZ13" s="541">
        <f>SUM(FZ14:FZ16)</f>
        <v>0</v>
      </c>
      <c r="GA13" s="541">
        <f>SUM(GA14:GA16)</f>
        <v>1800</v>
      </c>
      <c r="GB13" s="541">
        <f t="shared" ref="GB13:GF13" si="598">SUM(GB14:GB16)</f>
        <v>2950</v>
      </c>
      <c r="GC13" s="541">
        <f t="shared" si="598"/>
        <v>2450</v>
      </c>
      <c r="GD13" s="541">
        <f t="shared" si="598"/>
        <v>3200</v>
      </c>
      <c r="GE13" s="541">
        <f t="shared" si="598"/>
        <v>2975</v>
      </c>
      <c r="GF13" s="542">
        <f t="shared" si="598"/>
        <v>100</v>
      </c>
      <c r="GG13" s="543">
        <f>SUM(GH13:GN13)</f>
        <v>16400</v>
      </c>
      <c r="GH13" s="541">
        <f>SUM(GH14:GH16)</f>
        <v>2400</v>
      </c>
      <c r="GI13" s="541">
        <f>SUM(GI14:GI16)</f>
        <v>2600</v>
      </c>
      <c r="GJ13" s="541">
        <f t="shared" ref="GJ13:GN13" si="599">SUM(GJ14:GJ16)</f>
        <v>2600</v>
      </c>
      <c r="GK13" s="541">
        <f t="shared" si="599"/>
        <v>2500</v>
      </c>
      <c r="GL13" s="541">
        <f t="shared" si="599"/>
        <v>3200</v>
      </c>
      <c r="GM13" s="541">
        <f t="shared" si="599"/>
        <v>3000</v>
      </c>
      <c r="GN13" s="542">
        <f t="shared" si="599"/>
        <v>100</v>
      </c>
      <c r="GO13" s="543">
        <f>SUM(GP13:GV13)</f>
        <v>16325</v>
      </c>
      <c r="GP13" s="541">
        <f>SUM(GP14:GP16)</f>
        <v>2150</v>
      </c>
      <c r="GQ13" s="541">
        <f>SUM(GQ14:GQ16)</f>
        <v>2800</v>
      </c>
      <c r="GR13" s="541">
        <f t="shared" ref="GR13:GV13" si="600">SUM(GR14:GR16)</f>
        <v>2600</v>
      </c>
      <c r="GS13" s="541">
        <f t="shared" si="600"/>
        <v>2550</v>
      </c>
      <c r="GT13" s="541">
        <f t="shared" si="600"/>
        <v>3175</v>
      </c>
      <c r="GU13" s="541">
        <f t="shared" si="600"/>
        <v>2950</v>
      </c>
      <c r="GV13" s="542">
        <f t="shared" si="600"/>
        <v>100</v>
      </c>
      <c r="GW13" s="543">
        <f>SUM(GX13:HD13)</f>
        <v>15875</v>
      </c>
      <c r="GX13" s="541">
        <f>SUM(GX14:GX16)</f>
        <v>2325</v>
      </c>
      <c r="GY13" s="541">
        <f>SUM(GY14:GY16)</f>
        <v>2600</v>
      </c>
      <c r="GZ13" s="541">
        <f t="shared" ref="GZ13:HD13" si="601">SUM(GZ14:GZ16)</f>
        <v>2600</v>
      </c>
      <c r="HA13" s="541">
        <f t="shared" si="601"/>
        <v>2450</v>
      </c>
      <c r="HB13" s="541">
        <f t="shared" si="601"/>
        <v>3000</v>
      </c>
      <c r="HC13" s="541">
        <f t="shared" si="601"/>
        <v>2800</v>
      </c>
      <c r="HD13" s="542">
        <f t="shared" si="601"/>
        <v>100</v>
      </c>
      <c r="HE13" s="543">
        <f>SUM(HF13:HL13)</f>
        <v>14100</v>
      </c>
      <c r="HF13" s="541">
        <f>SUM(HF14:HF16)</f>
        <v>2100</v>
      </c>
      <c r="HG13" s="541">
        <f>SUM(HG14:HG16)</f>
        <v>2400</v>
      </c>
      <c r="HH13" s="541">
        <f t="shared" ref="HH13:HL13" si="602">SUM(HH14:HH16)</f>
        <v>2350</v>
      </c>
      <c r="HI13" s="541">
        <f t="shared" si="602"/>
        <v>2100</v>
      </c>
      <c r="HJ13" s="541">
        <f t="shared" si="602"/>
        <v>2700</v>
      </c>
      <c r="HK13" s="541">
        <f t="shared" si="602"/>
        <v>2450</v>
      </c>
      <c r="HL13" s="542">
        <f t="shared" si="602"/>
        <v>0</v>
      </c>
      <c r="HM13" s="543">
        <f>SUM(HN13:HT13)</f>
        <v>13300</v>
      </c>
      <c r="HN13" s="541">
        <f>SUM(HN14:HN16)</f>
        <v>2000</v>
      </c>
      <c r="HO13" s="541">
        <f>SUM(HO14:HO16)</f>
        <v>2200</v>
      </c>
      <c r="HP13" s="541">
        <f t="shared" ref="HP13:HT13" si="603">SUM(HP14:HP16)</f>
        <v>2150</v>
      </c>
      <c r="HQ13" s="541">
        <f t="shared" si="603"/>
        <v>2100</v>
      </c>
      <c r="HR13" s="541">
        <f t="shared" si="603"/>
        <v>2550</v>
      </c>
      <c r="HS13" s="541">
        <f t="shared" si="603"/>
        <v>2300</v>
      </c>
      <c r="HT13" s="542">
        <f t="shared" si="603"/>
        <v>0</v>
      </c>
      <c r="HU13" s="543">
        <f>SUM(HV13:IB13)</f>
        <v>11350</v>
      </c>
      <c r="HV13" s="541">
        <f>SUM(HV14:HV16)</f>
        <v>1900</v>
      </c>
      <c r="HW13" s="541">
        <f>SUM(HW14:HW16)</f>
        <v>2200</v>
      </c>
      <c r="HX13" s="541">
        <f t="shared" ref="HX13:IB13" si="604">SUM(HX14:HX16)</f>
        <v>2150</v>
      </c>
      <c r="HY13" s="541">
        <f t="shared" si="604"/>
        <v>0</v>
      </c>
      <c r="HZ13" s="541">
        <f t="shared" si="604"/>
        <v>2700</v>
      </c>
      <c r="IA13" s="541">
        <f t="shared" si="604"/>
        <v>2400</v>
      </c>
      <c r="IB13" s="542">
        <f t="shared" si="604"/>
        <v>0</v>
      </c>
      <c r="IC13" s="543">
        <f>SUM(ID13:IJ13)</f>
        <v>13075</v>
      </c>
      <c r="ID13" s="541">
        <f>SUM(ID14:ID16)</f>
        <v>1900</v>
      </c>
      <c r="IE13" s="541">
        <f>SUM(IE14:IE16)</f>
        <v>2225</v>
      </c>
      <c r="IF13" s="541">
        <f t="shared" ref="IF13:IJ13" si="605">SUM(IF14:IF16)</f>
        <v>2200</v>
      </c>
      <c r="IG13" s="541">
        <f t="shared" si="605"/>
        <v>2100</v>
      </c>
      <c r="IH13" s="541">
        <f t="shared" si="605"/>
        <v>2450</v>
      </c>
      <c r="II13" s="541">
        <f t="shared" si="605"/>
        <v>2200</v>
      </c>
      <c r="IJ13" s="542">
        <f t="shared" si="605"/>
        <v>0</v>
      </c>
      <c r="IK13" s="543">
        <f>SUM(IL13:IR13)</f>
        <v>13050</v>
      </c>
      <c r="IL13" s="541">
        <f>SUM(IL14:IL16)</f>
        <v>1950</v>
      </c>
      <c r="IM13" s="541">
        <f>SUM(IM14:IM16)</f>
        <v>2200</v>
      </c>
      <c r="IN13" s="541">
        <f t="shared" ref="IN13:IR13" si="606">SUM(IN14:IN16)</f>
        <v>2200</v>
      </c>
      <c r="IO13" s="541">
        <f t="shared" si="606"/>
        <v>2050</v>
      </c>
      <c r="IP13" s="541">
        <f t="shared" si="606"/>
        <v>2425</v>
      </c>
      <c r="IQ13" s="541">
        <f t="shared" si="606"/>
        <v>2225</v>
      </c>
      <c r="IR13" s="542">
        <f t="shared" si="606"/>
        <v>0</v>
      </c>
      <c r="IS13" s="543">
        <f>SUM(IT13:IZ13)</f>
        <v>12975</v>
      </c>
      <c r="IT13" s="541">
        <f>SUM(IT14:IT16)</f>
        <v>1975</v>
      </c>
      <c r="IU13" s="541">
        <f>SUM(IU14:IU16)</f>
        <v>2125</v>
      </c>
      <c r="IV13" s="541">
        <f t="shared" ref="IV13:IZ13" si="607">SUM(IV14:IV16)</f>
        <v>2125</v>
      </c>
      <c r="IW13" s="541">
        <f t="shared" si="607"/>
        <v>2100</v>
      </c>
      <c r="IX13" s="541">
        <f t="shared" si="607"/>
        <v>2400</v>
      </c>
      <c r="IY13" s="541">
        <f t="shared" si="607"/>
        <v>2250</v>
      </c>
      <c r="IZ13" s="542">
        <f t="shared" si="607"/>
        <v>0</v>
      </c>
      <c r="JA13" s="543">
        <f>SUM(JB13:JH13)</f>
        <v>11425</v>
      </c>
      <c r="JB13" s="541">
        <f>SUM(JB14:JB16)</f>
        <v>0</v>
      </c>
      <c r="JC13" s="541">
        <f>SUM(JC14:JC16)</f>
        <v>1800</v>
      </c>
      <c r="JD13" s="541">
        <f t="shared" ref="JD13:JH13" si="608">SUM(JD14:JD16)</f>
        <v>2400</v>
      </c>
      <c r="JE13" s="541">
        <f t="shared" si="608"/>
        <v>2225</v>
      </c>
      <c r="JF13" s="541">
        <f t="shared" si="608"/>
        <v>2625</v>
      </c>
      <c r="JG13" s="541">
        <f t="shared" si="608"/>
        <v>2375</v>
      </c>
      <c r="JH13" s="542">
        <f t="shared" si="608"/>
        <v>0</v>
      </c>
      <c r="JI13" s="543">
        <f>SUM(JJ13:JP13)</f>
        <v>15475</v>
      </c>
      <c r="JJ13" s="541">
        <f>SUM(JJ14:JJ16)</f>
        <v>2200</v>
      </c>
      <c r="JK13" s="541">
        <f>SUM(JK14:JK16)</f>
        <v>2400</v>
      </c>
      <c r="JL13" s="541">
        <f t="shared" ref="JL13:JP13" si="609">SUM(JL14:JL16)</f>
        <v>2400</v>
      </c>
      <c r="JM13" s="541">
        <f t="shared" si="609"/>
        <v>2375</v>
      </c>
      <c r="JN13" s="541">
        <f t="shared" si="609"/>
        <v>3200</v>
      </c>
      <c r="JO13" s="541">
        <f t="shared" si="609"/>
        <v>2900</v>
      </c>
      <c r="JP13" s="542">
        <f t="shared" si="609"/>
        <v>0</v>
      </c>
      <c r="JQ13" s="543">
        <f>SUM(JR13:JX13)</f>
        <v>16550</v>
      </c>
      <c r="JR13" s="541">
        <f>SUM(JR14:JR16)</f>
        <v>2400</v>
      </c>
      <c r="JS13" s="541">
        <f>SUM(JS14:JS16)</f>
        <v>2700</v>
      </c>
      <c r="JT13" s="541">
        <f t="shared" ref="JT13:JX13" si="610">SUM(JT14:JT16)</f>
        <v>2700</v>
      </c>
      <c r="JU13" s="541">
        <f t="shared" si="610"/>
        <v>2650</v>
      </c>
      <c r="JV13" s="541">
        <f t="shared" si="610"/>
        <v>3200</v>
      </c>
      <c r="JW13" s="541">
        <f t="shared" si="610"/>
        <v>2900</v>
      </c>
      <c r="JX13" s="542">
        <f t="shared" si="610"/>
        <v>0</v>
      </c>
      <c r="JY13" s="543">
        <f>SUM(JZ13:KF13)</f>
        <v>16975</v>
      </c>
      <c r="JZ13" s="541">
        <f>SUM(JZ14:JZ16)</f>
        <v>2450</v>
      </c>
      <c r="KA13" s="541">
        <f>SUM(KA14:KA16)</f>
        <v>2825</v>
      </c>
      <c r="KB13" s="541">
        <f t="shared" ref="KB13:KF13" si="611">SUM(KB14:KB16)</f>
        <v>2750</v>
      </c>
      <c r="KC13" s="541">
        <f t="shared" si="611"/>
        <v>2750</v>
      </c>
      <c r="KD13" s="541">
        <f t="shared" si="611"/>
        <v>3250</v>
      </c>
      <c r="KE13" s="541">
        <f t="shared" si="611"/>
        <v>2950</v>
      </c>
      <c r="KF13" s="542">
        <f t="shared" si="611"/>
        <v>0</v>
      </c>
      <c r="KG13" s="543">
        <f>SUM(KH13:KN13)</f>
        <v>16800</v>
      </c>
      <c r="KH13" s="541">
        <f>SUM(KH14:KH16)</f>
        <v>2500</v>
      </c>
      <c r="KI13" s="541">
        <f>SUM(KI14:KI16)</f>
        <v>2750</v>
      </c>
      <c r="KJ13" s="541">
        <f t="shared" ref="KJ13:KN13" si="612">SUM(KJ14:KJ16)</f>
        <v>2750</v>
      </c>
      <c r="KK13" s="541">
        <f t="shared" si="612"/>
        <v>2700</v>
      </c>
      <c r="KL13" s="541">
        <f t="shared" si="612"/>
        <v>3200</v>
      </c>
      <c r="KM13" s="541">
        <f t="shared" si="612"/>
        <v>2900</v>
      </c>
      <c r="KN13" s="542">
        <f t="shared" si="612"/>
        <v>0</v>
      </c>
      <c r="KO13" s="543">
        <f>SUM(KP13:KV13)</f>
        <v>16150</v>
      </c>
      <c r="KP13" s="541">
        <f>SUM(KP14:KP16)</f>
        <v>2500</v>
      </c>
      <c r="KQ13" s="541">
        <f>SUM(KQ14:KQ16)</f>
        <v>2500</v>
      </c>
      <c r="KR13" s="541">
        <f t="shared" ref="KR13:KV13" si="613">SUM(KR14:KR16)</f>
        <v>2550</v>
      </c>
      <c r="KS13" s="541">
        <f t="shared" si="613"/>
        <v>2700</v>
      </c>
      <c r="KT13" s="541">
        <f t="shared" si="613"/>
        <v>3000</v>
      </c>
      <c r="KU13" s="541">
        <f t="shared" si="613"/>
        <v>2900</v>
      </c>
      <c r="KV13" s="542">
        <f t="shared" si="613"/>
        <v>0</v>
      </c>
      <c r="KW13" s="543">
        <f>SUM(KX13:LD13)</f>
        <v>15950</v>
      </c>
      <c r="KX13" s="541">
        <f>SUM(KX14:KX16)</f>
        <v>2450</v>
      </c>
      <c r="KY13" s="541">
        <f>SUM(KY14:KY16)</f>
        <v>2550</v>
      </c>
      <c r="KZ13" s="541">
        <f t="shared" ref="KZ13:LD13" si="614">SUM(KZ14:KZ16)</f>
        <v>2600</v>
      </c>
      <c r="LA13" s="541">
        <f t="shared" si="614"/>
        <v>2550</v>
      </c>
      <c r="LB13" s="541">
        <f t="shared" si="614"/>
        <v>2975</v>
      </c>
      <c r="LC13" s="541">
        <f t="shared" si="614"/>
        <v>2825</v>
      </c>
      <c r="LD13" s="542">
        <f t="shared" si="614"/>
        <v>0</v>
      </c>
      <c r="LE13" s="543">
        <f>SUM(LF13:LL13)</f>
        <v>16325</v>
      </c>
      <c r="LF13" s="541">
        <f>SUM(LF14:LF16)</f>
        <v>2500</v>
      </c>
      <c r="LG13" s="541">
        <f>SUM(LG14:LG16)</f>
        <v>2625</v>
      </c>
      <c r="LH13" s="541">
        <f t="shared" ref="LH13:LL13" si="615">SUM(LH14:LH16)</f>
        <v>2775</v>
      </c>
      <c r="LI13" s="541">
        <f t="shared" si="615"/>
        <v>2600</v>
      </c>
      <c r="LJ13" s="541">
        <f t="shared" si="615"/>
        <v>3050</v>
      </c>
      <c r="LK13" s="541">
        <f t="shared" si="615"/>
        <v>2775</v>
      </c>
      <c r="LL13" s="542">
        <f t="shared" si="615"/>
        <v>0</v>
      </c>
      <c r="LM13" s="543">
        <f>SUM(LN13:LT13)</f>
        <v>16750</v>
      </c>
      <c r="LN13" s="541">
        <f>SUM(LN14:LN16)</f>
        <v>2600</v>
      </c>
      <c r="LO13" s="541">
        <f>SUM(LO14:LO16)</f>
        <v>2700</v>
      </c>
      <c r="LP13" s="541">
        <f t="shared" ref="LP13:LT13" si="616">SUM(LP14:LP16)</f>
        <v>2850</v>
      </c>
      <c r="LQ13" s="541">
        <f t="shared" si="616"/>
        <v>2600</v>
      </c>
      <c r="LR13" s="541">
        <f t="shared" si="616"/>
        <v>3100</v>
      </c>
      <c r="LS13" s="541">
        <f t="shared" si="616"/>
        <v>2900</v>
      </c>
      <c r="LT13" s="542">
        <f t="shared" si="616"/>
        <v>0</v>
      </c>
      <c r="LU13" s="543">
        <f>SUM(LV13:MB13)</f>
        <v>16725</v>
      </c>
      <c r="LV13" s="541">
        <f>SUM(LV14:LV16)</f>
        <v>2550</v>
      </c>
      <c r="LW13" s="541">
        <f>SUM(LW14:LW16)</f>
        <v>2700</v>
      </c>
      <c r="LX13" s="541">
        <f t="shared" ref="LX13:MB13" si="617">SUM(LX14:LX16)</f>
        <v>2650</v>
      </c>
      <c r="LY13" s="541">
        <f t="shared" si="617"/>
        <v>2525</v>
      </c>
      <c r="LZ13" s="541">
        <f t="shared" si="617"/>
        <v>3300</v>
      </c>
      <c r="MA13" s="541">
        <f t="shared" si="617"/>
        <v>3000</v>
      </c>
      <c r="MB13" s="542">
        <f t="shared" si="617"/>
        <v>0</v>
      </c>
      <c r="MC13" s="543">
        <f>SUM(MD13:MJ13)</f>
        <v>17125</v>
      </c>
      <c r="MD13" s="541">
        <f>SUM(MD14:MD16)</f>
        <v>2775</v>
      </c>
      <c r="ME13" s="541">
        <f>SUM(ME14:ME16)</f>
        <v>2850</v>
      </c>
      <c r="MF13" s="541">
        <f t="shared" ref="MF13:MJ13" si="618">SUM(MF14:MF16)</f>
        <v>2800</v>
      </c>
      <c r="MG13" s="541">
        <f t="shared" si="618"/>
        <v>2650</v>
      </c>
      <c r="MH13" s="541">
        <f t="shared" si="618"/>
        <v>3150</v>
      </c>
      <c r="MI13" s="541">
        <f t="shared" si="618"/>
        <v>2900</v>
      </c>
      <c r="MJ13" s="542">
        <f t="shared" si="618"/>
        <v>0</v>
      </c>
      <c r="MK13" s="543">
        <f>SUM(ML13:MR13)</f>
        <v>14650</v>
      </c>
      <c r="ML13" s="541">
        <f>SUM(ML14:ML16)</f>
        <v>2700</v>
      </c>
      <c r="MM13" s="541">
        <f>SUM(MM14:MM16)</f>
        <v>0</v>
      </c>
      <c r="MN13" s="541">
        <f t="shared" ref="MN13:MR13" si="619">SUM(MN14:MN16)</f>
        <v>2750</v>
      </c>
      <c r="MO13" s="541">
        <f t="shared" si="619"/>
        <v>2800</v>
      </c>
      <c r="MP13" s="541">
        <f t="shared" si="619"/>
        <v>3300</v>
      </c>
      <c r="MQ13" s="541">
        <f t="shared" si="619"/>
        <v>3100</v>
      </c>
      <c r="MR13" s="542">
        <f t="shared" si="619"/>
        <v>0</v>
      </c>
      <c r="MS13" s="543">
        <f>SUM(MT13:MZ13)</f>
        <v>14450</v>
      </c>
      <c r="MT13" s="541">
        <f>SUM(MT14:MT16)</f>
        <v>2750</v>
      </c>
      <c r="MU13" s="541">
        <f>SUM(MU14:MU16)</f>
        <v>3050</v>
      </c>
      <c r="MV13" s="541">
        <f t="shared" ref="MV13:MZ13" si="620">SUM(MV14:MV16)</f>
        <v>2700</v>
      </c>
      <c r="MW13" s="541">
        <f t="shared" si="620"/>
        <v>3200</v>
      </c>
      <c r="MX13" s="541">
        <f t="shared" si="620"/>
        <v>0</v>
      </c>
      <c r="MY13" s="541">
        <f t="shared" si="620"/>
        <v>2750</v>
      </c>
      <c r="MZ13" s="542">
        <f t="shared" si="620"/>
        <v>0</v>
      </c>
      <c r="NA13" s="543">
        <f>SUM(NB13:NH13)</f>
        <v>17200</v>
      </c>
      <c r="NB13" s="541">
        <f>SUM(NB14:NB16)</f>
        <v>2600</v>
      </c>
      <c r="NC13" s="541">
        <f>SUM(NC14:NC16)</f>
        <v>2950</v>
      </c>
      <c r="ND13" s="541">
        <f t="shared" ref="ND13:NH13" si="621">SUM(ND14:ND16)</f>
        <v>2850</v>
      </c>
      <c r="NE13" s="541">
        <f t="shared" si="621"/>
        <v>2700</v>
      </c>
      <c r="NF13" s="541">
        <f t="shared" si="621"/>
        <v>3200</v>
      </c>
      <c r="NG13" s="541">
        <f t="shared" si="621"/>
        <v>2900</v>
      </c>
      <c r="NH13" s="542">
        <f t="shared" si="621"/>
        <v>0</v>
      </c>
      <c r="NI13" s="543">
        <f>SUM(NJ13:NP13)</f>
        <v>20200</v>
      </c>
      <c r="NJ13" s="541">
        <f>SUM(NJ14:NJ16)</f>
        <v>2650</v>
      </c>
      <c r="NK13" s="541">
        <f>SUM(NK14:NK16)</f>
        <v>3450</v>
      </c>
      <c r="NL13" s="541">
        <f t="shared" ref="NL13:NP13" si="622">SUM(NL14:NL16)</f>
        <v>3450</v>
      </c>
      <c r="NM13" s="541">
        <f t="shared" si="622"/>
        <v>3450</v>
      </c>
      <c r="NN13" s="541">
        <f t="shared" si="622"/>
        <v>3700</v>
      </c>
      <c r="NO13" s="541">
        <f t="shared" si="622"/>
        <v>3500</v>
      </c>
      <c r="NP13" s="542">
        <f t="shared" si="622"/>
        <v>0</v>
      </c>
      <c r="NQ13" s="543">
        <f>SUM(NR13:NX13)</f>
        <v>20400</v>
      </c>
      <c r="NR13" s="541">
        <f>SUM(NR14:NR16)</f>
        <v>3150</v>
      </c>
      <c r="NS13" s="541">
        <f>SUM(NS14:NS16)</f>
        <v>3650</v>
      </c>
      <c r="NT13" s="541">
        <f t="shared" ref="NT13:NX13" si="623">SUM(NT14:NT16)</f>
        <v>3550</v>
      </c>
      <c r="NU13" s="541">
        <f t="shared" si="623"/>
        <v>3350</v>
      </c>
      <c r="NV13" s="541">
        <f t="shared" si="623"/>
        <v>3450</v>
      </c>
      <c r="NW13" s="541">
        <f t="shared" si="623"/>
        <v>3250</v>
      </c>
      <c r="NX13" s="542">
        <f t="shared" si="623"/>
        <v>0</v>
      </c>
      <c r="NY13" s="543">
        <f>SUM(NZ13:OF13)</f>
        <v>18200</v>
      </c>
      <c r="NZ13" s="541">
        <f>SUM(NZ14:NZ16)</f>
        <v>2750</v>
      </c>
      <c r="OA13" s="541">
        <f>SUM(OA14:OA16)</f>
        <v>3150</v>
      </c>
      <c r="OB13" s="541">
        <f t="shared" ref="OB13:OF13" si="624">SUM(OB14:OB16)</f>
        <v>3125</v>
      </c>
      <c r="OC13" s="541">
        <f t="shared" si="624"/>
        <v>2825</v>
      </c>
      <c r="OD13" s="541">
        <f t="shared" si="624"/>
        <v>3300</v>
      </c>
      <c r="OE13" s="541">
        <f t="shared" si="624"/>
        <v>3050</v>
      </c>
      <c r="OF13" s="542">
        <f t="shared" si="624"/>
        <v>0</v>
      </c>
      <c r="OG13" s="543">
        <f>SUM(OH13:ON13)</f>
        <v>17375</v>
      </c>
      <c r="OH13" s="541">
        <f>SUM(OH14:OH16)</f>
        <v>2700</v>
      </c>
      <c r="OI13" s="541">
        <f>SUM(OI14:OI16)</f>
        <v>2950</v>
      </c>
      <c r="OJ13" s="541">
        <f t="shared" ref="OJ13:ON13" si="625">SUM(OJ14:OJ16)</f>
        <v>2800</v>
      </c>
      <c r="OK13" s="541">
        <f t="shared" si="625"/>
        <v>2725</v>
      </c>
      <c r="OL13" s="541">
        <f t="shared" si="625"/>
        <v>3350</v>
      </c>
      <c r="OM13" s="541">
        <f t="shared" si="625"/>
        <v>2850</v>
      </c>
      <c r="ON13" s="542">
        <f t="shared" si="625"/>
        <v>0</v>
      </c>
      <c r="OO13" s="913">
        <f>SUM(OP13:OV13)</f>
        <v>21150</v>
      </c>
      <c r="OP13" s="541">
        <f>SUM(OP14:OP16)</f>
        <v>2650</v>
      </c>
      <c r="OQ13" s="541">
        <f>SUM(OQ14:OQ16)</f>
        <v>3400</v>
      </c>
      <c r="OR13" s="541">
        <f t="shared" ref="OR13:OV13" si="626">SUM(OR14:OR16)</f>
        <v>3400</v>
      </c>
      <c r="OS13" s="541">
        <f t="shared" si="626"/>
        <v>4050</v>
      </c>
      <c r="OT13" s="541">
        <f t="shared" si="626"/>
        <v>4375</v>
      </c>
      <c r="OU13" s="541">
        <f t="shared" si="626"/>
        <v>3275</v>
      </c>
      <c r="OV13" s="914">
        <f t="shared" si="626"/>
        <v>0</v>
      </c>
      <c r="OW13" s="543">
        <f>SUM(OX13:PD13)</f>
        <v>21200</v>
      </c>
      <c r="OX13" s="541">
        <f>SUM(OX14:OX16)</f>
        <v>2375</v>
      </c>
      <c r="OY13" s="541">
        <f>SUM(OY14:OY16)</f>
        <v>3500</v>
      </c>
      <c r="OZ13" s="541">
        <f t="shared" ref="OZ13:PD13" si="627">SUM(OZ14:OZ16)</f>
        <v>3575</v>
      </c>
      <c r="PA13" s="541">
        <f t="shared" si="627"/>
        <v>4025</v>
      </c>
      <c r="PB13" s="541">
        <f t="shared" si="627"/>
        <v>4575</v>
      </c>
      <c r="PC13" s="541">
        <f t="shared" si="627"/>
        <v>3150</v>
      </c>
      <c r="PD13" s="542">
        <f t="shared" si="627"/>
        <v>0</v>
      </c>
      <c r="PE13" s="543">
        <f>SUM(PF13:PL13)</f>
        <v>17750</v>
      </c>
      <c r="PF13" s="541">
        <f t="shared" ref="PF13:PL13" si="628">SUM(PF14:PF16)</f>
        <v>2375</v>
      </c>
      <c r="PG13" s="541">
        <f t="shared" si="628"/>
        <v>3075</v>
      </c>
      <c r="PH13" s="541">
        <f t="shared" si="628"/>
        <v>3050</v>
      </c>
      <c r="PI13" s="541">
        <f t="shared" si="628"/>
        <v>2850</v>
      </c>
      <c r="PJ13" s="541">
        <f t="shared" si="628"/>
        <v>3300</v>
      </c>
      <c r="PK13" s="541">
        <f t="shared" si="628"/>
        <v>3100</v>
      </c>
      <c r="PL13" s="542">
        <f t="shared" si="628"/>
        <v>0</v>
      </c>
    </row>
    <row r="14" spans="1:428" s="44" customFormat="1" ht="14.85" customHeight="1" x14ac:dyDescent="0.3">
      <c r="A14"/>
      <c r="B14" s="1021"/>
      <c r="C14" s="1016"/>
      <c r="D14" s="919" t="s">
        <v>208</v>
      </c>
      <c r="E14" s="917">
        <f t="shared" ref="E14:E16" si="629">SUM(F14:L14)</f>
        <v>4400</v>
      </c>
      <c r="F14" s="548">
        <f>F5</f>
        <v>700</v>
      </c>
      <c r="G14" s="544">
        <f t="shared" ref="G14:H14" si="630">G5</f>
        <v>750</v>
      </c>
      <c r="H14" s="544">
        <f t="shared" si="630"/>
        <v>650</v>
      </c>
      <c r="I14" s="545">
        <v>500</v>
      </c>
      <c r="J14" s="544">
        <v>900</v>
      </c>
      <c r="K14" s="544">
        <v>900</v>
      </c>
      <c r="L14" s="546"/>
      <c r="M14" s="547">
        <f t="shared" ref="M14:M16" si="631">SUM(N14:T14)</f>
        <v>4150</v>
      </c>
      <c r="N14" s="548">
        <f>N5</f>
        <v>650</v>
      </c>
      <c r="O14" s="544">
        <f t="shared" ref="O14:S14" si="632">O5</f>
        <v>550</v>
      </c>
      <c r="P14" s="544">
        <f t="shared" si="632"/>
        <v>550</v>
      </c>
      <c r="Q14" s="545">
        <f t="shared" si="632"/>
        <v>600</v>
      </c>
      <c r="R14" s="544">
        <f t="shared" si="632"/>
        <v>900</v>
      </c>
      <c r="S14" s="544">
        <f t="shared" si="632"/>
        <v>900</v>
      </c>
      <c r="T14" s="546"/>
      <c r="U14" s="547">
        <f t="shared" ref="U14:U16" si="633">SUM(V14:AB14)</f>
        <v>4450</v>
      </c>
      <c r="V14" s="548">
        <f>V5</f>
        <v>700</v>
      </c>
      <c r="W14" s="544">
        <f t="shared" ref="W14:AA14" si="634">W5</f>
        <v>600</v>
      </c>
      <c r="X14" s="544">
        <f t="shared" si="634"/>
        <v>650</v>
      </c>
      <c r="Y14" s="545">
        <f t="shared" si="634"/>
        <v>600</v>
      </c>
      <c r="Z14" s="544">
        <f t="shared" si="634"/>
        <v>950</v>
      </c>
      <c r="AA14" s="544">
        <f t="shared" si="634"/>
        <v>950</v>
      </c>
      <c r="AB14" s="546"/>
      <c r="AC14" s="547">
        <f t="shared" ref="AC14:AC16" si="635">SUM(AD14:AJ14)</f>
        <v>4350</v>
      </c>
      <c r="AD14" s="548">
        <f>AD5</f>
        <v>650</v>
      </c>
      <c r="AE14" s="544">
        <f t="shared" ref="AE14:AI14" si="636">AE5</f>
        <v>600</v>
      </c>
      <c r="AF14" s="544">
        <f t="shared" si="636"/>
        <v>600</v>
      </c>
      <c r="AG14" s="545">
        <f t="shared" si="636"/>
        <v>550</v>
      </c>
      <c r="AH14" s="544">
        <f t="shared" si="636"/>
        <v>900</v>
      </c>
      <c r="AI14" s="544">
        <f t="shared" si="636"/>
        <v>1050</v>
      </c>
      <c r="AJ14" s="546"/>
      <c r="AK14" s="547">
        <f t="shared" ref="AK14:AK16" si="637">SUM(AL14:AR14)</f>
        <v>4450</v>
      </c>
      <c r="AL14" s="548">
        <f>AL5</f>
        <v>750</v>
      </c>
      <c r="AM14" s="544">
        <f t="shared" ref="AM14:AQ14" si="638">AM5</f>
        <v>600</v>
      </c>
      <c r="AN14" s="544">
        <f t="shared" si="638"/>
        <v>600</v>
      </c>
      <c r="AO14" s="545">
        <f t="shared" si="638"/>
        <v>500</v>
      </c>
      <c r="AP14" s="544">
        <f t="shared" si="638"/>
        <v>950</v>
      </c>
      <c r="AQ14" s="544">
        <f t="shared" si="638"/>
        <v>1050</v>
      </c>
      <c r="AR14" s="546"/>
      <c r="AS14" s="547">
        <f t="shared" ref="AS14:AS16" si="639">SUM(AT14:AZ14)</f>
        <v>4350</v>
      </c>
      <c r="AT14" s="548">
        <f>AT5</f>
        <v>750</v>
      </c>
      <c r="AU14" s="544">
        <f t="shared" ref="AU14:AY14" si="640">AU5</f>
        <v>550</v>
      </c>
      <c r="AV14" s="544">
        <f t="shared" si="640"/>
        <v>600</v>
      </c>
      <c r="AW14" s="545">
        <f t="shared" si="640"/>
        <v>450</v>
      </c>
      <c r="AX14" s="544">
        <f t="shared" si="640"/>
        <v>1000</v>
      </c>
      <c r="AY14" s="544">
        <f t="shared" si="640"/>
        <v>1000</v>
      </c>
      <c r="AZ14" s="546"/>
      <c r="BA14" s="547">
        <f t="shared" ref="BA14:BA16" si="641">SUM(BB14:BH14)</f>
        <v>4250</v>
      </c>
      <c r="BB14" s="548">
        <f>BB5</f>
        <v>750</v>
      </c>
      <c r="BC14" s="544">
        <v>500</v>
      </c>
      <c r="BD14" s="544">
        <v>500</v>
      </c>
      <c r="BE14" s="545">
        <f t="shared" ref="BE14:BG14" si="642">BE5</f>
        <v>500</v>
      </c>
      <c r="BF14" s="544">
        <f t="shared" si="642"/>
        <v>1000</v>
      </c>
      <c r="BG14" s="544">
        <f t="shared" si="642"/>
        <v>1000</v>
      </c>
      <c r="BH14" s="546"/>
      <c r="BI14" s="547">
        <f t="shared" ref="BI14:BI16" si="643">SUM(BJ14:BP14)</f>
        <v>4250</v>
      </c>
      <c r="BJ14" s="548">
        <v>700</v>
      </c>
      <c r="BK14" s="544">
        <f t="shared" ref="BK14:BM14" si="644">BK5</f>
        <v>550</v>
      </c>
      <c r="BL14" s="544">
        <f t="shared" si="644"/>
        <v>500</v>
      </c>
      <c r="BM14" s="545">
        <f t="shared" si="644"/>
        <v>500</v>
      </c>
      <c r="BN14" s="544">
        <v>1000</v>
      </c>
      <c r="BO14" s="544">
        <v>1000</v>
      </c>
      <c r="BP14" s="546"/>
      <c r="BQ14" s="547">
        <f t="shared" ref="BQ14:BQ16" si="645">SUM(BR14:BX14)</f>
        <v>4350</v>
      </c>
      <c r="BR14" s="544">
        <f t="shared" ref="BR14:BW14" si="646">BR5</f>
        <v>800</v>
      </c>
      <c r="BS14" s="544">
        <f t="shared" si="646"/>
        <v>500</v>
      </c>
      <c r="BT14" s="544">
        <v>500</v>
      </c>
      <c r="BU14" s="545">
        <f t="shared" si="646"/>
        <v>450</v>
      </c>
      <c r="BV14" s="544">
        <f t="shared" si="646"/>
        <v>1100</v>
      </c>
      <c r="BW14" s="544">
        <f t="shared" si="646"/>
        <v>1000</v>
      </c>
      <c r="BX14" s="546"/>
      <c r="BY14" s="547">
        <f t="shared" ref="BY14:BY16" si="647">SUM(BZ14:CF14)</f>
        <v>4300</v>
      </c>
      <c r="BZ14" s="548">
        <f>BZ5</f>
        <v>750</v>
      </c>
      <c r="CA14" s="544">
        <f t="shared" ref="CA14:CE14" si="648">CA5</f>
        <v>500</v>
      </c>
      <c r="CB14" s="544">
        <f t="shared" si="648"/>
        <v>500</v>
      </c>
      <c r="CC14" s="545">
        <f t="shared" si="648"/>
        <v>450</v>
      </c>
      <c r="CD14" s="544">
        <f t="shared" si="648"/>
        <v>1050</v>
      </c>
      <c r="CE14" s="544">
        <f t="shared" si="648"/>
        <v>1050</v>
      </c>
      <c r="CF14" s="546"/>
      <c r="CG14" s="547">
        <f t="shared" ref="CG14:CG16" si="649">SUM(CH14:CN14)</f>
        <v>4150</v>
      </c>
      <c r="CH14" s="548">
        <f>CH5</f>
        <v>750</v>
      </c>
      <c r="CI14" s="544">
        <f>CI5</f>
        <v>450</v>
      </c>
      <c r="CJ14" s="544">
        <f>CJ5</f>
        <v>450</v>
      </c>
      <c r="CK14" s="545">
        <f>CK5</f>
        <v>450</v>
      </c>
      <c r="CL14" s="544">
        <v>1000</v>
      </c>
      <c r="CM14" s="544">
        <f>CM5</f>
        <v>1050</v>
      </c>
      <c r="CN14" s="544">
        <f t="shared" ref="CN14:EV14" si="650">CN5</f>
        <v>0</v>
      </c>
      <c r="CO14" s="544">
        <f t="shared" si="650"/>
        <v>4300</v>
      </c>
      <c r="CP14" s="544">
        <f t="shared" si="650"/>
        <v>750</v>
      </c>
      <c r="CQ14" s="544">
        <v>500</v>
      </c>
      <c r="CR14" s="544">
        <f t="shared" si="650"/>
        <v>500</v>
      </c>
      <c r="CS14" s="544">
        <v>450</v>
      </c>
      <c r="CT14" s="544">
        <f t="shared" si="650"/>
        <v>1000</v>
      </c>
      <c r="CU14" s="544">
        <f t="shared" si="650"/>
        <v>1050</v>
      </c>
      <c r="CV14" s="544">
        <f t="shared" si="650"/>
        <v>0</v>
      </c>
      <c r="CW14" s="544">
        <f t="shared" si="650"/>
        <v>4050</v>
      </c>
      <c r="CX14" s="544">
        <f t="shared" si="650"/>
        <v>700</v>
      </c>
      <c r="CY14" s="544">
        <f t="shared" si="650"/>
        <v>500</v>
      </c>
      <c r="CZ14" s="544">
        <f t="shared" si="650"/>
        <v>450</v>
      </c>
      <c r="DA14" s="544">
        <f t="shared" si="650"/>
        <v>450</v>
      </c>
      <c r="DB14" s="544">
        <f t="shared" si="650"/>
        <v>1000</v>
      </c>
      <c r="DC14" s="544">
        <f t="shared" si="650"/>
        <v>950</v>
      </c>
      <c r="DD14" s="544">
        <f t="shared" si="650"/>
        <v>0</v>
      </c>
      <c r="DE14" s="544">
        <f t="shared" si="650"/>
        <v>4300</v>
      </c>
      <c r="DF14" s="544">
        <f>DF5</f>
        <v>700</v>
      </c>
      <c r="DG14" s="544">
        <f t="shared" si="650"/>
        <v>500</v>
      </c>
      <c r="DH14" s="544">
        <f t="shared" si="650"/>
        <v>500</v>
      </c>
      <c r="DI14" s="544">
        <f t="shared" si="650"/>
        <v>500</v>
      </c>
      <c r="DJ14" s="544">
        <f t="shared" si="650"/>
        <v>1100</v>
      </c>
      <c r="DK14" s="544">
        <f t="shared" si="650"/>
        <v>1000</v>
      </c>
      <c r="DL14" s="544">
        <f t="shared" si="650"/>
        <v>0</v>
      </c>
      <c r="DM14" s="544">
        <f t="shared" si="650"/>
        <v>4400</v>
      </c>
      <c r="DN14" s="544">
        <v>750</v>
      </c>
      <c r="DO14" s="544">
        <f>DO5</f>
        <v>550</v>
      </c>
      <c r="DP14" s="544">
        <f>DP5</f>
        <v>550</v>
      </c>
      <c r="DQ14" s="544">
        <f>DQ5</f>
        <v>550</v>
      </c>
      <c r="DR14" s="544">
        <f>DR5</f>
        <v>1050</v>
      </c>
      <c r="DS14" s="544">
        <v>1000</v>
      </c>
      <c r="DT14" s="544">
        <f t="shared" ref="DT14:EB14" si="651">DT5</f>
        <v>0</v>
      </c>
      <c r="DU14" s="544">
        <f t="shared" si="651"/>
        <v>3700</v>
      </c>
      <c r="DV14" s="544">
        <f t="shared" si="651"/>
        <v>0</v>
      </c>
      <c r="DW14" s="544">
        <v>800</v>
      </c>
      <c r="DX14" s="544">
        <f t="shared" si="651"/>
        <v>550</v>
      </c>
      <c r="DY14" s="544">
        <f t="shared" si="651"/>
        <v>550</v>
      </c>
      <c r="DZ14" s="544">
        <f t="shared" si="651"/>
        <v>1000</v>
      </c>
      <c r="EA14" s="544">
        <f t="shared" si="651"/>
        <v>900</v>
      </c>
      <c r="EB14" s="544">
        <f t="shared" si="651"/>
        <v>0</v>
      </c>
      <c r="EC14" s="544">
        <f t="shared" si="650"/>
        <v>4100</v>
      </c>
      <c r="ED14" s="544">
        <f t="shared" si="650"/>
        <v>700</v>
      </c>
      <c r="EE14" s="544">
        <f t="shared" si="650"/>
        <v>500</v>
      </c>
      <c r="EF14" s="544">
        <f t="shared" si="650"/>
        <v>500</v>
      </c>
      <c r="EG14" s="544">
        <f t="shared" si="650"/>
        <v>500</v>
      </c>
      <c r="EH14" s="544">
        <f t="shared" si="650"/>
        <v>1000</v>
      </c>
      <c r="EI14" s="544">
        <f t="shared" si="650"/>
        <v>900</v>
      </c>
      <c r="EJ14" s="544">
        <f t="shared" si="650"/>
        <v>0</v>
      </c>
      <c r="EK14" s="544">
        <f t="shared" si="650"/>
        <v>4350</v>
      </c>
      <c r="EL14" s="544">
        <f t="shared" si="650"/>
        <v>700</v>
      </c>
      <c r="EM14" s="544">
        <f t="shared" si="650"/>
        <v>500</v>
      </c>
      <c r="EN14" s="544">
        <f t="shared" si="650"/>
        <v>550</v>
      </c>
      <c r="EO14" s="544">
        <f t="shared" si="650"/>
        <v>500</v>
      </c>
      <c r="EP14" s="544">
        <f t="shared" si="650"/>
        <v>1100</v>
      </c>
      <c r="EQ14" s="544">
        <f t="shared" si="650"/>
        <v>1000</v>
      </c>
      <c r="ER14" s="544">
        <f t="shared" si="650"/>
        <v>0</v>
      </c>
      <c r="ES14" s="544">
        <f t="shared" si="650"/>
        <v>4900</v>
      </c>
      <c r="ET14" s="544">
        <f t="shared" si="650"/>
        <v>750</v>
      </c>
      <c r="EU14" s="544">
        <f t="shared" si="650"/>
        <v>600</v>
      </c>
      <c r="EV14" s="544">
        <f t="shared" si="650"/>
        <v>600</v>
      </c>
      <c r="EW14" s="544">
        <v>550</v>
      </c>
      <c r="EX14" s="544">
        <f t="shared" ref="EX14:FD14" si="652">EX5</f>
        <v>1200</v>
      </c>
      <c r="EY14" s="544">
        <f t="shared" si="652"/>
        <v>1100</v>
      </c>
      <c r="EZ14" s="544">
        <f t="shared" si="652"/>
        <v>0</v>
      </c>
      <c r="FA14" s="544">
        <f t="shared" si="652"/>
        <v>4650</v>
      </c>
      <c r="FB14" s="544">
        <f t="shared" si="652"/>
        <v>800</v>
      </c>
      <c r="FC14" s="544">
        <f t="shared" si="652"/>
        <v>650</v>
      </c>
      <c r="FD14" s="544">
        <f t="shared" si="652"/>
        <v>650</v>
      </c>
      <c r="FE14" s="544">
        <v>650</v>
      </c>
      <c r="FF14" s="544">
        <f t="shared" ref="FF14:HQ14" si="653">FF5</f>
        <v>1050</v>
      </c>
      <c r="FG14" s="544">
        <v>1050</v>
      </c>
      <c r="FH14" s="544">
        <f t="shared" si="653"/>
        <v>0</v>
      </c>
      <c r="FI14" s="544">
        <f t="shared" si="653"/>
        <v>3800</v>
      </c>
      <c r="FJ14" s="544">
        <f t="shared" si="653"/>
        <v>700</v>
      </c>
      <c r="FK14" s="544">
        <f t="shared" si="653"/>
        <v>550</v>
      </c>
      <c r="FL14" s="544">
        <f t="shared" si="653"/>
        <v>600</v>
      </c>
      <c r="FM14" s="544">
        <f t="shared" si="653"/>
        <v>0</v>
      </c>
      <c r="FN14" s="544">
        <v>850</v>
      </c>
      <c r="FO14" s="544">
        <f t="shared" si="653"/>
        <v>1100</v>
      </c>
      <c r="FP14" s="544">
        <f t="shared" si="653"/>
        <v>0</v>
      </c>
      <c r="FQ14" s="544">
        <f t="shared" si="653"/>
        <v>4650</v>
      </c>
      <c r="FR14" s="544">
        <f t="shared" si="653"/>
        <v>800</v>
      </c>
      <c r="FS14" s="544">
        <f t="shared" si="653"/>
        <v>650</v>
      </c>
      <c r="FT14" s="544">
        <f t="shared" si="653"/>
        <v>650</v>
      </c>
      <c r="FU14" s="544">
        <f t="shared" si="653"/>
        <v>600</v>
      </c>
      <c r="FV14" s="544">
        <f t="shared" si="653"/>
        <v>1000</v>
      </c>
      <c r="FW14" s="544">
        <f t="shared" si="653"/>
        <v>950</v>
      </c>
      <c r="FX14" s="544">
        <f t="shared" si="653"/>
        <v>0</v>
      </c>
      <c r="FY14" s="544">
        <f t="shared" si="653"/>
        <v>4225</v>
      </c>
      <c r="FZ14" s="544">
        <f t="shared" si="653"/>
        <v>0</v>
      </c>
      <c r="GA14" s="544">
        <v>800</v>
      </c>
      <c r="GB14" s="544">
        <f t="shared" si="653"/>
        <v>800</v>
      </c>
      <c r="GC14" s="544">
        <f t="shared" si="653"/>
        <v>500</v>
      </c>
      <c r="GD14" s="544">
        <v>1150</v>
      </c>
      <c r="GE14" s="544">
        <f t="shared" si="653"/>
        <v>1075</v>
      </c>
      <c r="GF14" s="544">
        <f t="shared" si="653"/>
        <v>0</v>
      </c>
      <c r="GG14" s="544">
        <f t="shared" si="653"/>
        <v>4750</v>
      </c>
      <c r="GH14" s="544">
        <f t="shared" si="653"/>
        <v>750</v>
      </c>
      <c r="GI14" s="544">
        <f t="shared" si="653"/>
        <v>650</v>
      </c>
      <c r="GJ14" s="544">
        <f t="shared" si="653"/>
        <v>650</v>
      </c>
      <c r="GK14" s="544">
        <f t="shared" si="653"/>
        <v>600</v>
      </c>
      <c r="GL14" s="544">
        <f t="shared" si="653"/>
        <v>1100</v>
      </c>
      <c r="GM14" s="544">
        <v>1050</v>
      </c>
      <c r="GN14" s="544">
        <f t="shared" si="653"/>
        <v>0</v>
      </c>
      <c r="GO14" s="544">
        <f t="shared" si="653"/>
        <v>4400</v>
      </c>
      <c r="GP14" s="544">
        <v>500</v>
      </c>
      <c r="GQ14" s="544">
        <f>GQ5</f>
        <v>750</v>
      </c>
      <c r="GR14" s="544">
        <f t="shared" si="653"/>
        <v>600</v>
      </c>
      <c r="GS14" s="544">
        <f t="shared" si="653"/>
        <v>600</v>
      </c>
      <c r="GT14" s="544">
        <f t="shared" si="653"/>
        <v>1075</v>
      </c>
      <c r="GU14" s="544">
        <f t="shared" si="653"/>
        <v>1000</v>
      </c>
      <c r="GV14" s="544">
        <f t="shared" si="653"/>
        <v>0</v>
      </c>
      <c r="GW14" s="544">
        <f t="shared" si="653"/>
        <v>4475</v>
      </c>
      <c r="GX14" s="544">
        <f>GX5</f>
        <v>675</v>
      </c>
      <c r="GY14" s="544">
        <f t="shared" si="653"/>
        <v>600</v>
      </c>
      <c r="GZ14" s="544">
        <f t="shared" si="653"/>
        <v>600</v>
      </c>
      <c r="HA14" s="544">
        <f t="shared" si="653"/>
        <v>600</v>
      </c>
      <c r="HB14" s="544">
        <f t="shared" si="653"/>
        <v>1050</v>
      </c>
      <c r="HC14" s="544">
        <f t="shared" si="653"/>
        <v>950</v>
      </c>
      <c r="HD14" s="544">
        <f t="shared" si="653"/>
        <v>0</v>
      </c>
      <c r="HE14" s="544">
        <f t="shared" si="653"/>
        <v>3600</v>
      </c>
      <c r="HF14" s="544">
        <f t="shared" si="653"/>
        <v>550</v>
      </c>
      <c r="HG14" s="544">
        <f t="shared" si="653"/>
        <v>500</v>
      </c>
      <c r="HH14" s="544">
        <f t="shared" si="653"/>
        <v>500</v>
      </c>
      <c r="HI14" s="544">
        <f t="shared" si="653"/>
        <v>450</v>
      </c>
      <c r="HJ14" s="544">
        <f t="shared" si="653"/>
        <v>850</v>
      </c>
      <c r="HK14" s="544">
        <f t="shared" si="653"/>
        <v>750</v>
      </c>
      <c r="HL14" s="544">
        <f t="shared" si="653"/>
        <v>0</v>
      </c>
      <c r="HM14" s="544">
        <f t="shared" si="653"/>
        <v>3350</v>
      </c>
      <c r="HN14" s="544">
        <f t="shared" si="653"/>
        <v>500</v>
      </c>
      <c r="HO14" s="544">
        <f t="shared" si="653"/>
        <v>500</v>
      </c>
      <c r="HP14" s="544">
        <f t="shared" si="653"/>
        <v>450</v>
      </c>
      <c r="HQ14" s="544">
        <f t="shared" si="653"/>
        <v>450</v>
      </c>
      <c r="HR14" s="544">
        <f t="shared" ref="HR14:KC14" si="654">HR5</f>
        <v>750</v>
      </c>
      <c r="HS14" s="544">
        <f t="shared" si="654"/>
        <v>700</v>
      </c>
      <c r="HT14" s="544">
        <f t="shared" si="654"/>
        <v>0</v>
      </c>
      <c r="HU14" s="544">
        <f t="shared" si="654"/>
        <v>3050</v>
      </c>
      <c r="HV14" s="544">
        <f t="shared" si="654"/>
        <v>450</v>
      </c>
      <c r="HW14" s="544">
        <f t="shared" si="654"/>
        <v>450</v>
      </c>
      <c r="HX14" s="544">
        <f t="shared" si="654"/>
        <v>500</v>
      </c>
      <c r="HY14" s="544">
        <f t="shared" si="654"/>
        <v>0</v>
      </c>
      <c r="HZ14" s="544">
        <f t="shared" si="654"/>
        <v>900</v>
      </c>
      <c r="IA14" s="544">
        <v>750</v>
      </c>
      <c r="IB14" s="544">
        <f t="shared" si="654"/>
        <v>0</v>
      </c>
      <c r="IC14" s="544">
        <f t="shared" si="654"/>
        <v>3150</v>
      </c>
      <c r="ID14" s="544">
        <f t="shared" si="654"/>
        <v>450</v>
      </c>
      <c r="IE14" s="544">
        <f t="shared" si="654"/>
        <v>450</v>
      </c>
      <c r="IF14" s="544">
        <f t="shared" si="654"/>
        <v>450</v>
      </c>
      <c r="IG14" s="544">
        <f t="shared" si="654"/>
        <v>450</v>
      </c>
      <c r="IH14" s="544">
        <f t="shared" si="654"/>
        <v>700</v>
      </c>
      <c r="II14" s="544">
        <f t="shared" si="654"/>
        <v>650</v>
      </c>
      <c r="IJ14" s="544">
        <f t="shared" si="654"/>
        <v>0</v>
      </c>
      <c r="IK14" s="544">
        <f t="shared" si="654"/>
        <v>3425</v>
      </c>
      <c r="IL14" s="544">
        <f t="shared" si="654"/>
        <v>500</v>
      </c>
      <c r="IM14" s="544">
        <f t="shared" si="654"/>
        <v>450</v>
      </c>
      <c r="IN14" s="544">
        <f t="shared" si="654"/>
        <v>450</v>
      </c>
      <c r="IO14" s="544">
        <f t="shared" si="654"/>
        <v>500</v>
      </c>
      <c r="IP14" s="544">
        <f t="shared" si="654"/>
        <v>800</v>
      </c>
      <c r="IQ14" s="544">
        <f t="shared" si="654"/>
        <v>725</v>
      </c>
      <c r="IR14" s="544">
        <f t="shared" si="654"/>
        <v>0</v>
      </c>
      <c r="IS14" s="544">
        <f t="shared" si="654"/>
        <v>3300</v>
      </c>
      <c r="IT14" s="544">
        <f t="shared" si="654"/>
        <v>525</v>
      </c>
      <c r="IU14" s="544">
        <f t="shared" si="654"/>
        <v>475</v>
      </c>
      <c r="IV14" s="544">
        <f t="shared" si="654"/>
        <v>475</v>
      </c>
      <c r="IW14" s="544">
        <v>450</v>
      </c>
      <c r="IX14" s="544">
        <f t="shared" si="654"/>
        <v>750</v>
      </c>
      <c r="IY14" s="544">
        <v>700</v>
      </c>
      <c r="IZ14" s="544">
        <f t="shared" si="654"/>
        <v>0</v>
      </c>
      <c r="JA14" s="544">
        <f t="shared" si="654"/>
        <v>3425</v>
      </c>
      <c r="JB14" s="544">
        <f t="shared" si="654"/>
        <v>0</v>
      </c>
      <c r="JC14" s="544">
        <f t="shared" si="654"/>
        <v>800</v>
      </c>
      <c r="JD14" s="544">
        <f t="shared" si="654"/>
        <v>550</v>
      </c>
      <c r="JE14" s="544">
        <f t="shared" si="654"/>
        <v>475</v>
      </c>
      <c r="JF14" s="544">
        <f t="shared" si="654"/>
        <v>825</v>
      </c>
      <c r="JG14" s="544">
        <f t="shared" si="654"/>
        <v>775</v>
      </c>
      <c r="JH14" s="544">
        <f t="shared" si="654"/>
        <v>0</v>
      </c>
      <c r="JI14" s="544">
        <f t="shared" si="654"/>
        <v>4350</v>
      </c>
      <c r="JJ14" s="544">
        <f t="shared" si="654"/>
        <v>650</v>
      </c>
      <c r="JK14" s="544">
        <v>550</v>
      </c>
      <c r="JL14" s="544">
        <v>550</v>
      </c>
      <c r="JM14" s="544">
        <v>550</v>
      </c>
      <c r="JN14" s="544">
        <f t="shared" si="654"/>
        <v>1100</v>
      </c>
      <c r="JO14" s="544">
        <f t="shared" si="654"/>
        <v>1050</v>
      </c>
      <c r="JP14" s="544">
        <f t="shared" si="654"/>
        <v>0</v>
      </c>
      <c r="JQ14" s="544">
        <f t="shared" si="654"/>
        <v>4850</v>
      </c>
      <c r="JR14" s="544">
        <f t="shared" si="654"/>
        <v>700</v>
      </c>
      <c r="JS14" s="544">
        <f t="shared" si="654"/>
        <v>650</v>
      </c>
      <c r="JT14" s="544">
        <f t="shared" si="654"/>
        <v>650</v>
      </c>
      <c r="JU14" s="544">
        <f t="shared" si="654"/>
        <v>650</v>
      </c>
      <c r="JV14" s="544">
        <v>1100</v>
      </c>
      <c r="JW14" s="544">
        <v>1000</v>
      </c>
      <c r="JX14" s="544">
        <f t="shared" si="654"/>
        <v>0</v>
      </c>
      <c r="JY14" s="544">
        <f t="shared" si="654"/>
        <v>4975</v>
      </c>
      <c r="JZ14" s="544">
        <f t="shared" si="654"/>
        <v>750</v>
      </c>
      <c r="KA14" s="544">
        <f t="shared" si="654"/>
        <v>675</v>
      </c>
      <c r="KB14" s="544">
        <f t="shared" si="654"/>
        <v>700</v>
      </c>
      <c r="KC14" s="544">
        <f t="shared" si="654"/>
        <v>650</v>
      </c>
      <c r="KD14" s="544">
        <f t="shared" ref="KD14:MO14" si="655">KD5</f>
        <v>1150</v>
      </c>
      <c r="KE14" s="544">
        <f t="shared" si="655"/>
        <v>1050</v>
      </c>
      <c r="KF14" s="544">
        <f t="shared" si="655"/>
        <v>0</v>
      </c>
      <c r="KG14" s="544">
        <f t="shared" si="655"/>
        <v>4850</v>
      </c>
      <c r="KH14" s="544">
        <f t="shared" si="655"/>
        <v>750</v>
      </c>
      <c r="KI14" s="544">
        <f t="shared" si="655"/>
        <v>700</v>
      </c>
      <c r="KJ14" s="544">
        <f t="shared" si="655"/>
        <v>700</v>
      </c>
      <c r="KK14" s="544">
        <f t="shared" si="655"/>
        <v>650</v>
      </c>
      <c r="KL14" s="544">
        <f t="shared" si="655"/>
        <v>1050</v>
      </c>
      <c r="KM14" s="544">
        <f t="shared" si="655"/>
        <v>1000</v>
      </c>
      <c r="KN14" s="544">
        <f t="shared" si="655"/>
        <v>0</v>
      </c>
      <c r="KO14" s="544">
        <f t="shared" si="655"/>
        <v>4650</v>
      </c>
      <c r="KP14" s="544">
        <f t="shared" ref="KP14:KU14" si="656">KP5</f>
        <v>750</v>
      </c>
      <c r="KQ14" s="544">
        <f t="shared" si="656"/>
        <v>600</v>
      </c>
      <c r="KR14" s="544">
        <f t="shared" si="656"/>
        <v>650</v>
      </c>
      <c r="KS14" s="544">
        <f t="shared" si="656"/>
        <v>700</v>
      </c>
      <c r="KT14" s="544">
        <f t="shared" si="656"/>
        <v>950</v>
      </c>
      <c r="KU14" s="544">
        <f t="shared" si="656"/>
        <v>1000</v>
      </c>
      <c r="KV14" s="544">
        <f t="shared" si="655"/>
        <v>0</v>
      </c>
      <c r="KW14" s="544">
        <f t="shared" si="655"/>
        <v>4400</v>
      </c>
      <c r="KX14" s="544">
        <f t="shared" ref="KX14:LC14" si="657">KX5</f>
        <v>700</v>
      </c>
      <c r="KY14" s="544">
        <f t="shared" si="657"/>
        <v>550</v>
      </c>
      <c r="KZ14" s="544">
        <f t="shared" si="657"/>
        <v>600</v>
      </c>
      <c r="LA14" s="544">
        <v>650</v>
      </c>
      <c r="LB14" s="544">
        <f t="shared" si="657"/>
        <v>975</v>
      </c>
      <c r="LC14" s="544">
        <f t="shared" si="657"/>
        <v>925</v>
      </c>
      <c r="LD14" s="544">
        <f t="shared" si="655"/>
        <v>0</v>
      </c>
      <c r="LE14" s="544">
        <f t="shared" si="655"/>
        <v>4700</v>
      </c>
      <c r="LF14" s="544">
        <f t="shared" si="655"/>
        <v>750</v>
      </c>
      <c r="LG14" s="544">
        <f t="shared" si="655"/>
        <v>625</v>
      </c>
      <c r="LH14" s="544">
        <f t="shared" si="655"/>
        <v>725</v>
      </c>
      <c r="LI14" s="544">
        <v>650</v>
      </c>
      <c r="LJ14" s="544">
        <f t="shared" si="655"/>
        <v>1025</v>
      </c>
      <c r="LK14" s="544">
        <f t="shared" si="655"/>
        <v>925</v>
      </c>
      <c r="LL14" s="544">
        <f t="shared" si="655"/>
        <v>0</v>
      </c>
      <c r="LM14" s="544">
        <f t="shared" si="655"/>
        <v>4650</v>
      </c>
      <c r="LN14" s="544">
        <f t="shared" si="655"/>
        <v>750</v>
      </c>
      <c r="LO14" s="544">
        <f t="shared" si="655"/>
        <v>650</v>
      </c>
      <c r="LP14" s="544">
        <f t="shared" si="655"/>
        <v>750</v>
      </c>
      <c r="LQ14" s="544">
        <f t="shared" si="655"/>
        <v>600</v>
      </c>
      <c r="LR14" s="544">
        <f t="shared" si="655"/>
        <v>1000</v>
      </c>
      <c r="LS14" s="544">
        <f t="shared" si="655"/>
        <v>900</v>
      </c>
      <c r="LT14" s="544">
        <f t="shared" si="655"/>
        <v>0</v>
      </c>
      <c r="LU14" s="544">
        <f t="shared" si="655"/>
        <v>4575</v>
      </c>
      <c r="LV14" s="544">
        <f>LV5</f>
        <v>700</v>
      </c>
      <c r="LW14" s="544">
        <f t="shared" si="655"/>
        <v>600</v>
      </c>
      <c r="LX14" s="544">
        <f t="shared" si="655"/>
        <v>600</v>
      </c>
      <c r="LY14" s="544">
        <f t="shared" si="655"/>
        <v>575</v>
      </c>
      <c r="LZ14" s="544">
        <f t="shared" si="655"/>
        <v>1100</v>
      </c>
      <c r="MA14" s="544">
        <f t="shared" si="655"/>
        <v>1000</v>
      </c>
      <c r="MB14" s="544">
        <f t="shared" si="655"/>
        <v>0</v>
      </c>
      <c r="MC14" s="544">
        <f t="shared" si="655"/>
        <v>4550</v>
      </c>
      <c r="MD14" s="544">
        <f t="shared" si="655"/>
        <v>800</v>
      </c>
      <c r="ME14" s="544">
        <v>700</v>
      </c>
      <c r="MF14" s="544">
        <f t="shared" si="655"/>
        <v>650</v>
      </c>
      <c r="MG14" s="544">
        <f t="shared" si="655"/>
        <v>600</v>
      </c>
      <c r="MH14" s="544">
        <f t="shared" si="655"/>
        <v>950</v>
      </c>
      <c r="MI14" s="544">
        <f t="shared" si="655"/>
        <v>900</v>
      </c>
      <c r="MJ14" s="544">
        <f t="shared" si="655"/>
        <v>0</v>
      </c>
      <c r="MK14" s="544">
        <f t="shared" si="655"/>
        <v>4300</v>
      </c>
      <c r="ML14" s="544">
        <f t="shared" si="655"/>
        <v>800</v>
      </c>
      <c r="MM14" s="544">
        <f t="shared" si="655"/>
        <v>0</v>
      </c>
      <c r="MN14" s="544">
        <v>800</v>
      </c>
      <c r="MO14" s="544">
        <f t="shared" si="655"/>
        <v>650</v>
      </c>
      <c r="MP14" s="544">
        <f t="shared" ref="MP14:OW14" si="658">MP5</f>
        <v>1100</v>
      </c>
      <c r="MQ14" s="544">
        <f t="shared" si="658"/>
        <v>1000</v>
      </c>
      <c r="MR14" s="544">
        <f t="shared" si="658"/>
        <v>0</v>
      </c>
      <c r="MS14" s="544">
        <f t="shared" si="658"/>
        <v>4075</v>
      </c>
      <c r="MT14" s="544">
        <v>800</v>
      </c>
      <c r="MU14" s="544">
        <v>800</v>
      </c>
      <c r="MV14" s="908">
        <v>400</v>
      </c>
      <c r="MW14" s="909">
        <v>900</v>
      </c>
      <c r="MX14" s="544">
        <f t="shared" si="658"/>
        <v>0</v>
      </c>
      <c r="MY14" s="909">
        <v>1000</v>
      </c>
      <c r="MZ14" s="544">
        <f t="shared" si="658"/>
        <v>0</v>
      </c>
      <c r="NA14" s="544">
        <f t="shared" si="658"/>
        <v>4500</v>
      </c>
      <c r="NB14" s="544">
        <v>700</v>
      </c>
      <c r="NC14" s="544">
        <v>650</v>
      </c>
      <c r="ND14" s="544">
        <v>650</v>
      </c>
      <c r="NE14" s="544">
        <v>600</v>
      </c>
      <c r="NF14" s="544">
        <v>1000</v>
      </c>
      <c r="NG14" s="544">
        <v>900</v>
      </c>
      <c r="NH14" s="544">
        <f t="shared" si="658"/>
        <v>0</v>
      </c>
      <c r="NI14" s="544">
        <f t="shared" si="658"/>
        <v>6125</v>
      </c>
      <c r="NJ14" s="544">
        <v>750</v>
      </c>
      <c r="NK14" s="544">
        <v>1000</v>
      </c>
      <c r="NL14" s="544">
        <v>1000</v>
      </c>
      <c r="NM14" s="544">
        <v>1000</v>
      </c>
      <c r="NN14" s="544">
        <v>1250</v>
      </c>
      <c r="NO14" s="544">
        <v>1150</v>
      </c>
      <c r="NP14" s="544">
        <f t="shared" si="658"/>
        <v>0</v>
      </c>
      <c r="NQ14" s="544">
        <f t="shared" si="658"/>
        <v>6325</v>
      </c>
      <c r="NR14" s="544">
        <v>1000</v>
      </c>
      <c r="NS14" s="544">
        <v>1150</v>
      </c>
      <c r="NT14" s="544">
        <v>1050</v>
      </c>
      <c r="NU14" s="544">
        <v>1000</v>
      </c>
      <c r="NV14" s="544">
        <v>1100</v>
      </c>
      <c r="NW14" s="544">
        <v>1000</v>
      </c>
      <c r="NX14" s="544">
        <f t="shared" si="658"/>
        <v>0</v>
      </c>
      <c r="NY14" s="544">
        <f t="shared" si="658"/>
        <v>4775</v>
      </c>
      <c r="NZ14" s="544">
        <v>750</v>
      </c>
      <c r="OA14" s="544">
        <v>750</v>
      </c>
      <c r="OB14" s="544">
        <v>725</v>
      </c>
      <c r="OC14" s="544">
        <v>625</v>
      </c>
      <c r="OD14" s="544">
        <v>1000</v>
      </c>
      <c r="OE14" s="544">
        <v>950</v>
      </c>
      <c r="OF14" s="912">
        <f t="shared" si="658"/>
        <v>0</v>
      </c>
      <c r="OG14" s="916">
        <f t="shared" si="658"/>
        <v>4780</v>
      </c>
      <c r="OH14" s="548">
        <v>750</v>
      </c>
      <c r="OI14" s="544">
        <v>700</v>
      </c>
      <c r="OJ14" s="544">
        <v>650</v>
      </c>
      <c r="OK14" s="544">
        <v>575</v>
      </c>
      <c r="OL14" s="544">
        <v>1150</v>
      </c>
      <c r="OM14" s="544">
        <v>1000</v>
      </c>
      <c r="ON14" s="912">
        <f t="shared" si="658"/>
        <v>0</v>
      </c>
      <c r="OO14" s="547">
        <f>OO5</f>
        <v>8000</v>
      </c>
      <c r="OP14" s="545">
        <v>750</v>
      </c>
      <c r="OQ14" s="544">
        <v>900</v>
      </c>
      <c r="OR14" s="544">
        <v>900</v>
      </c>
      <c r="OS14" s="544">
        <v>1550</v>
      </c>
      <c r="OT14" s="544">
        <v>1925</v>
      </c>
      <c r="OU14" s="912">
        <v>1975</v>
      </c>
      <c r="OV14" s="546">
        <f t="shared" si="658"/>
        <v>0</v>
      </c>
      <c r="OW14" s="915">
        <f t="shared" si="658"/>
        <v>7525</v>
      </c>
      <c r="OX14" s="548">
        <v>800</v>
      </c>
      <c r="OY14" s="544">
        <v>900</v>
      </c>
      <c r="OZ14" s="544">
        <v>950</v>
      </c>
      <c r="PA14" s="544">
        <v>1400</v>
      </c>
      <c r="PB14" s="544">
        <v>1950</v>
      </c>
      <c r="PC14" s="544">
        <v>1850</v>
      </c>
      <c r="PD14" s="544">
        <f t="shared" ref="PD14" si="659">PD5</f>
        <v>0</v>
      </c>
      <c r="PE14" s="915">
        <f>PE5</f>
        <v>4650</v>
      </c>
      <c r="PF14" s="548">
        <v>800</v>
      </c>
      <c r="PG14" s="544">
        <v>675</v>
      </c>
      <c r="PH14" s="544">
        <v>650</v>
      </c>
      <c r="PI14" s="544">
        <v>600</v>
      </c>
      <c r="PJ14" s="544">
        <v>1000</v>
      </c>
      <c r="PK14" s="544">
        <v>950</v>
      </c>
      <c r="PL14" s="544">
        <f>PL5</f>
        <v>0</v>
      </c>
    </row>
    <row r="15" spans="1:428" s="44" customFormat="1" x14ac:dyDescent="0.3">
      <c r="A15"/>
      <c r="B15" s="1021"/>
      <c r="C15" s="1005"/>
      <c r="D15" s="373" t="s">
        <v>304</v>
      </c>
      <c r="E15" s="551">
        <f t="shared" si="629"/>
        <v>5580</v>
      </c>
      <c r="F15" s="649">
        <v>200</v>
      </c>
      <c r="G15" s="549">
        <v>1100</v>
      </c>
      <c r="H15" s="549">
        <v>1100</v>
      </c>
      <c r="I15" s="549">
        <v>1000</v>
      </c>
      <c r="J15" s="549">
        <v>1000</v>
      </c>
      <c r="K15" s="550">
        <v>1000</v>
      </c>
      <c r="L15" s="650">
        <v>180</v>
      </c>
      <c r="M15" s="551">
        <f t="shared" si="631"/>
        <v>5840</v>
      </c>
      <c r="N15" s="649">
        <v>700</v>
      </c>
      <c r="O15" s="549">
        <v>1050</v>
      </c>
      <c r="P15" s="549">
        <v>1000</v>
      </c>
      <c r="Q15" s="549">
        <v>1000</v>
      </c>
      <c r="R15" s="549">
        <v>1050</v>
      </c>
      <c r="S15" s="550">
        <v>950</v>
      </c>
      <c r="T15" s="650">
        <v>90</v>
      </c>
      <c r="U15" s="551">
        <f t="shared" si="633"/>
        <v>5890</v>
      </c>
      <c r="V15" s="649">
        <v>700</v>
      </c>
      <c r="W15" s="549">
        <v>1050</v>
      </c>
      <c r="X15" s="549">
        <v>1050</v>
      </c>
      <c r="Y15" s="549">
        <v>1000</v>
      </c>
      <c r="Z15" s="549">
        <v>1050</v>
      </c>
      <c r="AA15" s="550">
        <v>950</v>
      </c>
      <c r="AB15" s="650">
        <v>90</v>
      </c>
      <c r="AC15" s="551">
        <f t="shared" si="635"/>
        <v>6240</v>
      </c>
      <c r="AD15" s="649">
        <v>700</v>
      </c>
      <c r="AE15" s="549">
        <v>1050</v>
      </c>
      <c r="AF15" s="549">
        <v>1150</v>
      </c>
      <c r="AG15" s="549">
        <v>1150</v>
      </c>
      <c r="AH15" s="549">
        <v>1100</v>
      </c>
      <c r="AI15" s="550">
        <v>1000</v>
      </c>
      <c r="AJ15" s="650">
        <v>90</v>
      </c>
      <c r="AK15" s="551">
        <f t="shared" si="637"/>
        <v>6380</v>
      </c>
      <c r="AL15" s="649">
        <v>700</v>
      </c>
      <c r="AM15" s="549">
        <v>1100</v>
      </c>
      <c r="AN15" s="549">
        <v>1150</v>
      </c>
      <c r="AO15" s="549">
        <v>1100</v>
      </c>
      <c r="AP15" s="549">
        <v>1100</v>
      </c>
      <c r="AQ15" s="550">
        <v>1050</v>
      </c>
      <c r="AR15" s="650">
        <v>180</v>
      </c>
      <c r="AS15" s="551">
        <f t="shared" si="639"/>
        <v>6450</v>
      </c>
      <c r="AT15" s="649">
        <v>700</v>
      </c>
      <c r="AU15" s="549">
        <v>1150</v>
      </c>
      <c r="AV15" s="549">
        <v>1150</v>
      </c>
      <c r="AW15" s="549">
        <v>1150</v>
      </c>
      <c r="AX15" s="549">
        <v>1100</v>
      </c>
      <c r="AY15" s="550">
        <v>1000</v>
      </c>
      <c r="AZ15" s="650">
        <v>200</v>
      </c>
      <c r="BA15" s="551">
        <f t="shared" si="641"/>
        <v>6150</v>
      </c>
      <c r="BB15" s="649">
        <v>650</v>
      </c>
      <c r="BC15" s="549">
        <v>1100</v>
      </c>
      <c r="BD15" s="549">
        <v>1100</v>
      </c>
      <c r="BE15" s="549">
        <v>1050</v>
      </c>
      <c r="BF15" s="549">
        <v>1050</v>
      </c>
      <c r="BG15" s="550">
        <v>1000</v>
      </c>
      <c r="BH15" s="650">
        <v>200</v>
      </c>
      <c r="BI15" s="551">
        <f t="shared" si="643"/>
        <v>6050</v>
      </c>
      <c r="BJ15" s="649">
        <v>700</v>
      </c>
      <c r="BK15" s="549">
        <v>1050</v>
      </c>
      <c r="BL15" s="549">
        <v>1050</v>
      </c>
      <c r="BM15" s="549">
        <v>1050</v>
      </c>
      <c r="BN15" s="549">
        <v>1050</v>
      </c>
      <c r="BO15" s="550">
        <v>1050</v>
      </c>
      <c r="BP15" s="650">
        <v>100</v>
      </c>
      <c r="BQ15" s="551">
        <f t="shared" si="645"/>
        <v>5550</v>
      </c>
      <c r="BR15" s="649">
        <v>700</v>
      </c>
      <c r="BS15" s="549">
        <v>950</v>
      </c>
      <c r="BT15" s="549">
        <v>950</v>
      </c>
      <c r="BU15" s="549">
        <v>950</v>
      </c>
      <c r="BV15" s="549">
        <v>950</v>
      </c>
      <c r="BW15" s="549">
        <v>950</v>
      </c>
      <c r="BX15" s="650">
        <v>100</v>
      </c>
      <c r="BY15" s="551">
        <f t="shared" si="647"/>
        <v>5400</v>
      </c>
      <c r="BZ15" s="649">
        <v>700</v>
      </c>
      <c r="CA15" s="549">
        <v>950</v>
      </c>
      <c r="CB15" s="549">
        <v>900</v>
      </c>
      <c r="CC15" s="549">
        <v>850</v>
      </c>
      <c r="CD15" s="549">
        <v>950</v>
      </c>
      <c r="CE15" s="549">
        <v>950</v>
      </c>
      <c r="CF15" s="650">
        <v>100</v>
      </c>
      <c r="CG15" s="551">
        <f t="shared" si="649"/>
        <v>5650</v>
      </c>
      <c r="CH15" s="649">
        <v>800</v>
      </c>
      <c r="CI15" s="549">
        <v>900</v>
      </c>
      <c r="CJ15" s="549">
        <v>950</v>
      </c>
      <c r="CK15" s="549">
        <v>900</v>
      </c>
      <c r="CL15" s="549">
        <v>1000</v>
      </c>
      <c r="CM15" s="550">
        <v>1000</v>
      </c>
      <c r="CN15" s="650">
        <v>100</v>
      </c>
      <c r="CO15" s="551">
        <f t="shared" ref="CO15:CO16" si="660">SUM(CP15:CV15)</f>
        <v>5500</v>
      </c>
      <c r="CP15" s="649">
        <v>700</v>
      </c>
      <c r="CQ15" s="855">
        <v>850</v>
      </c>
      <c r="CR15" s="855">
        <v>950</v>
      </c>
      <c r="CS15" s="855">
        <v>900</v>
      </c>
      <c r="CT15" s="549">
        <v>1050</v>
      </c>
      <c r="CU15" s="550">
        <v>950</v>
      </c>
      <c r="CV15" s="650">
        <v>100</v>
      </c>
      <c r="CW15" s="551">
        <f t="shared" ref="CW15:CW16" si="661">SUM(CX15:DD15)</f>
        <v>5750</v>
      </c>
      <c r="CX15" s="649">
        <v>700</v>
      </c>
      <c r="CY15" s="549">
        <v>1000</v>
      </c>
      <c r="CZ15" s="549">
        <v>1000</v>
      </c>
      <c r="DA15" s="549">
        <v>900</v>
      </c>
      <c r="DB15" s="549">
        <v>1000</v>
      </c>
      <c r="DC15" s="550">
        <v>1050</v>
      </c>
      <c r="DD15" s="650">
        <v>100</v>
      </c>
      <c r="DE15" s="551">
        <f t="shared" ref="DE15:DE16" si="662">SUM(DF15:DL15)</f>
        <v>5600</v>
      </c>
      <c r="DF15" s="649">
        <v>700</v>
      </c>
      <c r="DG15" s="549">
        <v>950</v>
      </c>
      <c r="DH15" s="549">
        <v>950</v>
      </c>
      <c r="DI15" s="549">
        <v>950</v>
      </c>
      <c r="DJ15" s="549">
        <v>1000</v>
      </c>
      <c r="DK15" s="550">
        <v>950</v>
      </c>
      <c r="DL15" s="650">
        <v>100</v>
      </c>
      <c r="DM15" s="551">
        <f t="shared" ref="DM15:DM16" si="663">SUM(DN15:DT15)</f>
        <v>6050</v>
      </c>
      <c r="DN15" s="649">
        <v>700</v>
      </c>
      <c r="DO15" s="549">
        <v>950</v>
      </c>
      <c r="DP15" s="549">
        <v>950</v>
      </c>
      <c r="DQ15" s="549">
        <v>950</v>
      </c>
      <c r="DR15" s="549">
        <v>1000</v>
      </c>
      <c r="DS15" s="550">
        <v>1000</v>
      </c>
      <c r="DT15" s="650">
        <v>500</v>
      </c>
      <c r="DU15" s="551">
        <f t="shared" ref="DU15:DU16" si="664">SUM(DV15:EB15)</f>
        <v>4300</v>
      </c>
      <c r="DV15" s="649">
        <f>DV6/2</f>
        <v>0</v>
      </c>
      <c r="DW15" s="549">
        <v>200</v>
      </c>
      <c r="DX15" s="549">
        <v>1050</v>
      </c>
      <c r="DY15" s="549">
        <v>950</v>
      </c>
      <c r="DZ15" s="549">
        <v>1000</v>
      </c>
      <c r="EA15" s="550">
        <v>1000</v>
      </c>
      <c r="EB15" s="650">
        <v>100</v>
      </c>
      <c r="EC15" s="551">
        <f t="shared" ref="EC15:EC16" si="665">SUM(ED15:EJ15)</f>
        <v>5550</v>
      </c>
      <c r="ED15" s="649">
        <v>650</v>
      </c>
      <c r="EE15" s="549">
        <v>950</v>
      </c>
      <c r="EF15" s="549">
        <v>950</v>
      </c>
      <c r="EG15" s="549">
        <v>900</v>
      </c>
      <c r="EH15" s="549">
        <v>1050</v>
      </c>
      <c r="EI15" s="550">
        <v>1050</v>
      </c>
      <c r="EJ15" s="650">
        <v>0</v>
      </c>
      <c r="EK15" s="551">
        <f t="shared" ref="EK15:EK16" si="666">SUM(EL15:ER15)</f>
        <v>5950</v>
      </c>
      <c r="EL15" s="649">
        <v>750</v>
      </c>
      <c r="EM15" s="549">
        <f t="shared" ref="EM15" si="667">EM6/2</f>
        <v>1000</v>
      </c>
      <c r="EN15" s="549">
        <v>950</v>
      </c>
      <c r="EO15" s="549">
        <v>950</v>
      </c>
      <c r="EP15" s="549">
        <v>1100</v>
      </c>
      <c r="EQ15" s="550">
        <v>1100</v>
      </c>
      <c r="ER15" s="650">
        <v>100</v>
      </c>
      <c r="ES15" s="551">
        <f t="shared" ref="ES15:ES16" si="668">SUM(ET15:EZ15)</f>
        <v>6100</v>
      </c>
      <c r="ET15" s="649">
        <v>750</v>
      </c>
      <c r="EU15" s="549">
        <v>1050</v>
      </c>
      <c r="EV15" s="549">
        <v>1050</v>
      </c>
      <c r="EW15" s="549">
        <v>1000</v>
      </c>
      <c r="EX15" s="549">
        <v>1100</v>
      </c>
      <c r="EY15" s="550">
        <v>1050</v>
      </c>
      <c r="EZ15" s="650">
        <f>EZ6</f>
        <v>100</v>
      </c>
      <c r="FA15" s="551">
        <f t="shared" ref="FA15:FA16" si="669">SUM(FB15:FH15)</f>
        <v>5400</v>
      </c>
      <c r="FB15" s="649">
        <v>700</v>
      </c>
      <c r="FC15" s="549">
        <v>900</v>
      </c>
      <c r="FD15" s="549">
        <v>950</v>
      </c>
      <c r="FE15" s="549">
        <v>900</v>
      </c>
      <c r="FF15" s="549">
        <v>950</v>
      </c>
      <c r="FG15" s="550">
        <v>900</v>
      </c>
      <c r="FH15" s="650">
        <f>FH6</f>
        <v>100</v>
      </c>
      <c r="FI15" s="551">
        <f t="shared" ref="FI15:FI16" si="670">SUM(FJ15:FP15)</f>
        <v>4350</v>
      </c>
      <c r="FJ15" s="649">
        <v>650</v>
      </c>
      <c r="FK15" s="549">
        <v>850</v>
      </c>
      <c r="FL15" s="549">
        <v>850</v>
      </c>
      <c r="FM15" s="549">
        <f t="shared" ref="FM15" si="671">FM6/2</f>
        <v>0</v>
      </c>
      <c r="FN15" s="549">
        <v>800</v>
      </c>
      <c r="FO15" s="550">
        <v>1100</v>
      </c>
      <c r="FP15" s="650">
        <f>FP6</f>
        <v>100</v>
      </c>
      <c r="FQ15" s="551">
        <f t="shared" ref="FQ15:FQ16" si="672">SUM(FR15:FX15)</f>
        <v>5900</v>
      </c>
      <c r="FR15" s="649">
        <v>750</v>
      </c>
      <c r="FS15" s="549">
        <v>950</v>
      </c>
      <c r="FT15" s="549">
        <v>950</v>
      </c>
      <c r="FU15" s="549">
        <v>950</v>
      </c>
      <c r="FV15" s="549">
        <v>1050</v>
      </c>
      <c r="FW15" s="550">
        <v>1050</v>
      </c>
      <c r="FX15" s="650">
        <v>200</v>
      </c>
      <c r="FY15" s="551">
        <f t="shared" ref="FY15:FY16" si="673">SUM(FZ15:GF15)</f>
        <v>4450</v>
      </c>
      <c r="FZ15" s="649">
        <f>FZ6/2</f>
        <v>0</v>
      </c>
      <c r="GA15" s="549">
        <v>200</v>
      </c>
      <c r="GB15" s="549">
        <v>1100</v>
      </c>
      <c r="GC15" s="549">
        <v>1000</v>
      </c>
      <c r="GD15" s="549">
        <v>1000</v>
      </c>
      <c r="GE15" s="550">
        <v>1050</v>
      </c>
      <c r="GF15" s="650">
        <f>GF6</f>
        <v>100</v>
      </c>
      <c r="GG15" s="551">
        <f t="shared" ref="GG15:GG16" si="674">SUM(GH15:GN15)</f>
        <v>5900</v>
      </c>
      <c r="GH15" s="649">
        <v>750</v>
      </c>
      <c r="GI15" s="549">
        <v>1000</v>
      </c>
      <c r="GJ15" s="549">
        <v>1000</v>
      </c>
      <c r="GK15" s="549">
        <f t="shared" ref="GK15" si="675">GK6/2</f>
        <v>950</v>
      </c>
      <c r="GL15" s="549">
        <v>1050</v>
      </c>
      <c r="GM15" s="550">
        <v>1050</v>
      </c>
      <c r="GN15" s="650">
        <f>GN6</f>
        <v>100</v>
      </c>
      <c r="GO15" s="551">
        <f t="shared" ref="GO15:GO16" si="676">SUM(GP15:GV15)</f>
        <v>5950</v>
      </c>
      <c r="GP15" s="649">
        <v>750</v>
      </c>
      <c r="GQ15" s="549">
        <v>1050</v>
      </c>
      <c r="GR15" s="549">
        <v>1000</v>
      </c>
      <c r="GS15" s="549">
        <f t="shared" ref="GS15" si="677">GS6/2</f>
        <v>975</v>
      </c>
      <c r="GT15" s="549">
        <v>1050</v>
      </c>
      <c r="GU15" s="550">
        <v>1025</v>
      </c>
      <c r="GV15" s="650">
        <f>GV6</f>
        <v>100</v>
      </c>
      <c r="GW15" s="551">
        <f t="shared" ref="GW15:GW16" si="678">SUM(GX15:HD15)</f>
        <v>5650</v>
      </c>
      <c r="GX15" s="649">
        <v>700</v>
      </c>
      <c r="GY15" s="549">
        <f t="shared" ref="GY15:GZ15" si="679">GY6/2</f>
        <v>1000</v>
      </c>
      <c r="GZ15" s="549">
        <f t="shared" si="679"/>
        <v>1000</v>
      </c>
      <c r="HA15" s="549">
        <v>900</v>
      </c>
      <c r="HB15" s="549">
        <v>950</v>
      </c>
      <c r="HC15" s="550">
        <v>1000</v>
      </c>
      <c r="HD15" s="650">
        <f>HD6</f>
        <v>100</v>
      </c>
      <c r="HE15" s="551">
        <f t="shared" ref="HE15:HE16" si="680">SUM(HF15:HL15)</f>
        <v>5175</v>
      </c>
      <c r="HF15" s="649">
        <v>650</v>
      </c>
      <c r="HG15" s="549">
        <f t="shared" ref="HG15:HH15" si="681">HG6/2</f>
        <v>950</v>
      </c>
      <c r="HH15" s="549">
        <f t="shared" si="681"/>
        <v>925</v>
      </c>
      <c r="HI15" s="549">
        <v>800</v>
      </c>
      <c r="HJ15" s="549">
        <v>900</v>
      </c>
      <c r="HK15" s="550">
        <v>950</v>
      </c>
      <c r="HL15" s="650">
        <v>0</v>
      </c>
      <c r="HM15" s="551">
        <f t="shared" ref="HM15:HM16" si="682">SUM(HN15:HT15)</f>
        <v>4975</v>
      </c>
      <c r="HN15" s="649">
        <v>650</v>
      </c>
      <c r="HO15" s="549">
        <v>850</v>
      </c>
      <c r="HP15" s="549">
        <f t="shared" ref="HP15:HQ15" si="683">HP6/2</f>
        <v>850</v>
      </c>
      <c r="HQ15" s="549">
        <f t="shared" si="683"/>
        <v>825</v>
      </c>
      <c r="HR15" s="549">
        <v>900</v>
      </c>
      <c r="HS15" s="550">
        <v>900</v>
      </c>
      <c r="HT15" s="650">
        <v>0</v>
      </c>
      <c r="HU15" s="551">
        <f t="shared" ref="HU15:HU16" si="684">SUM(HV15:IB15)</f>
        <v>4050</v>
      </c>
      <c r="HV15" s="649">
        <v>650</v>
      </c>
      <c r="HW15" s="549">
        <v>850</v>
      </c>
      <c r="HX15" s="549">
        <v>800</v>
      </c>
      <c r="HY15" s="549">
        <f t="shared" ref="HY15" si="685">HY6/2</f>
        <v>0</v>
      </c>
      <c r="HZ15" s="549">
        <v>800</v>
      </c>
      <c r="IA15" s="550">
        <v>950</v>
      </c>
      <c r="IB15" s="650">
        <f>IB6</f>
        <v>0</v>
      </c>
      <c r="IC15" s="551">
        <f t="shared" ref="IC15:IC16" si="686">SUM(ID15:IJ15)</f>
        <v>5000</v>
      </c>
      <c r="ID15" s="649">
        <v>650</v>
      </c>
      <c r="IE15" s="549">
        <v>900</v>
      </c>
      <c r="IF15" s="549">
        <v>850</v>
      </c>
      <c r="IG15" s="549">
        <v>850</v>
      </c>
      <c r="IH15" s="549">
        <v>900</v>
      </c>
      <c r="II15" s="550">
        <v>850</v>
      </c>
      <c r="IJ15" s="650">
        <f>IJ6</f>
        <v>0</v>
      </c>
      <c r="IK15" s="551">
        <f t="shared" ref="IK15:IK16" si="687">SUM(IL15:IR15)</f>
        <v>4725</v>
      </c>
      <c r="IL15" s="649">
        <v>650</v>
      </c>
      <c r="IM15" s="549">
        <v>850</v>
      </c>
      <c r="IN15" s="549">
        <v>850</v>
      </c>
      <c r="IO15" s="549">
        <v>750</v>
      </c>
      <c r="IP15" s="549">
        <v>775</v>
      </c>
      <c r="IQ15" s="550">
        <v>850</v>
      </c>
      <c r="IR15" s="650">
        <f>IR6</f>
        <v>0</v>
      </c>
      <c r="IS15" s="551">
        <f t="shared" ref="IS15:IS16" si="688">SUM(IT15:IZ15)</f>
        <v>4675</v>
      </c>
      <c r="IT15" s="649">
        <v>650</v>
      </c>
      <c r="IU15" s="549">
        <v>800</v>
      </c>
      <c r="IV15" s="549">
        <v>800</v>
      </c>
      <c r="IW15" s="549">
        <v>800</v>
      </c>
      <c r="IX15" s="549">
        <v>775</v>
      </c>
      <c r="IY15" s="550">
        <v>850</v>
      </c>
      <c r="IZ15" s="650">
        <f>IZ6</f>
        <v>0</v>
      </c>
      <c r="JA15" s="551">
        <f t="shared" ref="JA15:JA16" si="689">SUM(JB15:JH15)</f>
        <v>3825</v>
      </c>
      <c r="JB15" s="649">
        <f>JB6/2</f>
        <v>0</v>
      </c>
      <c r="JC15" s="549">
        <v>200</v>
      </c>
      <c r="JD15" s="549">
        <v>950</v>
      </c>
      <c r="JE15" s="549">
        <f t="shared" ref="JE15" si="690">JE6/2</f>
        <v>875</v>
      </c>
      <c r="JF15" s="549">
        <v>900</v>
      </c>
      <c r="JG15" s="550">
        <v>900</v>
      </c>
      <c r="JH15" s="650">
        <f>JH6</f>
        <v>0</v>
      </c>
      <c r="JI15" s="551">
        <f t="shared" ref="JI15:JI16" si="691">SUM(JJ15:JP15)</f>
        <v>5625</v>
      </c>
      <c r="JJ15" s="649">
        <v>650</v>
      </c>
      <c r="JK15" s="549">
        <v>950</v>
      </c>
      <c r="JL15" s="549">
        <v>950</v>
      </c>
      <c r="JM15" s="549">
        <f t="shared" ref="JM15" si="692">JM6/2</f>
        <v>925</v>
      </c>
      <c r="JN15" s="549">
        <v>1100</v>
      </c>
      <c r="JO15" s="550">
        <v>1050</v>
      </c>
      <c r="JP15" s="650">
        <f>JP6</f>
        <v>0</v>
      </c>
      <c r="JQ15" s="551">
        <f t="shared" ref="JQ15:JQ16" si="693">SUM(JR15:JX15)</f>
        <v>6000</v>
      </c>
      <c r="JR15" s="649">
        <v>750</v>
      </c>
      <c r="JS15" s="549">
        <v>1050</v>
      </c>
      <c r="JT15" s="549">
        <v>1050</v>
      </c>
      <c r="JU15" s="549">
        <v>1050</v>
      </c>
      <c r="JV15" s="549">
        <v>1100</v>
      </c>
      <c r="JW15" s="550">
        <v>1000</v>
      </c>
      <c r="JX15" s="650">
        <f>JX6</f>
        <v>0</v>
      </c>
      <c r="JY15" s="551">
        <f t="shared" ref="JY15:JY16" si="694">SUM(JZ15:KF15)</f>
        <v>6250</v>
      </c>
      <c r="JZ15" s="649">
        <v>750</v>
      </c>
      <c r="KA15" s="549">
        <v>1100</v>
      </c>
      <c r="KB15" s="549">
        <v>1100</v>
      </c>
      <c r="KC15" s="549">
        <v>1100</v>
      </c>
      <c r="KD15" s="549">
        <v>1150</v>
      </c>
      <c r="KE15" s="550">
        <v>1050</v>
      </c>
      <c r="KF15" s="650">
        <f>KF6</f>
        <v>0</v>
      </c>
      <c r="KG15" s="551">
        <f t="shared" ref="KG15:KG16" si="695">SUM(KH15:KN15)</f>
        <v>6300</v>
      </c>
      <c r="KH15" s="649">
        <v>800</v>
      </c>
      <c r="KI15" s="549">
        <v>1100</v>
      </c>
      <c r="KJ15" s="549">
        <v>1100</v>
      </c>
      <c r="KK15" s="549">
        <v>1100</v>
      </c>
      <c r="KL15" s="549">
        <v>1150</v>
      </c>
      <c r="KM15" s="550">
        <v>1050</v>
      </c>
      <c r="KN15" s="650">
        <f>KN6</f>
        <v>0</v>
      </c>
      <c r="KO15" s="551">
        <f t="shared" ref="KO15:KO16" si="696">SUM(KP15:KV15)</f>
        <v>6200</v>
      </c>
      <c r="KP15" s="649">
        <v>800</v>
      </c>
      <c r="KQ15" s="549">
        <v>1100</v>
      </c>
      <c r="KR15" s="549">
        <v>1050</v>
      </c>
      <c r="KS15" s="549">
        <v>1100</v>
      </c>
      <c r="KT15" s="549">
        <v>1100</v>
      </c>
      <c r="KU15" s="550">
        <v>1050</v>
      </c>
      <c r="KV15" s="650">
        <f>KV6</f>
        <v>0</v>
      </c>
      <c r="KW15" s="551">
        <f t="shared" ref="KW15:KW16" si="697">SUM(KX15:LD15)</f>
        <v>5950</v>
      </c>
      <c r="KX15" s="649">
        <v>800</v>
      </c>
      <c r="KY15" s="549">
        <v>1050</v>
      </c>
      <c r="KZ15" s="549">
        <v>1050</v>
      </c>
      <c r="LA15" s="549">
        <v>1000</v>
      </c>
      <c r="LB15" s="549">
        <v>1000</v>
      </c>
      <c r="LC15" s="550">
        <v>1050</v>
      </c>
      <c r="LD15" s="650">
        <f>LD6</f>
        <v>0</v>
      </c>
      <c r="LE15" s="551">
        <f t="shared" ref="LE15:LE16" si="698">SUM(LF15:LL15)</f>
        <v>5950</v>
      </c>
      <c r="LF15" s="649">
        <v>750</v>
      </c>
      <c r="LG15" s="549">
        <v>1050</v>
      </c>
      <c r="LH15" s="549">
        <v>1050</v>
      </c>
      <c r="LI15" s="549">
        <v>1000</v>
      </c>
      <c r="LJ15" s="549">
        <v>1050</v>
      </c>
      <c r="LK15" s="550">
        <v>1050</v>
      </c>
      <c r="LL15" s="650">
        <f>LL6</f>
        <v>0</v>
      </c>
      <c r="LM15" s="551">
        <f t="shared" ref="LM15:LM16" si="699">SUM(LN15:LT15)</f>
        <v>6250</v>
      </c>
      <c r="LN15" s="649">
        <v>800</v>
      </c>
      <c r="LO15" s="549">
        <v>1050</v>
      </c>
      <c r="LP15" s="549">
        <v>1100</v>
      </c>
      <c r="LQ15" s="549">
        <v>1050</v>
      </c>
      <c r="LR15" s="549">
        <v>1100</v>
      </c>
      <c r="LS15" s="550">
        <v>1150</v>
      </c>
      <c r="LT15" s="650">
        <f>LT6</f>
        <v>0</v>
      </c>
      <c r="LU15" s="551">
        <f t="shared" ref="LU15:LU16" si="700">SUM(LV15:MB15)</f>
        <v>6200</v>
      </c>
      <c r="LV15" s="649">
        <v>800</v>
      </c>
      <c r="LW15" s="549">
        <v>1100</v>
      </c>
      <c r="LX15" s="549">
        <v>1050</v>
      </c>
      <c r="LY15" s="549">
        <v>1000</v>
      </c>
      <c r="LZ15" s="549">
        <v>1150</v>
      </c>
      <c r="MA15" s="550">
        <v>1100</v>
      </c>
      <c r="MB15" s="650">
        <f>MB6</f>
        <v>0</v>
      </c>
      <c r="MC15" s="551">
        <f t="shared" ref="MC15:MC16" si="701">SUM(MD15:MJ15)</f>
        <v>6400</v>
      </c>
      <c r="MD15" s="649">
        <v>900</v>
      </c>
      <c r="ME15" s="549">
        <v>1100</v>
      </c>
      <c r="MF15" s="549">
        <v>1100</v>
      </c>
      <c r="MG15" s="549">
        <v>1050</v>
      </c>
      <c r="MH15" s="549">
        <v>1150</v>
      </c>
      <c r="MI15" s="550">
        <v>1100</v>
      </c>
      <c r="MJ15" s="650">
        <f>MJ6</f>
        <v>0</v>
      </c>
      <c r="MK15" s="551">
        <f t="shared" ref="MK15:MK16" si="702">SUM(ML15:MR15)</f>
        <v>5150</v>
      </c>
      <c r="ML15" s="649">
        <v>850</v>
      </c>
      <c r="MM15" s="549">
        <f t="shared" ref="MM15" si="703">MM6/2</f>
        <v>0</v>
      </c>
      <c r="MN15" s="549">
        <v>850</v>
      </c>
      <c r="MO15" s="549">
        <v>1150</v>
      </c>
      <c r="MP15" s="549">
        <v>1150</v>
      </c>
      <c r="MQ15" s="550">
        <v>1150</v>
      </c>
      <c r="MR15" s="650">
        <f>MR6</f>
        <v>0</v>
      </c>
      <c r="MS15" s="551">
        <f t="shared" ref="MS15:MS16" si="704">SUM(MT15:MZ15)</f>
        <v>5450</v>
      </c>
      <c r="MT15" s="649">
        <v>850</v>
      </c>
      <c r="MU15" s="549">
        <v>1200</v>
      </c>
      <c r="MV15" s="549">
        <v>1200</v>
      </c>
      <c r="MW15" s="549">
        <v>1200</v>
      </c>
      <c r="MX15" s="549">
        <f t="shared" ref="MX15" si="705">MX6/2</f>
        <v>0</v>
      </c>
      <c r="MY15" s="550">
        <v>1000</v>
      </c>
      <c r="MZ15" s="650">
        <f>MZ6</f>
        <v>0</v>
      </c>
      <c r="NA15" s="551">
        <f t="shared" ref="NA15:NA16" si="706">SUM(NB15:NH15)</f>
        <v>6600</v>
      </c>
      <c r="NB15" s="649">
        <v>850</v>
      </c>
      <c r="NC15" s="549">
        <v>1200</v>
      </c>
      <c r="ND15" s="549">
        <v>1150</v>
      </c>
      <c r="NE15" s="549">
        <v>1100</v>
      </c>
      <c r="NF15" s="549">
        <v>1150</v>
      </c>
      <c r="NG15" s="550">
        <v>1150</v>
      </c>
      <c r="NH15" s="650">
        <f>NH6</f>
        <v>0</v>
      </c>
      <c r="NI15" s="551">
        <f t="shared" ref="NI15:NI16" si="707">SUM(NJ15:NP15)</f>
        <v>7475</v>
      </c>
      <c r="NJ15" s="649">
        <v>850</v>
      </c>
      <c r="NK15" s="549">
        <v>1325</v>
      </c>
      <c r="NL15" s="549">
        <v>1325</v>
      </c>
      <c r="NM15" s="549">
        <v>1325</v>
      </c>
      <c r="NN15" s="549">
        <v>1325</v>
      </c>
      <c r="NO15" s="549">
        <v>1325</v>
      </c>
      <c r="NP15" s="650">
        <f>NP6</f>
        <v>0</v>
      </c>
      <c r="NQ15" s="551">
        <f t="shared" ref="NQ15:NQ16" si="708">SUM(NR15:NX15)</f>
        <v>7425</v>
      </c>
      <c r="NR15" s="649">
        <v>1025</v>
      </c>
      <c r="NS15" s="549">
        <v>1375</v>
      </c>
      <c r="NT15" s="549">
        <v>1375</v>
      </c>
      <c r="NU15" s="549">
        <v>1200</v>
      </c>
      <c r="NV15" s="549">
        <v>1250</v>
      </c>
      <c r="NW15" s="550">
        <v>1200</v>
      </c>
      <c r="NX15" s="650">
        <f>NX6</f>
        <v>0</v>
      </c>
      <c r="NY15" s="551">
        <f t="shared" ref="NY15:NY16" si="709">SUM(NZ15:OF15)</f>
        <v>6950</v>
      </c>
      <c r="NZ15" s="649">
        <v>900</v>
      </c>
      <c r="OA15" s="549">
        <v>1275</v>
      </c>
      <c r="OB15" s="549">
        <v>1275</v>
      </c>
      <c r="OC15" s="549">
        <v>1150</v>
      </c>
      <c r="OD15" s="549">
        <v>1200</v>
      </c>
      <c r="OE15" s="550">
        <v>1150</v>
      </c>
      <c r="OF15" s="650">
        <f>OF6</f>
        <v>0</v>
      </c>
      <c r="OG15" s="551">
        <f t="shared" ref="OG15:OG16" si="710">SUM(OH15:ON15)</f>
        <v>6500</v>
      </c>
      <c r="OH15" s="649">
        <v>850</v>
      </c>
      <c r="OI15" s="549">
        <v>1150</v>
      </c>
      <c r="OJ15" s="549">
        <v>1150</v>
      </c>
      <c r="OK15" s="549">
        <v>1150</v>
      </c>
      <c r="OL15" s="549">
        <v>1200</v>
      </c>
      <c r="OM15" s="550">
        <v>1000</v>
      </c>
      <c r="ON15" s="650">
        <f>ON6</f>
        <v>0</v>
      </c>
      <c r="OO15" s="551">
        <f t="shared" ref="OO15:OO16" si="711">SUM(OP15:OV15)</f>
        <v>7275</v>
      </c>
      <c r="OP15" s="649">
        <v>800</v>
      </c>
      <c r="OQ15" s="549">
        <v>1300</v>
      </c>
      <c r="OR15" s="549">
        <v>1300</v>
      </c>
      <c r="OS15" s="549">
        <v>1300</v>
      </c>
      <c r="OT15" s="549">
        <v>1275</v>
      </c>
      <c r="OU15" s="550">
        <v>1300</v>
      </c>
      <c r="OV15" s="650">
        <f>OV6</f>
        <v>0</v>
      </c>
      <c r="OW15" s="551">
        <f t="shared" ref="OW15:OW16" si="712">SUM(OX15:PD15)</f>
        <v>7175</v>
      </c>
      <c r="OX15" s="649">
        <v>400</v>
      </c>
      <c r="OY15" s="549">
        <v>1350</v>
      </c>
      <c r="OZ15" s="549">
        <v>1375</v>
      </c>
      <c r="PA15" s="549">
        <v>1375</v>
      </c>
      <c r="PB15" s="549">
        <v>1375</v>
      </c>
      <c r="PC15" s="550">
        <v>1300</v>
      </c>
      <c r="PD15" s="650">
        <f>PD6</f>
        <v>0</v>
      </c>
      <c r="PE15" s="551">
        <f t="shared" ref="PE15:PE20" si="713">SUM(PF15:PL15)</f>
        <v>6450</v>
      </c>
      <c r="PF15" s="649">
        <v>400</v>
      </c>
      <c r="PG15" s="549">
        <v>1250</v>
      </c>
      <c r="PH15" s="549">
        <v>1250</v>
      </c>
      <c r="PI15" s="549">
        <v>1200</v>
      </c>
      <c r="PJ15" s="549">
        <v>1200</v>
      </c>
      <c r="PK15" s="550">
        <v>1150</v>
      </c>
      <c r="PL15" s="650">
        <f>PL6</f>
        <v>0</v>
      </c>
    </row>
    <row r="16" spans="1:428" s="44" customFormat="1" ht="15" thickBot="1" x14ac:dyDescent="0.35">
      <c r="A16"/>
      <c r="B16" s="1021"/>
      <c r="C16" s="1006"/>
      <c r="D16" s="238" t="s">
        <v>305</v>
      </c>
      <c r="E16" s="547">
        <f t="shared" si="629"/>
        <v>5250</v>
      </c>
      <c r="F16" s="548">
        <v>700</v>
      </c>
      <c r="G16" s="544">
        <v>1000</v>
      </c>
      <c r="H16" s="544">
        <v>1000</v>
      </c>
      <c r="I16" s="545">
        <v>900</v>
      </c>
      <c r="J16" s="544">
        <v>850</v>
      </c>
      <c r="K16" s="544">
        <v>800</v>
      </c>
      <c r="L16" s="546">
        <v>0</v>
      </c>
      <c r="M16" s="547">
        <f t="shared" si="631"/>
        <v>5350</v>
      </c>
      <c r="N16" s="548">
        <v>800</v>
      </c>
      <c r="O16" s="544">
        <v>1000</v>
      </c>
      <c r="P16" s="544">
        <v>900</v>
      </c>
      <c r="Q16" s="545">
        <v>900</v>
      </c>
      <c r="R16" s="544">
        <v>850</v>
      </c>
      <c r="S16" s="544">
        <v>900</v>
      </c>
      <c r="T16" s="546">
        <v>0</v>
      </c>
      <c r="U16" s="547">
        <f t="shared" si="633"/>
        <v>5550</v>
      </c>
      <c r="V16" s="548">
        <v>850</v>
      </c>
      <c r="W16" s="544">
        <v>950</v>
      </c>
      <c r="X16" s="544">
        <v>950</v>
      </c>
      <c r="Y16" s="545">
        <v>950</v>
      </c>
      <c r="Z16" s="544">
        <v>950</v>
      </c>
      <c r="AA16" s="544">
        <v>900</v>
      </c>
      <c r="AB16" s="546">
        <v>0</v>
      </c>
      <c r="AC16" s="547">
        <f t="shared" si="635"/>
        <v>5800</v>
      </c>
      <c r="AD16" s="548">
        <v>900</v>
      </c>
      <c r="AE16" s="544">
        <v>1000</v>
      </c>
      <c r="AF16" s="544">
        <v>1000</v>
      </c>
      <c r="AG16" s="544">
        <v>1000</v>
      </c>
      <c r="AH16" s="544">
        <v>1000</v>
      </c>
      <c r="AI16" s="544">
        <v>900</v>
      </c>
      <c r="AJ16" s="546">
        <v>0</v>
      </c>
      <c r="AK16" s="547">
        <f t="shared" si="637"/>
        <v>5950</v>
      </c>
      <c r="AL16" s="548">
        <v>900</v>
      </c>
      <c r="AM16" s="544">
        <v>1000</v>
      </c>
      <c r="AN16" s="544">
        <v>1050</v>
      </c>
      <c r="AO16" s="545">
        <v>1050</v>
      </c>
      <c r="AP16" s="544">
        <v>1000</v>
      </c>
      <c r="AQ16" s="544">
        <v>950</v>
      </c>
      <c r="AR16" s="546">
        <v>0</v>
      </c>
      <c r="AS16" s="547">
        <f t="shared" si="639"/>
        <v>5950</v>
      </c>
      <c r="AT16" s="548">
        <v>950</v>
      </c>
      <c r="AU16" s="544">
        <v>1000</v>
      </c>
      <c r="AV16" s="544">
        <v>1050</v>
      </c>
      <c r="AW16" s="545">
        <v>1000</v>
      </c>
      <c r="AX16" s="544">
        <v>1000</v>
      </c>
      <c r="AY16" s="544">
        <v>950</v>
      </c>
      <c r="AZ16" s="546">
        <v>0</v>
      </c>
      <c r="BA16" s="547">
        <f t="shared" si="641"/>
        <v>5750</v>
      </c>
      <c r="BB16" s="548">
        <v>900</v>
      </c>
      <c r="BC16" s="544">
        <v>1000</v>
      </c>
      <c r="BD16" s="544">
        <v>1000</v>
      </c>
      <c r="BE16" s="545">
        <v>950</v>
      </c>
      <c r="BF16" s="544">
        <v>1000</v>
      </c>
      <c r="BG16" s="544">
        <v>900</v>
      </c>
      <c r="BH16" s="546">
        <v>0</v>
      </c>
      <c r="BI16" s="547">
        <f t="shared" si="643"/>
        <v>5700</v>
      </c>
      <c r="BJ16" s="548">
        <v>900</v>
      </c>
      <c r="BK16" s="544">
        <v>950</v>
      </c>
      <c r="BL16" s="544">
        <v>950</v>
      </c>
      <c r="BM16" s="545">
        <v>950</v>
      </c>
      <c r="BN16" s="544">
        <v>1000</v>
      </c>
      <c r="BO16" s="544">
        <v>950</v>
      </c>
      <c r="BP16" s="546">
        <v>0</v>
      </c>
      <c r="BQ16" s="547">
        <f t="shared" si="645"/>
        <v>5950</v>
      </c>
      <c r="BR16" s="548">
        <v>950</v>
      </c>
      <c r="BS16" s="544">
        <v>1000</v>
      </c>
      <c r="BT16" s="544">
        <v>1000</v>
      </c>
      <c r="BU16" s="544">
        <v>1000</v>
      </c>
      <c r="BV16" s="544">
        <v>1000</v>
      </c>
      <c r="BW16" s="544">
        <v>1000</v>
      </c>
      <c r="BX16" s="546">
        <v>0</v>
      </c>
      <c r="BY16" s="547">
        <f t="shared" si="647"/>
        <v>5650</v>
      </c>
      <c r="BZ16" s="548">
        <v>850</v>
      </c>
      <c r="CA16" s="544">
        <v>950</v>
      </c>
      <c r="CB16" s="544">
        <v>950</v>
      </c>
      <c r="CC16" s="544">
        <v>900</v>
      </c>
      <c r="CD16" s="544">
        <v>1050</v>
      </c>
      <c r="CE16" s="544">
        <v>950</v>
      </c>
      <c r="CF16" s="546">
        <v>0</v>
      </c>
      <c r="CG16" s="547">
        <f t="shared" si="649"/>
        <v>5450</v>
      </c>
      <c r="CH16" s="548">
        <v>800</v>
      </c>
      <c r="CI16" s="544">
        <v>1000</v>
      </c>
      <c r="CJ16" s="544">
        <v>950</v>
      </c>
      <c r="CK16" s="545">
        <v>850</v>
      </c>
      <c r="CL16" s="544">
        <v>950</v>
      </c>
      <c r="CM16" s="544">
        <v>900</v>
      </c>
      <c r="CN16" s="546">
        <v>0</v>
      </c>
      <c r="CO16" s="547">
        <f t="shared" si="660"/>
        <v>5750</v>
      </c>
      <c r="CP16" s="548">
        <v>900</v>
      </c>
      <c r="CQ16" s="544">
        <v>1000</v>
      </c>
      <c r="CR16" s="544">
        <v>950</v>
      </c>
      <c r="CS16" s="545">
        <v>900</v>
      </c>
      <c r="CT16" s="544">
        <v>1100</v>
      </c>
      <c r="CU16" s="544">
        <v>900</v>
      </c>
      <c r="CV16" s="546">
        <v>0</v>
      </c>
      <c r="CW16" s="547">
        <f t="shared" si="661"/>
        <v>5800</v>
      </c>
      <c r="CX16" s="548">
        <v>900</v>
      </c>
      <c r="CY16" s="544">
        <v>1000</v>
      </c>
      <c r="CZ16" s="544">
        <v>1000</v>
      </c>
      <c r="DA16" s="545">
        <v>950</v>
      </c>
      <c r="DB16" s="544">
        <v>1100</v>
      </c>
      <c r="DC16" s="544">
        <v>850</v>
      </c>
      <c r="DD16" s="546">
        <v>0</v>
      </c>
      <c r="DE16" s="547">
        <f t="shared" si="662"/>
        <v>5800</v>
      </c>
      <c r="DF16" s="548">
        <v>900</v>
      </c>
      <c r="DG16" s="544">
        <v>1000</v>
      </c>
      <c r="DH16" s="544">
        <v>1000</v>
      </c>
      <c r="DI16" s="545">
        <v>1000</v>
      </c>
      <c r="DJ16" s="544">
        <v>1050</v>
      </c>
      <c r="DK16" s="544">
        <v>850</v>
      </c>
      <c r="DL16" s="546">
        <v>0</v>
      </c>
      <c r="DM16" s="547">
        <f t="shared" si="663"/>
        <v>5800</v>
      </c>
      <c r="DN16" s="548">
        <v>900</v>
      </c>
      <c r="DO16" s="544">
        <v>1000</v>
      </c>
      <c r="DP16" s="544">
        <v>1000</v>
      </c>
      <c r="DQ16" s="545">
        <v>1000</v>
      </c>
      <c r="DR16" s="544">
        <v>1050</v>
      </c>
      <c r="DS16" s="544">
        <v>850</v>
      </c>
      <c r="DT16" s="546">
        <v>0</v>
      </c>
      <c r="DU16" s="547">
        <f t="shared" si="664"/>
        <v>4200</v>
      </c>
      <c r="DV16" s="548">
        <f>DV6/2</f>
        <v>0</v>
      </c>
      <c r="DW16" s="544">
        <v>400</v>
      </c>
      <c r="DX16" s="544">
        <v>1050</v>
      </c>
      <c r="DY16" s="545">
        <v>900</v>
      </c>
      <c r="DZ16" s="544">
        <v>1000</v>
      </c>
      <c r="EA16" s="544">
        <v>850</v>
      </c>
      <c r="EB16" s="546">
        <v>0</v>
      </c>
      <c r="EC16" s="547">
        <f t="shared" si="665"/>
        <v>5525</v>
      </c>
      <c r="ED16" s="548">
        <v>900</v>
      </c>
      <c r="EE16" s="544">
        <f t="shared" ref="EE16" si="714">EE6/2</f>
        <v>900</v>
      </c>
      <c r="EF16" s="544">
        <v>900</v>
      </c>
      <c r="EG16" s="545">
        <v>900</v>
      </c>
      <c r="EH16" s="544">
        <v>1025</v>
      </c>
      <c r="EI16" s="544">
        <v>900</v>
      </c>
      <c r="EJ16" s="546">
        <v>0</v>
      </c>
      <c r="EK16" s="547">
        <f t="shared" si="666"/>
        <v>5850</v>
      </c>
      <c r="EL16" s="548">
        <v>950</v>
      </c>
      <c r="EM16" s="544">
        <f t="shared" ref="EM16:EN16" si="715">EM6/2</f>
        <v>1000</v>
      </c>
      <c r="EN16" s="544">
        <f t="shared" si="715"/>
        <v>950</v>
      </c>
      <c r="EO16" s="545">
        <v>900</v>
      </c>
      <c r="EP16" s="544">
        <v>1050</v>
      </c>
      <c r="EQ16" s="544">
        <v>1000</v>
      </c>
      <c r="ER16" s="546">
        <v>0</v>
      </c>
      <c r="ES16" s="547">
        <f t="shared" si="668"/>
        <v>5950</v>
      </c>
      <c r="ET16" s="548">
        <v>950</v>
      </c>
      <c r="EU16" s="544">
        <v>1000</v>
      </c>
      <c r="EV16" s="544">
        <v>1000</v>
      </c>
      <c r="EW16" s="545">
        <v>1000</v>
      </c>
      <c r="EX16" s="544">
        <v>1050</v>
      </c>
      <c r="EY16" s="544">
        <v>950</v>
      </c>
      <c r="EZ16" s="546">
        <v>0</v>
      </c>
      <c r="FA16" s="547">
        <f t="shared" si="669"/>
        <v>5950</v>
      </c>
      <c r="FB16" s="548">
        <v>950</v>
      </c>
      <c r="FC16" s="544">
        <v>1000</v>
      </c>
      <c r="FD16" s="544">
        <v>1000</v>
      </c>
      <c r="FE16" s="545">
        <v>1000</v>
      </c>
      <c r="FF16" s="544">
        <v>1050</v>
      </c>
      <c r="FG16" s="544">
        <v>950</v>
      </c>
      <c r="FH16" s="546">
        <v>0</v>
      </c>
      <c r="FI16" s="547">
        <f t="shared" si="670"/>
        <v>4950</v>
      </c>
      <c r="FJ16" s="548">
        <v>900</v>
      </c>
      <c r="FK16" s="544">
        <v>1000</v>
      </c>
      <c r="FL16" s="544">
        <v>1000</v>
      </c>
      <c r="FM16" s="545">
        <f t="shared" ref="FM16" si="716">FM6/2</f>
        <v>0</v>
      </c>
      <c r="FN16" s="544">
        <v>1000</v>
      </c>
      <c r="FO16" s="544">
        <v>1050</v>
      </c>
      <c r="FP16" s="546">
        <v>0</v>
      </c>
      <c r="FQ16" s="547">
        <f t="shared" si="672"/>
        <v>5825</v>
      </c>
      <c r="FR16" s="548">
        <v>900</v>
      </c>
      <c r="FS16" s="544">
        <v>1000</v>
      </c>
      <c r="FT16" s="544">
        <v>1000</v>
      </c>
      <c r="FU16" s="545">
        <v>1000</v>
      </c>
      <c r="FV16" s="544">
        <f t="shared" ref="FV16" si="717">FV6/2</f>
        <v>1025</v>
      </c>
      <c r="FW16" s="544">
        <v>900</v>
      </c>
      <c r="FX16" s="546">
        <v>0</v>
      </c>
      <c r="FY16" s="547">
        <f t="shared" si="673"/>
        <v>4700</v>
      </c>
      <c r="FZ16" s="548">
        <f>FZ6/2</f>
        <v>0</v>
      </c>
      <c r="GA16" s="544">
        <v>800</v>
      </c>
      <c r="GB16" s="544">
        <v>1050</v>
      </c>
      <c r="GC16" s="545">
        <f t="shared" ref="GC16" si="718">GC6/2</f>
        <v>950</v>
      </c>
      <c r="GD16" s="544">
        <v>1050</v>
      </c>
      <c r="GE16" s="544">
        <v>850</v>
      </c>
      <c r="GF16" s="546">
        <v>0</v>
      </c>
      <c r="GG16" s="547">
        <f t="shared" si="674"/>
        <v>5700</v>
      </c>
      <c r="GH16" s="548">
        <v>900</v>
      </c>
      <c r="GI16" s="544">
        <v>950</v>
      </c>
      <c r="GJ16" s="544">
        <v>950</v>
      </c>
      <c r="GK16" s="545">
        <f t="shared" ref="GK16" si="719">GK6/2</f>
        <v>950</v>
      </c>
      <c r="GL16" s="544">
        <v>1050</v>
      </c>
      <c r="GM16" s="544">
        <v>900</v>
      </c>
      <c r="GN16" s="546">
        <v>0</v>
      </c>
      <c r="GO16" s="547">
        <f t="shared" si="676"/>
        <v>5850</v>
      </c>
      <c r="GP16" s="548">
        <v>900</v>
      </c>
      <c r="GQ16" s="544">
        <v>1000</v>
      </c>
      <c r="GR16" s="544">
        <v>1000</v>
      </c>
      <c r="GS16" s="545">
        <f t="shared" ref="GS16" si="720">GS6/2</f>
        <v>975</v>
      </c>
      <c r="GT16" s="544">
        <v>1050</v>
      </c>
      <c r="GU16" s="544">
        <v>925</v>
      </c>
      <c r="GV16" s="546">
        <v>0</v>
      </c>
      <c r="GW16" s="547">
        <f t="shared" si="678"/>
        <v>5750</v>
      </c>
      <c r="GX16" s="548">
        <v>950</v>
      </c>
      <c r="GY16" s="544">
        <f t="shared" ref="GY16:GZ16" si="721">GY6/2</f>
        <v>1000</v>
      </c>
      <c r="GZ16" s="544">
        <f t="shared" si="721"/>
        <v>1000</v>
      </c>
      <c r="HA16" s="545">
        <v>950</v>
      </c>
      <c r="HB16" s="544">
        <v>1000</v>
      </c>
      <c r="HC16" s="544">
        <v>850</v>
      </c>
      <c r="HD16" s="546">
        <v>0</v>
      </c>
      <c r="HE16" s="547">
        <f t="shared" si="680"/>
        <v>5325</v>
      </c>
      <c r="HF16" s="548">
        <v>900</v>
      </c>
      <c r="HG16" s="544">
        <f t="shared" ref="HG16:HH16" si="722">HG6/2</f>
        <v>950</v>
      </c>
      <c r="HH16" s="544">
        <f t="shared" si="722"/>
        <v>925</v>
      </c>
      <c r="HI16" s="545">
        <v>850</v>
      </c>
      <c r="HJ16" s="544">
        <v>950</v>
      </c>
      <c r="HK16" s="544">
        <v>750</v>
      </c>
      <c r="HL16" s="546">
        <v>0</v>
      </c>
      <c r="HM16" s="547">
        <f t="shared" si="682"/>
        <v>4975</v>
      </c>
      <c r="HN16" s="548">
        <v>850</v>
      </c>
      <c r="HO16" s="544">
        <v>850</v>
      </c>
      <c r="HP16" s="544">
        <f t="shared" ref="HP16:HQ16" si="723">HP6/2</f>
        <v>850</v>
      </c>
      <c r="HQ16" s="545">
        <f t="shared" si="723"/>
        <v>825</v>
      </c>
      <c r="HR16" s="544">
        <v>900</v>
      </c>
      <c r="HS16" s="544">
        <v>700</v>
      </c>
      <c r="HT16" s="546">
        <v>0</v>
      </c>
      <c r="HU16" s="547">
        <f t="shared" si="684"/>
        <v>4250</v>
      </c>
      <c r="HV16" s="548">
        <v>800</v>
      </c>
      <c r="HW16" s="544">
        <v>900</v>
      </c>
      <c r="HX16" s="544">
        <v>850</v>
      </c>
      <c r="HY16" s="545">
        <f t="shared" ref="HY16" si="724">HY6/2</f>
        <v>0</v>
      </c>
      <c r="HZ16" s="544">
        <v>1000</v>
      </c>
      <c r="IA16" s="544">
        <v>700</v>
      </c>
      <c r="IB16" s="546">
        <v>0</v>
      </c>
      <c r="IC16" s="547">
        <f t="shared" si="686"/>
        <v>4925</v>
      </c>
      <c r="ID16" s="548">
        <v>800</v>
      </c>
      <c r="IE16" s="544">
        <f t="shared" ref="IE16" si="725">IE6/2</f>
        <v>875</v>
      </c>
      <c r="IF16" s="544">
        <v>900</v>
      </c>
      <c r="IG16" s="545">
        <v>800</v>
      </c>
      <c r="IH16" s="544">
        <v>850</v>
      </c>
      <c r="II16" s="544">
        <v>700</v>
      </c>
      <c r="IJ16" s="546">
        <v>0</v>
      </c>
      <c r="IK16" s="547">
        <f t="shared" si="687"/>
        <v>4900</v>
      </c>
      <c r="IL16" s="548">
        <v>800</v>
      </c>
      <c r="IM16" s="544">
        <v>900</v>
      </c>
      <c r="IN16" s="544">
        <v>900</v>
      </c>
      <c r="IO16" s="545">
        <v>800</v>
      </c>
      <c r="IP16" s="544">
        <v>850</v>
      </c>
      <c r="IQ16" s="544">
        <v>650</v>
      </c>
      <c r="IR16" s="546">
        <v>0</v>
      </c>
      <c r="IS16" s="547">
        <f t="shared" si="688"/>
        <v>4925</v>
      </c>
      <c r="IT16" s="548">
        <v>800</v>
      </c>
      <c r="IU16" s="544">
        <v>850</v>
      </c>
      <c r="IV16" s="544">
        <v>850</v>
      </c>
      <c r="IW16" s="545">
        <v>850</v>
      </c>
      <c r="IX16" s="544">
        <v>875</v>
      </c>
      <c r="IY16" s="544">
        <v>700</v>
      </c>
      <c r="IZ16" s="546">
        <v>0</v>
      </c>
      <c r="JA16" s="547">
        <f t="shared" si="689"/>
        <v>4175</v>
      </c>
      <c r="JB16" s="548">
        <f>JB6/2</f>
        <v>0</v>
      </c>
      <c r="JC16" s="544">
        <v>800</v>
      </c>
      <c r="JD16" s="544">
        <v>900</v>
      </c>
      <c r="JE16" s="545">
        <f t="shared" ref="JE16" si="726">JE6/2</f>
        <v>875</v>
      </c>
      <c r="JF16" s="544">
        <v>900</v>
      </c>
      <c r="JG16" s="544">
        <v>700</v>
      </c>
      <c r="JH16" s="546">
        <v>0</v>
      </c>
      <c r="JI16" s="547">
        <f t="shared" si="691"/>
        <v>5400</v>
      </c>
      <c r="JJ16" s="548">
        <v>900</v>
      </c>
      <c r="JK16" s="544">
        <f t="shared" ref="JK16:JL16" si="727">JK6/2</f>
        <v>900</v>
      </c>
      <c r="JL16" s="544">
        <f t="shared" si="727"/>
        <v>900</v>
      </c>
      <c r="JM16" s="545">
        <v>900</v>
      </c>
      <c r="JN16" s="544">
        <v>1000</v>
      </c>
      <c r="JO16" s="544">
        <v>800</v>
      </c>
      <c r="JP16" s="546">
        <v>0</v>
      </c>
      <c r="JQ16" s="547">
        <f t="shared" si="693"/>
        <v>5800</v>
      </c>
      <c r="JR16" s="548">
        <v>950</v>
      </c>
      <c r="JS16" s="544">
        <v>1000</v>
      </c>
      <c r="JT16" s="544">
        <v>1000</v>
      </c>
      <c r="JU16" s="545">
        <v>950</v>
      </c>
      <c r="JV16" s="544">
        <v>1000</v>
      </c>
      <c r="JW16" s="544">
        <v>900</v>
      </c>
      <c r="JX16" s="546">
        <v>0</v>
      </c>
      <c r="JY16" s="547">
        <f t="shared" si="694"/>
        <v>5750</v>
      </c>
      <c r="JZ16" s="548">
        <v>950</v>
      </c>
      <c r="KA16" s="544">
        <v>1050</v>
      </c>
      <c r="KB16" s="544">
        <v>950</v>
      </c>
      <c r="KC16" s="545">
        <v>1000</v>
      </c>
      <c r="KD16" s="544">
        <v>950</v>
      </c>
      <c r="KE16" s="544">
        <v>850</v>
      </c>
      <c r="KF16" s="546">
        <v>0</v>
      </c>
      <c r="KG16" s="547">
        <f t="shared" si="695"/>
        <v>5650</v>
      </c>
      <c r="KH16" s="548">
        <v>950</v>
      </c>
      <c r="KI16" s="544">
        <v>950</v>
      </c>
      <c r="KJ16" s="544">
        <v>950</v>
      </c>
      <c r="KK16" s="545">
        <v>950</v>
      </c>
      <c r="KL16" s="544">
        <v>1000</v>
      </c>
      <c r="KM16" s="544">
        <v>850</v>
      </c>
      <c r="KN16" s="546">
        <v>0</v>
      </c>
      <c r="KO16" s="547">
        <f t="shared" si="696"/>
        <v>5300</v>
      </c>
      <c r="KP16" s="548">
        <v>950</v>
      </c>
      <c r="KQ16" s="544">
        <v>800</v>
      </c>
      <c r="KR16" s="544">
        <v>850</v>
      </c>
      <c r="KS16" s="545">
        <v>900</v>
      </c>
      <c r="KT16" s="544">
        <v>950</v>
      </c>
      <c r="KU16" s="544">
        <v>850</v>
      </c>
      <c r="KV16" s="546">
        <v>0</v>
      </c>
      <c r="KW16" s="547">
        <f t="shared" si="697"/>
        <v>5600</v>
      </c>
      <c r="KX16" s="548">
        <v>950</v>
      </c>
      <c r="KY16" s="544">
        <v>950</v>
      </c>
      <c r="KZ16" s="544">
        <v>950</v>
      </c>
      <c r="LA16" s="545">
        <v>900</v>
      </c>
      <c r="LB16" s="544">
        <v>1000</v>
      </c>
      <c r="LC16" s="544">
        <v>850</v>
      </c>
      <c r="LD16" s="546">
        <v>0</v>
      </c>
      <c r="LE16" s="547">
        <f t="shared" si="698"/>
        <v>5675</v>
      </c>
      <c r="LF16" s="548">
        <v>1000</v>
      </c>
      <c r="LG16" s="544">
        <v>950</v>
      </c>
      <c r="LH16" s="544">
        <v>1000</v>
      </c>
      <c r="LI16" s="545">
        <v>950</v>
      </c>
      <c r="LJ16" s="544">
        <v>975</v>
      </c>
      <c r="LK16" s="544">
        <v>800</v>
      </c>
      <c r="LL16" s="546">
        <v>0</v>
      </c>
      <c r="LM16" s="547">
        <f t="shared" si="699"/>
        <v>5850</v>
      </c>
      <c r="LN16" s="548">
        <v>1050</v>
      </c>
      <c r="LO16" s="544">
        <v>1000</v>
      </c>
      <c r="LP16" s="544">
        <v>1000</v>
      </c>
      <c r="LQ16" s="545">
        <v>950</v>
      </c>
      <c r="LR16" s="544">
        <v>1000</v>
      </c>
      <c r="LS16" s="544">
        <v>850</v>
      </c>
      <c r="LT16" s="546">
        <v>0</v>
      </c>
      <c r="LU16" s="547">
        <f t="shared" si="700"/>
        <v>5950</v>
      </c>
      <c r="LV16" s="548">
        <v>1050</v>
      </c>
      <c r="LW16" s="544">
        <v>1000</v>
      </c>
      <c r="LX16" s="544">
        <v>1000</v>
      </c>
      <c r="LY16" s="545">
        <v>950</v>
      </c>
      <c r="LZ16" s="544">
        <v>1050</v>
      </c>
      <c r="MA16" s="544">
        <v>900</v>
      </c>
      <c r="MB16" s="546">
        <v>0</v>
      </c>
      <c r="MC16" s="547">
        <f t="shared" si="701"/>
        <v>6125</v>
      </c>
      <c r="MD16" s="548">
        <v>1075</v>
      </c>
      <c r="ME16" s="544">
        <v>1050</v>
      </c>
      <c r="MF16" s="544">
        <v>1050</v>
      </c>
      <c r="MG16" s="545">
        <f t="shared" ref="MG16" si="728">MG6/2</f>
        <v>1000</v>
      </c>
      <c r="MH16" s="544">
        <v>1050</v>
      </c>
      <c r="MI16" s="544">
        <v>900</v>
      </c>
      <c r="MJ16" s="546">
        <v>0</v>
      </c>
      <c r="MK16" s="547">
        <f t="shared" si="702"/>
        <v>5150</v>
      </c>
      <c r="ML16" s="548">
        <v>1050</v>
      </c>
      <c r="MM16" s="544">
        <f t="shared" ref="MM16" si="729">MM6/2</f>
        <v>0</v>
      </c>
      <c r="MN16" s="544">
        <v>1100</v>
      </c>
      <c r="MO16" s="545">
        <v>1000</v>
      </c>
      <c r="MP16" s="544">
        <v>1050</v>
      </c>
      <c r="MQ16" s="544">
        <v>950</v>
      </c>
      <c r="MR16" s="546">
        <v>0</v>
      </c>
      <c r="MS16" s="547">
        <f t="shared" si="704"/>
        <v>5100</v>
      </c>
      <c r="MT16" s="548">
        <v>1100</v>
      </c>
      <c r="MU16" s="544">
        <v>1050</v>
      </c>
      <c r="MV16" s="544">
        <v>1100</v>
      </c>
      <c r="MW16" s="545">
        <v>1100</v>
      </c>
      <c r="MX16" s="544">
        <f t="shared" ref="MX16" si="730">MX6/2</f>
        <v>0</v>
      </c>
      <c r="MY16" s="544">
        <v>750</v>
      </c>
      <c r="MZ16" s="546">
        <v>0</v>
      </c>
      <c r="NA16" s="547">
        <f t="shared" si="706"/>
        <v>6100</v>
      </c>
      <c r="NB16" s="548">
        <v>1050</v>
      </c>
      <c r="NC16" s="544">
        <v>1100</v>
      </c>
      <c r="ND16" s="544">
        <v>1050</v>
      </c>
      <c r="NE16" s="545">
        <v>1000</v>
      </c>
      <c r="NF16" s="544">
        <v>1050</v>
      </c>
      <c r="NG16" s="544">
        <v>850</v>
      </c>
      <c r="NH16" s="546">
        <v>0</v>
      </c>
      <c r="NI16" s="547">
        <f t="shared" si="707"/>
        <v>6575</v>
      </c>
      <c r="NJ16" s="548">
        <v>1050</v>
      </c>
      <c r="NK16" s="544">
        <v>1125</v>
      </c>
      <c r="NL16" s="544">
        <v>1125</v>
      </c>
      <c r="NM16" s="544">
        <v>1125</v>
      </c>
      <c r="NN16" s="544">
        <v>1125</v>
      </c>
      <c r="NO16" s="544">
        <v>1025</v>
      </c>
      <c r="NP16" s="546">
        <v>0</v>
      </c>
      <c r="NQ16" s="547">
        <f t="shared" si="708"/>
        <v>6675</v>
      </c>
      <c r="NR16" s="548">
        <v>1125</v>
      </c>
      <c r="NS16" s="544">
        <v>1125</v>
      </c>
      <c r="NT16" s="544">
        <v>1125</v>
      </c>
      <c r="NU16" s="545">
        <v>1150</v>
      </c>
      <c r="NV16" s="544">
        <v>1100</v>
      </c>
      <c r="NW16" s="544">
        <v>1050</v>
      </c>
      <c r="NX16" s="546">
        <v>0</v>
      </c>
      <c r="NY16" s="547">
        <f t="shared" si="709"/>
        <v>6450</v>
      </c>
      <c r="NZ16" s="548">
        <v>1100</v>
      </c>
      <c r="OA16" s="544">
        <v>1125</v>
      </c>
      <c r="OB16" s="544">
        <v>1125</v>
      </c>
      <c r="OC16" s="545">
        <v>1050</v>
      </c>
      <c r="OD16" s="544">
        <v>1100</v>
      </c>
      <c r="OE16" s="544">
        <v>950</v>
      </c>
      <c r="OF16" s="546">
        <v>0</v>
      </c>
      <c r="OG16" s="547">
        <f t="shared" si="710"/>
        <v>6050</v>
      </c>
      <c r="OH16" s="548">
        <v>1100</v>
      </c>
      <c r="OI16" s="544">
        <v>1100</v>
      </c>
      <c r="OJ16" s="544">
        <v>1000</v>
      </c>
      <c r="OK16" s="545">
        <v>1000</v>
      </c>
      <c r="OL16" s="544">
        <v>1000</v>
      </c>
      <c r="OM16" s="544">
        <v>850</v>
      </c>
      <c r="ON16" s="546">
        <v>0</v>
      </c>
      <c r="OO16" s="547">
        <f t="shared" si="711"/>
        <v>5875</v>
      </c>
      <c r="OP16" s="548">
        <v>1100</v>
      </c>
      <c r="OQ16" s="544">
        <v>1200</v>
      </c>
      <c r="OR16" s="544">
        <v>1200</v>
      </c>
      <c r="OS16" s="545">
        <v>1200</v>
      </c>
      <c r="OT16" s="544">
        <v>1175</v>
      </c>
      <c r="OU16" s="544">
        <v>0</v>
      </c>
      <c r="OV16" s="546">
        <v>0</v>
      </c>
      <c r="OW16" s="547">
        <f t="shared" si="712"/>
        <v>6175</v>
      </c>
      <c r="OX16" s="548">
        <v>1175</v>
      </c>
      <c r="OY16" s="544">
        <v>1250</v>
      </c>
      <c r="OZ16" s="544">
        <v>1250</v>
      </c>
      <c r="PA16" s="545">
        <v>1250</v>
      </c>
      <c r="PB16" s="544">
        <v>1250</v>
      </c>
      <c r="PC16" s="544">
        <v>0</v>
      </c>
      <c r="PD16" s="546">
        <v>0</v>
      </c>
      <c r="PE16" s="547">
        <f t="shared" si="713"/>
        <v>6625</v>
      </c>
      <c r="PF16" s="548">
        <v>1175</v>
      </c>
      <c r="PG16" s="544">
        <v>1150</v>
      </c>
      <c r="PH16" s="544">
        <v>1150</v>
      </c>
      <c r="PI16" s="545">
        <v>1050</v>
      </c>
      <c r="PJ16" s="544">
        <v>1100</v>
      </c>
      <c r="PK16" s="544">
        <v>1000</v>
      </c>
      <c r="PL16" s="546">
        <v>0</v>
      </c>
    </row>
    <row r="17" spans="1:428" s="44" customFormat="1" ht="14.85" customHeight="1" x14ac:dyDescent="0.3">
      <c r="A17"/>
      <c r="B17" s="1021"/>
      <c r="C17" s="1004" t="s">
        <v>212</v>
      </c>
      <c r="D17" s="237" t="s">
        <v>216</v>
      </c>
      <c r="E17" s="555">
        <f>SUM(F17:L17)</f>
        <v>756861.72145534691</v>
      </c>
      <c r="F17" s="556">
        <f>SUM(F18:F20)</f>
        <v>74369.71364376237</v>
      </c>
      <c r="G17" s="553">
        <f t="shared" ref="G17:L17" si="731">SUM(G18:G20)</f>
        <v>133012.71395112149</v>
      </c>
      <c r="H17" s="553">
        <f t="shared" si="731"/>
        <v>132332.89386046308</v>
      </c>
      <c r="I17" s="553">
        <f t="shared" si="731"/>
        <v>118305</v>
      </c>
      <c r="J17" s="553">
        <f t="shared" si="731"/>
        <v>147015</v>
      </c>
      <c r="K17" s="553">
        <f t="shared" si="731"/>
        <v>141669</v>
      </c>
      <c r="L17" s="554">
        <f t="shared" si="731"/>
        <v>10157.4</v>
      </c>
      <c r="M17" s="555">
        <f>SUM(N17:T17)</f>
        <v>809507.00140692992</v>
      </c>
      <c r="N17" s="556">
        <f>SUM(N18:N20)</f>
        <v>107514.23618096906</v>
      </c>
      <c r="O17" s="553">
        <f t="shared" ref="O17:T17" si="732">SUM(O18:O20)</f>
        <v>127694.58855272703</v>
      </c>
      <c r="P17" s="553">
        <f t="shared" si="732"/>
        <v>122877.97667323389</v>
      </c>
      <c r="Q17" s="553">
        <f t="shared" si="732"/>
        <v>133749</v>
      </c>
      <c r="R17" s="553">
        <f t="shared" si="732"/>
        <v>157311</v>
      </c>
      <c r="S17" s="553">
        <f t="shared" si="732"/>
        <v>155281.5</v>
      </c>
      <c r="T17" s="554">
        <f t="shared" si="732"/>
        <v>5078.7</v>
      </c>
      <c r="U17" s="555">
        <f>SUM(V17:AB17)</f>
        <v>800351.23046355951</v>
      </c>
      <c r="V17" s="556">
        <f>SUM(V18:V20)</f>
        <v>112631.3181433935</v>
      </c>
      <c r="W17" s="553">
        <f t="shared" ref="W17:AB17" si="733">SUM(W18:W20)</f>
        <v>126410.76590602985</v>
      </c>
      <c r="X17" s="553">
        <f t="shared" si="733"/>
        <v>132550.04641413616</v>
      </c>
      <c r="Y17" s="553">
        <f t="shared" si="733"/>
        <v>121176</v>
      </c>
      <c r="Z17" s="553">
        <f t="shared" si="733"/>
        <v>154786.5</v>
      </c>
      <c r="AA17" s="553">
        <f t="shared" si="733"/>
        <v>147807</v>
      </c>
      <c r="AB17" s="554">
        <f t="shared" si="733"/>
        <v>4989.6000000000004</v>
      </c>
      <c r="AC17" s="555">
        <f>SUM(AD17:AJ17)</f>
        <v>793156.59436373808</v>
      </c>
      <c r="AD17" s="556">
        <f>SUM(AD18:AD20)</f>
        <v>110352.94568991775</v>
      </c>
      <c r="AE17" s="553">
        <f t="shared" ref="AE17:AJ17" si="734">SUM(AE18:AE20)</f>
        <v>121958.5670623581</v>
      </c>
      <c r="AF17" s="553">
        <f t="shared" si="734"/>
        <v>130680</v>
      </c>
      <c r="AG17" s="553">
        <f t="shared" si="734"/>
        <v>129472.63316490114</v>
      </c>
      <c r="AH17" s="553">
        <f t="shared" si="734"/>
        <v>148892.77197797032</v>
      </c>
      <c r="AI17" s="553">
        <f t="shared" si="734"/>
        <v>146807.14831145608</v>
      </c>
      <c r="AJ17" s="554">
        <f t="shared" si="734"/>
        <v>4992.5281571346832</v>
      </c>
      <c r="AK17" s="555">
        <f>SUM(AL17:AR17)</f>
        <v>817772.30495671206</v>
      </c>
      <c r="AL17" s="556">
        <f>SUM(AL18:AL20)</f>
        <v>113991.81410231513</v>
      </c>
      <c r="AM17" s="553">
        <f t="shared" ref="AM17:AR17" si="735">SUM(AM18:AM20)</f>
        <v>125862.07621972427</v>
      </c>
      <c r="AN17" s="553">
        <f t="shared" si="735"/>
        <v>132979.31488160219</v>
      </c>
      <c r="AO17" s="553">
        <f t="shared" si="735"/>
        <v>127659.1286295521</v>
      </c>
      <c r="AP17" s="553">
        <f t="shared" si="735"/>
        <v>153220.46959153196</v>
      </c>
      <c r="AQ17" s="553">
        <f t="shared" si="735"/>
        <v>154115.99954724422</v>
      </c>
      <c r="AR17" s="554">
        <f t="shared" si="735"/>
        <v>9943.5019847422391</v>
      </c>
      <c r="AS17" s="555">
        <f>SUM(AT17:AZ17)</f>
        <v>818310.09401619295</v>
      </c>
      <c r="AT17" s="556">
        <f>SUM(AT18:AT20)</f>
        <v>117498.57695714803</v>
      </c>
      <c r="AU17" s="553">
        <f t="shared" ref="AU17:AZ17" si="736">SUM(AU18:AU20)</f>
        <v>127988.42328321363</v>
      </c>
      <c r="AV17" s="553">
        <f t="shared" si="736"/>
        <v>135033.51623971894</v>
      </c>
      <c r="AW17" s="553">
        <f t="shared" si="736"/>
        <v>124186.1282133463</v>
      </c>
      <c r="AX17" s="553">
        <f t="shared" si="736"/>
        <v>155761.31008648424</v>
      </c>
      <c r="AY17" s="553">
        <f t="shared" si="736"/>
        <v>147244.16324859776</v>
      </c>
      <c r="AZ17" s="554">
        <f t="shared" si="736"/>
        <v>10597.975987684102</v>
      </c>
      <c r="BA17" s="555">
        <f>SUM(BB17:BH17)</f>
        <v>813597.0374572142</v>
      </c>
      <c r="BB17" s="556">
        <f>SUM(BB18:BB20)</f>
        <v>111182.63806426202</v>
      </c>
      <c r="BC17" s="553">
        <f t="shared" ref="BC17:BH17" si="737">SUM(BC18:BC20)</f>
        <v>129416.43925231395</v>
      </c>
      <c r="BD17" s="553">
        <f t="shared" si="737"/>
        <v>130324.56326398131</v>
      </c>
      <c r="BE17" s="553">
        <f t="shared" si="737"/>
        <v>124143.33926330844</v>
      </c>
      <c r="BF17" s="553">
        <f t="shared" si="737"/>
        <v>159020.80946635245</v>
      </c>
      <c r="BG17" s="553">
        <f t="shared" si="737"/>
        <v>148675.73765661498</v>
      </c>
      <c r="BH17" s="554">
        <f t="shared" si="737"/>
        <v>10833.510490381037</v>
      </c>
      <c r="BI17" s="555">
        <f>SUM(BJ17:BP17)</f>
        <v>799956.01419560239</v>
      </c>
      <c r="BJ17" s="556">
        <f>SUM(BJ18:BJ20)</f>
        <v>114340.10486977556</v>
      </c>
      <c r="BK17" s="553">
        <f t="shared" ref="BK17:BP17" si="738">SUM(BK18:BK20)</f>
        <v>121947.76584743116</v>
      </c>
      <c r="BL17" s="553">
        <f t="shared" si="738"/>
        <v>122497.35637022741</v>
      </c>
      <c r="BM17" s="553">
        <f t="shared" si="738"/>
        <v>125032.76049377091</v>
      </c>
      <c r="BN17" s="553">
        <f t="shared" si="738"/>
        <v>158413.13946294121</v>
      </c>
      <c r="BO17" s="553">
        <f t="shared" si="738"/>
        <v>152328.02663832181</v>
      </c>
      <c r="BP17" s="554">
        <f t="shared" si="738"/>
        <v>5396.8605131342547</v>
      </c>
      <c r="BQ17" s="555">
        <f>SUM(BR17:BX17)</f>
        <v>788763.54918883741</v>
      </c>
      <c r="BR17" s="556">
        <f>SUM(BR18:BR20)</f>
        <v>119799.10200146859</v>
      </c>
      <c r="BS17" s="553">
        <f t="shared" ref="BS17:BX17" si="739">SUM(BS18:BS20)</f>
        <v>116688.16545881375</v>
      </c>
      <c r="BT17" s="553">
        <f t="shared" si="739"/>
        <v>119315.19058111326</v>
      </c>
      <c r="BU17" s="553">
        <f t="shared" si="739"/>
        <v>120103.53457407633</v>
      </c>
      <c r="BV17" s="553">
        <f t="shared" si="739"/>
        <v>158013.85977430086</v>
      </c>
      <c r="BW17" s="553">
        <f t="shared" si="739"/>
        <v>149330.34448376248</v>
      </c>
      <c r="BX17" s="554">
        <f t="shared" si="739"/>
        <v>5513.3523153020842</v>
      </c>
      <c r="BY17" s="555">
        <f>SUM(BZ17:CF17)</f>
        <v>774955.26804440212</v>
      </c>
      <c r="BZ17" s="556">
        <f>SUM(BZ18:BZ20)</f>
        <v>113036.15615611977</v>
      </c>
      <c r="CA17" s="553">
        <f t="shared" ref="CA17:CF17" si="740">SUM(CA18:CA20)</f>
        <v>119626.63428999027</v>
      </c>
      <c r="CB17" s="553">
        <f t="shared" si="740"/>
        <v>117902.4373151004</v>
      </c>
      <c r="CC17" s="553">
        <f t="shared" si="740"/>
        <v>110438.17509044464</v>
      </c>
      <c r="CD17" s="553">
        <f t="shared" si="740"/>
        <v>158707.81284692694</v>
      </c>
      <c r="CE17" s="553">
        <f t="shared" si="740"/>
        <v>149705.0804278499</v>
      </c>
      <c r="CF17" s="554">
        <f t="shared" si="740"/>
        <v>5538.9719179702051</v>
      </c>
      <c r="CG17" s="555">
        <f>SUM(CH17:CN17)</f>
        <v>753995.56623040384</v>
      </c>
      <c r="CH17" s="556">
        <f>SUM(CH18:CH20)</f>
        <v>115961.27346793725</v>
      </c>
      <c r="CI17" s="553">
        <f t="shared" ref="CI17:CN17" si="741">SUM(CI18:CI20)</f>
        <v>113881.73400788737</v>
      </c>
      <c r="CJ17" s="553">
        <f t="shared" si="741"/>
        <v>117817.10837023305</v>
      </c>
      <c r="CK17" s="553">
        <f t="shared" si="741"/>
        <v>107695.77403392673</v>
      </c>
      <c r="CL17" s="553">
        <f t="shared" si="741"/>
        <v>147099.36608220005</v>
      </c>
      <c r="CM17" s="553">
        <f t="shared" si="741"/>
        <v>145872.85319243718</v>
      </c>
      <c r="CN17" s="554">
        <f t="shared" si="741"/>
        <v>5667.4570757822466</v>
      </c>
      <c r="CO17" s="555">
        <f>SUM(CP17:CV17)</f>
        <v>782107.11994524219</v>
      </c>
      <c r="CP17" s="556">
        <f>SUM(CP18:CP20)</f>
        <v>114152.66812053486</v>
      </c>
      <c r="CQ17" s="553">
        <f>SUM(CQ18:CQ20)</f>
        <v>116506.00483294629</v>
      </c>
      <c r="CR17" s="553">
        <f t="shared" ref="CR17:CV17" si="742">SUM(CR18:CR20)</f>
        <v>120080.66264750049</v>
      </c>
      <c r="CS17" s="553">
        <f t="shared" si="742"/>
        <v>113264.33914265406</v>
      </c>
      <c r="CT17" s="553">
        <f t="shared" si="742"/>
        <v>162765.30064909565</v>
      </c>
      <c r="CU17" s="553">
        <f t="shared" si="742"/>
        <v>149423.56643098584</v>
      </c>
      <c r="CV17" s="554">
        <f t="shared" si="742"/>
        <v>5914.5781215250299</v>
      </c>
      <c r="CW17" s="555">
        <f>SUM(CX17:DD17)</f>
        <v>793905.79019901669</v>
      </c>
      <c r="CX17" s="556">
        <f>SUM(CX18:CX20)</f>
        <v>116771.79790322777</v>
      </c>
      <c r="CY17" s="553">
        <f t="shared" ref="CY17:DD17" si="743">SUM(CY18:CY20)</f>
        <v>122038.56649793094</v>
      </c>
      <c r="CZ17" s="553">
        <f t="shared" si="743"/>
        <v>122653.59081375539</v>
      </c>
      <c r="DA17" s="553">
        <f t="shared" si="743"/>
        <v>121957.88990911341</v>
      </c>
      <c r="DB17" s="553">
        <f t="shared" si="743"/>
        <v>159282.84242182219</v>
      </c>
      <c r="DC17" s="553">
        <f t="shared" si="743"/>
        <v>145705.74355494126</v>
      </c>
      <c r="DD17" s="554">
        <f t="shared" si="743"/>
        <v>5495.3590982256919</v>
      </c>
      <c r="DE17" s="555">
        <f>SUM(DF17:DL17)</f>
        <v>768665.6156773566</v>
      </c>
      <c r="DF17" s="556">
        <f>SUM(DF18:DF20)</f>
        <v>113362.70663176008</v>
      </c>
      <c r="DG17" s="553">
        <f t="shared" ref="DG17:DL17" si="744">SUM(DG18:DG20)</f>
        <v>114525.16833252108</v>
      </c>
      <c r="DH17" s="553">
        <f t="shared" si="744"/>
        <v>115558.85014866246</v>
      </c>
      <c r="DI17" s="553">
        <f t="shared" si="744"/>
        <v>123693.24732839415</v>
      </c>
      <c r="DJ17" s="553">
        <f t="shared" si="744"/>
        <v>157139.82381566238</v>
      </c>
      <c r="DK17" s="553">
        <f t="shared" si="744"/>
        <v>138890.46032213073</v>
      </c>
      <c r="DL17" s="554">
        <f t="shared" si="744"/>
        <v>5495.3590982256919</v>
      </c>
      <c r="DM17" s="555">
        <f>SUM(DN17:DT17)</f>
        <v>800586.29965672665</v>
      </c>
      <c r="DN17" s="556">
        <f>SUM(DN18:DN20)</f>
        <v>115824.84779503549</v>
      </c>
      <c r="DO17" s="553">
        <f t="shared" ref="DO17:DT17" si="745">SUM(DO18:DO20)</f>
        <v>115826.99220894929</v>
      </c>
      <c r="DP17" s="553">
        <f t="shared" si="745"/>
        <v>117477.99992595441</v>
      </c>
      <c r="DQ17" s="553">
        <f t="shared" si="745"/>
        <v>124802.30080447267</v>
      </c>
      <c r="DR17" s="553">
        <f t="shared" si="745"/>
        <v>154278.22047668745</v>
      </c>
      <c r="DS17" s="553">
        <f t="shared" si="745"/>
        <v>145612.93897900492</v>
      </c>
      <c r="DT17" s="554">
        <f t="shared" si="745"/>
        <v>26762.999466622477</v>
      </c>
      <c r="DU17" s="555">
        <f>SUM(DV17:EB17)</f>
        <v>597718.00214434601</v>
      </c>
      <c r="DV17" s="556">
        <f>SUM(DV18:DV20)</f>
        <v>0</v>
      </c>
      <c r="DW17" s="553">
        <f t="shared" ref="DW17:EB17" si="746">SUM(DW18:DW20)</f>
        <v>64404.352447866062</v>
      </c>
      <c r="DX17" s="553">
        <f t="shared" si="746"/>
        <v>126332.68954372073</v>
      </c>
      <c r="DY17" s="553">
        <f t="shared" si="746"/>
        <v>117718.69507593301</v>
      </c>
      <c r="DZ17" s="553">
        <f t="shared" si="746"/>
        <v>148280.82687335758</v>
      </c>
      <c r="EA17" s="553">
        <f t="shared" si="746"/>
        <v>135643.97509139407</v>
      </c>
      <c r="EB17" s="554">
        <f t="shared" si="746"/>
        <v>5337.4631120745262</v>
      </c>
      <c r="EC17" s="555">
        <f>SUM(ED17:EJ17)</f>
        <v>733745.52335256408</v>
      </c>
      <c r="ED17" s="556">
        <f>SUM(ED18:ED20)</f>
        <v>106476.69824624961</v>
      </c>
      <c r="EE17" s="553">
        <f t="shared" ref="EE17:EJ17" si="747">SUM(EE18:EE20)</f>
        <v>110337.58746364272</v>
      </c>
      <c r="EF17" s="553">
        <f t="shared" si="747"/>
        <v>110951.40515325204</v>
      </c>
      <c r="EG17" s="553">
        <f t="shared" si="747"/>
        <v>111908.79065418096</v>
      </c>
      <c r="EH17" s="553">
        <f t="shared" si="747"/>
        <v>154360.90062966058</v>
      </c>
      <c r="EI17" s="553">
        <f t="shared" si="747"/>
        <v>139710.14120557817</v>
      </c>
      <c r="EJ17" s="554">
        <f t="shared" si="747"/>
        <v>0</v>
      </c>
      <c r="EK17" s="555">
        <f>SUM(EL17:ER17)</f>
        <v>801112.90061465045</v>
      </c>
      <c r="EL17" s="556">
        <f>SUM(EL18:EL20)</f>
        <v>116926.3355747223</v>
      </c>
      <c r="EM17" s="553">
        <f t="shared" ref="EM17:ER17" si="748">SUM(EM18:EM20)</f>
        <v>118734.45024055004</v>
      </c>
      <c r="EN17" s="553">
        <f t="shared" si="748"/>
        <v>117361.65582520771</v>
      </c>
      <c r="EO17" s="553">
        <f t="shared" si="748"/>
        <v>113048.79211691927</v>
      </c>
      <c r="EP17" s="553">
        <f t="shared" si="748"/>
        <v>170748.18069785996</v>
      </c>
      <c r="EQ17" s="553">
        <f t="shared" si="748"/>
        <v>158759.998479045</v>
      </c>
      <c r="ER17" s="554">
        <f t="shared" si="748"/>
        <v>5533.4876803461657</v>
      </c>
      <c r="ES17" s="555">
        <f>SUM(ET17:EZ17)</f>
        <v>850143.31997873075</v>
      </c>
      <c r="ET17" s="556">
        <f>SUM(ET18:ET20)</f>
        <v>123309.18545327341</v>
      </c>
      <c r="EU17" s="553">
        <f t="shared" ref="EU17:EZ17" si="749">SUM(EU18:EU20)</f>
        <v>129375.71784895862</v>
      </c>
      <c r="EV17" s="553">
        <f t="shared" si="749"/>
        <v>131316.22088419128</v>
      </c>
      <c r="EW17" s="553">
        <f t="shared" si="749"/>
        <v>126737.94118405948</v>
      </c>
      <c r="EX17" s="553">
        <f t="shared" si="749"/>
        <v>175388.95365070694</v>
      </c>
      <c r="EY17" s="553">
        <f t="shared" si="749"/>
        <v>158651.92675392795</v>
      </c>
      <c r="EZ17" s="554">
        <f t="shared" si="749"/>
        <v>5363.3742036130388</v>
      </c>
      <c r="FA17" s="555">
        <f>SUM(FB17:FH17)</f>
        <v>803035.04554353969</v>
      </c>
      <c r="FB17" s="556">
        <f>SUM(FB18:FB20)</f>
        <v>122106.21295484607</v>
      </c>
      <c r="FC17" s="553">
        <f t="shared" ref="FC17:FH17" si="750">SUM(FC18:FC20)</f>
        <v>123437.19096878005</v>
      </c>
      <c r="FD17" s="553">
        <f t="shared" si="750"/>
        <v>127863.68316628995</v>
      </c>
      <c r="FE17" s="553">
        <f t="shared" si="750"/>
        <v>125185.57401694555</v>
      </c>
      <c r="FF17" s="553">
        <f t="shared" si="750"/>
        <v>153682.15714455469</v>
      </c>
      <c r="FG17" s="553">
        <f t="shared" si="750"/>
        <v>145474.37907921954</v>
      </c>
      <c r="FH17" s="554">
        <f t="shared" si="750"/>
        <v>5285.8482129038284</v>
      </c>
      <c r="FI17" s="555">
        <f>SUM(FJ17:FP17)</f>
        <v>652302.19947057287</v>
      </c>
      <c r="FJ17" s="556">
        <f>SUM(FJ18:FJ20)</f>
        <v>109294.10467955499</v>
      </c>
      <c r="FK17" s="553">
        <f t="shared" ref="FK17:FP17" si="751">SUM(FK18:FK20)</f>
        <v>112615.03959600189</v>
      </c>
      <c r="FL17" s="553">
        <f t="shared" si="751"/>
        <v>116837.33226751312</v>
      </c>
      <c r="FM17" s="553">
        <f t="shared" si="751"/>
        <v>0</v>
      </c>
      <c r="FN17" s="553">
        <f t="shared" si="751"/>
        <v>138709.46504760382</v>
      </c>
      <c r="FO17" s="553">
        <f t="shared" si="751"/>
        <v>169581.76911947801</v>
      </c>
      <c r="FP17" s="554">
        <f t="shared" si="751"/>
        <v>5264.4887604209944</v>
      </c>
      <c r="FQ17" s="555">
        <f>SUM(FR17:FX17)</f>
        <v>807296.09129711555</v>
      </c>
      <c r="FR17" s="556">
        <f>SUM(FR18:FR20)</f>
        <v>122109.61446631583</v>
      </c>
      <c r="FS17" s="553">
        <f t="shared" ref="FS17:FX17" si="752">SUM(FS18:FS20)</f>
        <v>123772.77042725487</v>
      </c>
      <c r="FT17" s="553">
        <f t="shared" si="752"/>
        <v>127055.25527100186</v>
      </c>
      <c r="FU17" s="553">
        <f t="shared" si="752"/>
        <v>126934.38287983005</v>
      </c>
      <c r="FV17" s="553">
        <f t="shared" si="752"/>
        <v>153546.23793863892</v>
      </c>
      <c r="FW17" s="553">
        <f t="shared" si="752"/>
        <v>143744.02048343496</v>
      </c>
      <c r="FX17" s="554">
        <f t="shared" si="752"/>
        <v>10133.809830639146</v>
      </c>
      <c r="FY17" s="555">
        <f>SUM(FZ17:GF17)</f>
        <v>668344.17103111721</v>
      </c>
      <c r="FZ17" s="556">
        <f>SUM(FZ18:FZ20)</f>
        <v>0</v>
      </c>
      <c r="GA17" s="553">
        <f t="shared" ref="GA17:GF17" si="753">SUM(GA18:GA20)</f>
        <v>80826.798709357434</v>
      </c>
      <c r="GB17" s="553">
        <f t="shared" si="753"/>
        <v>138668.42437307991</v>
      </c>
      <c r="GC17" s="553">
        <f t="shared" si="753"/>
        <v>125592.37158810069</v>
      </c>
      <c r="GD17" s="553">
        <f t="shared" si="753"/>
        <v>164881.68739714328</v>
      </c>
      <c r="GE17" s="553">
        <f t="shared" si="753"/>
        <v>153186.80763670019</v>
      </c>
      <c r="GF17" s="554">
        <f t="shared" si="753"/>
        <v>5188.081326735637</v>
      </c>
      <c r="GG17" s="555">
        <f>SUM(GH17:GN17)</f>
        <v>819313.23626578634</v>
      </c>
      <c r="GH17" s="556">
        <f>SUM(GH18:GH20)</f>
        <v>117834.19170416184</v>
      </c>
      <c r="GI17" s="553">
        <f t="shared" ref="GI17:GN17" si="754">SUM(GI18:GI20)</f>
        <v>124294.32465634341</v>
      </c>
      <c r="GJ17" s="553">
        <f t="shared" si="754"/>
        <v>127490.94755770572</v>
      </c>
      <c r="GK17" s="553">
        <f t="shared" si="754"/>
        <v>124057.79498234167</v>
      </c>
      <c r="GL17" s="553">
        <f t="shared" si="754"/>
        <v>166414.18662747799</v>
      </c>
      <c r="GM17" s="553">
        <f t="shared" si="754"/>
        <v>154258.7211840502</v>
      </c>
      <c r="GN17" s="554">
        <f t="shared" si="754"/>
        <v>4963.0695537055572</v>
      </c>
      <c r="GO17" s="555">
        <f>SUM(GP17:GV17)</f>
        <v>808204.00078154728</v>
      </c>
      <c r="GP17" s="556">
        <f>SUM(GP18:GP20)</f>
        <v>104499.01630377077</v>
      </c>
      <c r="GQ17" s="553">
        <f t="shared" ref="GQ17:GV17" si="755">SUM(GQ18:GQ20)</f>
        <v>133983.18710308027</v>
      </c>
      <c r="GR17" s="553">
        <f t="shared" si="755"/>
        <v>126531.97229339238</v>
      </c>
      <c r="GS17" s="553">
        <f t="shared" si="755"/>
        <v>125614.62499112266</v>
      </c>
      <c r="GT17" s="553">
        <f t="shared" si="755"/>
        <v>162967.90266958263</v>
      </c>
      <c r="GU17" s="553">
        <f t="shared" si="755"/>
        <v>149660.96632847312</v>
      </c>
      <c r="GV17" s="554">
        <f t="shared" si="755"/>
        <v>4946.3310921255052</v>
      </c>
      <c r="GW17" s="555">
        <f>SUM(GX17:HD17)</f>
        <v>777731.61714728782</v>
      </c>
      <c r="GX17" s="556">
        <f>SUM(GX18:GX20)</f>
        <v>111520.90242924061</v>
      </c>
      <c r="GY17" s="553">
        <f t="shared" ref="GY17:HD17" si="756">SUM(GY18:GY20)</f>
        <v>123424.59759653977</v>
      </c>
      <c r="GZ17" s="553">
        <f t="shared" si="756"/>
        <v>125325.54841485065</v>
      </c>
      <c r="HA17" s="553">
        <f t="shared" si="756"/>
        <v>119140.36280334178</v>
      </c>
      <c r="HB17" s="553">
        <f t="shared" si="756"/>
        <v>152912.75219924148</v>
      </c>
      <c r="HC17" s="553">
        <f t="shared" si="756"/>
        <v>140313.62123086138</v>
      </c>
      <c r="HD17" s="554">
        <f t="shared" si="756"/>
        <v>5093.8324732121646</v>
      </c>
      <c r="HE17" s="555">
        <f>SUM(HF17:HL17)</f>
        <v>683121.78849280928</v>
      </c>
      <c r="HF17" s="556">
        <f>SUM(HF18:HF20)</f>
        <v>101427.32538376816</v>
      </c>
      <c r="HG17" s="553">
        <f t="shared" ref="HG17:HL17" si="757">SUM(HG18:HG20)</f>
        <v>111657.55624282858</v>
      </c>
      <c r="HH17" s="553">
        <f t="shared" si="757"/>
        <v>111153.40923171332</v>
      </c>
      <c r="HI17" s="553">
        <f t="shared" si="757"/>
        <v>101350.82098868565</v>
      </c>
      <c r="HJ17" s="553">
        <f t="shared" si="757"/>
        <v>136259.63589230651</v>
      </c>
      <c r="HK17" s="553">
        <f t="shared" si="757"/>
        <v>121273.0407535071</v>
      </c>
      <c r="HL17" s="554">
        <f t="shared" si="757"/>
        <v>0</v>
      </c>
      <c r="HM17" s="555">
        <f>SUM(HN17:HT17)</f>
        <v>635246.6271439374</v>
      </c>
      <c r="HN17" s="556">
        <f>SUM(HN18:HN20)</f>
        <v>95335.89495836047</v>
      </c>
      <c r="HO17" s="553">
        <f t="shared" ref="HO17:HT17" si="758">SUM(HO18:HO20)</f>
        <v>101889.89694665655</v>
      </c>
      <c r="HP17" s="553">
        <f t="shared" si="758"/>
        <v>99981.252857233732</v>
      </c>
      <c r="HQ17" s="553">
        <f t="shared" si="758"/>
        <v>99548.065133902288</v>
      </c>
      <c r="HR17" s="553">
        <f t="shared" si="758"/>
        <v>126279.3164514103</v>
      </c>
      <c r="HS17" s="553">
        <f t="shared" si="758"/>
        <v>112212.200796374</v>
      </c>
      <c r="HT17" s="554">
        <f t="shared" si="758"/>
        <v>0</v>
      </c>
      <c r="HU17" s="555">
        <f>SUM(HV17:IB17)</f>
        <v>534912.05371013656</v>
      </c>
      <c r="HV17" s="556">
        <f>SUM(HV18:HV20)</f>
        <v>89279.203690537222</v>
      </c>
      <c r="HW17" s="553">
        <f t="shared" ref="HW17:IB17" si="759">SUM(HW18:HW20)</f>
        <v>100186.09528613777</v>
      </c>
      <c r="HX17" s="553">
        <f t="shared" si="759"/>
        <v>97524.210482913171</v>
      </c>
      <c r="HY17" s="553">
        <f t="shared" si="759"/>
        <v>0</v>
      </c>
      <c r="HZ17" s="553">
        <f t="shared" si="759"/>
        <v>132103.91210715962</v>
      </c>
      <c r="IA17" s="553">
        <f t="shared" si="759"/>
        <v>115818.63214338882</v>
      </c>
      <c r="IB17" s="554">
        <f t="shared" si="759"/>
        <v>0</v>
      </c>
      <c r="IC17" s="555">
        <f>SUM(ID17:IJ17)</f>
        <v>610359.48071489413</v>
      </c>
      <c r="ID17" s="556">
        <f>SUM(ID18:ID20)</f>
        <v>88204.696903321179</v>
      </c>
      <c r="IE17" s="553">
        <f t="shared" ref="IE17:IJ17" si="760">SUM(IE18:IE20)</f>
        <v>101171.74201383867</v>
      </c>
      <c r="IF17" s="553">
        <f t="shared" si="760"/>
        <v>100346.66239732489</v>
      </c>
      <c r="IG17" s="553">
        <f t="shared" si="760"/>
        <v>96826.110219006383</v>
      </c>
      <c r="IH17" s="553">
        <f t="shared" si="760"/>
        <v>117924.91834087917</v>
      </c>
      <c r="II17" s="553">
        <f t="shared" si="760"/>
        <v>105885.3508405238</v>
      </c>
      <c r="IJ17" s="554">
        <f t="shared" si="760"/>
        <v>0</v>
      </c>
      <c r="IK17" s="555">
        <f>SUM(IL17:IR17)</f>
        <v>605273.42387096339</v>
      </c>
      <c r="IL17" s="556">
        <f>SUM(IL18:IL20)</f>
        <v>89973.256786554586</v>
      </c>
      <c r="IM17" s="553">
        <f t="shared" ref="IM17:IR17" si="761">SUM(IM18:IM20)</f>
        <v>97021.921581387476</v>
      </c>
      <c r="IN17" s="553">
        <f t="shared" si="761"/>
        <v>98863.732849269523</v>
      </c>
      <c r="IO17" s="553">
        <f t="shared" si="761"/>
        <v>94660.025252451756</v>
      </c>
      <c r="IP17" s="553">
        <f t="shared" si="761"/>
        <v>117443.74548871374</v>
      </c>
      <c r="IQ17" s="553">
        <f t="shared" si="761"/>
        <v>107310.74191258628</v>
      </c>
      <c r="IR17" s="554">
        <f t="shared" si="761"/>
        <v>0</v>
      </c>
      <c r="IS17" s="555">
        <f>SUM(IT17:IZ17)</f>
        <v>597389.94266424654</v>
      </c>
      <c r="IT17" s="556">
        <f>SUM(IT18:IT20)</f>
        <v>92749.227059504832</v>
      </c>
      <c r="IU17" s="553">
        <f t="shared" ref="IU17:IZ17" si="762">SUM(IU18:IU20)</f>
        <v>94892.170149439116</v>
      </c>
      <c r="IV17" s="553">
        <f t="shared" si="762"/>
        <v>96228.538171618944</v>
      </c>
      <c r="IW17" s="553">
        <f t="shared" si="762"/>
        <v>94411.182610224219</v>
      </c>
      <c r="IX17" s="553">
        <f t="shared" si="762"/>
        <v>112841.53414080713</v>
      </c>
      <c r="IY17" s="553">
        <f t="shared" si="762"/>
        <v>106267.29053265232</v>
      </c>
      <c r="IZ17" s="554">
        <f t="shared" si="762"/>
        <v>0</v>
      </c>
      <c r="JA17" s="555">
        <f>SUM(JB17:JH17)</f>
        <v>521411.33094689716</v>
      </c>
      <c r="JB17" s="556">
        <f>SUM(JB18:JB20)</f>
        <v>0</v>
      </c>
      <c r="JC17" s="553">
        <f t="shared" ref="JC17:JH17" si="763">SUM(JC18:JC20)</f>
        <v>77407.826482672739</v>
      </c>
      <c r="JD17" s="553">
        <f t="shared" si="763"/>
        <v>105691.00064836902</v>
      </c>
      <c r="JE17" s="553">
        <f t="shared" si="763"/>
        <v>100900.32357650285</v>
      </c>
      <c r="JF17" s="553">
        <f t="shared" si="763"/>
        <v>124420.12887160626</v>
      </c>
      <c r="JG17" s="553">
        <f t="shared" si="763"/>
        <v>112992.05136774629</v>
      </c>
      <c r="JH17" s="554">
        <f t="shared" si="763"/>
        <v>0</v>
      </c>
      <c r="JI17" s="555">
        <f>SUM(JJ17:JP17)</f>
        <v>727039.73191897583</v>
      </c>
      <c r="JJ17" s="556">
        <f>SUM(JJ18:JJ20)</f>
        <v>102127.22205283598</v>
      </c>
      <c r="JK17" s="553">
        <f t="shared" ref="JK17:JP17" si="764">SUM(JK18:JK20)</f>
        <v>105247.60769115787</v>
      </c>
      <c r="JL17" s="553">
        <f t="shared" si="764"/>
        <v>106582.92447225429</v>
      </c>
      <c r="JM17" s="553">
        <f t="shared" si="764"/>
        <v>110157.79804845489</v>
      </c>
      <c r="JN17" s="553">
        <f t="shared" si="764"/>
        <v>159289.33599570196</v>
      </c>
      <c r="JO17" s="553">
        <f t="shared" si="764"/>
        <v>143634.84365857078</v>
      </c>
      <c r="JP17" s="554">
        <f t="shared" si="764"/>
        <v>0</v>
      </c>
      <c r="JQ17" s="555">
        <f>SUM(JR17:JX17)</f>
        <v>803207.41189910332</v>
      </c>
      <c r="JR17" s="556">
        <f>SUM(JR18:JR20)</f>
        <v>117249.22936244746</v>
      </c>
      <c r="JS17" s="553">
        <f t="shared" ref="JS17:JX17" si="765">SUM(JS18:JS20)</f>
        <v>124670.96838009954</v>
      </c>
      <c r="JT17" s="553">
        <f t="shared" si="765"/>
        <v>124151.41326625994</v>
      </c>
      <c r="JU17" s="553">
        <f t="shared" si="765"/>
        <v>125626.3137456718</v>
      </c>
      <c r="JV17" s="553">
        <f t="shared" si="765"/>
        <v>162902.2681310591</v>
      </c>
      <c r="JW17" s="553">
        <f t="shared" si="765"/>
        <v>148607.21901356548</v>
      </c>
      <c r="JX17" s="554">
        <f t="shared" si="765"/>
        <v>0</v>
      </c>
      <c r="JY17" s="555">
        <f>SUM(JZ17:KF17)</f>
        <v>836126.34496076766</v>
      </c>
      <c r="JZ17" s="556">
        <f>SUM(JZ18:JZ20)</f>
        <v>125513.62077939698</v>
      </c>
      <c r="KA17" s="553">
        <f t="shared" ref="KA17:KF17" si="766">SUM(KA18:KA20)</f>
        <v>134308.55079588585</v>
      </c>
      <c r="KB17" s="553">
        <f t="shared" si="766"/>
        <v>134461.10418481714</v>
      </c>
      <c r="KC17" s="553">
        <f t="shared" si="766"/>
        <v>128922.57774949155</v>
      </c>
      <c r="KD17" s="553">
        <f t="shared" si="766"/>
        <v>163147.08713428289</v>
      </c>
      <c r="KE17" s="553">
        <f t="shared" si="766"/>
        <v>149773.40431689317</v>
      </c>
      <c r="KF17" s="554">
        <f t="shared" si="766"/>
        <v>0</v>
      </c>
      <c r="KG17" s="555">
        <f>SUM(KH17:KN17)</f>
        <v>818861.10705536662</v>
      </c>
      <c r="KH17" s="556">
        <f>SUM(KH18:KH20)</f>
        <v>126601.46965112483</v>
      </c>
      <c r="KI17" s="553">
        <f t="shared" ref="KI17:KN17" si="767">SUM(KI18:KI20)</f>
        <v>129842.13129775575</v>
      </c>
      <c r="KJ17" s="553">
        <f t="shared" si="767"/>
        <v>134050.77091238074</v>
      </c>
      <c r="KK17" s="553">
        <f t="shared" si="767"/>
        <v>126066.70950682368</v>
      </c>
      <c r="KL17" s="553">
        <f t="shared" si="767"/>
        <v>160950.17389266656</v>
      </c>
      <c r="KM17" s="553">
        <f t="shared" si="767"/>
        <v>141349.85179461504</v>
      </c>
      <c r="KN17" s="554">
        <f t="shared" si="767"/>
        <v>0</v>
      </c>
      <c r="KO17" s="555">
        <f>SUM(KP17:KV17)</f>
        <v>759815.52688707749</v>
      </c>
      <c r="KP17" s="556">
        <f>SUM(KP18:KP20)</f>
        <v>116667.88665735687</v>
      </c>
      <c r="KQ17" s="553">
        <f t="shared" ref="KQ17:KV17" si="768">SUM(KQ18:KQ20)</f>
        <v>106958.9640001603</v>
      </c>
      <c r="KR17" s="553">
        <f t="shared" si="768"/>
        <v>111781.68867090569</v>
      </c>
      <c r="KS17" s="553">
        <f t="shared" si="768"/>
        <v>125156.87282676672</v>
      </c>
      <c r="KT17" s="553">
        <f t="shared" si="768"/>
        <v>153048.51332926715</v>
      </c>
      <c r="KU17" s="553">
        <f t="shared" si="768"/>
        <v>146201.60140262081</v>
      </c>
      <c r="KV17" s="554">
        <f t="shared" si="768"/>
        <v>0</v>
      </c>
      <c r="KW17" s="555">
        <f>SUM(KX17:LD17)</f>
        <v>759345.67527866154</v>
      </c>
      <c r="KX17" s="556">
        <f>SUM(KX18:KX20)</f>
        <v>112509.1444871804</v>
      </c>
      <c r="KY17" s="553">
        <f t="shared" ref="KY17:LD17" si="769">SUM(KY18:KY20)</f>
        <v>119067.90311462295</v>
      </c>
      <c r="KZ17" s="553">
        <f t="shared" si="769"/>
        <v>121452.8384733175</v>
      </c>
      <c r="LA17" s="553">
        <f t="shared" si="769"/>
        <v>121258.84703247657</v>
      </c>
      <c r="LB17" s="553">
        <f t="shared" si="769"/>
        <v>147410.17261992954</v>
      </c>
      <c r="LC17" s="553">
        <f t="shared" si="769"/>
        <v>137646.76955113461</v>
      </c>
      <c r="LD17" s="554">
        <f t="shared" si="769"/>
        <v>0</v>
      </c>
      <c r="LE17" s="555">
        <f>SUM(LF17:LL17)</f>
        <v>778086.71288989612</v>
      </c>
      <c r="LF17" s="556">
        <f>SUM(LF18:LF20)</f>
        <v>118675.58750715235</v>
      </c>
      <c r="LG17" s="553">
        <f t="shared" ref="LG17:LL17" si="770">SUM(LG18:LG20)</f>
        <v>117786.30650407659</v>
      </c>
      <c r="LH17" s="553">
        <f t="shared" si="770"/>
        <v>124365.76758826012</v>
      </c>
      <c r="LI17" s="553">
        <f t="shared" si="770"/>
        <v>120521.69644367302</v>
      </c>
      <c r="LJ17" s="553">
        <f t="shared" si="770"/>
        <v>155890.99429404733</v>
      </c>
      <c r="LK17" s="553">
        <f t="shared" si="770"/>
        <v>140846.36055268676</v>
      </c>
      <c r="LL17" s="554">
        <f t="shared" si="770"/>
        <v>0</v>
      </c>
      <c r="LM17" s="555">
        <f>SUM(LN17:LT17)</f>
        <v>812618.11098025856</v>
      </c>
      <c r="LN17" s="556">
        <f>SUM(LN18:LN20)</f>
        <v>127429.5782139315</v>
      </c>
      <c r="LO17" s="553">
        <f t="shared" ref="LO17:LT17" si="771">SUM(LO18:LO20)</f>
        <v>124424.16263872423</v>
      </c>
      <c r="LP17" s="553">
        <f t="shared" si="771"/>
        <v>130123.61908302142</v>
      </c>
      <c r="LQ17" s="553">
        <f t="shared" si="771"/>
        <v>124187.26182766052</v>
      </c>
      <c r="LR17" s="553">
        <f t="shared" si="771"/>
        <v>157744.65354091497</v>
      </c>
      <c r="LS17" s="553">
        <f t="shared" si="771"/>
        <v>148708.83567600598</v>
      </c>
      <c r="LT17" s="554">
        <f t="shared" si="771"/>
        <v>0</v>
      </c>
      <c r="LU17" s="555">
        <f>SUM(LV17:MB17)</f>
        <v>810434.46902310615</v>
      </c>
      <c r="LV17" s="556">
        <f>SUM(LV18:LV20)</f>
        <v>125451.4490516434</v>
      </c>
      <c r="LW17" s="553">
        <f t="shared" ref="LW17:MB17" si="772">SUM(LW18:LW20)</f>
        <v>126028.7537916867</v>
      </c>
      <c r="LX17" s="553">
        <f t="shared" si="772"/>
        <v>124882.67169051041</v>
      </c>
      <c r="LY17" s="553">
        <f t="shared" si="772"/>
        <v>120132.34312151877</v>
      </c>
      <c r="LZ17" s="553">
        <f t="shared" si="772"/>
        <v>163855.68994420764</v>
      </c>
      <c r="MA17" s="553">
        <f t="shared" si="772"/>
        <v>150083.56142353913</v>
      </c>
      <c r="MB17" s="554">
        <f t="shared" si="772"/>
        <v>0</v>
      </c>
      <c r="MC17" s="555">
        <f>SUM(MD17:MJ17)</f>
        <v>815954.93158417416</v>
      </c>
      <c r="MD17" s="556">
        <f>SUM(MD18:MD20)</f>
        <v>133302.95787801009</v>
      </c>
      <c r="ME17" s="553">
        <f t="shared" ref="ME17:MJ17" si="773">SUM(ME18:ME20)</f>
        <v>129896.91867559566</v>
      </c>
      <c r="MF17" s="553">
        <f t="shared" si="773"/>
        <v>129060.40634565803</v>
      </c>
      <c r="MG17" s="553">
        <f t="shared" si="773"/>
        <v>123104.05043269633</v>
      </c>
      <c r="MH17" s="553">
        <f t="shared" si="773"/>
        <v>156591.34498078463</v>
      </c>
      <c r="MI17" s="553">
        <f t="shared" si="773"/>
        <v>143999.25327142948</v>
      </c>
      <c r="MJ17" s="554">
        <f t="shared" si="773"/>
        <v>0</v>
      </c>
      <c r="MK17" s="555">
        <f>SUM(ML17:MR17)</f>
        <v>710474.20830295654</v>
      </c>
      <c r="ML17" s="556">
        <f>SUM(ML18:ML20)</f>
        <v>127066.79376287907</v>
      </c>
      <c r="MM17" s="553">
        <f t="shared" ref="MM17:MR17" si="774">SUM(MM18:MM20)</f>
        <v>0</v>
      </c>
      <c r="MN17" s="553">
        <f t="shared" si="774"/>
        <v>123272.41464470551</v>
      </c>
      <c r="MO17" s="553">
        <f t="shared" si="774"/>
        <v>129953.11283826374</v>
      </c>
      <c r="MP17" s="553">
        <f t="shared" si="774"/>
        <v>170238.3814204185</v>
      </c>
      <c r="MQ17" s="553">
        <f t="shared" si="774"/>
        <v>159943.50563668978</v>
      </c>
      <c r="MR17" s="554">
        <f t="shared" si="774"/>
        <v>0</v>
      </c>
      <c r="MS17" s="555">
        <f>SUM(MT17:MZ17)</f>
        <v>698425.40735674812</v>
      </c>
      <c r="MT17" s="556">
        <f>SUM(MT18:MT20)</f>
        <v>134864.20102563515</v>
      </c>
      <c r="MU17" s="553">
        <f t="shared" ref="MU17:MZ17" si="775">SUM(MU18:MU20)</f>
        <v>141507.80447865621</v>
      </c>
      <c r="MV17" s="553">
        <f t="shared" si="775"/>
        <v>128051.23026679337</v>
      </c>
      <c r="MW17" s="553">
        <f t="shared" si="775"/>
        <v>151832.78245034916</v>
      </c>
      <c r="MX17" s="553">
        <f t="shared" si="775"/>
        <v>0</v>
      </c>
      <c r="MY17" s="553">
        <f t="shared" si="775"/>
        <v>142169.38913531421</v>
      </c>
      <c r="MZ17" s="554">
        <f t="shared" si="775"/>
        <v>0</v>
      </c>
      <c r="NA17" s="555">
        <f>SUM(NB17:NH17)</f>
        <v>843474.42231556261</v>
      </c>
      <c r="NB17" s="556">
        <f>SUM(NB18:NB20)</f>
        <v>128176.77594871874</v>
      </c>
      <c r="NC17" s="553">
        <f t="shared" ref="NC17:NH17" si="776">SUM(NC18:NC20)</f>
        <v>144158.14569797751</v>
      </c>
      <c r="ND17" s="553">
        <f t="shared" si="776"/>
        <v>139973.6598946263</v>
      </c>
      <c r="NE17" s="553">
        <f t="shared" si="776"/>
        <v>132429.94870631676</v>
      </c>
      <c r="NF17" s="553">
        <f t="shared" si="776"/>
        <v>157286.97560815242</v>
      </c>
      <c r="NG17" s="553">
        <f t="shared" si="776"/>
        <v>141448.9164597707</v>
      </c>
      <c r="NH17" s="554">
        <f t="shared" si="776"/>
        <v>0</v>
      </c>
      <c r="NI17" s="555">
        <f>SUM(NJ17:NP17)</f>
        <v>1005777.459477247</v>
      </c>
      <c r="NJ17" s="556">
        <f>SUM(NJ18:NJ20)</f>
        <v>125983.85702202411</v>
      </c>
      <c r="NK17" s="553">
        <f t="shared" ref="NK17:NP17" si="777">SUM(NK18:NK20)</f>
        <v>166895.68293278615</v>
      </c>
      <c r="NL17" s="553">
        <f t="shared" si="777"/>
        <v>171932.13952955857</v>
      </c>
      <c r="NM17" s="553">
        <f t="shared" si="777"/>
        <v>166548.74009189368</v>
      </c>
      <c r="NN17" s="553">
        <f t="shared" si="777"/>
        <v>193029.58848867213</v>
      </c>
      <c r="NO17" s="553">
        <f t="shared" si="777"/>
        <v>181387.45141231222</v>
      </c>
      <c r="NP17" s="554">
        <f t="shared" si="777"/>
        <v>0</v>
      </c>
      <c r="NQ17" s="555">
        <f>SUM(NR17:NX17)</f>
        <v>1029235.3364055962</v>
      </c>
      <c r="NR17" s="556">
        <f>SUM(NR18:NR20)</f>
        <v>157488.26892628282</v>
      </c>
      <c r="NS17" s="553">
        <f t="shared" ref="NS17:NX17" si="778">SUM(NS18:NS20)</f>
        <v>188330.78132482187</v>
      </c>
      <c r="NT17" s="553">
        <f t="shared" si="778"/>
        <v>180884.5194828044</v>
      </c>
      <c r="NU17" s="553">
        <f t="shared" si="778"/>
        <v>170315.41738622545</v>
      </c>
      <c r="NV17" s="553">
        <f t="shared" si="778"/>
        <v>172233.67432092744</v>
      </c>
      <c r="NW17" s="553">
        <f t="shared" si="778"/>
        <v>159982.67496453418</v>
      </c>
      <c r="NX17" s="554">
        <f t="shared" si="778"/>
        <v>0</v>
      </c>
      <c r="NY17" s="555">
        <f>SUM(NZ17:OF17)</f>
        <v>863871.14764978981</v>
      </c>
      <c r="NZ17" s="556">
        <f>SUM(NZ18:NZ20)</f>
        <v>132739.98185096344</v>
      </c>
      <c r="OA17" s="553">
        <f t="shared" ref="OA17:OF17" si="779">SUM(OA18:OA20)</f>
        <v>145761.75324381769</v>
      </c>
      <c r="OB17" s="553">
        <f t="shared" si="779"/>
        <v>149190.01353212181</v>
      </c>
      <c r="OC17" s="553">
        <f t="shared" si="779"/>
        <v>133192.6323224144</v>
      </c>
      <c r="OD17" s="553">
        <f t="shared" si="779"/>
        <v>157617.39828539541</v>
      </c>
      <c r="OE17" s="553">
        <f t="shared" si="779"/>
        <v>145369.3684150771</v>
      </c>
      <c r="OF17" s="554">
        <f t="shared" si="779"/>
        <v>0</v>
      </c>
      <c r="OG17" s="555">
        <f>SUM(OH17:ON17)</f>
        <v>825297.75493882305</v>
      </c>
      <c r="OH17" s="556">
        <f>SUM(OH18:OH20)</f>
        <v>125502.4420331757</v>
      </c>
      <c r="OI17" s="553">
        <f t="shared" ref="OI17:ON17" si="780">SUM(OI18:OI20)</f>
        <v>136914.98107454702</v>
      </c>
      <c r="OJ17" s="553">
        <f t="shared" si="780"/>
        <v>130857.09576206413</v>
      </c>
      <c r="OK17" s="553">
        <f t="shared" si="780"/>
        <v>124648.0751322002</v>
      </c>
      <c r="OL17" s="553">
        <f t="shared" si="780"/>
        <v>162596.50802225791</v>
      </c>
      <c r="OM17" s="553">
        <f t="shared" si="780"/>
        <v>144778.65291457807</v>
      </c>
      <c r="ON17" s="554">
        <f t="shared" si="780"/>
        <v>0</v>
      </c>
      <c r="OO17" s="555">
        <f>SUM(OP17:OV17)</f>
        <v>976792.65750000009</v>
      </c>
      <c r="OP17" s="556">
        <f>SUM(OP18:OP20)</f>
        <v>134221.72500000001</v>
      </c>
      <c r="OQ17" s="553">
        <f t="shared" ref="OQ17:OV17" si="781">SUM(OQ18:OQ20)</f>
        <v>163892.52000000002</v>
      </c>
      <c r="OR17" s="553">
        <f t="shared" si="781"/>
        <v>158332.68000000002</v>
      </c>
      <c r="OS17" s="553">
        <f t="shared" si="781"/>
        <v>190307.69999999998</v>
      </c>
      <c r="OT17" s="553">
        <f t="shared" si="781"/>
        <v>199653.30000000002</v>
      </c>
      <c r="OU17" s="553">
        <f t="shared" si="781"/>
        <v>130384.7325</v>
      </c>
      <c r="OV17" s="554">
        <f t="shared" si="781"/>
        <v>0</v>
      </c>
      <c r="OW17" s="555">
        <f>SUM(OX17:PD17)</f>
        <v>915466.8600000001</v>
      </c>
      <c r="OX17" s="556">
        <f>SUM(OX18:OX20)</f>
        <v>106646.5125</v>
      </c>
      <c r="OY17" s="553">
        <f t="shared" ref="OY17:PD17" si="782">SUM(OY18:OY20)</f>
        <v>155528.01</v>
      </c>
      <c r="OZ17" s="553">
        <f t="shared" si="782"/>
        <v>158046.32250000001</v>
      </c>
      <c r="PA17" s="553">
        <f t="shared" si="782"/>
        <v>176221.23749999999</v>
      </c>
      <c r="PB17" s="553">
        <f t="shared" si="782"/>
        <v>196268.73749999999</v>
      </c>
      <c r="PC17" s="553">
        <f t="shared" si="782"/>
        <v>122756.04000000001</v>
      </c>
      <c r="PD17" s="554">
        <f t="shared" si="782"/>
        <v>0</v>
      </c>
      <c r="PE17" s="555">
        <f t="shared" si="713"/>
        <v>825165</v>
      </c>
      <c r="PF17" s="556">
        <f t="shared" ref="PF17:PL17" si="783">SUM(PF18:PF20)</f>
        <v>109716.75</v>
      </c>
      <c r="PG17" s="553">
        <f t="shared" si="783"/>
        <v>140406.75</v>
      </c>
      <c r="PH17" s="553">
        <f t="shared" si="783"/>
        <v>139342.5</v>
      </c>
      <c r="PI17" s="553">
        <f t="shared" si="783"/>
        <v>129640.5</v>
      </c>
      <c r="PJ17" s="553">
        <f t="shared" si="783"/>
        <v>157806</v>
      </c>
      <c r="PK17" s="553">
        <f t="shared" si="783"/>
        <v>148252.5</v>
      </c>
      <c r="PL17" s="554">
        <f t="shared" si="783"/>
        <v>0</v>
      </c>
    </row>
    <row r="18" spans="1:428" s="44" customFormat="1" ht="14.85" customHeight="1" x14ac:dyDescent="0.3">
      <c r="A18"/>
      <c r="B18" s="1021"/>
      <c r="C18" s="1005"/>
      <c r="D18" s="374" t="s">
        <v>208</v>
      </c>
      <c r="E18" s="557">
        <f>SUM(F18:L18)</f>
        <v>209176.94121350595</v>
      </c>
      <c r="F18" s="544">
        <f>F14*F7*$D$1</f>
        <v>30254.192106501927</v>
      </c>
      <c r="G18" s="544">
        <f t="shared" ref="G18:L18" si="784">G14*G7*$D$1</f>
        <v>30839.434587972304</v>
      </c>
      <c r="H18" s="544">
        <f t="shared" si="784"/>
        <v>28491.31451903173</v>
      </c>
      <c r="I18" s="544">
        <f t="shared" si="784"/>
        <v>24255</v>
      </c>
      <c r="J18" s="544">
        <f t="shared" si="784"/>
        <v>48114</v>
      </c>
      <c r="K18" s="544">
        <f t="shared" si="784"/>
        <v>47223.000000000007</v>
      </c>
      <c r="L18" s="544">
        <f t="shared" si="784"/>
        <v>0</v>
      </c>
      <c r="M18" s="557">
        <f>SUM(N18:T18)</f>
        <v>204128.06130498889</v>
      </c>
      <c r="N18" s="544">
        <f>N14*N7*$D$1</f>
        <v>29692.050509019762</v>
      </c>
      <c r="O18" s="544">
        <f t="shared" ref="O18:T18" si="785">O14*O7*$D$1</f>
        <v>25200.780835224981</v>
      </c>
      <c r="P18" s="544">
        <f t="shared" si="785"/>
        <v>25386.229960744153</v>
      </c>
      <c r="Q18" s="544">
        <f t="shared" si="785"/>
        <v>30293.999999999996</v>
      </c>
      <c r="R18" s="544">
        <f t="shared" si="785"/>
        <v>46331.999999999993</v>
      </c>
      <c r="S18" s="544">
        <f t="shared" si="785"/>
        <v>47223.000000000007</v>
      </c>
      <c r="T18" s="544">
        <f t="shared" si="785"/>
        <v>0</v>
      </c>
      <c r="U18" s="557">
        <f>SUM(V18:AB18)</f>
        <v>217501.3945097549</v>
      </c>
      <c r="V18" s="544">
        <f>V14*V7*$D$1</f>
        <v>32691.75584870985</v>
      </c>
      <c r="W18" s="544">
        <f t="shared" ref="W18:AB18" si="786">W14*W7*$D$1</f>
        <v>27009.58157638611</v>
      </c>
      <c r="X18" s="544">
        <f t="shared" si="786"/>
        <v>30535.557084658929</v>
      </c>
      <c r="Y18" s="544">
        <f t="shared" si="786"/>
        <v>28512.000000000004</v>
      </c>
      <c r="Z18" s="544">
        <f t="shared" si="786"/>
        <v>49846.5</v>
      </c>
      <c r="AA18" s="544">
        <f t="shared" si="786"/>
        <v>48906</v>
      </c>
      <c r="AB18" s="544">
        <f t="shared" si="786"/>
        <v>0</v>
      </c>
      <c r="AC18" s="557">
        <f>SUM(AD18:AJ18)</f>
        <v>206153.07130027201</v>
      </c>
      <c r="AD18" s="544">
        <f>AD14*AD7*$D$1</f>
        <v>30521.108955223881</v>
      </c>
      <c r="AE18" s="544">
        <f t="shared" ref="AE18:AJ18" si="787">AE14*AE7*$D$1</f>
        <v>26515.883720930236</v>
      </c>
      <c r="AF18" s="544">
        <f t="shared" si="787"/>
        <v>28512.000000000004</v>
      </c>
      <c r="AG18" s="544">
        <f t="shared" si="787"/>
        <v>25568.672392377604</v>
      </c>
      <c r="AH18" s="544">
        <f t="shared" si="787"/>
        <v>43708.124521707839</v>
      </c>
      <c r="AI18" s="544">
        <f t="shared" si="787"/>
        <v>51327.281710032446</v>
      </c>
      <c r="AJ18" s="544">
        <f t="shared" si="787"/>
        <v>0</v>
      </c>
      <c r="AK18" s="557">
        <f>SUM(AL18:AR18)</f>
        <v>213143.69524931558</v>
      </c>
      <c r="AL18" s="544">
        <f>AL14*AL7*$D$1</f>
        <v>35097.011522713081</v>
      </c>
      <c r="AM18" s="544">
        <f t="shared" ref="AM18:AR18" si="788">AM14*AM7*$D$1</f>
        <v>26558.853861888449</v>
      </c>
      <c r="AN18" s="544">
        <f t="shared" si="788"/>
        <v>27405.499317687227</v>
      </c>
      <c r="AO18" s="544">
        <f t="shared" si="788"/>
        <v>23807.82795653999</v>
      </c>
      <c r="AP18" s="544">
        <f t="shared" si="788"/>
        <v>47772.286335863588</v>
      </c>
      <c r="AQ18" s="544">
        <f t="shared" si="788"/>
        <v>52502.216254623265</v>
      </c>
      <c r="AR18" s="544">
        <f t="shared" si="788"/>
        <v>0</v>
      </c>
      <c r="AS18" s="557">
        <f>SUM(AT18:AZ18)</f>
        <v>210745.76987024772</v>
      </c>
      <c r="AT18" s="544">
        <f>AT14*AT7*$D$1</f>
        <v>35629.901169395729</v>
      </c>
      <c r="AU18" s="544">
        <f t="shared" ref="AU18:AZ18" si="789">AU14*AU7*$D$1</f>
        <v>25030.055611060357</v>
      </c>
      <c r="AV18" s="544">
        <f t="shared" si="789"/>
        <v>28135.776138495294</v>
      </c>
      <c r="AW18" s="544">
        <f t="shared" si="789"/>
        <v>21367.627919153052</v>
      </c>
      <c r="AX18" s="544">
        <f t="shared" si="789"/>
        <v>50682.350032200848</v>
      </c>
      <c r="AY18" s="544">
        <f t="shared" si="789"/>
        <v>49900.058999942448</v>
      </c>
      <c r="AZ18" s="544">
        <f t="shared" si="789"/>
        <v>0</v>
      </c>
      <c r="BA18" s="557">
        <f>SUM(BB18:BH18)</f>
        <v>211722.36599616986</v>
      </c>
      <c r="BB18" s="544">
        <f>BB14*BB7*$D$1</f>
        <v>35495.170647261046</v>
      </c>
      <c r="BC18" s="544">
        <f t="shared" ref="BC18:BH18" si="790">BC14*BC7*$D$1</f>
        <v>24459.293385409706</v>
      </c>
      <c r="BD18" s="544">
        <f t="shared" si="790"/>
        <v>25074.755422035349</v>
      </c>
      <c r="BE18" s="544">
        <f t="shared" si="790"/>
        <v>24554.888554377721</v>
      </c>
      <c r="BF18" s="544">
        <f t="shared" si="790"/>
        <v>51773.521449777218</v>
      </c>
      <c r="BG18" s="544">
        <f t="shared" si="790"/>
        <v>50364.73653730884</v>
      </c>
      <c r="BH18" s="544">
        <f t="shared" si="790"/>
        <v>0</v>
      </c>
      <c r="BI18" s="557">
        <f>SUM(BJ18:BP18)</f>
        <v>207127.34109569731</v>
      </c>
      <c r="BJ18" s="544">
        <f>BJ14*BJ7*$D$1</f>
        <v>33699.165819600603</v>
      </c>
      <c r="BK18" s="544">
        <f t="shared" ref="BK18:BP18" si="791">BK14*BK7*$D$1</f>
        <v>24910.351965721937</v>
      </c>
      <c r="BL18" s="544">
        <f t="shared" si="791"/>
        <v>23739.380640559513</v>
      </c>
      <c r="BM18" s="544">
        <f t="shared" si="791"/>
        <v>24367.919491562774</v>
      </c>
      <c r="BN18" s="544">
        <f t="shared" si="791"/>
        <v>51073.679143360561</v>
      </c>
      <c r="BO18" s="544">
        <f t="shared" si="791"/>
        <v>49336.844034891939</v>
      </c>
      <c r="BP18" s="544">
        <f t="shared" si="791"/>
        <v>0</v>
      </c>
      <c r="BQ18" s="557">
        <f>SUM(BR18:BX18)</f>
        <v>209023.71890334715</v>
      </c>
      <c r="BR18" s="544">
        <f>BR14*BR7*$D$1</f>
        <v>37581.350345735722</v>
      </c>
      <c r="BS18" s="544">
        <f t="shared" ref="BS18:BX18" si="792">BS14*BS7*$D$1</f>
        <v>22416.04875954521</v>
      </c>
      <c r="BT18" s="544">
        <f t="shared" si="792"/>
        <v>23493.150451903599</v>
      </c>
      <c r="BU18" s="544">
        <f t="shared" si="792"/>
        <v>21815.608943765495</v>
      </c>
      <c r="BV18" s="544">
        <f t="shared" si="792"/>
        <v>55125.128833169954</v>
      </c>
      <c r="BW18" s="544">
        <f t="shared" si="792"/>
        <v>48592.431569227148</v>
      </c>
      <c r="BX18" s="544">
        <f t="shared" si="792"/>
        <v>0</v>
      </c>
      <c r="BY18" s="557">
        <f>SUM(BZ18:CF18)</f>
        <v>208900.04183650136</v>
      </c>
      <c r="BZ18" s="544">
        <f>BZ14*BZ7*$D$1</f>
        <v>35273.738654157831</v>
      </c>
      <c r="CA18" s="544">
        <f t="shared" ref="CA18:CF18" si="793">CA14*CA7*$D$1</f>
        <v>23788.174489603756</v>
      </c>
      <c r="CB18" s="544">
        <f t="shared" si="793"/>
        <v>24068.257522866617</v>
      </c>
      <c r="CC18" s="544">
        <f t="shared" si="793"/>
        <v>21869.995841317283</v>
      </c>
      <c r="CD18" s="544">
        <f t="shared" si="793"/>
        <v>52750.622835454742</v>
      </c>
      <c r="CE18" s="544">
        <f t="shared" si="793"/>
        <v>51149.25249310115</v>
      </c>
      <c r="CF18" s="544">
        <f t="shared" si="793"/>
        <v>0</v>
      </c>
      <c r="CG18" s="557">
        <f>SUM(CH18:CN18)</f>
        <v>196379.07924115239</v>
      </c>
      <c r="CH18" s="544">
        <f>CH14*CH7*$D$1</f>
        <v>35361.67702963006</v>
      </c>
      <c r="CI18" s="544">
        <f t="shared" ref="CI18:CN18" si="794">CI14*CI7*$D$1</f>
        <v>20452.539403182182</v>
      </c>
      <c r="CJ18" s="544">
        <f t="shared" si="794"/>
        <v>21533.531878318714</v>
      </c>
      <c r="CK18" s="544">
        <f t="shared" si="794"/>
        <v>21197.970779591775</v>
      </c>
      <c r="CL18" s="544">
        <f t="shared" si="794"/>
        <v>48229.264075428197</v>
      </c>
      <c r="CM18" s="544">
        <f t="shared" si="794"/>
        <v>49604.096075001464</v>
      </c>
      <c r="CN18" s="544">
        <f t="shared" si="794"/>
        <v>0</v>
      </c>
      <c r="CO18" s="557">
        <f>SUM(CP18:CV18)</f>
        <v>207408.94200263263</v>
      </c>
      <c r="CP18" s="544">
        <f>CP14*CP7*$D$1</f>
        <v>34228.265483658768</v>
      </c>
      <c r="CQ18" s="544">
        <f t="shared" ref="CQ18:CV18" si="795">CQ14*CQ7*$D$1</f>
        <v>22894.725811792796</v>
      </c>
      <c r="CR18" s="544">
        <f t="shared" si="795"/>
        <v>24107.427013393692</v>
      </c>
      <c r="CS18" s="544">
        <f t="shared" si="795"/>
        <v>22238.159624593329</v>
      </c>
      <c r="CT18" s="544">
        <f t="shared" si="795"/>
        <v>50965.974963711938</v>
      </c>
      <c r="CU18" s="544">
        <f t="shared" si="795"/>
        <v>52974.389105482107</v>
      </c>
      <c r="CV18" s="544">
        <f t="shared" si="795"/>
        <v>0</v>
      </c>
      <c r="CW18" s="557">
        <f>SUM(CX18:DD18)</f>
        <v>199675.22702351405</v>
      </c>
      <c r="CX18" s="544">
        <f>CX14*CX7*$D$1</f>
        <v>33853.389954030063</v>
      </c>
      <c r="CY18" s="544">
        <f t="shared" ref="CY18:DD18" si="796">CY14*CY7*$D$1</f>
        <v>23242.574886902152</v>
      </c>
      <c r="CZ18" s="544">
        <f t="shared" si="796"/>
        <v>21785.235511707422</v>
      </c>
      <c r="DA18" s="544">
        <f t="shared" si="796"/>
        <v>23944.221613794569</v>
      </c>
      <c r="DB18" s="544">
        <f t="shared" si="796"/>
        <v>50116.130549156842</v>
      </c>
      <c r="DC18" s="544">
        <f t="shared" si="796"/>
        <v>46733.67450792301</v>
      </c>
      <c r="DD18" s="544">
        <f t="shared" si="796"/>
        <v>0</v>
      </c>
      <c r="DE18" s="557">
        <f>SUM(DF18:DL18)</f>
        <v>202549.06707972655</v>
      </c>
      <c r="DF18" s="544">
        <f>DF14*DF7*$D$1</f>
        <v>33210.027593522056</v>
      </c>
      <c r="DG18" s="544">
        <f t="shared" ref="DG18:DL18" si="797">DG14*DG7*$D$1</f>
        <v>21966.891797925931</v>
      </c>
      <c r="DH18" s="544">
        <f t="shared" si="797"/>
        <v>23243.497156584308</v>
      </c>
      <c r="DI18" s="544">
        <f t="shared" si="797"/>
        <v>24645.63280174488</v>
      </c>
      <c r="DJ18" s="544">
        <f t="shared" si="797"/>
        <v>51758.860621080428</v>
      </c>
      <c r="DK18" s="544">
        <f t="shared" si="797"/>
        <v>47724.157108868938</v>
      </c>
      <c r="DL18" s="544">
        <f t="shared" si="797"/>
        <v>0</v>
      </c>
      <c r="DM18" s="557">
        <f>SUM(DN18:DT18)</f>
        <v>211450.58959512043</v>
      </c>
      <c r="DN18" s="544">
        <f>DN14*DN7*$D$1</f>
        <v>35571.154639335415</v>
      </c>
      <c r="DO18" s="544">
        <f t="shared" ref="DO18:DT18" si="798">DO14*DO7*$D$1</f>
        <v>24151.006640172451</v>
      </c>
      <c r="DP18" s="544">
        <f t="shared" si="798"/>
        <v>25433.639265909231</v>
      </c>
      <c r="DQ18" s="544">
        <f t="shared" si="798"/>
        <v>25754.686277823403</v>
      </c>
      <c r="DR18" s="544">
        <f t="shared" si="798"/>
        <v>51346.761184592564</v>
      </c>
      <c r="DS18" s="544">
        <f t="shared" si="798"/>
        <v>49193.341587287367</v>
      </c>
      <c r="DT18" s="544">
        <f t="shared" si="798"/>
        <v>0</v>
      </c>
      <c r="DU18" s="557">
        <f>SUM(DV18:EB18)</f>
        <v>175780.36756521626</v>
      </c>
      <c r="DV18" s="544">
        <f>DV14*DV7*$D$1</f>
        <v>0</v>
      </c>
      <c r="DW18" s="544">
        <f t="shared" ref="DW18:EB18" si="799">DW14*DW7*$D$1</f>
        <v>36892.637361262801</v>
      </c>
      <c r="DX18" s="544">
        <f t="shared" si="799"/>
        <v>25413.690953699705</v>
      </c>
      <c r="DY18" s="544">
        <f t="shared" si="799"/>
        <v>25782.231575004942</v>
      </c>
      <c r="DZ18" s="544">
        <f t="shared" si="799"/>
        <v>46531.624617164765</v>
      </c>
      <c r="EA18" s="544">
        <f t="shared" si="799"/>
        <v>41160.183058084061</v>
      </c>
      <c r="EB18" s="544">
        <f t="shared" si="799"/>
        <v>0</v>
      </c>
      <c r="EC18" s="557">
        <f>SUM(ED18:EJ18)</f>
        <v>185702.38182721075</v>
      </c>
      <c r="ED18" s="544">
        <f>ED14*ED7*$D$1</f>
        <v>30264.231880276642</v>
      </c>
      <c r="EE18" s="544">
        <f t="shared" ref="EE18:EJ18" si="800">EE14*EE7*$D$1</f>
        <v>21429.122718218241</v>
      </c>
      <c r="EF18" s="544">
        <f t="shared" si="800"/>
        <v>20949.250883968929</v>
      </c>
      <c r="EG18" s="544">
        <f t="shared" si="800"/>
        <v>21768.107903512937</v>
      </c>
      <c r="EH18" s="544">
        <f t="shared" si="800"/>
        <v>48332.377516803885</v>
      </c>
      <c r="EI18" s="544">
        <f t="shared" si="800"/>
        <v>42959.290924430104</v>
      </c>
      <c r="EJ18" s="544">
        <f t="shared" si="800"/>
        <v>0</v>
      </c>
      <c r="EK18" s="557">
        <f>SUM(EL18:ER18)</f>
        <v>209830.75709533191</v>
      </c>
      <c r="EL18" s="544">
        <f>EL14*EL7*$D$1</f>
        <v>32080.971827234302</v>
      </c>
      <c r="EM18" s="544">
        <f t="shared" ref="EM18:ER18" si="801">EM14*EM7*$D$1</f>
        <v>21806.546327676049</v>
      </c>
      <c r="EN18" s="544">
        <f t="shared" si="801"/>
        <v>23795.931638041278</v>
      </c>
      <c r="EO18" s="544">
        <f t="shared" si="801"/>
        <v>22476.545791285876</v>
      </c>
      <c r="EP18" s="544">
        <f t="shared" si="801"/>
        <v>57948.111393477739</v>
      </c>
      <c r="EQ18" s="544">
        <f t="shared" si="801"/>
        <v>51722.650117616649</v>
      </c>
      <c r="ER18" s="544">
        <f t="shared" si="801"/>
        <v>0</v>
      </c>
      <c r="ES18" s="557">
        <f>SUM(ET18:EZ18)</f>
        <v>239879.73325310432</v>
      </c>
      <c r="ET18" s="544">
        <f>ET14*ET7*$D$1</f>
        <v>37110.032868106813</v>
      </c>
      <c r="EU18" s="544">
        <f t="shared" ref="EU18:EZ18" si="802">EU14*EU7*$D$1</f>
        <v>27864.788718738717</v>
      </c>
      <c r="EV18" s="544">
        <f t="shared" si="802"/>
        <v>28397.4504296409</v>
      </c>
      <c r="EW18" s="544">
        <f t="shared" si="802"/>
        <v>26738.81391301304</v>
      </c>
      <c r="EX18" s="544">
        <f t="shared" si="802"/>
        <v>62915.831890256821</v>
      </c>
      <c r="EY18" s="544">
        <f t="shared" si="802"/>
        <v>56852.815433348034</v>
      </c>
      <c r="EZ18" s="544">
        <f t="shared" si="802"/>
        <v>0</v>
      </c>
      <c r="FA18" s="557">
        <f>SUM(FB18:FH18)</f>
        <v>236700.71280501687</v>
      </c>
      <c r="FB18" s="544">
        <f>FB14*FB7*$D$1</f>
        <v>39013.966813233223</v>
      </c>
      <c r="FC18" s="544">
        <f t="shared" ref="FC18:FH18" si="803">FC14*FC7*$D$1</f>
        <v>29895.310404592277</v>
      </c>
      <c r="FD18" s="544">
        <f t="shared" si="803"/>
        <v>30085.572539548244</v>
      </c>
      <c r="FE18" s="544">
        <f t="shared" si="803"/>
        <v>30827.562625434868</v>
      </c>
      <c r="FF18" s="544">
        <f t="shared" si="803"/>
        <v>53405.423232080349</v>
      </c>
      <c r="FG18" s="544">
        <f t="shared" si="803"/>
        <v>53472.877190127903</v>
      </c>
      <c r="FH18" s="544">
        <f t="shared" si="803"/>
        <v>0</v>
      </c>
      <c r="FI18" s="557">
        <f>SUM(FJ18:FP18)</f>
        <v>188282.24935034628</v>
      </c>
      <c r="FJ18" s="544">
        <f>FJ14*FJ7*$D$1</f>
        <v>33213.633491224617</v>
      </c>
      <c r="FK18" s="544">
        <f t="shared" ref="FK18:FP18" si="804">FK14*FK7*$D$1</f>
        <v>23853.869055905569</v>
      </c>
      <c r="FL18" s="544">
        <f t="shared" si="804"/>
        <v>27223.423298207956</v>
      </c>
      <c r="FM18" s="544">
        <f t="shared" si="804"/>
        <v>0</v>
      </c>
      <c r="FN18" s="544">
        <f t="shared" si="804"/>
        <v>45431.785840021534</v>
      </c>
      <c r="FO18" s="544">
        <f t="shared" si="804"/>
        <v>58559.537664986608</v>
      </c>
      <c r="FP18" s="544">
        <f t="shared" si="804"/>
        <v>0</v>
      </c>
      <c r="FQ18" s="557">
        <f>SUM(FR18:FX18)</f>
        <v>223567.42357213743</v>
      </c>
      <c r="FR18" s="544">
        <f>FR14*FR7*$D$1</f>
        <v>39387.586599634393</v>
      </c>
      <c r="FS18" s="544">
        <f t="shared" ref="FS18:FX18" si="805">FS14*FS7*$D$1</f>
        <v>29251.461409372947</v>
      </c>
      <c r="FT18" s="544">
        <f t="shared" si="805"/>
        <v>30640.607844432947</v>
      </c>
      <c r="FU18" s="544">
        <f t="shared" si="805"/>
        <v>30329.169726651635</v>
      </c>
      <c r="FV18" s="544">
        <f t="shared" si="805"/>
        <v>48279.636324500781</v>
      </c>
      <c r="FW18" s="544">
        <f t="shared" si="805"/>
        <v>45678.961667544732</v>
      </c>
      <c r="FX18" s="544">
        <f t="shared" si="805"/>
        <v>0</v>
      </c>
      <c r="FY18" s="557">
        <f>SUM(FZ18:GF18)</f>
        <v>205353.24479289318</v>
      </c>
      <c r="FZ18" s="544">
        <f>FZ14*FZ7*$D$1</f>
        <v>0</v>
      </c>
      <c r="GA18" s="544">
        <f t="shared" ref="GA18:GF18" si="806">GA14*GA7*$D$1</f>
        <v>33261.542460635726</v>
      </c>
      <c r="GB18" s="544">
        <f t="shared" si="806"/>
        <v>33044.652341117486</v>
      </c>
      <c r="GC18" s="544">
        <f t="shared" si="806"/>
        <v>25344</v>
      </c>
      <c r="GD18" s="544">
        <f t="shared" si="806"/>
        <v>58372.34873227802</v>
      </c>
      <c r="GE18" s="544">
        <f t="shared" si="806"/>
        <v>55330.70125886194</v>
      </c>
      <c r="GF18" s="544">
        <f t="shared" si="806"/>
        <v>0</v>
      </c>
      <c r="GG18" s="557">
        <f>SUM(GH18:GN18)</f>
        <v>232648.14834936408</v>
      </c>
      <c r="GH18" s="544">
        <f>GH14*GH7*$D$1</f>
        <v>34874.35627572568</v>
      </c>
      <c r="GI18" s="544">
        <f t="shared" ref="GI18:GN18" si="807">GI14*GI7*$D$1</f>
        <v>29308.889292506632</v>
      </c>
      <c r="GJ18" s="544">
        <f t="shared" si="807"/>
        <v>29402.527896921085</v>
      </c>
      <c r="GK18" s="544">
        <f t="shared" si="807"/>
        <v>27429.514355987561</v>
      </c>
      <c r="GL18" s="544">
        <f t="shared" si="807"/>
        <v>57032.447692279355</v>
      </c>
      <c r="GM18" s="544">
        <f t="shared" si="807"/>
        <v>54600.412835943775</v>
      </c>
      <c r="GN18" s="544">
        <f t="shared" si="807"/>
        <v>0</v>
      </c>
      <c r="GO18" s="557">
        <f>SUM(GP18:GV18)</f>
        <v>217944.35306000646</v>
      </c>
      <c r="GP18" s="544">
        <f>GP14*GP7*$D$1</f>
        <v>23810.690249462481</v>
      </c>
      <c r="GQ18" s="544">
        <f t="shared" ref="GQ18:GV18" si="808">GQ14*GQ7*$D$1</f>
        <v>34582.394535573556</v>
      </c>
      <c r="GR18" s="544">
        <f t="shared" si="808"/>
        <v>27040.275347389314</v>
      </c>
      <c r="GS18" s="544">
        <f t="shared" si="808"/>
        <v>28183.923800274006</v>
      </c>
      <c r="GT18" s="544">
        <f t="shared" si="808"/>
        <v>53972.350744901451</v>
      </c>
      <c r="GU18" s="544">
        <f t="shared" si="808"/>
        <v>50354.718382405641</v>
      </c>
      <c r="GV18" s="544">
        <f t="shared" si="808"/>
        <v>0</v>
      </c>
      <c r="GW18" s="557">
        <f>SUM(GX18:HD18)</f>
        <v>212666.31583960901</v>
      </c>
      <c r="GX18" s="544">
        <f>GX14*GX7*$D$1</f>
        <v>31127.145658128426</v>
      </c>
      <c r="GY18" s="544">
        <f t="shared" ref="GY18:HD18" si="809">GY14*GY7*$D$1</f>
        <v>26790.362632800741</v>
      </c>
      <c r="GZ18" s="544">
        <f t="shared" si="809"/>
        <v>26184.522210505136</v>
      </c>
      <c r="HA18" s="544">
        <f t="shared" si="809"/>
        <v>26914.729524439157</v>
      </c>
      <c r="HB18" s="544">
        <f t="shared" si="809"/>
        <v>53261.390893497475</v>
      </c>
      <c r="HC18" s="544">
        <f t="shared" si="809"/>
        <v>48388.164920238065</v>
      </c>
      <c r="HD18" s="544">
        <f t="shared" si="809"/>
        <v>0</v>
      </c>
      <c r="HE18" s="557">
        <f>SUM(HF18:HL18)</f>
        <v>170756.55318364027</v>
      </c>
      <c r="HF18" s="544">
        <f>HF14*HF7*$D$1</f>
        <v>26040.734718228457</v>
      </c>
      <c r="HG18" s="544">
        <f t="shared" ref="HG18:HL18" si="810">HG14*HG7*$D$1</f>
        <v>21928.715664618096</v>
      </c>
      <c r="HH18" s="544">
        <f t="shared" si="810"/>
        <v>21194.273562572678</v>
      </c>
      <c r="HI18" s="544">
        <f t="shared" si="810"/>
        <v>20691.781018309382</v>
      </c>
      <c r="HJ18" s="544">
        <f t="shared" si="810"/>
        <v>43120.42878341856</v>
      </c>
      <c r="HK18" s="544">
        <f t="shared" si="810"/>
        <v>37780.619436493093</v>
      </c>
      <c r="HL18" s="544">
        <f t="shared" si="810"/>
        <v>0</v>
      </c>
      <c r="HM18" s="557">
        <f>SUM(HN18:HT18)</f>
        <v>155658.03632142305</v>
      </c>
      <c r="HN18" s="544">
        <f>HN14*HN7*$D$1</f>
        <v>22919.051936590095</v>
      </c>
      <c r="HO18" s="544">
        <f t="shared" ref="HO18:HT18" si="811">HO14*HO7*$D$1</f>
        <v>21957.130246251585</v>
      </c>
      <c r="HP18" s="544">
        <f t="shared" si="811"/>
        <v>19227.104757222318</v>
      </c>
      <c r="HQ18" s="544">
        <f t="shared" si="811"/>
        <v>20006.445258011823</v>
      </c>
      <c r="HR18" s="544">
        <f t="shared" si="811"/>
        <v>37134.711596009089</v>
      </c>
      <c r="HS18" s="544">
        <f t="shared" si="811"/>
        <v>34413.592527338122</v>
      </c>
      <c r="HT18" s="544">
        <f t="shared" si="811"/>
        <v>0</v>
      </c>
      <c r="HU18" s="557">
        <f>SUM(HV18:IB18)</f>
        <v>140880.40578977595</v>
      </c>
      <c r="HV18" s="544">
        <f>HV14*HV7*$D$1</f>
        <v>20356.934407745546</v>
      </c>
      <c r="HW18" s="544">
        <f t="shared" ref="HW18:IB18" si="812">HW14*HW7*$D$1</f>
        <v>19220.655271938933</v>
      </c>
      <c r="HX18" s="544">
        <f t="shared" si="812"/>
        <v>20885.506644239722</v>
      </c>
      <c r="HY18" s="544">
        <f t="shared" si="812"/>
        <v>0</v>
      </c>
      <c r="HZ18" s="544">
        <f t="shared" si="812"/>
        <v>43950.645058330432</v>
      </c>
      <c r="IA18" s="544">
        <f t="shared" si="812"/>
        <v>36466.664407521304</v>
      </c>
      <c r="IB18" s="544">
        <f t="shared" si="812"/>
        <v>0</v>
      </c>
      <c r="IC18" s="557">
        <f>SUM(ID18:IJ18)</f>
        <v>143388.54444718175</v>
      </c>
      <c r="ID18" s="544">
        <f>ID14*ID7*$D$1</f>
        <v>20525.652385551239</v>
      </c>
      <c r="IE18" s="544">
        <f t="shared" ref="IE18:IJ18" si="813">IE14*IE7*$D$1</f>
        <v>19389.541875308507</v>
      </c>
      <c r="IF18" s="544">
        <f t="shared" si="813"/>
        <v>19083.318084353341</v>
      </c>
      <c r="IG18" s="544">
        <f t="shared" si="813"/>
        <v>19941.44382961759</v>
      </c>
      <c r="IH18" s="544">
        <f t="shared" si="813"/>
        <v>33566.554222072074</v>
      </c>
      <c r="II18" s="544">
        <f t="shared" si="813"/>
        <v>30882.034050279006</v>
      </c>
      <c r="IJ18" s="544">
        <f t="shared" si="813"/>
        <v>0</v>
      </c>
      <c r="IK18" s="557">
        <f>SUM(IL18:IR18)</f>
        <v>153738.68815709377</v>
      </c>
      <c r="IL18" s="544">
        <f>IL14*IL7*$D$1</f>
        <v>23299.721003711071</v>
      </c>
      <c r="IM18" s="544">
        <f t="shared" ref="IM18:IR18" si="814">IM14*IM7*$D$1</f>
        <v>19655.090711278419</v>
      </c>
      <c r="IN18" s="544">
        <f t="shared" si="814"/>
        <v>19078.649754464328</v>
      </c>
      <c r="IO18" s="544">
        <f t="shared" si="814"/>
        <v>21144.397018476015</v>
      </c>
      <c r="IP18" s="544">
        <f t="shared" si="814"/>
        <v>37239.308809456379</v>
      </c>
      <c r="IQ18" s="544">
        <f t="shared" si="814"/>
        <v>33321.520859707547</v>
      </c>
      <c r="IR18" s="544">
        <f t="shared" si="814"/>
        <v>0</v>
      </c>
      <c r="IS18" s="557">
        <f>SUM(IT18:IZ18)</f>
        <v>148273.52165302387</v>
      </c>
      <c r="IT18" s="544">
        <f>IT14*IT7*$D$1</f>
        <v>23656.608916623707</v>
      </c>
      <c r="IU18" s="544">
        <f t="shared" ref="IU18:IZ18" si="815">IU14*IU7*$D$1</f>
        <v>19979.709790149165</v>
      </c>
      <c r="IV18" s="544">
        <f t="shared" si="815"/>
        <v>19801.509587163364</v>
      </c>
      <c r="IW18" s="544">
        <f t="shared" si="815"/>
        <v>18494.075855995095</v>
      </c>
      <c r="IX18" s="544">
        <f t="shared" si="815"/>
        <v>34214.571055661807</v>
      </c>
      <c r="IY18" s="544">
        <f t="shared" si="815"/>
        <v>32127.046447430745</v>
      </c>
      <c r="IZ18" s="544">
        <f t="shared" si="815"/>
        <v>0</v>
      </c>
      <c r="JA18" s="557">
        <f>SUM(JB18:JH18)</f>
        <v>148841.2725675829</v>
      </c>
      <c r="JB18" s="544">
        <f>JB14*JB7*$D$1</f>
        <v>0</v>
      </c>
      <c r="JC18" s="544">
        <f t="shared" ref="JC18:JH18" si="816">JC14*JC7*$D$1</f>
        <v>33413.63561971618</v>
      </c>
      <c r="JD18" s="544">
        <f t="shared" si="816"/>
        <v>22471.299636976997</v>
      </c>
      <c r="JE18" s="544">
        <f t="shared" si="816"/>
        <v>19569.852046318534</v>
      </c>
      <c r="JF18" s="544">
        <f t="shared" si="816"/>
        <v>37729.200000396653</v>
      </c>
      <c r="JG18" s="544">
        <f t="shared" si="816"/>
        <v>35657.285264174541</v>
      </c>
      <c r="JH18" s="544">
        <f t="shared" si="816"/>
        <v>0</v>
      </c>
      <c r="JI18" s="557">
        <f>SUM(JJ18:JP18)</f>
        <v>205241.39745130794</v>
      </c>
      <c r="JJ18" s="544">
        <f>JJ14*JJ7*$D$1</f>
        <v>29050.584371808673</v>
      </c>
      <c r="JK18" s="544">
        <f t="shared" ref="JK18:JP18" si="817">JK14*JK7*$D$1</f>
        <v>23028.743714661348</v>
      </c>
      <c r="JL18" s="544">
        <f t="shared" si="817"/>
        <v>22526.929638812424</v>
      </c>
      <c r="JM18" s="544">
        <f t="shared" si="817"/>
        <v>23875.913992620572</v>
      </c>
      <c r="JN18" s="544">
        <f t="shared" si="817"/>
        <v>54889.985685668064</v>
      </c>
      <c r="JO18" s="544">
        <f>JO14*JO7*$D$1</f>
        <v>51869.240047736872</v>
      </c>
      <c r="JP18" s="544">
        <f t="shared" si="817"/>
        <v>0</v>
      </c>
      <c r="JQ18" s="557">
        <f>SUM(JR18:JX18)</f>
        <v>228100.33757804253</v>
      </c>
      <c r="JR18" s="544">
        <f>JR14*JR7*$D$1</f>
        <v>33593.170319966011</v>
      </c>
      <c r="JS18" s="544">
        <f t="shared" ref="JS18:JX18" si="818">JS14*JS7*$D$1</f>
        <v>28707.70828441612</v>
      </c>
      <c r="JT18" s="544">
        <f t="shared" si="818"/>
        <v>28254.396732311656</v>
      </c>
      <c r="JU18" s="544">
        <f t="shared" si="818"/>
        <v>29162.913612953882</v>
      </c>
      <c r="JV18" s="544">
        <f t="shared" si="818"/>
        <v>56726.362793753098</v>
      </c>
      <c r="JW18" s="544">
        <f t="shared" si="818"/>
        <v>51655.785834641763</v>
      </c>
      <c r="JX18" s="544">
        <f t="shared" si="818"/>
        <v>0</v>
      </c>
      <c r="JY18" s="557">
        <f>SUM(JZ18:KF18)</f>
        <v>237744.00208443738</v>
      </c>
      <c r="JZ18" s="544">
        <f>JZ14*JZ7*$D$1</f>
        <v>38031.53523462575</v>
      </c>
      <c r="KA18" s="544">
        <f t="shared" ref="KA18:KF18" si="819">KA14*KA7*$D$1</f>
        <v>29953.847456597348</v>
      </c>
      <c r="KB18" s="544">
        <f t="shared" si="819"/>
        <v>31303.656136262387</v>
      </c>
      <c r="KC18" s="544">
        <f t="shared" si="819"/>
        <v>27895.346443670885</v>
      </c>
      <c r="KD18" s="544">
        <f t="shared" si="819"/>
        <v>57724.607492948147</v>
      </c>
      <c r="KE18" s="544">
        <f t="shared" si="819"/>
        <v>52835.009320332843</v>
      </c>
      <c r="KF18" s="544">
        <f t="shared" si="819"/>
        <v>0</v>
      </c>
      <c r="KG18" s="557">
        <f>SUM(KH18:KN18)</f>
        <v>230559.02327355155</v>
      </c>
      <c r="KH18" s="544">
        <f>KH14*KH7*$D$1</f>
        <v>37472.918136095097</v>
      </c>
      <c r="KI18" s="544">
        <f t="shared" ref="KI18:KN18" si="820">KI14*KI7*$D$1</f>
        <v>30492</v>
      </c>
      <c r="KJ18" s="544">
        <f t="shared" si="820"/>
        <v>31117.972908853975</v>
      </c>
      <c r="KK18" s="544">
        <f t="shared" si="820"/>
        <v>28314</v>
      </c>
      <c r="KL18" s="544">
        <f t="shared" si="820"/>
        <v>53252.27222860248</v>
      </c>
      <c r="KM18" s="544">
        <f t="shared" si="820"/>
        <v>49909.859999999993</v>
      </c>
      <c r="KN18" s="544">
        <f t="shared" si="820"/>
        <v>0</v>
      </c>
      <c r="KO18" s="557">
        <f>SUM(KP18:KV18)</f>
        <v>214306.16712564105</v>
      </c>
      <c r="KP18" s="544">
        <f>KP14*KP7*$D$1</f>
        <v>34759.716494845365</v>
      </c>
      <c r="KQ18" s="544">
        <f t="shared" ref="KQ18:KV18" si="821">KQ14*KQ7*$D$1</f>
        <v>23403.599999999999</v>
      </c>
      <c r="KR18" s="544">
        <f t="shared" si="821"/>
        <v>25804.35</v>
      </c>
      <c r="KS18" s="544">
        <f t="shared" si="821"/>
        <v>30111.07351080815</v>
      </c>
      <c r="KT18" s="544">
        <f t="shared" si="821"/>
        <v>48839.159352080664</v>
      </c>
      <c r="KU18" s="544">
        <f t="shared" si="821"/>
        <v>51388.267767906895</v>
      </c>
      <c r="KV18" s="544">
        <f t="shared" si="821"/>
        <v>0</v>
      </c>
      <c r="KW18" s="557">
        <f>SUM(KX18:LD18)</f>
        <v>200951.5260022947</v>
      </c>
      <c r="KX18" s="544">
        <f>KX14*KX7*$D$1</f>
        <v>33892.145720332715</v>
      </c>
      <c r="KY18" s="544">
        <f t="shared" ref="KY18:LD18" si="822">KY14*KY7*$D$1</f>
        <v>23739.672945204489</v>
      </c>
      <c r="KZ18" s="544">
        <f t="shared" si="822"/>
        <v>24664.312990204307</v>
      </c>
      <c r="LA18" s="544">
        <f t="shared" si="822"/>
        <v>28268.225894461135</v>
      </c>
      <c r="LB18" s="544">
        <f t="shared" si="822"/>
        <v>47041.612337553524</v>
      </c>
      <c r="LC18" s="544">
        <f t="shared" si="822"/>
        <v>43345.556114538536</v>
      </c>
      <c r="LD18" s="544">
        <f t="shared" si="822"/>
        <v>0</v>
      </c>
      <c r="LE18" s="557">
        <f>SUM(LF18:LL18)</f>
        <v>209596.66055599152</v>
      </c>
      <c r="LF18" s="544">
        <f>LF14*LF7*$D$1</f>
        <v>33169.83416480232</v>
      </c>
      <c r="LG18" s="544">
        <f t="shared" ref="LG18:LL18" si="823">LG14*LG7*$D$1</f>
        <v>24285.898662803203</v>
      </c>
      <c r="LH18" s="544">
        <f t="shared" si="823"/>
        <v>27191.955393447093</v>
      </c>
      <c r="LI18" s="544">
        <f t="shared" si="823"/>
        <v>26186.380675379176</v>
      </c>
      <c r="LJ18" s="544">
        <f t="shared" si="823"/>
        <v>52353.627860276436</v>
      </c>
      <c r="LK18" s="544">
        <f t="shared" si="823"/>
        <v>46408.963799283301</v>
      </c>
      <c r="LL18" s="544">
        <f t="shared" si="823"/>
        <v>0</v>
      </c>
      <c r="LM18" s="557">
        <f>SUM(LN18:LT18)</f>
        <v>215387.17393281142</v>
      </c>
      <c r="LN18" s="544">
        <f>LN14*LN7*$D$1</f>
        <v>35721.719243918735</v>
      </c>
      <c r="LO18" s="544">
        <f t="shared" ref="LO18:LT18" si="824">LO14*LO7*$D$1</f>
        <v>26634.112605573522</v>
      </c>
      <c r="LP18" s="544">
        <f t="shared" si="824"/>
        <v>29660.428889105722</v>
      </c>
      <c r="LQ18" s="544">
        <f t="shared" si="824"/>
        <v>26601.023272737966</v>
      </c>
      <c r="LR18" s="544">
        <f t="shared" si="824"/>
        <v>51100.499886214158</v>
      </c>
      <c r="LS18" s="544">
        <f t="shared" si="824"/>
        <v>45669.390035261305</v>
      </c>
      <c r="LT18" s="544">
        <f t="shared" si="824"/>
        <v>0</v>
      </c>
      <c r="LU18" s="557">
        <f>SUM(LV18:MB18)</f>
        <v>212490.25592889747</v>
      </c>
      <c r="LV18" s="544">
        <f>LV14*LV7*$D$1</f>
        <v>33725.094288822234</v>
      </c>
      <c r="LW18" s="544">
        <f t="shared" ref="LW18:MB18" si="825">LW14*LW7*$D$1</f>
        <v>25330.554079000591</v>
      </c>
      <c r="LX18" s="544">
        <f t="shared" si="825"/>
        <v>25765.18864141389</v>
      </c>
      <c r="LY18" s="544">
        <f t="shared" si="825"/>
        <v>25261.903955787398</v>
      </c>
      <c r="LZ18" s="544">
        <f t="shared" si="825"/>
        <v>53820.948153059551</v>
      </c>
      <c r="MA18" s="544">
        <f t="shared" si="825"/>
        <v>48586.566810813834</v>
      </c>
      <c r="MB18" s="544">
        <f t="shared" si="825"/>
        <v>0</v>
      </c>
      <c r="MC18" s="557">
        <f>SUM(MD18:MJ18)</f>
        <v>212380.23133848482</v>
      </c>
      <c r="MD18" s="544">
        <f>MD14*MD7*$D$1</f>
        <v>36858.558078466383</v>
      </c>
      <c r="ME18" s="544">
        <f t="shared" ref="ME18:MJ18" si="826">ME14*ME7*$D$1</f>
        <v>28350.274889921373</v>
      </c>
      <c r="MF18" s="544">
        <f t="shared" si="826"/>
        <v>26725.691034934182</v>
      </c>
      <c r="MG18" s="544">
        <f t="shared" si="826"/>
        <v>25917.388909722093</v>
      </c>
      <c r="MH18" s="544">
        <f t="shared" si="826"/>
        <v>49173.219156390369</v>
      </c>
      <c r="MI18" s="544">
        <f t="shared" si="826"/>
        <v>45355.099269050435</v>
      </c>
      <c r="MJ18" s="544">
        <f t="shared" si="826"/>
        <v>0</v>
      </c>
      <c r="MK18" s="557">
        <f>SUM(ML18:MR18)</f>
        <v>211742.76106894933</v>
      </c>
      <c r="ML18" s="544">
        <f>ML14*ML7*$D$1</f>
        <v>37333.158082952388</v>
      </c>
      <c r="MM18" s="544">
        <f t="shared" ref="MM18:MR18" si="827">MM14*MM7*$D$1</f>
        <v>0</v>
      </c>
      <c r="MN18" s="544">
        <f t="shared" si="827"/>
        <v>33834.685645125661</v>
      </c>
      <c r="MO18" s="544">
        <f t="shared" si="827"/>
        <v>29081.384399816045</v>
      </c>
      <c r="MP18" s="544">
        <f t="shared" si="827"/>
        <v>59145.037540449557</v>
      </c>
      <c r="MQ18" s="544">
        <f t="shared" si="827"/>
        <v>52348.495400605701</v>
      </c>
      <c r="MR18" s="544">
        <f t="shared" si="827"/>
        <v>0</v>
      </c>
      <c r="MS18" s="557">
        <f>SUM(MT18:MZ18)</f>
        <v>183883.25389701829</v>
      </c>
      <c r="MT18" s="544">
        <f>MT14*MT7*$D$1</f>
        <v>38780.671128994996</v>
      </c>
      <c r="MU18" s="544">
        <f t="shared" ref="MU18:MZ18" si="828">MU14*MU7*$D$1</f>
        <v>34146.739739072851</v>
      </c>
      <c r="MV18" s="544">
        <f t="shared" si="828"/>
        <v>17573.276467008971</v>
      </c>
      <c r="MW18" s="544">
        <f t="shared" si="828"/>
        <v>41827.780576815196</v>
      </c>
      <c r="MX18" s="544">
        <f t="shared" si="828"/>
        <v>0</v>
      </c>
      <c r="MY18" s="544">
        <f t="shared" si="828"/>
        <v>51554.785985126277</v>
      </c>
      <c r="MZ18" s="544">
        <f t="shared" si="828"/>
        <v>0</v>
      </c>
      <c r="NA18" s="557">
        <f>SUM(NB18:NH18)</f>
        <v>219369.89289558266</v>
      </c>
      <c r="NB18" s="544">
        <f>NB14*NB7*$D$1</f>
        <v>33817.096949708859</v>
      </c>
      <c r="NC18" s="544">
        <f t="shared" ref="NC18:NH18" si="829">NC14*NC7*$D$1</f>
        <v>30887.402569569891</v>
      </c>
      <c r="ND18" s="544">
        <f t="shared" si="829"/>
        <v>30260.325483233239</v>
      </c>
      <c r="NE18" s="544">
        <f t="shared" si="829"/>
        <v>27192.764751082821</v>
      </c>
      <c r="NF18" s="544">
        <f t="shared" si="829"/>
        <v>51150.147493540971</v>
      </c>
      <c r="NG18" s="544">
        <f t="shared" si="829"/>
        <v>46062.155648446867</v>
      </c>
      <c r="NH18" s="544">
        <f t="shared" si="829"/>
        <v>0</v>
      </c>
      <c r="NI18" s="557">
        <f>SUM(NJ18:NP18)</f>
        <v>311275.71825002605</v>
      </c>
      <c r="NJ18" s="544">
        <f>NJ14*NJ7*$D$1</f>
        <v>36417.811663595254</v>
      </c>
      <c r="NK18" s="544">
        <f t="shared" ref="NK18:NP18" si="830">NK14*NK7*$D$1</f>
        <v>48977.589060636747</v>
      </c>
      <c r="NL18" s="544">
        <f t="shared" si="830"/>
        <v>49460.979534254257</v>
      </c>
      <c r="NM18" s="544">
        <f t="shared" si="830"/>
        <v>50121.563594262938</v>
      </c>
      <c r="NN18" s="544">
        <f t="shared" si="830"/>
        <v>65761.593821044749</v>
      </c>
      <c r="NO18" s="544">
        <f t="shared" si="830"/>
        <v>60536.180576232124</v>
      </c>
      <c r="NP18" s="544">
        <f t="shared" si="830"/>
        <v>0</v>
      </c>
      <c r="NQ18" s="557">
        <f>SUM(NR18:NX18)</f>
        <v>321642.99850354285</v>
      </c>
      <c r="NR18" s="544">
        <f>NR14*NR7*$D$1</f>
        <v>48297.607867200823</v>
      </c>
      <c r="NS18" s="544">
        <f t="shared" ref="NS18:NX18" si="831">NS14*NS7*$D$1</f>
        <v>63932.470126411739</v>
      </c>
      <c r="NT18" s="544">
        <f t="shared" si="831"/>
        <v>52128.822502559051</v>
      </c>
      <c r="NU18" s="544">
        <f t="shared" si="831"/>
        <v>50121.563594262931</v>
      </c>
      <c r="NV18" s="544">
        <f t="shared" si="831"/>
        <v>56106.23660914629</v>
      </c>
      <c r="NW18" s="544">
        <f t="shared" si="831"/>
        <v>51056.297803962021</v>
      </c>
      <c r="NX18" s="544">
        <f t="shared" si="831"/>
        <v>0</v>
      </c>
      <c r="NY18" s="557">
        <f>SUM(NZ18:OF18)</f>
        <v>217815.38248902216</v>
      </c>
      <c r="NZ18" s="544">
        <f>NZ14*NZ7*$D$1</f>
        <v>36008.876398657347</v>
      </c>
      <c r="OA18" s="544">
        <f t="shared" ref="OA18:OF18" si="832">OA14*OA7*$D$1</f>
        <v>32241.253216414436</v>
      </c>
      <c r="OB18" s="544">
        <f t="shared" si="832"/>
        <v>31619.063150239592</v>
      </c>
      <c r="OC18" s="544">
        <f t="shared" si="832"/>
        <v>25579.667075199952</v>
      </c>
      <c r="OD18" s="544">
        <f t="shared" si="832"/>
        <v>47378.656530773063</v>
      </c>
      <c r="OE18" s="544">
        <f t="shared" si="832"/>
        <v>44987.866117737773</v>
      </c>
      <c r="OF18" s="544">
        <f t="shared" si="832"/>
        <v>0</v>
      </c>
      <c r="OG18" s="557">
        <f>SUM(OH18:ON18)</f>
        <v>221952.14763755703</v>
      </c>
      <c r="OH18" s="544">
        <f>OH14*OH7*$D$1</f>
        <v>33344.678402231933</v>
      </c>
      <c r="OI18" s="544">
        <f t="shared" ref="OI18:ON18" si="833">OI14*OI7*$D$1</f>
        <v>29292.981504321251</v>
      </c>
      <c r="OJ18" s="544">
        <f t="shared" si="833"/>
        <v>26902.723419744769</v>
      </c>
      <c r="OK18" s="544">
        <f t="shared" si="833"/>
        <v>24111.187304939587</v>
      </c>
      <c r="OL18" s="544">
        <f t="shared" si="833"/>
        <v>57042.169667653841</v>
      </c>
      <c r="OM18" s="544">
        <f t="shared" si="833"/>
        <v>51258.40733866566</v>
      </c>
      <c r="ON18" s="544">
        <f t="shared" si="833"/>
        <v>0</v>
      </c>
      <c r="OO18" s="557">
        <f>SUM(OP18:OV18)</f>
        <v>330352.85249999998</v>
      </c>
      <c r="OP18" s="544">
        <f>OP14*OP7*$D$1</f>
        <v>35469.224999999999</v>
      </c>
      <c r="OQ18" s="544">
        <f t="shared" ref="OQ18:OV18" si="834">OQ14*OQ7*$D$1</f>
        <v>40513.769999999997</v>
      </c>
      <c r="OR18" s="544">
        <f t="shared" si="834"/>
        <v>37181.43</v>
      </c>
      <c r="OS18" s="544">
        <f t="shared" si="834"/>
        <v>66136.949999999983</v>
      </c>
      <c r="OT18" s="544">
        <f t="shared" si="834"/>
        <v>79469.774999999994</v>
      </c>
      <c r="OU18" s="544">
        <f t="shared" si="834"/>
        <v>71581.702499999999</v>
      </c>
      <c r="OV18" s="544">
        <f t="shared" si="834"/>
        <v>0</v>
      </c>
      <c r="OW18" s="557">
        <f>SUM(OX18:PD18)</f>
        <v>309201.255</v>
      </c>
      <c r="OX18" s="544">
        <f>OX14*OX7*$D$1</f>
        <v>33034.32</v>
      </c>
      <c r="OY18" s="544">
        <f t="shared" ref="OY18:PD18" si="835">OY14*OY7*$D$1</f>
        <v>37947.69</v>
      </c>
      <c r="OZ18" s="544">
        <f t="shared" si="835"/>
        <v>39049.56</v>
      </c>
      <c r="PA18" s="544">
        <f t="shared" si="835"/>
        <v>56548.799999999996</v>
      </c>
      <c r="PB18" s="544">
        <f t="shared" si="835"/>
        <v>77895.675000000003</v>
      </c>
      <c r="PC18" s="544">
        <f t="shared" si="835"/>
        <v>64725.210000000006</v>
      </c>
      <c r="PD18" s="544">
        <f t="shared" si="835"/>
        <v>0</v>
      </c>
      <c r="PE18" s="557">
        <f t="shared" si="713"/>
        <v>212379.75</v>
      </c>
      <c r="PF18" s="544">
        <f t="shared" ref="PF18:PL19" si="836">PF14*PF7*$D$1</f>
        <v>36432</v>
      </c>
      <c r="PG18" s="544">
        <f t="shared" si="836"/>
        <v>28734.75</v>
      </c>
      <c r="PH18" s="544">
        <f t="shared" si="836"/>
        <v>27670.5</v>
      </c>
      <c r="PI18" s="544">
        <f t="shared" si="836"/>
        <v>24948</v>
      </c>
      <c r="PJ18" s="544">
        <f t="shared" si="836"/>
        <v>48510</v>
      </c>
      <c r="PK18" s="544">
        <f t="shared" si="836"/>
        <v>46084.5</v>
      </c>
      <c r="PL18" s="544">
        <f t="shared" si="836"/>
        <v>0</v>
      </c>
    </row>
    <row r="19" spans="1:428" s="44" customFormat="1" x14ac:dyDescent="0.3">
      <c r="A19"/>
      <c r="B19" s="1021"/>
      <c r="C19" s="1005"/>
      <c r="D19" s="373" t="s">
        <v>304</v>
      </c>
      <c r="E19" s="560">
        <f>SUM(F19:L19)</f>
        <v>283303.394266235</v>
      </c>
      <c r="F19" s="552">
        <f>F15*F8*$D$1</f>
        <v>9803.4492305023196</v>
      </c>
      <c r="G19" s="550">
        <f t="shared" ref="G19:L19" si="837">G15*G8*$D$1</f>
        <v>53519.336809268621</v>
      </c>
      <c r="H19" s="549">
        <f t="shared" si="837"/>
        <v>54393.208226464041</v>
      </c>
      <c r="I19" s="558">
        <f t="shared" si="837"/>
        <v>49500</v>
      </c>
      <c r="J19" s="549">
        <f t="shared" si="837"/>
        <v>53460</v>
      </c>
      <c r="K19" s="558">
        <f t="shared" si="837"/>
        <v>52470</v>
      </c>
      <c r="L19" s="559">
        <f t="shared" si="837"/>
        <v>10157.4</v>
      </c>
      <c r="M19" s="560">
        <f>SUM(N19:T19)</f>
        <v>316473.99396150635</v>
      </c>
      <c r="N19" s="552">
        <f>N15*N8*$D$1</f>
        <v>36317.019980243007</v>
      </c>
      <c r="O19" s="550">
        <f t="shared" ref="O19:T19" si="838">O15*O8*$D$1</f>
        <v>52496.828343110807</v>
      </c>
      <c r="P19" s="549">
        <f t="shared" si="838"/>
        <v>51311.445638152494</v>
      </c>
      <c r="Q19" s="558">
        <f t="shared" si="838"/>
        <v>54450</v>
      </c>
      <c r="R19" s="549">
        <f t="shared" si="838"/>
        <v>61330.5</v>
      </c>
      <c r="S19" s="558">
        <f t="shared" si="838"/>
        <v>55489.5</v>
      </c>
      <c r="T19" s="559">
        <f t="shared" si="838"/>
        <v>5078.7</v>
      </c>
      <c r="U19" s="560">
        <f>SUM(V19:AB19)</f>
        <v>300235.06648154079</v>
      </c>
      <c r="V19" s="552">
        <f>V15*V8*$D$1</f>
        <v>36101.737810502294</v>
      </c>
      <c r="W19" s="550">
        <f t="shared" ref="W19:AB19" si="839">W15*W8*$D$1</f>
        <v>52185.621773062965</v>
      </c>
      <c r="X19" s="549">
        <f t="shared" si="839"/>
        <v>53557.606897975544</v>
      </c>
      <c r="Y19" s="558">
        <f t="shared" si="839"/>
        <v>47520</v>
      </c>
      <c r="Z19" s="549">
        <f t="shared" si="839"/>
        <v>55093.5</v>
      </c>
      <c r="AA19" s="558">
        <f t="shared" si="839"/>
        <v>50787</v>
      </c>
      <c r="AB19" s="559">
        <f t="shared" si="839"/>
        <v>4989.6000000000004</v>
      </c>
      <c r="AC19" s="560">
        <f>SUM(AD19:AJ19)</f>
        <v>304378.05218468164</v>
      </c>
      <c r="AD19" s="552">
        <f>AD15*AD8*$D$1</f>
        <v>34926.428571428572</v>
      </c>
      <c r="AE19" s="550">
        <f t="shared" ref="AE19:AJ19" si="840">AE15*AE8*$D$1</f>
        <v>48885.276833414275</v>
      </c>
      <c r="AF19" s="549">
        <f t="shared" si="840"/>
        <v>54648</v>
      </c>
      <c r="AG19" s="558">
        <f t="shared" si="840"/>
        <v>55576.537157396306</v>
      </c>
      <c r="AH19" s="549">
        <f t="shared" si="840"/>
        <v>55096.720096137484</v>
      </c>
      <c r="AI19" s="558">
        <f t="shared" si="840"/>
        <v>50252.56136917034</v>
      </c>
      <c r="AJ19" s="559">
        <f t="shared" si="840"/>
        <v>4992.5281571346832</v>
      </c>
      <c r="AK19" s="560">
        <f>SUM(AL19:AR19)</f>
        <v>313377.48689696752</v>
      </c>
      <c r="AL19" s="552">
        <f>AL15*AL8*$D$1</f>
        <v>34516.476128575894</v>
      </c>
      <c r="AM19" s="550">
        <f t="shared" ref="AM19:AR19" si="841">AM15*AM8*$D$1</f>
        <v>52015.973616009236</v>
      </c>
      <c r="AN19" s="549">
        <f t="shared" si="841"/>
        <v>55186.312681137366</v>
      </c>
      <c r="AO19" s="558">
        <f t="shared" si="841"/>
        <v>53133.223600145728</v>
      </c>
      <c r="AP19" s="549">
        <f t="shared" si="841"/>
        <v>55234.762657731058</v>
      </c>
      <c r="AQ19" s="558">
        <f t="shared" si="841"/>
        <v>53347.236228626003</v>
      </c>
      <c r="AR19" s="559">
        <f t="shared" si="841"/>
        <v>9943.5019847422391</v>
      </c>
      <c r="AS19" s="560">
        <f>SUM(AT19:AZ19)</f>
        <v>316236.61592571024</v>
      </c>
      <c r="AT19" s="552">
        <f>AT15*AT8*$D$1</f>
        <v>34732.1654857131</v>
      </c>
      <c r="AU19" s="550">
        <f t="shared" ref="AU19:AZ19" si="842">AU15*AU8*$D$1</f>
        <v>55070.754801384304</v>
      </c>
      <c r="AV19" s="549">
        <f t="shared" si="842"/>
        <v>55878.364143821447</v>
      </c>
      <c r="AW19" s="558">
        <f t="shared" si="842"/>
        <v>54995.942017824294</v>
      </c>
      <c r="AX19" s="549">
        <f t="shared" si="842"/>
        <v>55041.360028434152</v>
      </c>
      <c r="AY19" s="558">
        <f t="shared" si="842"/>
        <v>49920.053460848882</v>
      </c>
      <c r="AZ19" s="559">
        <f t="shared" si="842"/>
        <v>10597.975987684102</v>
      </c>
      <c r="BA19" s="560">
        <f>SUM(BB19:BH19)</f>
        <v>311639.92705989676</v>
      </c>
      <c r="BB19" s="552">
        <f>BB15*BB8*$D$1</f>
        <v>31739.905691000415</v>
      </c>
      <c r="BC19" s="550">
        <f t="shared" ref="BC19:BH19" si="843">BC15*BC8*$D$1</f>
        <v>54977.552596949841</v>
      </c>
      <c r="BD19" s="549">
        <f t="shared" si="843"/>
        <v>55130.851726733599</v>
      </c>
      <c r="BE19" s="558">
        <f t="shared" si="843"/>
        <v>52283.936622188638</v>
      </c>
      <c r="BF19" s="549">
        <f t="shared" si="843"/>
        <v>54931.537764587316</v>
      </c>
      <c r="BG19" s="558">
        <f t="shared" si="843"/>
        <v>51742.632168055869</v>
      </c>
      <c r="BH19" s="559">
        <f t="shared" si="843"/>
        <v>10833.510490381037</v>
      </c>
      <c r="BI19" s="560">
        <f>SUM(BJ19:BP19)</f>
        <v>305368.01125508442</v>
      </c>
      <c r="BJ19" s="552">
        <f>BJ15*BJ8*$D$1</f>
        <v>35280.410834451541</v>
      </c>
      <c r="BK19" s="550">
        <f t="shared" ref="BK19:BP19" si="844">BK15*BK8*$D$1</f>
        <v>50944.642287897339</v>
      </c>
      <c r="BL19" s="549">
        <f t="shared" si="844"/>
        <v>51847.937258075646</v>
      </c>
      <c r="BM19" s="558">
        <f t="shared" si="844"/>
        <v>52849.041526159272</v>
      </c>
      <c r="BN19" s="549">
        <f t="shared" si="844"/>
        <v>54978.747968565687</v>
      </c>
      <c r="BO19" s="558">
        <f t="shared" si="844"/>
        <v>54070.37086680068</v>
      </c>
      <c r="BP19" s="559">
        <f t="shared" si="844"/>
        <v>5396.8605131342547</v>
      </c>
      <c r="BQ19" s="560">
        <f>SUM(BR19:BX19)</f>
        <v>280090.16956720076</v>
      </c>
      <c r="BR19" s="552">
        <f>BR15*BR8*$D$1</f>
        <v>34880.2582781897</v>
      </c>
      <c r="BS19" s="550">
        <f t="shared" ref="BS19:BX19" si="845">BS15*BS8*$D$1</f>
        <v>45927.441468874422</v>
      </c>
      <c r="BT19" s="549">
        <f t="shared" si="845"/>
        <v>46682.532370640605</v>
      </c>
      <c r="BU19" s="558">
        <f t="shared" si="845"/>
        <v>47883.861204510409</v>
      </c>
      <c r="BV19" s="549">
        <f t="shared" si="845"/>
        <v>50125.279176448392</v>
      </c>
      <c r="BW19" s="558">
        <f t="shared" si="845"/>
        <v>49077.444753235162</v>
      </c>
      <c r="BX19" s="559">
        <f t="shared" si="845"/>
        <v>5513.3523153020842</v>
      </c>
      <c r="BY19" s="560">
        <f>SUM(BZ19:CF19)</f>
        <v>276852.18253137521</v>
      </c>
      <c r="BZ19" s="552">
        <f>BZ15*BZ8*$D$1</f>
        <v>35118.511129918297</v>
      </c>
      <c r="CA19" s="550">
        <f t="shared" ref="CA19:CF19" si="846">CA15*CA8*$D$1</f>
        <v>47919.229900193255</v>
      </c>
      <c r="CB19" s="549">
        <f t="shared" si="846"/>
        <v>45649.060439465073</v>
      </c>
      <c r="CC19" s="558">
        <f t="shared" si="846"/>
        <v>43018.829921004712</v>
      </c>
      <c r="CD19" s="549">
        <f t="shared" si="846"/>
        <v>50329.66525544929</v>
      </c>
      <c r="CE19" s="558">
        <f t="shared" si="846"/>
        <v>49277.91396737437</v>
      </c>
      <c r="CF19" s="559">
        <f t="shared" si="846"/>
        <v>5538.9719179702051</v>
      </c>
      <c r="CG19" s="560">
        <f>SUM(CH19:CN19)</f>
        <v>284219.94567577582</v>
      </c>
      <c r="CH19" s="552">
        <f>CH15*CH8*$D$1</f>
        <v>40299.798219153592</v>
      </c>
      <c r="CI19" s="550">
        <f>CI15*CI8*$D$1</f>
        <v>44255.934286439297</v>
      </c>
      <c r="CJ19" s="549">
        <f t="shared" ref="CJ19:CN19" si="847">CJ15*CJ8*$D$1</f>
        <v>48141.78824595717</v>
      </c>
      <c r="CK19" s="558">
        <f t="shared" si="847"/>
        <v>44484.584530800836</v>
      </c>
      <c r="CL19" s="549">
        <f t="shared" si="847"/>
        <v>50702.616413729156</v>
      </c>
      <c r="CM19" s="558">
        <f t="shared" si="847"/>
        <v>50667.766903913536</v>
      </c>
      <c r="CN19" s="559">
        <f t="shared" si="847"/>
        <v>5667.4570757822466</v>
      </c>
      <c r="CO19" s="560">
        <f>SUM(CP19:CV19)</f>
        <v>281519.42611707671</v>
      </c>
      <c r="CP19" s="552">
        <f>CP15*CP8*$D$1</f>
        <v>34966.926153633285</v>
      </c>
      <c r="CQ19" s="550">
        <f t="shared" ref="CQ19:CV19" si="848">CQ15*CQ8*$D$1</f>
        <v>43010.587658367825</v>
      </c>
      <c r="CR19" s="549">
        <f t="shared" si="848"/>
        <v>47986.617817053404</v>
      </c>
      <c r="CS19" s="558">
        <f t="shared" si="848"/>
        <v>45513.089759030365</v>
      </c>
      <c r="CT19" s="549">
        <f t="shared" si="848"/>
        <v>54599.670683559481</v>
      </c>
      <c r="CU19" s="558">
        <f t="shared" si="848"/>
        <v>49527.955923907321</v>
      </c>
      <c r="CV19" s="559">
        <f t="shared" si="848"/>
        <v>5914.5781215250299</v>
      </c>
      <c r="CW19" s="560">
        <f>SUM(CX19:DD19)</f>
        <v>295965.90044911439</v>
      </c>
      <c r="CX19" s="552">
        <f>CX15*CX8*$D$1</f>
        <v>36276.803477773996</v>
      </c>
      <c r="CY19" s="550">
        <f t="shared" ref="CY19:DD19" si="849">CY15*CY8*$D$1</f>
        <v>49397.995805514394</v>
      </c>
      <c r="CZ19" s="549">
        <f t="shared" si="849"/>
        <v>50434.177651023987</v>
      </c>
      <c r="DA19" s="558">
        <f t="shared" si="849"/>
        <v>47682.325116641601</v>
      </c>
      <c r="DB19" s="549">
        <f t="shared" si="849"/>
        <v>51984.148510793028</v>
      </c>
      <c r="DC19" s="558">
        <f t="shared" si="849"/>
        <v>54695.090789141672</v>
      </c>
      <c r="DD19" s="559">
        <f t="shared" si="849"/>
        <v>5495.3590982256919</v>
      </c>
      <c r="DE19" s="560">
        <f>SUM(DF19:DL19)</f>
        <v>278403.65907262103</v>
      </c>
      <c r="DF19" s="552">
        <f>DF15*DF8*$D$1</f>
        <v>35066.797079229138</v>
      </c>
      <c r="DG19" s="550">
        <f t="shared" ref="DG19:DL19" si="850">DG15*DG8*$D$1</f>
        <v>45092.493696341226</v>
      </c>
      <c r="DH19" s="549">
        <f t="shared" si="850"/>
        <v>44974.146329473981</v>
      </c>
      <c r="DI19" s="558">
        <f t="shared" si="850"/>
        <v>48253.96605144452</v>
      </c>
      <c r="DJ19" s="549">
        <f t="shared" si="850"/>
        <v>51405.347899796077</v>
      </c>
      <c r="DK19" s="558">
        <f t="shared" si="850"/>
        <v>48115.548918110391</v>
      </c>
      <c r="DL19" s="559">
        <f t="shared" si="850"/>
        <v>5495.3590982256919</v>
      </c>
      <c r="DM19" s="560">
        <f>SUM(DN19:DT19)</f>
        <v>301961.90957406478</v>
      </c>
      <c r="DN19" s="552">
        <f>DN15*DN8*$D$1</f>
        <v>35110.990755618783</v>
      </c>
      <c r="DO19" s="550">
        <f t="shared" ref="DO19:DS19" si="851">DO15*DO8*$D$1</f>
        <v>44662.65963607077</v>
      </c>
      <c r="DP19" s="549">
        <f t="shared" si="851"/>
        <v>44842.124424124573</v>
      </c>
      <c r="DQ19" s="558">
        <f t="shared" si="851"/>
        <v>48253.96605144452</v>
      </c>
      <c r="DR19" s="549">
        <f t="shared" si="851"/>
        <v>50210.467947363359</v>
      </c>
      <c r="DS19" s="558">
        <f t="shared" si="851"/>
        <v>52118.701292820297</v>
      </c>
      <c r="DT19" s="559">
        <f>DT15*DT8*$D$1</f>
        <v>26762.999466622477</v>
      </c>
      <c r="DU19" s="560">
        <f>SUM(DV19:EB19)</f>
        <v>214125.07164108974</v>
      </c>
      <c r="DV19" s="552">
        <f>DV15*DV8*$D$1</f>
        <v>0</v>
      </c>
      <c r="DW19" s="550">
        <f t="shared" ref="DW19:EB19" si="852">DW15*DW8*$D$1</f>
        <v>9170.5716955344215</v>
      </c>
      <c r="DX19" s="549">
        <f t="shared" si="852"/>
        <v>50459.499295010508</v>
      </c>
      <c r="DY19" s="558">
        <f t="shared" si="852"/>
        <v>47210.616392368473</v>
      </c>
      <c r="DZ19" s="549">
        <f t="shared" si="852"/>
        <v>50874.601128096401</v>
      </c>
      <c r="EA19" s="558">
        <f t="shared" si="852"/>
        <v>51072.320018005412</v>
      </c>
      <c r="EB19" s="559">
        <f t="shared" si="852"/>
        <v>5337.4631120745262</v>
      </c>
      <c r="EC19" s="560">
        <f>SUM(ED19:EJ19)</f>
        <v>274653.02778014925</v>
      </c>
      <c r="ED19" s="552">
        <f>ED15*ED8*$D$1</f>
        <v>31960.066540569303</v>
      </c>
      <c r="EE19" s="550">
        <f t="shared" ref="EE19:EJ19" si="853">EE15*EE8*$D$1</f>
        <v>45655.698112515267</v>
      </c>
      <c r="EF19" s="549">
        <f t="shared" si="853"/>
        <v>46217.32246260484</v>
      </c>
      <c r="EG19" s="558">
        <f t="shared" si="853"/>
        <v>45070.341375334014</v>
      </c>
      <c r="EH19" s="549">
        <f t="shared" si="853"/>
        <v>53652.987599276887</v>
      </c>
      <c r="EI19" s="558">
        <f t="shared" si="853"/>
        <v>52096.611689848964</v>
      </c>
      <c r="EJ19" s="559">
        <f t="shared" si="853"/>
        <v>0</v>
      </c>
      <c r="EK19" s="560">
        <f>SUM(EL19:ER19)</f>
        <v>298500.99813181226</v>
      </c>
      <c r="EL19" s="552">
        <f>EL15*EL8*$D$1</f>
        <v>37431.778123891767</v>
      </c>
      <c r="EM19" s="550">
        <f t="shared" ref="EM19:ER19" si="854">EM15*EM8*$D$1</f>
        <v>48463.951956436991</v>
      </c>
      <c r="EN19" s="549">
        <f t="shared" si="854"/>
        <v>46782.862093583222</v>
      </c>
      <c r="EO19" s="558">
        <f t="shared" si="854"/>
        <v>46510.072437487412</v>
      </c>
      <c r="EP19" s="549">
        <f t="shared" si="854"/>
        <v>57711.663365032764</v>
      </c>
      <c r="EQ19" s="558">
        <f t="shared" si="854"/>
        <v>56067.1824750339</v>
      </c>
      <c r="ER19" s="559">
        <f t="shared" si="854"/>
        <v>5533.4876803461657</v>
      </c>
      <c r="ES19" s="560">
        <f>SUM(ET19:EZ19)</f>
        <v>309088.79197437345</v>
      </c>
      <c r="ET19" s="552">
        <f>ET15*ET8*$D$1</f>
        <v>38029.037905220554</v>
      </c>
      <c r="EU19" s="550">
        <f t="shared" ref="EU19:EZ19" si="855">EU15*EU8*$D$1</f>
        <v>51993.402725234584</v>
      </c>
      <c r="EV19" s="549">
        <f t="shared" si="855"/>
        <v>52714.492184038005</v>
      </c>
      <c r="EW19" s="558">
        <f t="shared" si="855"/>
        <v>49999.56363552322</v>
      </c>
      <c r="EX19" s="549">
        <f t="shared" si="855"/>
        <v>57544.3878774396</v>
      </c>
      <c r="EY19" s="558">
        <f t="shared" si="855"/>
        <v>53444.533443304455</v>
      </c>
      <c r="EZ19" s="559">
        <f t="shared" si="855"/>
        <v>5363.3742036130388</v>
      </c>
      <c r="FA19" s="560">
        <f>SUM(FB19:FH19)</f>
        <v>269566.74193722947</v>
      </c>
      <c r="FB19" s="552">
        <f>FB15*FB8*$D$1</f>
        <v>35251.255938866059</v>
      </c>
      <c r="FC19" s="550">
        <f t="shared" ref="FC19:FH19" si="856">FC15*FC8*$D$1</f>
        <v>44309.311846194214</v>
      </c>
      <c r="FD19" s="549">
        <f t="shared" si="856"/>
        <v>47635.489792515189</v>
      </c>
      <c r="FE19" s="558">
        <f t="shared" si="856"/>
        <v>44695.900132820854</v>
      </c>
      <c r="FF19" s="549">
        <f t="shared" si="856"/>
        <v>47631.448608425308</v>
      </c>
      <c r="FG19" s="558">
        <f t="shared" si="856"/>
        <v>44757.487405504035</v>
      </c>
      <c r="FH19" s="559">
        <f t="shared" si="856"/>
        <v>5285.8482129038284</v>
      </c>
      <c r="FI19" s="560">
        <f>SUM(FJ19:FP19)</f>
        <v>217384.13831841736</v>
      </c>
      <c r="FJ19" s="552">
        <f>FJ15*FJ8*$D$1</f>
        <v>31904.71372413855</v>
      </c>
      <c r="FK19" s="550">
        <f t="shared" ref="FK19:FP19" si="857">FK15*FK8*$D$1</f>
        <v>40782.159437341557</v>
      </c>
      <c r="FL19" s="549">
        <f t="shared" si="857"/>
        <v>41173.958175086154</v>
      </c>
      <c r="FM19" s="558">
        <f t="shared" si="857"/>
        <v>0</v>
      </c>
      <c r="FN19" s="549">
        <f t="shared" si="857"/>
        <v>41456.746314481017</v>
      </c>
      <c r="FO19" s="558">
        <f t="shared" si="857"/>
        <v>56802.071906949095</v>
      </c>
      <c r="FP19" s="559">
        <f t="shared" si="857"/>
        <v>5264.4887604209944</v>
      </c>
      <c r="FQ19" s="560">
        <f>SUM(FR19:FX19)</f>
        <v>293890.59053648118</v>
      </c>
      <c r="FR19" s="552">
        <f>FR15*FR8*$D$1</f>
        <v>37600.92175758248</v>
      </c>
      <c r="FS19" s="550">
        <f t="shared" ref="FS19:FX19" si="858">FS15*FS8*$D$1</f>
        <v>46048.84285486555</v>
      </c>
      <c r="FT19" s="549">
        <f t="shared" si="858"/>
        <v>46971.238489866904</v>
      </c>
      <c r="FU19" s="558">
        <f t="shared" si="858"/>
        <v>47064.078202830511</v>
      </c>
      <c r="FV19" s="549">
        <f t="shared" si="858"/>
        <v>53267.436961371102</v>
      </c>
      <c r="FW19" s="558">
        <f t="shared" si="858"/>
        <v>52804.262439325496</v>
      </c>
      <c r="FX19" s="559">
        <f t="shared" si="858"/>
        <v>10133.809830639146</v>
      </c>
      <c r="FY19" s="560">
        <f>SUM(FZ19:GF19)</f>
        <v>226184.77285111009</v>
      </c>
      <c r="FZ19" s="552">
        <f>FZ15*FZ8*$D$1</f>
        <v>0</v>
      </c>
      <c r="GA19" s="550">
        <f t="shared" ref="GA19:GF19" si="859">GA15*GA8*$D$1</f>
        <v>9513.0512497443415</v>
      </c>
      <c r="GB19" s="549">
        <f t="shared" si="859"/>
        <v>54040.069411701697</v>
      </c>
      <c r="GC19" s="558">
        <f t="shared" si="859"/>
        <v>51409.421327231124</v>
      </c>
      <c r="GD19" s="549">
        <f t="shared" si="859"/>
        <v>51955.774958470858</v>
      </c>
      <c r="GE19" s="558">
        <f t="shared" si="859"/>
        <v>54078.374577226401</v>
      </c>
      <c r="GF19" s="559">
        <f t="shared" si="859"/>
        <v>5188.081326735637</v>
      </c>
      <c r="GG19" s="560">
        <f>SUM(GH19:GN19)</f>
        <v>298351.49481787201</v>
      </c>
      <c r="GH19" s="552">
        <f>GH15*GH8*$D$1</f>
        <v>37709.01610383462</v>
      </c>
      <c r="GI19" s="550">
        <f t="shared" ref="GI19:GN19" si="860">GI15*GI8*$D$1</f>
        <v>48710.479673762449</v>
      </c>
      <c r="GJ19" s="549">
        <f t="shared" si="860"/>
        <v>50301.75367219725</v>
      </c>
      <c r="GK19" s="558">
        <f t="shared" si="860"/>
        <v>48314.140313177057</v>
      </c>
      <c r="GL19" s="549">
        <f t="shared" si="860"/>
        <v>54690.86946759931</v>
      </c>
      <c r="GM19" s="558">
        <f t="shared" si="860"/>
        <v>53662.166033595771</v>
      </c>
      <c r="GN19" s="559">
        <f t="shared" si="860"/>
        <v>4963.0695537055572</v>
      </c>
      <c r="GO19" s="560">
        <f>SUM(GP19:GV19)</f>
        <v>297693.85705985426</v>
      </c>
      <c r="GP19" s="552">
        <f>GP15*GP8*$D$1</f>
        <v>36676.511842867403</v>
      </c>
      <c r="GQ19" s="550">
        <f t="shared" ref="GQ19:GV19" si="861">GQ15*GQ8*$D$1</f>
        <v>50912.601071161967</v>
      </c>
      <c r="GR19" s="549">
        <f t="shared" si="861"/>
        <v>49745.848473001533</v>
      </c>
      <c r="GS19" s="558">
        <f t="shared" si="861"/>
        <v>48715.350595424323</v>
      </c>
      <c r="GT19" s="549">
        <f t="shared" si="861"/>
        <v>54497.775962340602</v>
      </c>
      <c r="GU19" s="558">
        <f t="shared" si="861"/>
        <v>52199.438022932911</v>
      </c>
      <c r="GV19" s="559">
        <f t="shared" si="861"/>
        <v>4946.3310921255052</v>
      </c>
      <c r="GW19" s="560">
        <f>SUM(GX19:HD19)</f>
        <v>280191.96456288174</v>
      </c>
      <c r="GX19" s="552">
        <f>GX15*GX8*$D$1</f>
        <v>34106.442266532438</v>
      </c>
      <c r="GY19" s="550">
        <f t="shared" ref="GY19:HD19" si="862">GY15*GY8*$D$1</f>
        <v>48317.117481869507</v>
      </c>
      <c r="GZ19" s="549">
        <f t="shared" si="862"/>
        <v>49570.513102172757</v>
      </c>
      <c r="HA19" s="558">
        <f t="shared" si="862"/>
        <v>44866.524297844517</v>
      </c>
      <c r="HB19" s="549">
        <f t="shared" si="862"/>
        <v>48548.099097670158</v>
      </c>
      <c r="HC19" s="558">
        <f t="shared" si="862"/>
        <v>49689.43584358017</v>
      </c>
      <c r="HD19" s="559">
        <f t="shared" si="862"/>
        <v>5093.8324732121646</v>
      </c>
      <c r="HE19" s="560">
        <f>SUM(HF19:HL19)</f>
        <v>252533.62819211363</v>
      </c>
      <c r="HF19" s="552">
        <f>HF15*HF8*$D$1</f>
        <v>31613.73156941987</v>
      </c>
      <c r="HG19" s="550">
        <f t="shared" ref="HG19:HL19" si="863">HG15*HG8*$D$1</f>
        <v>44864.420289105234</v>
      </c>
      <c r="HH19" s="549">
        <f t="shared" si="863"/>
        <v>44979.56783457032</v>
      </c>
      <c r="HI19" s="558">
        <f t="shared" si="863"/>
        <v>39107.413318970306</v>
      </c>
      <c r="HJ19" s="549">
        <f t="shared" si="863"/>
        <v>45310.965620540075</v>
      </c>
      <c r="HK19" s="558">
        <f t="shared" si="863"/>
        <v>46657.529559507828</v>
      </c>
      <c r="HL19" s="559">
        <f t="shared" si="863"/>
        <v>0</v>
      </c>
      <c r="HM19" s="560">
        <f>SUM(HN19:HT19)</f>
        <v>239828.91889328722</v>
      </c>
      <c r="HN19" s="552">
        <f>HN15*HN8*$D$1</f>
        <v>31380.631976100496</v>
      </c>
      <c r="HO19" s="550">
        <f t="shared" ref="HO19:HT19" si="864">HO15*HO8*$D$1</f>
        <v>39966.383350202486</v>
      </c>
      <c r="HP19" s="549">
        <f t="shared" si="864"/>
        <v>40377.074050005707</v>
      </c>
      <c r="HQ19" s="558">
        <f t="shared" si="864"/>
        <v>39770.809937945232</v>
      </c>
      <c r="HR19" s="549">
        <f t="shared" si="864"/>
        <v>44572.302427700604</v>
      </c>
      <c r="HS19" s="558">
        <f t="shared" si="864"/>
        <v>43761.717151332683</v>
      </c>
      <c r="HT19" s="559">
        <f t="shared" si="864"/>
        <v>0</v>
      </c>
      <c r="HU19" s="560">
        <f>SUM(HV19:IB19)</f>
        <v>192247.14635414095</v>
      </c>
      <c r="HV19" s="552">
        <f>HV15*HV8*$D$1</f>
        <v>30896.189678492818</v>
      </c>
      <c r="HW19" s="550">
        <f t="shared" ref="HW19:IB19" si="865">HW15*HW8*$D$1</f>
        <v>39326.070864039437</v>
      </c>
      <c r="HX19" s="549">
        <f t="shared" si="865"/>
        <v>37158.159436932583</v>
      </c>
      <c r="HY19" s="558">
        <f t="shared" si="865"/>
        <v>0</v>
      </c>
      <c r="HZ19" s="549">
        <f t="shared" si="865"/>
        <v>39179.229799479646</v>
      </c>
      <c r="IA19" s="558">
        <f t="shared" si="865"/>
        <v>45687.496575196456</v>
      </c>
      <c r="IB19" s="559">
        <f t="shared" si="865"/>
        <v>0</v>
      </c>
      <c r="IC19" s="560">
        <f>SUM(ID19:IJ19)</f>
        <v>235399.08539135734</v>
      </c>
      <c r="ID19" s="552">
        <f>ID15*ID8*$D$1</f>
        <v>30338.882025207215</v>
      </c>
      <c r="IE19" s="550">
        <f t="shared" ref="IE19:IJ19" si="866">IE15*IE8*$D$1</f>
        <v>41467.031056156142</v>
      </c>
      <c r="IF19" s="549">
        <f t="shared" si="866"/>
        <v>39470.767237729036</v>
      </c>
      <c r="IG19" s="558">
        <f t="shared" si="866"/>
        <v>39607.252382412407</v>
      </c>
      <c r="IH19" s="549">
        <f t="shared" si="866"/>
        <v>43384.301546815077</v>
      </c>
      <c r="II19" s="558">
        <f t="shared" si="866"/>
        <v>41130.851143037464</v>
      </c>
      <c r="IJ19" s="559">
        <f t="shared" si="866"/>
        <v>0</v>
      </c>
      <c r="IK19" s="560">
        <f>SUM(IL19:IR19)</f>
        <v>221969.71653532307</v>
      </c>
      <c r="IL19" s="552">
        <f>IL15*IL8*$D$1</f>
        <v>29888.136730240203</v>
      </c>
      <c r="IM19" s="550">
        <f t="shared" ref="IM19:IR19" si="867">IM15*IM8*$D$1</f>
        <v>37578.17499405297</v>
      </c>
      <c r="IN19" s="549">
        <f t="shared" si="867"/>
        <v>38752.754646048241</v>
      </c>
      <c r="IO19" s="558">
        <f t="shared" si="867"/>
        <v>35572.078177730196</v>
      </c>
      <c r="IP19" s="549">
        <f t="shared" si="867"/>
        <v>38251.346723953517</v>
      </c>
      <c r="IQ19" s="558">
        <f t="shared" si="867"/>
        <v>41927.225263297943</v>
      </c>
      <c r="IR19" s="559">
        <f t="shared" si="867"/>
        <v>0</v>
      </c>
      <c r="IS19" s="560">
        <f>SUM(IT19:IZ19)</f>
        <v>218745.96856218259</v>
      </c>
      <c r="IT19" s="552">
        <f>IT15*IT8*$D$1</f>
        <v>30972.552960601886</v>
      </c>
      <c r="IU19" s="550">
        <f t="shared" ref="IU19:IZ19" si="868">IU15*IU8*$D$1</f>
        <v>36321.192901473914</v>
      </c>
      <c r="IV19" s="549">
        <f t="shared" si="868"/>
        <v>37055.529010645136</v>
      </c>
      <c r="IW19" s="558">
        <f t="shared" si="868"/>
        <v>36808.29418386866</v>
      </c>
      <c r="IX19" s="549">
        <f t="shared" si="868"/>
        <v>36930.846297568256</v>
      </c>
      <c r="IY19" s="558">
        <f t="shared" si="868"/>
        <v>40657.553208024736</v>
      </c>
      <c r="IZ19" s="559">
        <f t="shared" si="868"/>
        <v>0</v>
      </c>
      <c r="JA19" s="560">
        <f>SUM(JB19:JH19)</f>
        <v>179044.7853664514</v>
      </c>
      <c r="JB19" s="552">
        <f>JB15*JB8*$D$1</f>
        <v>0</v>
      </c>
      <c r="JC19" s="550">
        <f t="shared" ref="JC19:JH19" si="869">JC15*JC8*$D$1</f>
        <v>8798.8381725913114</v>
      </c>
      <c r="JD19" s="549">
        <f t="shared" si="869"/>
        <v>42734.441059904006</v>
      </c>
      <c r="JE19" s="558">
        <f t="shared" si="869"/>
        <v>40665.235765092155</v>
      </c>
      <c r="JF19" s="549">
        <f t="shared" si="869"/>
        <v>43345.464435604801</v>
      </c>
      <c r="JG19" s="558">
        <f t="shared" si="869"/>
        <v>43500.805933259115</v>
      </c>
      <c r="JH19" s="559">
        <f t="shared" si="869"/>
        <v>0</v>
      </c>
      <c r="JI19" s="560">
        <f>SUM(JJ19:JP19)</f>
        <v>266529.89680083946</v>
      </c>
      <c r="JJ19" s="552">
        <f>JJ15*JJ8*$D$1</f>
        <v>30645.041608172742</v>
      </c>
      <c r="JK19" s="550">
        <f t="shared" ref="JK19:JP19" si="870">JK15*JK8*$D$1</f>
        <v>42220.497717660379</v>
      </c>
      <c r="JL19" s="549">
        <f t="shared" si="870"/>
        <v>43163.88923879448</v>
      </c>
      <c r="JM19" s="558">
        <f t="shared" si="870"/>
        <v>43731.913836518761</v>
      </c>
      <c r="JN19" s="549">
        <f t="shared" si="870"/>
        <v>54685.373971922512</v>
      </c>
      <c r="JO19" s="558">
        <f t="shared" si="870"/>
        <v>52083.180427770611</v>
      </c>
      <c r="JP19" s="559">
        <f t="shared" si="870"/>
        <v>0</v>
      </c>
      <c r="JQ19" s="560">
        <f>SUM(JR19:JX19)</f>
        <v>292463.28823621856</v>
      </c>
      <c r="JR19" s="552">
        <f>JR15*JR8*$D$1</f>
        <v>36907.084871682993</v>
      </c>
      <c r="JS19" s="550">
        <f t="shared" ref="JS19:JX19" si="871">JS15*JS8*$D$1</f>
        <v>49151.913707545173</v>
      </c>
      <c r="JT19" s="549">
        <f t="shared" si="871"/>
        <v>49117.984078363763</v>
      </c>
      <c r="JU19" s="558">
        <f t="shared" si="871"/>
        <v>50643.285069676902</v>
      </c>
      <c r="JV19" s="549">
        <f t="shared" si="871"/>
        <v>55615.950414779334</v>
      </c>
      <c r="JW19" s="558">
        <f t="shared" si="871"/>
        <v>51027.070094170384</v>
      </c>
      <c r="JX19" s="559">
        <f t="shared" si="871"/>
        <v>0</v>
      </c>
      <c r="JY19" s="560">
        <f>SUM(JZ19:KF19)</f>
        <v>311560.19530315849</v>
      </c>
      <c r="JZ19" s="552">
        <f>JZ15*JZ8*$D$1</f>
        <v>38595.037740340253</v>
      </c>
      <c r="KA19" s="550">
        <f t="shared" ref="KA19:KF19" si="872">KA15*KA8*$D$1</f>
        <v>53390.778452659237</v>
      </c>
      <c r="KB19" s="549">
        <f t="shared" si="872"/>
        <v>55352.777001663526</v>
      </c>
      <c r="KC19" s="558">
        <f t="shared" si="872"/>
        <v>52919.025922096538</v>
      </c>
      <c r="KD19" s="549">
        <f t="shared" si="872"/>
        <v>57731.357898826165</v>
      </c>
      <c r="KE19" s="558">
        <f t="shared" si="872"/>
        <v>53571.21828757281</v>
      </c>
      <c r="KF19" s="559">
        <f t="shared" si="872"/>
        <v>0</v>
      </c>
      <c r="KG19" s="560">
        <f>SUM(KH19:KN19)</f>
        <v>309877.69513441424</v>
      </c>
      <c r="KH19" s="552">
        <f>KH15*KH8*$D$1</f>
        <v>40744.480692585021</v>
      </c>
      <c r="KI19" s="550">
        <f t="shared" ref="KI19:KN19" si="873">KI15*KI8*$D$1</f>
        <v>53309.826550015277</v>
      </c>
      <c r="KJ19" s="549">
        <f t="shared" si="873"/>
        <v>55232.233075063144</v>
      </c>
      <c r="KK19" s="558">
        <f t="shared" si="873"/>
        <v>52452.673393905388</v>
      </c>
      <c r="KL19" s="549">
        <f t="shared" si="873"/>
        <v>57605.854378452874</v>
      </c>
      <c r="KM19" s="558">
        <f t="shared" si="873"/>
        <v>50532.627044392531</v>
      </c>
      <c r="KN19" s="559">
        <f t="shared" si="873"/>
        <v>0</v>
      </c>
      <c r="KO19" s="560">
        <f>SUM(KP19:KV19)</f>
        <v>293920.9316849999</v>
      </c>
      <c r="KP19" s="552">
        <f>KP15*KP8*$D$1</f>
        <v>37443.734931433828</v>
      </c>
      <c r="KQ19" s="550">
        <f t="shared" ref="KQ19:KV19" si="874">KQ15*KQ8*$D$1</f>
        <v>48374.158105355964</v>
      </c>
      <c r="KR19" s="549">
        <f t="shared" si="874"/>
        <v>47513.792423395251</v>
      </c>
      <c r="KS19" s="558">
        <f t="shared" si="874"/>
        <v>52275.189623777216</v>
      </c>
      <c r="KT19" s="549">
        <f t="shared" si="874"/>
        <v>55917.214329222013</v>
      </c>
      <c r="KU19" s="558">
        <f t="shared" si="874"/>
        <v>52396.842271815585</v>
      </c>
      <c r="KV19" s="559">
        <f t="shared" si="874"/>
        <v>0</v>
      </c>
      <c r="KW19" s="560">
        <f>SUM(KX19:LD19)</f>
        <v>288041.03695106209</v>
      </c>
      <c r="KX19" s="552">
        <f>KX15*KX8*$D$1</f>
        <v>35939.199436273222</v>
      </c>
      <c r="KY19" s="550">
        <f t="shared" ref="KY19:LD19" si="875">KY15*KY8*$D$1</f>
        <v>50047.320838944688</v>
      </c>
      <c r="KZ19" s="549">
        <f t="shared" si="875"/>
        <v>50813.975878634425</v>
      </c>
      <c r="LA19" s="558">
        <f t="shared" si="875"/>
        <v>48942.432177902861</v>
      </c>
      <c r="LB19" s="549">
        <f t="shared" si="875"/>
        <v>50184.280141187999</v>
      </c>
      <c r="LC19" s="558">
        <f t="shared" si="875"/>
        <v>52113.828478118892</v>
      </c>
      <c r="LD19" s="559">
        <f t="shared" si="875"/>
        <v>0</v>
      </c>
      <c r="LE19" s="560">
        <f>SUM(LF19:LL19)</f>
        <v>291167.71999193472</v>
      </c>
      <c r="LF19" s="552">
        <f>LF15*LF8*$D$1</f>
        <v>36645.322861007153</v>
      </c>
      <c r="LG19" s="550">
        <f t="shared" ref="LG19:LL19" si="876">LG15*LG8*$D$1</f>
        <v>49087.714116668532</v>
      </c>
      <c r="LH19" s="549">
        <f t="shared" si="876"/>
        <v>49771.952587587155</v>
      </c>
      <c r="LI19" s="558">
        <f t="shared" si="876"/>
        <v>48377.085009381466</v>
      </c>
      <c r="LJ19" s="549">
        <f t="shared" si="876"/>
        <v>53686.041854547875</v>
      </c>
      <c r="LK19" s="558">
        <f t="shared" si="876"/>
        <v>53599.603562742501</v>
      </c>
      <c r="LL19" s="559">
        <f t="shared" si="876"/>
        <v>0</v>
      </c>
      <c r="LM19" s="560">
        <f>SUM(LN19:LT19)</f>
        <v>308710.29477348021</v>
      </c>
      <c r="LN19" s="552">
        <f>LN15*LN8*$D$1</f>
        <v>39657.452527573085</v>
      </c>
      <c r="LO19" s="550">
        <f t="shared" ref="LO19:LT19" si="877">LO15*LO8*$D$1</f>
        <v>50087.58660234548</v>
      </c>
      <c r="LP19" s="549">
        <f t="shared" si="877"/>
        <v>52623.575815860611</v>
      </c>
      <c r="LQ19" s="558">
        <f t="shared" si="877"/>
        <v>51232.775241334341</v>
      </c>
      <c r="LR19" s="549">
        <f t="shared" si="877"/>
        <v>55861.223342938516</v>
      </c>
      <c r="LS19" s="558">
        <f t="shared" si="877"/>
        <v>59247.681243428182</v>
      </c>
      <c r="LT19" s="559">
        <f t="shared" si="877"/>
        <v>0</v>
      </c>
      <c r="LU19" s="560">
        <f>SUM(LV19:MB19)</f>
        <v>305172.63284926838</v>
      </c>
      <c r="LV19" s="552">
        <f>LV15*LV8*$D$1</f>
        <v>39665.450708246986</v>
      </c>
      <c r="LW19" s="550">
        <f t="shared" ref="LW19:MB19" si="878">LW15*LW8*$D$1</f>
        <v>52746.676039978447</v>
      </c>
      <c r="LX19" s="549">
        <f t="shared" si="878"/>
        <v>50767.491317829932</v>
      </c>
      <c r="LY19" s="558">
        <f t="shared" si="878"/>
        <v>48651.50726447763</v>
      </c>
      <c r="LZ19" s="549">
        <f t="shared" si="878"/>
        <v>57518.160481736501</v>
      </c>
      <c r="MA19" s="558">
        <f t="shared" si="878"/>
        <v>55823.347036998908</v>
      </c>
      <c r="MB19" s="559">
        <f t="shared" si="878"/>
        <v>0</v>
      </c>
      <c r="MC19" s="560">
        <f>SUM(MD19:MJ19)</f>
        <v>308443.94237592089</v>
      </c>
      <c r="MD19" s="552">
        <f>MD15*MD8*$D$1</f>
        <v>43949.346744095863</v>
      </c>
      <c r="ME19" s="550">
        <f t="shared" ref="ME19:MJ19" si="879">ME15*ME8*$D$1</f>
        <v>51954.09682057755</v>
      </c>
      <c r="MF19" s="549">
        <f t="shared" si="879"/>
        <v>52357.296205486622</v>
      </c>
      <c r="MG19" s="558">
        <f t="shared" si="879"/>
        <v>49778.53395079168</v>
      </c>
      <c r="MH19" s="549">
        <f t="shared" si="879"/>
        <v>56150.383953660639</v>
      </c>
      <c r="MI19" s="558">
        <f t="shared" si="879"/>
        <v>54254.284701308476</v>
      </c>
      <c r="MJ19" s="559">
        <f t="shared" si="879"/>
        <v>0</v>
      </c>
      <c r="MK19" s="560">
        <f>SUM(ML19:MR19)</f>
        <v>250076.91479524365</v>
      </c>
      <c r="ML19" s="552">
        <f>ML15*ML8*$D$1</f>
        <v>40143.99490944088</v>
      </c>
      <c r="MM19" s="550">
        <f t="shared" ref="MM19:MR19" si="880">MM15*MM8*$D$1</f>
        <v>0</v>
      </c>
      <c r="MN19" s="549">
        <f t="shared" si="880"/>
        <v>38985.676743406606</v>
      </c>
      <c r="MO19" s="558">
        <f t="shared" si="880"/>
        <v>53954.64544382086</v>
      </c>
      <c r="MP19" s="549">
        <f t="shared" si="880"/>
        <v>58071.520664529227</v>
      </c>
      <c r="MQ19" s="558">
        <f t="shared" si="880"/>
        <v>58921.077034046044</v>
      </c>
      <c r="MR19" s="559">
        <f t="shared" si="880"/>
        <v>0</v>
      </c>
      <c r="MS19" s="560">
        <f>SUM(MT19:MZ19)</f>
        <v>265956.15763906454</v>
      </c>
      <c r="MT19" s="552">
        <f>MT15*MT8*$D$1</f>
        <v>41882.564313920069</v>
      </c>
      <c r="MU19" s="550">
        <f t="shared" ref="MU19:MZ19" si="881">MU15*MU8*$D$1</f>
        <v>57259.2345277778</v>
      </c>
      <c r="MV19" s="549">
        <f t="shared" si="881"/>
        <v>57640.671547713595</v>
      </c>
      <c r="MW19" s="558">
        <f t="shared" si="881"/>
        <v>57393.91402097424</v>
      </c>
      <c r="MX19" s="549">
        <f t="shared" si="881"/>
        <v>0</v>
      </c>
      <c r="MY19" s="558">
        <f t="shared" si="881"/>
        <v>51779.773228678809</v>
      </c>
      <c r="MZ19" s="559">
        <f t="shared" si="881"/>
        <v>0</v>
      </c>
      <c r="NA19" s="560">
        <f>SUM(NB19:NH19)</f>
        <v>324113.71308445168</v>
      </c>
      <c r="NB19" s="552">
        <f>NB15*NB8*$D$1</f>
        <v>42213.540604820213</v>
      </c>
      <c r="NC19" s="550">
        <f t="shared" ref="NC19:NH19" si="882">NC15*NC8*$D$1</f>
        <v>59097.779023517018</v>
      </c>
      <c r="ND19" s="549">
        <f t="shared" si="882"/>
        <v>57350.152078682731</v>
      </c>
      <c r="NE19" s="558">
        <f t="shared" si="882"/>
        <v>55124.239214646346</v>
      </c>
      <c r="NF19" s="549">
        <f t="shared" si="882"/>
        <v>55480.614696274177</v>
      </c>
      <c r="NG19" s="558">
        <f t="shared" si="882"/>
        <v>54847.387466511202</v>
      </c>
      <c r="NH19" s="559">
        <f t="shared" si="882"/>
        <v>0</v>
      </c>
      <c r="NI19" s="560">
        <f>SUM(NJ19:NP19)</f>
        <v>370009.32709127414</v>
      </c>
      <c r="NJ19" s="552">
        <f>NJ15*NJ8*$D$1</f>
        <v>40069.020291928697</v>
      </c>
      <c r="NK19" s="550">
        <f t="shared" ref="NK19:NP19" si="883">NK15*NK8*$D$1</f>
        <v>63772.030359427736</v>
      </c>
      <c r="NL19" s="549">
        <f t="shared" si="883"/>
        <v>66234.402854603351</v>
      </c>
      <c r="NM19" s="558">
        <f t="shared" si="883"/>
        <v>62965.717901779884</v>
      </c>
      <c r="NN19" s="549">
        <f t="shared" si="883"/>
        <v>68828.609361063791</v>
      </c>
      <c r="NO19" s="558">
        <f t="shared" si="883"/>
        <v>68139.546322470691</v>
      </c>
      <c r="NP19" s="559">
        <f t="shared" si="883"/>
        <v>0</v>
      </c>
      <c r="NQ19" s="560">
        <f>SUM(NR19:NX19)</f>
        <v>372530.28373924893</v>
      </c>
      <c r="NR19" s="552">
        <f>NR15*NR8*$D$1</f>
        <v>52056.012830492575</v>
      </c>
      <c r="NS19" s="550">
        <f t="shared" ref="NS19:NX19" si="884">NS15*NS8*$D$1</f>
        <v>68419.071159125582</v>
      </c>
      <c r="NT19" s="549">
        <f t="shared" si="884"/>
        <v>70815.633339134947</v>
      </c>
      <c r="NU19" s="558">
        <f t="shared" si="884"/>
        <v>61375.584915044696</v>
      </c>
      <c r="NV19" s="549">
        <f t="shared" si="884"/>
        <v>61769.913676479337</v>
      </c>
      <c r="NW19" s="558">
        <f t="shared" si="884"/>
        <v>58094.067818971824</v>
      </c>
      <c r="NX19" s="559">
        <f t="shared" si="884"/>
        <v>0</v>
      </c>
      <c r="NY19" s="560">
        <f>SUM(NZ19:OF19)</f>
        <v>335035.25026716129</v>
      </c>
      <c r="NZ19" s="552">
        <f>NZ15*NZ8*$D$1</f>
        <v>43528.997453537741</v>
      </c>
      <c r="OA19" s="550">
        <f t="shared" ref="OA19:OF19" si="885">OA15*OA8*$D$1</f>
        <v>60307.765639557976</v>
      </c>
      <c r="OB19" s="549">
        <f t="shared" si="885"/>
        <v>62459.567390374927</v>
      </c>
      <c r="OC19" s="558">
        <f t="shared" si="885"/>
        <v>56252.231833771184</v>
      </c>
      <c r="OD19" s="549">
        <f t="shared" si="885"/>
        <v>57515.865263281223</v>
      </c>
      <c r="OE19" s="558">
        <f t="shared" si="885"/>
        <v>54970.82268663821</v>
      </c>
      <c r="OF19" s="559">
        <f t="shared" si="885"/>
        <v>0</v>
      </c>
      <c r="OG19" s="560">
        <f>SUM(OH19:ON19)</f>
        <v>312683.75652537879</v>
      </c>
      <c r="OH19" s="552">
        <f>OH15*OH8*$D$1</f>
        <v>40171.33286477036</v>
      </c>
      <c r="OI19" s="550">
        <f t="shared" ref="OI19:ON19" si="886">OI15*OI8*$D$1</f>
        <v>55006.799780337613</v>
      </c>
      <c r="OJ19" s="549">
        <f t="shared" si="886"/>
        <v>55603.501485426626</v>
      </c>
      <c r="OK19" s="558">
        <f t="shared" si="886"/>
        <v>53775.544651790558</v>
      </c>
      <c r="OL19" s="549">
        <f t="shared" si="886"/>
        <v>57575.093647965863</v>
      </c>
      <c r="OM19" s="558">
        <f t="shared" si="886"/>
        <v>50551.484095087792</v>
      </c>
      <c r="ON19" s="559">
        <f t="shared" si="886"/>
        <v>0</v>
      </c>
      <c r="OO19" s="560">
        <f>SUM(OP19:OV19)</f>
        <v>354651.90749999997</v>
      </c>
      <c r="OP19" s="552">
        <f>OP15*OP8*$D$1</f>
        <v>41580</v>
      </c>
      <c r="OQ19" s="550">
        <f t="shared" ref="OQ19:OV19" si="887">OQ15*OQ8*$D$1</f>
        <v>64156.95</v>
      </c>
      <c r="OR19" s="549">
        <f t="shared" si="887"/>
        <v>62998.650000000009</v>
      </c>
      <c r="OS19" s="558">
        <f t="shared" si="887"/>
        <v>64568.79</v>
      </c>
      <c r="OT19" s="549">
        <f t="shared" si="887"/>
        <v>62544.487500000003</v>
      </c>
      <c r="OU19" s="558">
        <f t="shared" si="887"/>
        <v>58803.03</v>
      </c>
      <c r="OV19" s="559">
        <f t="shared" si="887"/>
        <v>0</v>
      </c>
      <c r="OW19" s="560">
        <f>SUM(OX19:PD19)</f>
        <v>324799.44750000001</v>
      </c>
      <c r="OX19" s="552">
        <f>OX15*OX8*$D$1</f>
        <v>18695.16</v>
      </c>
      <c r="OY19" s="550">
        <f t="shared" ref="OY19:PD19" si="888">OY15*OY8*$D$1</f>
        <v>61051.32</v>
      </c>
      <c r="OZ19" s="549">
        <f t="shared" si="888"/>
        <v>62331.637499999997</v>
      </c>
      <c r="PA19" s="558">
        <f t="shared" si="888"/>
        <v>62685.562499999993</v>
      </c>
      <c r="PB19" s="549">
        <f t="shared" si="888"/>
        <v>62004.937499999993</v>
      </c>
      <c r="PC19" s="558">
        <f t="shared" si="888"/>
        <v>58030.830000000009</v>
      </c>
      <c r="PD19" s="559">
        <f t="shared" si="888"/>
        <v>0</v>
      </c>
      <c r="PE19" s="560">
        <f t="shared" si="713"/>
        <v>302445</v>
      </c>
      <c r="PF19" s="552">
        <f t="shared" si="836"/>
        <v>18612</v>
      </c>
      <c r="PG19" s="550">
        <f t="shared" si="836"/>
        <v>58162.5</v>
      </c>
      <c r="PH19" s="549">
        <f t="shared" si="836"/>
        <v>58162.5</v>
      </c>
      <c r="PI19" s="558">
        <f t="shared" si="836"/>
        <v>55836</v>
      </c>
      <c r="PJ19" s="549">
        <f t="shared" si="836"/>
        <v>57024</v>
      </c>
      <c r="PK19" s="558">
        <f t="shared" si="836"/>
        <v>54648</v>
      </c>
      <c r="PL19" s="559">
        <f t="shared" si="836"/>
        <v>0</v>
      </c>
    </row>
    <row r="20" spans="1:428" s="44" customFormat="1" ht="15" thickBot="1" x14ac:dyDescent="0.35">
      <c r="A20"/>
      <c r="B20" s="1022"/>
      <c r="C20" s="1006"/>
      <c r="D20" s="238" t="s">
        <v>305</v>
      </c>
      <c r="E20" s="557">
        <f>SUM(F20:L20)</f>
        <v>264381.38597560598</v>
      </c>
      <c r="F20" s="548">
        <f t="shared" ref="F20:L20" si="889">F16*F8*$D$1</f>
        <v>34312.07230675812</v>
      </c>
      <c r="G20" s="544">
        <f t="shared" si="889"/>
        <v>48653.942553880566</v>
      </c>
      <c r="H20" s="544">
        <f t="shared" si="889"/>
        <v>49448.371114967311</v>
      </c>
      <c r="I20" s="545">
        <f t="shared" si="889"/>
        <v>44550</v>
      </c>
      <c r="J20" s="544">
        <f t="shared" si="889"/>
        <v>45441</v>
      </c>
      <c r="K20" s="544">
        <f t="shared" si="889"/>
        <v>41976</v>
      </c>
      <c r="L20" s="546">
        <f t="shared" si="889"/>
        <v>0</v>
      </c>
      <c r="M20" s="557">
        <f>SUM(N20:T20)</f>
        <v>288904.94614043477</v>
      </c>
      <c r="N20" s="548">
        <f t="shared" ref="N20:T20" si="890">N16*N8*$D$1</f>
        <v>41505.165691706294</v>
      </c>
      <c r="O20" s="544">
        <f t="shared" si="890"/>
        <v>49996.979374391245</v>
      </c>
      <c r="P20" s="544">
        <f t="shared" si="890"/>
        <v>46180.301074337243</v>
      </c>
      <c r="Q20" s="545">
        <f t="shared" si="890"/>
        <v>49005</v>
      </c>
      <c r="R20" s="544">
        <f t="shared" si="890"/>
        <v>49648.5</v>
      </c>
      <c r="S20" s="544">
        <f t="shared" si="890"/>
        <v>52569</v>
      </c>
      <c r="T20" s="546">
        <f t="shared" si="890"/>
        <v>0</v>
      </c>
      <c r="U20" s="557">
        <f>SUM(V20:AB20)</f>
        <v>282614.76947226381</v>
      </c>
      <c r="V20" s="548">
        <f t="shared" ref="V20:AB20" si="891">V16*V8*$D$1</f>
        <v>43837.824484181365</v>
      </c>
      <c r="W20" s="544">
        <f t="shared" si="891"/>
        <v>47215.562556580771</v>
      </c>
      <c r="X20" s="544">
        <f t="shared" si="891"/>
        <v>48456.882431501683</v>
      </c>
      <c r="Y20" s="545">
        <f t="shared" si="891"/>
        <v>45144</v>
      </c>
      <c r="Z20" s="544">
        <f t="shared" si="891"/>
        <v>49846.5</v>
      </c>
      <c r="AA20" s="544">
        <f t="shared" si="891"/>
        <v>48114</v>
      </c>
      <c r="AB20" s="546">
        <f t="shared" si="891"/>
        <v>0</v>
      </c>
      <c r="AC20" s="557">
        <f>SUM(AD20:AJ20)</f>
        <v>282625.47087878443</v>
      </c>
      <c r="AD20" s="548">
        <f t="shared" ref="AD20:AJ20" si="892">AD16*AD8*$D$1</f>
        <v>44905.408163265303</v>
      </c>
      <c r="AE20" s="544">
        <f t="shared" si="892"/>
        <v>46557.406508013592</v>
      </c>
      <c r="AF20" s="544">
        <f t="shared" si="892"/>
        <v>47520</v>
      </c>
      <c r="AG20" s="545">
        <f t="shared" si="892"/>
        <v>48327.423615127227</v>
      </c>
      <c r="AH20" s="544">
        <f t="shared" si="892"/>
        <v>50087.927360124988</v>
      </c>
      <c r="AI20" s="544">
        <f t="shared" si="892"/>
        <v>45227.305232253304</v>
      </c>
      <c r="AJ20" s="546">
        <f t="shared" si="892"/>
        <v>0</v>
      </c>
      <c r="AK20" s="557">
        <f>SUM(AL20:AR20)</f>
        <v>291251.12281042902</v>
      </c>
      <c r="AL20" s="548">
        <f t="shared" ref="AL20:AR20" si="893">AL16*AL8*$D$1</f>
        <v>44378.326451026151</v>
      </c>
      <c r="AM20" s="544">
        <f t="shared" si="893"/>
        <v>47287.248741826581</v>
      </c>
      <c r="AN20" s="544">
        <f t="shared" si="893"/>
        <v>50387.50288277759</v>
      </c>
      <c r="AO20" s="545">
        <f t="shared" si="893"/>
        <v>50718.077072866377</v>
      </c>
      <c r="AP20" s="544">
        <f t="shared" si="893"/>
        <v>50213.420597937322</v>
      </c>
      <c r="AQ20" s="544">
        <f t="shared" si="893"/>
        <v>48266.547063994956</v>
      </c>
      <c r="AR20" s="546">
        <f t="shared" si="893"/>
        <v>0</v>
      </c>
      <c r="AS20" s="557">
        <f>SUM(AT20:AZ20)</f>
        <v>291327.70822023501</v>
      </c>
      <c r="AT20" s="548">
        <f t="shared" ref="AT20:AZ20" si="894">AT16*AT8*$D$1</f>
        <v>47136.51030203922</v>
      </c>
      <c r="AU20" s="544">
        <f t="shared" si="894"/>
        <v>47887.612870768957</v>
      </c>
      <c r="AV20" s="544">
        <f t="shared" si="894"/>
        <v>51019.37595740219</v>
      </c>
      <c r="AW20" s="545">
        <f t="shared" si="894"/>
        <v>47822.558276368953</v>
      </c>
      <c r="AX20" s="544">
        <f t="shared" si="894"/>
        <v>50037.600025849228</v>
      </c>
      <c r="AY20" s="544">
        <f t="shared" si="894"/>
        <v>47424.050787806431</v>
      </c>
      <c r="AZ20" s="546">
        <f t="shared" si="894"/>
        <v>0</v>
      </c>
      <c r="BA20" s="557">
        <f>SUM(BB20:BH20)</f>
        <v>290234.74440114765</v>
      </c>
      <c r="BB20" s="548">
        <f t="shared" ref="BB20:BH20" si="895">BB16*BB8*$D$1</f>
        <v>43947.561726000575</v>
      </c>
      <c r="BC20" s="544">
        <f t="shared" si="895"/>
        <v>49979.593269954399</v>
      </c>
      <c r="BD20" s="544">
        <f t="shared" si="895"/>
        <v>50118.956115212357</v>
      </c>
      <c r="BE20" s="545">
        <f t="shared" si="895"/>
        <v>47304.514086742092</v>
      </c>
      <c r="BF20" s="544">
        <f t="shared" si="895"/>
        <v>52315.75025198792</v>
      </c>
      <c r="BG20" s="544">
        <f t="shared" si="895"/>
        <v>46568.368951250282</v>
      </c>
      <c r="BH20" s="546">
        <f t="shared" si="895"/>
        <v>0</v>
      </c>
      <c r="BI20" s="557">
        <f>SUM(BJ20:BP20)</f>
        <v>287460.66184482054</v>
      </c>
      <c r="BJ20" s="548">
        <f t="shared" ref="BJ20:BP20" si="896">BJ16*BJ8*$D$1</f>
        <v>45360.528215723411</v>
      </c>
      <c r="BK20" s="544">
        <f t="shared" si="896"/>
        <v>46092.771593811878</v>
      </c>
      <c r="BL20" s="544">
        <f t="shared" si="896"/>
        <v>46910.038471592248</v>
      </c>
      <c r="BM20" s="545">
        <f t="shared" si="896"/>
        <v>47815.799476048873</v>
      </c>
      <c r="BN20" s="544">
        <f t="shared" si="896"/>
        <v>52360.712351014947</v>
      </c>
      <c r="BO20" s="544">
        <f t="shared" si="896"/>
        <v>48920.811736629184</v>
      </c>
      <c r="BP20" s="546">
        <f t="shared" si="896"/>
        <v>0</v>
      </c>
      <c r="BQ20" s="557">
        <f>SUM(BR20:BX20)</f>
        <v>299649.66071828944</v>
      </c>
      <c r="BR20" s="548">
        <f t="shared" ref="BR20:BX20" si="897">BR16*BR8*$D$1</f>
        <v>47337.493377543171</v>
      </c>
      <c r="BS20" s="544">
        <f t="shared" si="897"/>
        <v>48344.675230394125</v>
      </c>
      <c r="BT20" s="544">
        <f t="shared" si="897"/>
        <v>49139.50775856906</v>
      </c>
      <c r="BU20" s="545">
        <f t="shared" si="897"/>
        <v>50404.064425800432</v>
      </c>
      <c r="BV20" s="544">
        <f t="shared" si="897"/>
        <v>52763.451764682519</v>
      </c>
      <c r="BW20" s="544">
        <f t="shared" si="897"/>
        <v>51660.468161300174</v>
      </c>
      <c r="BX20" s="546">
        <f t="shared" si="897"/>
        <v>0</v>
      </c>
      <c r="BY20" s="557">
        <f>SUM(BZ20:CF20)</f>
        <v>289203.04367652553</v>
      </c>
      <c r="BZ20" s="548">
        <f t="shared" ref="BZ20:CF20" si="898">BZ16*BZ8*$D$1</f>
        <v>42643.906372043653</v>
      </c>
      <c r="CA20" s="544">
        <f t="shared" si="898"/>
        <v>47919.229900193255</v>
      </c>
      <c r="CB20" s="544">
        <f t="shared" si="898"/>
        <v>48185.119352768692</v>
      </c>
      <c r="CC20" s="545">
        <f t="shared" si="898"/>
        <v>45549.34932812264</v>
      </c>
      <c r="CD20" s="544">
        <f t="shared" si="898"/>
        <v>55627.524756022904</v>
      </c>
      <c r="CE20" s="544">
        <f t="shared" si="898"/>
        <v>49277.91396737437</v>
      </c>
      <c r="CF20" s="546">
        <f t="shared" si="898"/>
        <v>0</v>
      </c>
      <c r="CG20" s="557">
        <f>SUM(CH20:CN20)</f>
        <v>273396.54131347564</v>
      </c>
      <c r="CH20" s="548">
        <f t="shared" ref="CH20:CN20" si="899">CH16*CH8*$D$1</f>
        <v>40299.798219153592</v>
      </c>
      <c r="CI20" s="544">
        <f t="shared" si="899"/>
        <v>49173.260318265893</v>
      </c>
      <c r="CJ20" s="544">
        <f t="shared" si="899"/>
        <v>48141.78824595717</v>
      </c>
      <c r="CK20" s="545">
        <f t="shared" si="899"/>
        <v>42013.218723534126</v>
      </c>
      <c r="CL20" s="544">
        <f t="shared" si="899"/>
        <v>48167.4855930427</v>
      </c>
      <c r="CM20" s="544">
        <f t="shared" si="899"/>
        <v>45600.990213522186</v>
      </c>
      <c r="CN20" s="546">
        <f t="shared" si="899"/>
        <v>0</v>
      </c>
      <c r="CO20" s="557">
        <f>SUM(CP20:CV20)</f>
        <v>293178.75182553288</v>
      </c>
      <c r="CP20" s="548">
        <f t="shared" ref="CP20:CV20" si="900">CP16*CP8*$D$1</f>
        <v>44957.476483242805</v>
      </c>
      <c r="CQ20" s="544">
        <f t="shared" si="900"/>
        <v>50600.691362785677</v>
      </c>
      <c r="CR20" s="544">
        <f t="shared" si="900"/>
        <v>47986.617817053404</v>
      </c>
      <c r="CS20" s="545">
        <f t="shared" si="900"/>
        <v>45513.089759030365</v>
      </c>
      <c r="CT20" s="544">
        <f t="shared" si="900"/>
        <v>57199.655001824227</v>
      </c>
      <c r="CU20" s="544">
        <f t="shared" si="900"/>
        <v>46921.221401596405</v>
      </c>
      <c r="CV20" s="546">
        <f t="shared" si="900"/>
        <v>0</v>
      </c>
      <c r="CW20" s="557">
        <f>SUM(CX20:DD20)</f>
        <v>298264.66272638825</v>
      </c>
      <c r="CX20" s="548">
        <f t="shared" ref="CX20:DD20" si="901">CX16*CX8*$D$1</f>
        <v>46641.604471423714</v>
      </c>
      <c r="CY20" s="544">
        <f t="shared" si="901"/>
        <v>49397.995805514394</v>
      </c>
      <c r="CZ20" s="544">
        <f t="shared" si="901"/>
        <v>50434.177651023987</v>
      </c>
      <c r="DA20" s="545">
        <f t="shared" si="901"/>
        <v>50331.343178677242</v>
      </c>
      <c r="DB20" s="544">
        <f t="shared" si="901"/>
        <v>57182.56336187233</v>
      </c>
      <c r="DC20" s="544">
        <f t="shared" si="901"/>
        <v>44276.978257876588</v>
      </c>
      <c r="DD20" s="546">
        <f t="shared" si="901"/>
        <v>0</v>
      </c>
      <c r="DE20" s="557">
        <f>SUM(DF20:DL20)</f>
        <v>287712.88952500903</v>
      </c>
      <c r="DF20" s="548">
        <f t="shared" ref="DF20:DL20" si="902">DF16*DF8*$D$1</f>
        <v>45085.881959008897</v>
      </c>
      <c r="DG20" s="544">
        <f t="shared" si="902"/>
        <v>47465.782838253923</v>
      </c>
      <c r="DH20" s="544">
        <f t="shared" si="902"/>
        <v>47341.206662604185</v>
      </c>
      <c r="DI20" s="545">
        <f t="shared" si="902"/>
        <v>50793.648475204755</v>
      </c>
      <c r="DJ20" s="544">
        <f t="shared" si="902"/>
        <v>53975.615294785879</v>
      </c>
      <c r="DK20" s="544">
        <f t="shared" si="902"/>
        <v>43050.754295151404</v>
      </c>
      <c r="DL20" s="546">
        <f t="shared" si="902"/>
        <v>0</v>
      </c>
      <c r="DM20" s="557">
        <f>SUM(DN20:DT20)</f>
        <v>287173.80048754154</v>
      </c>
      <c r="DN20" s="548">
        <f t="shared" ref="DN20:DT20" si="903">DN16*DN8*$D$1</f>
        <v>45142.702400081296</v>
      </c>
      <c r="DO20" s="544">
        <f t="shared" si="903"/>
        <v>47013.325932706073</v>
      </c>
      <c r="DP20" s="544">
        <f t="shared" si="903"/>
        <v>47202.236235920602</v>
      </c>
      <c r="DQ20" s="545">
        <f t="shared" si="903"/>
        <v>50793.648475204755</v>
      </c>
      <c r="DR20" s="544">
        <f t="shared" si="903"/>
        <v>52720.991344731527</v>
      </c>
      <c r="DS20" s="544">
        <f t="shared" si="903"/>
        <v>44300.896098897254</v>
      </c>
      <c r="DT20" s="546">
        <f t="shared" si="903"/>
        <v>0</v>
      </c>
      <c r="DU20" s="557">
        <f>SUM(DV20:EB20)</f>
        <v>207812.56293803995</v>
      </c>
      <c r="DV20" s="548">
        <f t="shared" ref="DV20:EB20" si="904">DV16*DV8*$D$1</f>
        <v>0</v>
      </c>
      <c r="DW20" s="544">
        <f t="shared" si="904"/>
        <v>18341.143391068843</v>
      </c>
      <c r="DX20" s="544">
        <f t="shared" si="904"/>
        <v>50459.499295010508</v>
      </c>
      <c r="DY20" s="545">
        <f t="shared" si="904"/>
        <v>44725.847108559603</v>
      </c>
      <c r="DZ20" s="544">
        <f t="shared" si="904"/>
        <v>50874.601128096401</v>
      </c>
      <c r="EA20" s="544">
        <f t="shared" si="904"/>
        <v>43411.4720153046</v>
      </c>
      <c r="EB20" s="546">
        <f t="shared" si="904"/>
        <v>0</v>
      </c>
      <c r="EC20" s="557">
        <f>SUM(ED20:EJ20)</f>
        <v>273390.11374520406</v>
      </c>
      <c r="ED20" s="548">
        <f t="shared" ref="ED20:EJ20" si="905">ED16*ED8*$D$1</f>
        <v>44252.399825403656</v>
      </c>
      <c r="EE20" s="544">
        <f t="shared" si="905"/>
        <v>43252.766632909203</v>
      </c>
      <c r="EF20" s="544">
        <f t="shared" si="905"/>
        <v>43784.831806678274</v>
      </c>
      <c r="EG20" s="545">
        <f t="shared" si="905"/>
        <v>45070.341375334014</v>
      </c>
      <c r="EH20" s="544">
        <f t="shared" si="905"/>
        <v>52375.535513579816</v>
      </c>
      <c r="EI20" s="544">
        <f t="shared" si="905"/>
        <v>44654.238591299116</v>
      </c>
      <c r="EJ20" s="546">
        <f t="shared" si="905"/>
        <v>0</v>
      </c>
      <c r="EK20" s="557">
        <f>SUM(EL20:ER20)</f>
        <v>292781.14538750635</v>
      </c>
      <c r="EL20" s="548">
        <f t="shared" ref="EL20:ER20" si="906">EL16*EL8*$D$1</f>
        <v>47413.585623596235</v>
      </c>
      <c r="EM20" s="544">
        <f t="shared" si="906"/>
        <v>48463.951956436991</v>
      </c>
      <c r="EN20" s="544">
        <f t="shared" si="906"/>
        <v>46782.862093583222</v>
      </c>
      <c r="EO20" s="545">
        <f t="shared" si="906"/>
        <v>44062.173888145968</v>
      </c>
      <c r="EP20" s="544">
        <f t="shared" si="906"/>
        <v>55088.405939349461</v>
      </c>
      <c r="EQ20" s="544">
        <f t="shared" si="906"/>
        <v>50970.165886394454</v>
      </c>
      <c r="ER20" s="546">
        <f t="shared" si="906"/>
        <v>0</v>
      </c>
      <c r="ES20" s="557">
        <f>SUM(ET20:EZ20)</f>
        <v>301174.79475125292</v>
      </c>
      <c r="ET20" s="548">
        <f t="shared" ref="ET20:EZ20" si="907">ET16*ET8*$D$1</f>
        <v>48170.114679946033</v>
      </c>
      <c r="EU20" s="544">
        <f t="shared" si="907"/>
        <v>49517.526404985321</v>
      </c>
      <c r="EV20" s="544">
        <f t="shared" si="907"/>
        <v>50204.278270512383</v>
      </c>
      <c r="EW20" s="545">
        <f t="shared" si="907"/>
        <v>49999.56363552322</v>
      </c>
      <c r="EX20" s="544">
        <f t="shared" si="907"/>
        <v>54928.733883010522</v>
      </c>
      <c r="EY20" s="544">
        <f t="shared" si="907"/>
        <v>48354.577877275464</v>
      </c>
      <c r="EZ20" s="546">
        <f t="shared" si="907"/>
        <v>0</v>
      </c>
      <c r="FA20" s="557">
        <f>SUM(FB20:FH20)</f>
        <v>296767.59080129332</v>
      </c>
      <c r="FB20" s="548">
        <f t="shared" ref="FB20:FH20" si="908">FB16*FB8*$D$1</f>
        <v>47840.990202746791</v>
      </c>
      <c r="FC20" s="544">
        <f t="shared" si="908"/>
        <v>49232.56871799357</v>
      </c>
      <c r="FD20" s="544">
        <f t="shared" si="908"/>
        <v>50142.620834226516</v>
      </c>
      <c r="FE20" s="545">
        <f t="shared" si="908"/>
        <v>49662.111258689845</v>
      </c>
      <c r="FF20" s="544">
        <f t="shared" si="908"/>
        <v>52645.28530404903</v>
      </c>
      <c r="FG20" s="544">
        <f t="shared" si="908"/>
        <v>47244.014483587591</v>
      </c>
      <c r="FH20" s="546">
        <f t="shared" si="908"/>
        <v>0</v>
      </c>
      <c r="FI20" s="557">
        <f>SUM(FJ20:FP20)</f>
        <v>246635.81180180918</v>
      </c>
      <c r="FJ20" s="548">
        <f t="shared" ref="FJ20:FP20" si="909">FJ16*FJ8*$D$1</f>
        <v>44175.757464191833</v>
      </c>
      <c r="FK20" s="544">
        <f t="shared" si="909"/>
        <v>47979.011102754768</v>
      </c>
      <c r="FL20" s="544">
        <f t="shared" si="909"/>
        <v>48439.95079421901</v>
      </c>
      <c r="FM20" s="545">
        <f t="shared" si="909"/>
        <v>0</v>
      </c>
      <c r="FN20" s="544">
        <f t="shared" si="909"/>
        <v>51820.932893101271</v>
      </c>
      <c r="FO20" s="544">
        <f t="shared" si="909"/>
        <v>54220.159547542324</v>
      </c>
      <c r="FP20" s="546">
        <f t="shared" si="909"/>
        <v>0</v>
      </c>
      <c r="FQ20" s="557">
        <f>SUM(FR20:FX20)</f>
        <v>289838.07718849706</v>
      </c>
      <c r="FR20" s="548">
        <f t="shared" ref="FR20:FX20" si="910">FR16*FR8*$D$1</f>
        <v>45121.106109098975</v>
      </c>
      <c r="FS20" s="544">
        <f t="shared" si="910"/>
        <v>48472.466163016376</v>
      </c>
      <c r="FT20" s="544">
        <f t="shared" si="910"/>
        <v>49443.408936702006</v>
      </c>
      <c r="FU20" s="545">
        <f t="shared" si="910"/>
        <v>49541.134950347907</v>
      </c>
      <c r="FV20" s="544">
        <f t="shared" si="910"/>
        <v>51999.164652767031</v>
      </c>
      <c r="FW20" s="544">
        <f t="shared" si="910"/>
        <v>45260.796376564715</v>
      </c>
      <c r="FX20" s="546">
        <f t="shared" si="910"/>
        <v>0</v>
      </c>
      <c r="FY20" s="557">
        <f>SUM(FZ20:GF20)</f>
        <v>236806.15338711391</v>
      </c>
      <c r="FZ20" s="548">
        <f t="shared" ref="FZ20:GF20" si="911">FZ16*FZ8*$D$1</f>
        <v>0</v>
      </c>
      <c r="GA20" s="544">
        <f t="shared" si="911"/>
        <v>38052.204998977366</v>
      </c>
      <c r="GB20" s="544">
        <f t="shared" si="911"/>
        <v>51583.702620260708</v>
      </c>
      <c r="GC20" s="545">
        <f t="shared" si="911"/>
        <v>48838.950260869562</v>
      </c>
      <c r="GD20" s="544">
        <f t="shared" si="911"/>
        <v>54553.563706394394</v>
      </c>
      <c r="GE20" s="544">
        <f t="shared" si="911"/>
        <v>43777.731800611851</v>
      </c>
      <c r="GF20" s="546">
        <f t="shared" si="911"/>
        <v>0</v>
      </c>
      <c r="GG20" s="557">
        <f>SUM(GH20:GN20)</f>
        <v>288313.59309855028</v>
      </c>
      <c r="GH20" s="548">
        <f t="shared" ref="GH20:GN20" si="912">GH16*GH8*$D$1</f>
        <v>45250.819324601543</v>
      </c>
      <c r="GI20" s="544">
        <f t="shared" si="912"/>
        <v>46274.955690074326</v>
      </c>
      <c r="GJ20" s="544">
        <f t="shared" si="912"/>
        <v>47786.665988587381</v>
      </c>
      <c r="GK20" s="545">
        <f t="shared" si="912"/>
        <v>48314.140313177057</v>
      </c>
      <c r="GL20" s="544">
        <f t="shared" si="912"/>
        <v>54690.86946759931</v>
      </c>
      <c r="GM20" s="544">
        <f t="shared" si="912"/>
        <v>45996.14231451066</v>
      </c>
      <c r="GN20" s="546">
        <f t="shared" si="912"/>
        <v>0</v>
      </c>
      <c r="GO20" s="557">
        <f>SUM(GP20:GV20)</f>
        <v>292565.79066168668</v>
      </c>
      <c r="GP20" s="548">
        <f t="shared" ref="GP20:GV20" si="913">GP16*GP8*$D$1</f>
        <v>44011.814211440884</v>
      </c>
      <c r="GQ20" s="544">
        <f t="shared" si="913"/>
        <v>48488.191496344734</v>
      </c>
      <c r="GR20" s="544">
        <f t="shared" si="913"/>
        <v>49745.848473001533</v>
      </c>
      <c r="GS20" s="545">
        <f t="shared" si="913"/>
        <v>48715.350595424323</v>
      </c>
      <c r="GT20" s="544">
        <f t="shared" si="913"/>
        <v>54497.775962340602</v>
      </c>
      <c r="GU20" s="544">
        <f t="shared" si="913"/>
        <v>47106.809923134584</v>
      </c>
      <c r="GV20" s="546">
        <f t="shared" si="913"/>
        <v>0</v>
      </c>
      <c r="GW20" s="557">
        <f>SUM(GX20:HD20)</f>
        <v>284873.33674479712</v>
      </c>
      <c r="GX20" s="548">
        <f t="shared" ref="GX20:HD20" si="914">GX16*GX8*$D$1</f>
        <v>46287.314504579736</v>
      </c>
      <c r="GY20" s="544">
        <f t="shared" si="914"/>
        <v>48317.117481869507</v>
      </c>
      <c r="GZ20" s="544">
        <f t="shared" si="914"/>
        <v>49570.513102172757</v>
      </c>
      <c r="HA20" s="545">
        <f t="shared" si="914"/>
        <v>47359.108981058103</v>
      </c>
      <c r="HB20" s="544">
        <f t="shared" si="914"/>
        <v>51103.262208073851</v>
      </c>
      <c r="HC20" s="544">
        <f t="shared" si="914"/>
        <v>42236.020467043141</v>
      </c>
      <c r="HD20" s="546">
        <f t="shared" si="914"/>
        <v>0</v>
      </c>
      <c r="HE20" s="557">
        <f>SUM(HF20:HL20)</f>
        <v>259831.60711705539</v>
      </c>
      <c r="HF20" s="548">
        <f t="shared" ref="HF20:HL20" si="915">HF16*HF8*$D$1</f>
        <v>43772.859096119821</v>
      </c>
      <c r="HG20" s="544">
        <f t="shared" si="915"/>
        <v>44864.420289105234</v>
      </c>
      <c r="HH20" s="544">
        <f t="shared" si="915"/>
        <v>44979.56783457032</v>
      </c>
      <c r="HI20" s="545">
        <f t="shared" si="915"/>
        <v>41551.626651405961</v>
      </c>
      <c r="HJ20" s="544">
        <f t="shared" si="915"/>
        <v>47828.241488347863</v>
      </c>
      <c r="HK20" s="544">
        <f t="shared" si="915"/>
        <v>36834.891757506179</v>
      </c>
      <c r="HL20" s="546">
        <f t="shared" si="915"/>
        <v>0</v>
      </c>
      <c r="HM20" s="557">
        <f>SUM(HN20:HT20)</f>
        <v>239759.6719292271</v>
      </c>
      <c r="HN20" s="548">
        <f t="shared" ref="HN20:HT20" si="916">HN16*HN8*$D$1</f>
        <v>41036.211045669887</v>
      </c>
      <c r="HO20" s="544">
        <f t="shared" si="916"/>
        <v>39966.383350202486</v>
      </c>
      <c r="HP20" s="544">
        <f t="shared" si="916"/>
        <v>40377.074050005707</v>
      </c>
      <c r="HQ20" s="545">
        <f t="shared" si="916"/>
        <v>39770.809937945232</v>
      </c>
      <c r="HR20" s="544">
        <f t="shared" si="916"/>
        <v>44572.302427700604</v>
      </c>
      <c r="HS20" s="544">
        <f t="shared" si="916"/>
        <v>34036.891117703191</v>
      </c>
      <c r="HT20" s="546">
        <f t="shared" si="916"/>
        <v>0</v>
      </c>
      <c r="HU20" s="557">
        <f>SUM(HV20:IB20)</f>
        <v>201784.50156621973</v>
      </c>
      <c r="HV20" s="548">
        <f t="shared" ref="HV20:IB20" si="917">HV16*HV8*$D$1</f>
        <v>38026.079604298851</v>
      </c>
      <c r="HW20" s="544">
        <f t="shared" si="917"/>
        <v>41639.369150159408</v>
      </c>
      <c r="HX20" s="544">
        <f t="shared" si="917"/>
        <v>39480.544401740866</v>
      </c>
      <c r="HY20" s="545">
        <f t="shared" si="917"/>
        <v>0</v>
      </c>
      <c r="HZ20" s="544">
        <f t="shared" si="917"/>
        <v>48974.037249349552</v>
      </c>
      <c r="IA20" s="544">
        <f t="shared" si="917"/>
        <v>33664.47116067107</v>
      </c>
      <c r="IB20" s="546">
        <f t="shared" si="917"/>
        <v>0</v>
      </c>
      <c r="IC20" s="557">
        <f>SUM(ID20:IJ20)</f>
        <v>231571.85087635496</v>
      </c>
      <c r="ID20" s="548">
        <f t="shared" ref="ID20:IJ20" si="918">ID16*ID8*$D$1</f>
        <v>37340.162492562726</v>
      </c>
      <c r="IE20" s="544">
        <f t="shared" si="918"/>
        <v>40315.169082374021</v>
      </c>
      <c r="IF20" s="544">
        <f t="shared" si="918"/>
        <v>41792.577075242509</v>
      </c>
      <c r="IG20" s="545">
        <f t="shared" si="918"/>
        <v>37277.414006976382</v>
      </c>
      <c r="IH20" s="544">
        <f t="shared" si="918"/>
        <v>40974.062571992014</v>
      </c>
      <c r="II20" s="544">
        <f t="shared" si="918"/>
        <v>33872.465647207326</v>
      </c>
      <c r="IJ20" s="546">
        <f t="shared" si="918"/>
        <v>0</v>
      </c>
      <c r="IK20" s="557">
        <f>SUM(IL20:IR20)</f>
        <v>229565.0191785465</v>
      </c>
      <c r="IL20" s="548">
        <f t="shared" ref="IL20:IR20" si="919">IL16*IL8*$D$1</f>
        <v>36785.399052603323</v>
      </c>
      <c r="IM20" s="544">
        <f t="shared" si="919"/>
        <v>39788.655876056087</v>
      </c>
      <c r="IN20" s="544">
        <f t="shared" si="919"/>
        <v>41032.328448756954</v>
      </c>
      <c r="IO20" s="545">
        <f t="shared" si="919"/>
        <v>37943.550056245542</v>
      </c>
      <c r="IP20" s="544">
        <f t="shared" si="919"/>
        <v>41953.089955303847</v>
      </c>
      <c r="IQ20" s="544">
        <f t="shared" si="919"/>
        <v>32061.995789580786</v>
      </c>
      <c r="IR20" s="546">
        <f t="shared" si="919"/>
        <v>0</v>
      </c>
      <c r="IS20" s="557">
        <f>SUM(IT20:IZ20)</f>
        <v>230370.45244904014</v>
      </c>
      <c r="IT20" s="548">
        <f t="shared" ref="IT20:IZ20" si="920">IT16*IT8*$D$1</f>
        <v>38120.06518227925</v>
      </c>
      <c r="IU20" s="544">
        <f t="shared" si="920"/>
        <v>38591.267457816037</v>
      </c>
      <c r="IV20" s="544">
        <f t="shared" si="920"/>
        <v>39371.499573810455</v>
      </c>
      <c r="IW20" s="545">
        <f t="shared" si="920"/>
        <v>39108.81257036046</v>
      </c>
      <c r="IX20" s="544">
        <f t="shared" si="920"/>
        <v>41696.116787577062</v>
      </c>
      <c r="IY20" s="544">
        <f t="shared" si="920"/>
        <v>33482.690877196845</v>
      </c>
      <c r="IZ20" s="546">
        <f t="shared" si="920"/>
        <v>0</v>
      </c>
      <c r="JA20" s="557">
        <f>SUM(JB20:JH20)</f>
        <v>193525.27301286286</v>
      </c>
      <c r="JB20" s="548">
        <f t="shared" ref="JB20:JH20" si="921">JB16*JB8*$D$1</f>
        <v>0</v>
      </c>
      <c r="JC20" s="544">
        <f t="shared" si="921"/>
        <v>35195.352690365246</v>
      </c>
      <c r="JD20" s="544">
        <f t="shared" si="921"/>
        <v>40485.259951488013</v>
      </c>
      <c r="JE20" s="545">
        <f t="shared" si="921"/>
        <v>40665.235765092155</v>
      </c>
      <c r="JF20" s="544">
        <f t="shared" si="921"/>
        <v>43345.464435604801</v>
      </c>
      <c r="JG20" s="544">
        <f t="shared" si="921"/>
        <v>33833.960170312646</v>
      </c>
      <c r="JH20" s="546">
        <f t="shared" si="921"/>
        <v>0</v>
      </c>
      <c r="JI20" s="557">
        <f>SUM(JJ20:JP20)</f>
        <v>255268.43766682839</v>
      </c>
      <c r="JJ20" s="548">
        <f t="shared" ref="JJ20:JP20" si="922">JJ16*JJ8*$D$1</f>
        <v>42431.596072854561</v>
      </c>
      <c r="JK20" s="544">
        <f t="shared" si="922"/>
        <v>39998.366258836148</v>
      </c>
      <c r="JL20" s="544">
        <f t="shared" si="922"/>
        <v>40892.105594647401</v>
      </c>
      <c r="JM20" s="545">
        <f t="shared" si="922"/>
        <v>42549.970219315554</v>
      </c>
      <c r="JN20" s="544">
        <f t="shared" si="922"/>
        <v>49713.976338111381</v>
      </c>
      <c r="JO20" s="544">
        <f t="shared" si="922"/>
        <v>39682.423183063322</v>
      </c>
      <c r="JP20" s="546">
        <f t="shared" si="922"/>
        <v>0</v>
      </c>
      <c r="JQ20" s="557">
        <f>SUM(JR20:JX20)</f>
        <v>282643.78608484229</v>
      </c>
      <c r="JR20" s="548">
        <f t="shared" ref="JR20:JX20" si="923">JR16*JR8*$D$1</f>
        <v>46748.974170798458</v>
      </c>
      <c r="JS20" s="544">
        <f t="shared" si="923"/>
        <v>46811.346388138256</v>
      </c>
      <c r="JT20" s="544">
        <f t="shared" si="923"/>
        <v>46779.032455584529</v>
      </c>
      <c r="JU20" s="545">
        <f t="shared" si="923"/>
        <v>45820.115063041005</v>
      </c>
      <c r="JV20" s="544">
        <f t="shared" si="923"/>
        <v>50559.95492252666</v>
      </c>
      <c r="JW20" s="544">
        <f t="shared" si="923"/>
        <v>45924.363084753342</v>
      </c>
      <c r="JX20" s="546">
        <f t="shared" si="923"/>
        <v>0</v>
      </c>
      <c r="JY20" s="557">
        <f>SUM(JZ20:KF20)</f>
        <v>286822.14757317171</v>
      </c>
      <c r="JZ20" s="548">
        <f t="shared" ref="JZ20:KF20" si="924">JZ16*JZ8*$D$1</f>
        <v>48887.047804430986</v>
      </c>
      <c r="KA20" s="544">
        <f t="shared" si="924"/>
        <v>50963.924886629269</v>
      </c>
      <c r="KB20" s="544">
        <f t="shared" si="924"/>
        <v>47804.671046891228</v>
      </c>
      <c r="KC20" s="545">
        <f t="shared" si="924"/>
        <v>48108.205383724118</v>
      </c>
      <c r="KD20" s="544">
        <f t="shared" si="924"/>
        <v>47691.121742508571</v>
      </c>
      <c r="KE20" s="544">
        <f t="shared" si="924"/>
        <v>43367.176708987514</v>
      </c>
      <c r="KF20" s="546">
        <f t="shared" si="924"/>
        <v>0</v>
      </c>
      <c r="KG20" s="557">
        <f>SUM(KH20:KN20)</f>
        <v>278424.38864740083</v>
      </c>
      <c r="KH20" s="548">
        <f t="shared" ref="KH20:KN20" si="925">KH16*KH8*$D$1</f>
        <v>48384.070822444715</v>
      </c>
      <c r="KI20" s="544">
        <f t="shared" si="925"/>
        <v>46040.304747740469</v>
      </c>
      <c r="KJ20" s="544">
        <f t="shared" si="925"/>
        <v>47700.564928463624</v>
      </c>
      <c r="KK20" s="545">
        <f t="shared" si="925"/>
        <v>45300.036112918293</v>
      </c>
      <c r="KL20" s="544">
        <f t="shared" si="925"/>
        <v>50092.047285611196</v>
      </c>
      <c r="KM20" s="544">
        <f t="shared" si="925"/>
        <v>40907.364750222521</v>
      </c>
      <c r="KN20" s="546">
        <f t="shared" si="925"/>
        <v>0</v>
      </c>
      <c r="KO20" s="557">
        <f>SUM(KP20:KV20)</f>
        <v>251588.42807643663</v>
      </c>
      <c r="KP20" s="548">
        <f t="shared" ref="KP20:KV20" si="926">KP16*KP8*$D$1</f>
        <v>44464.435231077667</v>
      </c>
      <c r="KQ20" s="544">
        <f t="shared" si="926"/>
        <v>35181.205894804341</v>
      </c>
      <c r="KR20" s="544">
        <f t="shared" si="926"/>
        <v>38463.546247510443</v>
      </c>
      <c r="KS20" s="545">
        <f t="shared" si="926"/>
        <v>42770.609692181351</v>
      </c>
      <c r="KT20" s="544">
        <f t="shared" si="926"/>
        <v>48292.139647964468</v>
      </c>
      <c r="KU20" s="544">
        <f t="shared" si="926"/>
        <v>42416.491362898334</v>
      </c>
      <c r="KV20" s="546">
        <f t="shared" si="926"/>
        <v>0</v>
      </c>
      <c r="KW20" s="557">
        <f>SUM(KX20:LD20)</f>
        <v>270353.11232530477</v>
      </c>
      <c r="KX20" s="548">
        <f t="shared" ref="KX20:LD20" si="927">KX16*KX8*$D$1</f>
        <v>42677.79933057446</v>
      </c>
      <c r="KY20" s="544">
        <f t="shared" si="927"/>
        <v>45280.909330473769</v>
      </c>
      <c r="KZ20" s="544">
        <f t="shared" si="927"/>
        <v>45974.549604478765</v>
      </c>
      <c r="LA20" s="545">
        <f t="shared" si="927"/>
        <v>44048.188960112573</v>
      </c>
      <c r="LB20" s="544">
        <f t="shared" si="927"/>
        <v>50184.280141187999</v>
      </c>
      <c r="LC20" s="544">
        <f t="shared" si="927"/>
        <v>42187.384958477196</v>
      </c>
      <c r="LD20" s="546">
        <f t="shared" si="927"/>
        <v>0</v>
      </c>
      <c r="LE20" s="557">
        <f>SUM(LF20:LL20)</f>
        <v>277322.33234197</v>
      </c>
      <c r="LF20" s="548">
        <f t="shared" ref="LF20:LL20" si="928">LF16*LF8*$D$1</f>
        <v>48860.430481342875</v>
      </c>
      <c r="LG20" s="544">
        <f t="shared" si="928"/>
        <v>44412.693724604862</v>
      </c>
      <c r="LH20" s="544">
        <f t="shared" si="928"/>
        <v>47401.859607225859</v>
      </c>
      <c r="LI20" s="545">
        <f t="shared" si="928"/>
        <v>45958.230758912388</v>
      </c>
      <c r="LJ20" s="544">
        <f t="shared" si="928"/>
        <v>49851.324579223023</v>
      </c>
      <c r="LK20" s="544">
        <f t="shared" si="928"/>
        <v>40837.793190660952</v>
      </c>
      <c r="LL20" s="546">
        <f t="shared" si="928"/>
        <v>0</v>
      </c>
      <c r="LM20" s="557">
        <f>SUM(LN20:LT20)</f>
        <v>288520.64227396698</v>
      </c>
      <c r="LN20" s="548">
        <f t="shared" ref="LN20:LT20" si="929">LN16*LN8*$D$1</f>
        <v>52050.406442439671</v>
      </c>
      <c r="LO20" s="544">
        <f t="shared" si="929"/>
        <v>47702.463430805219</v>
      </c>
      <c r="LP20" s="544">
        <f t="shared" si="929"/>
        <v>47839.614378055099</v>
      </c>
      <c r="LQ20" s="545">
        <f t="shared" si="929"/>
        <v>46353.463313588218</v>
      </c>
      <c r="LR20" s="544">
        <f t="shared" si="929"/>
        <v>50782.930311762291</v>
      </c>
      <c r="LS20" s="544">
        <f t="shared" si="929"/>
        <v>43791.764397316481</v>
      </c>
      <c r="LT20" s="546">
        <f t="shared" si="929"/>
        <v>0</v>
      </c>
      <c r="LU20" s="557">
        <f>SUM(LV20:MB20)</f>
        <v>292771.58024494012</v>
      </c>
      <c r="LV20" s="548">
        <f t="shared" ref="LV20:MB20" si="930">LV16*LV8*$D$1</f>
        <v>52060.904054574174</v>
      </c>
      <c r="LW20" s="544">
        <f t="shared" si="930"/>
        <v>47951.523672707677</v>
      </c>
      <c r="LX20" s="544">
        <f t="shared" si="930"/>
        <v>48349.9917312666</v>
      </c>
      <c r="LY20" s="545">
        <f t="shared" si="930"/>
        <v>46218.931901253745</v>
      </c>
      <c r="LZ20" s="544">
        <f t="shared" si="930"/>
        <v>52516.58130941158</v>
      </c>
      <c r="MA20" s="544">
        <f t="shared" si="930"/>
        <v>45673.647575726383</v>
      </c>
      <c r="MB20" s="546">
        <f t="shared" si="930"/>
        <v>0</v>
      </c>
      <c r="MC20" s="557">
        <f>SUM(MD20:MJ20)</f>
        <v>295130.7578697686</v>
      </c>
      <c r="MD20" s="548">
        <f t="shared" ref="MD20:MJ20" si="931">MD16*MD8*$D$1</f>
        <v>52495.053055447839</v>
      </c>
      <c r="ME20" s="544">
        <f t="shared" si="931"/>
        <v>49592.54696509675</v>
      </c>
      <c r="MF20" s="544">
        <f t="shared" si="931"/>
        <v>49977.419105237233</v>
      </c>
      <c r="MG20" s="545">
        <f t="shared" si="931"/>
        <v>47408.127572182551</v>
      </c>
      <c r="MH20" s="544">
        <f t="shared" si="931"/>
        <v>51267.741870733626</v>
      </c>
      <c r="MI20" s="544">
        <f t="shared" si="931"/>
        <v>44389.869301070576</v>
      </c>
      <c r="MJ20" s="546">
        <f t="shared" si="931"/>
        <v>0</v>
      </c>
      <c r="MK20" s="557">
        <f>SUM(ML20:MR20)</f>
        <v>248654.53243876362</v>
      </c>
      <c r="ML20" s="548">
        <f t="shared" ref="ML20:MR20" si="932">ML16*ML8*$D$1</f>
        <v>49589.640770485792</v>
      </c>
      <c r="MM20" s="544">
        <f t="shared" si="932"/>
        <v>0</v>
      </c>
      <c r="MN20" s="544">
        <f t="shared" si="932"/>
        <v>50452.052256173258</v>
      </c>
      <c r="MO20" s="545">
        <f t="shared" si="932"/>
        <v>46917.082994626835</v>
      </c>
      <c r="MP20" s="544">
        <f t="shared" si="932"/>
        <v>53021.823215439726</v>
      </c>
      <c r="MQ20" s="544">
        <f t="shared" si="932"/>
        <v>48673.933202038032</v>
      </c>
      <c r="MR20" s="546">
        <f t="shared" si="932"/>
        <v>0</v>
      </c>
      <c r="MS20" s="557">
        <f>SUM(MT20:MZ20)</f>
        <v>248585.99582066527</v>
      </c>
      <c r="MT20" s="548">
        <f t="shared" ref="MT20:MZ20" si="933">MT16*MT8*$D$1</f>
        <v>54200.965582720084</v>
      </c>
      <c r="MU20" s="544">
        <f t="shared" si="933"/>
        <v>50101.830211805573</v>
      </c>
      <c r="MV20" s="544">
        <f t="shared" si="933"/>
        <v>52837.2822520708</v>
      </c>
      <c r="MW20" s="545">
        <f t="shared" si="933"/>
        <v>52611.087852559715</v>
      </c>
      <c r="MX20" s="544">
        <f t="shared" si="933"/>
        <v>0</v>
      </c>
      <c r="MY20" s="544">
        <f t="shared" si="933"/>
        <v>38834.82992150911</v>
      </c>
      <c r="MZ20" s="546">
        <f t="shared" si="933"/>
        <v>0</v>
      </c>
      <c r="NA20" s="557">
        <f>SUM(NB20:NH20)</f>
        <v>299990.8163355281</v>
      </c>
      <c r="NB20" s="548">
        <f t="shared" ref="NB20:NH20" si="934">NB16*NB8*$D$1</f>
        <v>52146.138394189678</v>
      </c>
      <c r="NC20" s="544">
        <f t="shared" si="934"/>
        <v>54172.964104890605</v>
      </c>
      <c r="ND20" s="544">
        <f t="shared" si="934"/>
        <v>52363.182332710319</v>
      </c>
      <c r="NE20" s="545">
        <f t="shared" si="934"/>
        <v>50112.944740587598</v>
      </c>
      <c r="NF20" s="544">
        <f t="shared" si="934"/>
        <v>50656.213418337291</v>
      </c>
      <c r="NG20" s="544">
        <f t="shared" si="934"/>
        <v>40539.373344812622</v>
      </c>
      <c r="NH20" s="546">
        <f t="shared" si="934"/>
        <v>0</v>
      </c>
      <c r="NI20" s="557">
        <f>SUM(NJ20:NP20)</f>
        <v>324492.41413594666</v>
      </c>
      <c r="NJ20" s="548">
        <f t="shared" ref="NJ20:NP20" si="935">NJ16*NJ8*$D$1</f>
        <v>49497.025066500151</v>
      </c>
      <c r="NK20" s="544">
        <f t="shared" si="935"/>
        <v>54146.063512721666</v>
      </c>
      <c r="NL20" s="544">
        <f t="shared" si="935"/>
        <v>56236.757140700967</v>
      </c>
      <c r="NM20" s="545">
        <f t="shared" si="935"/>
        <v>53461.458595850854</v>
      </c>
      <c r="NN20" s="544">
        <f t="shared" si="935"/>
        <v>58439.385306563607</v>
      </c>
      <c r="NO20" s="544">
        <f t="shared" si="935"/>
        <v>52711.724513609399</v>
      </c>
      <c r="NP20" s="546">
        <f t="shared" si="935"/>
        <v>0</v>
      </c>
      <c r="NQ20" s="557">
        <f>SUM(NR20:NX20)</f>
        <v>335062.05416280439</v>
      </c>
      <c r="NR20" s="548">
        <f t="shared" ref="NR20:NX20" si="936">NR16*NR8*$D$1</f>
        <v>57134.648228589416</v>
      </c>
      <c r="NS20" s="544">
        <f t="shared" si="936"/>
        <v>55979.240039284559</v>
      </c>
      <c r="NT20" s="544">
        <f t="shared" si="936"/>
        <v>57940.063641110413</v>
      </c>
      <c r="NU20" s="545">
        <f t="shared" si="936"/>
        <v>58818.268876917835</v>
      </c>
      <c r="NV20" s="544">
        <f t="shared" si="936"/>
        <v>54357.524035301816</v>
      </c>
      <c r="NW20" s="544">
        <f t="shared" si="936"/>
        <v>50832.309341600354</v>
      </c>
      <c r="NX20" s="546">
        <f t="shared" si="936"/>
        <v>0</v>
      </c>
      <c r="NY20" s="557">
        <f>SUM(NZ20:OF20)</f>
        <v>311020.51489360642</v>
      </c>
      <c r="NZ20" s="548">
        <f t="shared" ref="NZ20:OF20" si="937">NZ16*NZ8*$D$1</f>
        <v>53202.107998768355</v>
      </c>
      <c r="OA20" s="544">
        <f t="shared" si="937"/>
        <v>53212.734387845267</v>
      </c>
      <c r="OB20" s="544">
        <f t="shared" si="937"/>
        <v>55111.382991507293</v>
      </c>
      <c r="OC20" s="545">
        <f t="shared" si="937"/>
        <v>51360.73341344326</v>
      </c>
      <c r="OD20" s="544">
        <f t="shared" si="937"/>
        <v>52722.876491341114</v>
      </c>
      <c r="OE20" s="544">
        <f t="shared" si="937"/>
        <v>45410.679610701132</v>
      </c>
      <c r="OF20" s="546">
        <f t="shared" si="937"/>
        <v>0</v>
      </c>
      <c r="OG20" s="557">
        <f>SUM(OH20:ON20)</f>
        <v>290661.85077588714</v>
      </c>
      <c r="OH20" s="548">
        <f t="shared" ref="OH20:ON20" si="938">OH16*OH8*$D$1</f>
        <v>51986.430766173406</v>
      </c>
      <c r="OI20" s="544">
        <f t="shared" si="938"/>
        <v>52615.199789888145</v>
      </c>
      <c r="OJ20" s="544">
        <f t="shared" si="938"/>
        <v>48350.870856892718</v>
      </c>
      <c r="OK20" s="545">
        <f t="shared" si="938"/>
        <v>46761.34317547005</v>
      </c>
      <c r="OL20" s="544">
        <f t="shared" si="938"/>
        <v>47979.244706638208</v>
      </c>
      <c r="OM20" s="544">
        <f t="shared" si="938"/>
        <v>42968.761480824622</v>
      </c>
      <c r="ON20" s="546">
        <f t="shared" si="938"/>
        <v>0</v>
      </c>
      <c r="OO20" s="557">
        <f>SUM(OP20:OV20)</f>
        <v>291787.89749999996</v>
      </c>
      <c r="OP20" s="548">
        <f t="shared" ref="OP20:OV20" si="939">OP16*OP8*$D$1</f>
        <v>57172.5</v>
      </c>
      <c r="OQ20" s="544">
        <f t="shared" si="939"/>
        <v>59221.8</v>
      </c>
      <c r="OR20" s="544">
        <f t="shared" si="939"/>
        <v>58152.6</v>
      </c>
      <c r="OS20" s="545">
        <f t="shared" si="939"/>
        <v>59601.96</v>
      </c>
      <c r="OT20" s="544">
        <f t="shared" si="939"/>
        <v>57639.037499999999</v>
      </c>
      <c r="OU20" s="544">
        <f t="shared" si="939"/>
        <v>0</v>
      </c>
      <c r="OV20" s="546">
        <f t="shared" si="939"/>
        <v>0</v>
      </c>
      <c r="OW20" s="557">
        <f>SUM(OX20:PD20)</f>
        <v>281466.15749999997</v>
      </c>
      <c r="OX20" s="548">
        <f t="shared" ref="OX20:PD20" si="940">OX16*OX8*$D$1</f>
        <v>54917.032500000001</v>
      </c>
      <c r="OY20" s="544">
        <f t="shared" si="940"/>
        <v>56529</v>
      </c>
      <c r="OZ20" s="544">
        <f t="shared" si="940"/>
        <v>56665.125</v>
      </c>
      <c r="PA20" s="545">
        <f t="shared" si="940"/>
        <v>56986.875</v>
      </c>
      <c r="PB20" s="544">
        <f t="shared" si="940"/>
        <v>56368.125</v>
      </c>
      <c r="PC20" s="544">
        <f t="shared" si="940"/>
        <v>0</v>
      </c>
      <c r="PD20" s="546">
        <f t="shared" si="940"/>
        <v>0</v>
      </c>
      <c r="PE20" s="557">
        <f t="shared" si="713"/>
        <v>310340.25</v>
      </c>
      <c r="PF20" s="548">
        <f t="shared" ref="PF20:PL20" si="941">PF16*PF8*$D$1</f>
        <v>54672.75</v>
      </c>
      <c r="PG20" s="544">
        <f t="shared" si="941"/>
        <v>53509.5</v>
      </c>
      <c r="PH20" s="544">
        <f t="shared" si="941"/>
        <v>53509.5</v>
      </c>
      <c r="PI20" s="545">
        <f t="shared" si="941"/>
        <v>48856.5</v>
      </c>
      <c r="PJ20" s="544">
        <f t="shared" si="941"/>
        <v>52272</v>
      </c>
      <c r="PK20" s="544">
        <f t="shared" si="941"/>
        <v>47520</v>
      </c>
      <c r="PL20" s="546">
        <f t="shared" si="941"/>
        <v>0</v>
      </c>
    </row>
    <row r="21" spans="1:428" s="44" customFormat="1" ht="14.85" hidden="1" customHeight="1" outlineLevel="1" x14ac:dyDescent="0.3">
      <c r="A21"/>
      <c r="B21" s="1007" t="s">
        <v>306</v>
      </c>
      <c r="C21" s="1008"/>
      <c r="D21" s="239" t="s">
        <v>216</v>
      </c>
      <c r="E21" s="563">
        <f t="shared" ref="E21:L21" si="942">E17-E9</f>
        <v>-7515.067893488449</v>
      </c>
      <c r="F21" s="564">
        <f t="shared" si="942"/>
        <v>-751.20922872486699</v>
      </c>
      <c r="G21" s="561">
        <f t="shared" si="942"/>
        <v>-1343.5627671830298</v>
      </c>
      <c r="H21" s="561">
        <f t="shared" si="942"/>
        <v>-1336.6958975804446</v>
      </c>
      <c r="I21" s="561">
        <f t="shared" si="942"/>
        <v>-6195</v>
      </c>
      <c r="J21" s="561">
        <f t="shared" si="942"/>
        <v>-1485</v>
      </c>
      <c r="K21" s="561">
        <f t="shared" si="942"/>
        <v>-1431</v>
      </c>
      <c r="L21" s="562">
        <f t="shared" si="942"/>
        <v>5027.3999999999996</v>
      </c>
      <c r="M21" s="563">
        <f t="shared" ref="M21:BH21" si="943">M17-M9</f>
        <v>-17897.014041496441</v>
      </c>
      <c r="N21" s="564">
        <f t="shared" si="943"/>
        <v>-3706.2779975165031</v>
      </c>
      <c r="O21" s="561">
        <f t="shared" si="943"/>
        <v>1235.2556395881693</v>
      </c>
      <c r="P21" s="561">
        <f t="shared" si="943"/>
        <v>-1241.1916835680167</v>
      </c>
      <c r="Q21" s="561">
        <f t="shared" si="943"/>
        <v>-10976</v>
      </c>
      <c r="R21" s="561">
        <f t="shared" si="943"/>
        <v>-1589</v>
      </c>
      <c r="S21" s="561">
        <f t="shared" si="943"/>
        <v>-1568.5</v>
      </c>
      <c r="T21" s="562">
        <f t="shared" si="943"/>
        <v>-51.300000000000182</v>
      </c>
      <c r="U21" s="563">
        <f t="shared" si="943"/>
        <v>-17684.355863268254</v>
      </c>
      <c r="V21" s="564">
        <f t="shared" si="943"/>
        <v>-1137.6900822565367</v>
      </c>
      <c r="W21" s="561">
        <f t="shared" si="943"/>
        <v>-1276.8764232932299</v>
      </c>
      <c r="X21" s="561">
        <f t="shared" si="943"/>
        <v>-1338.8893577185518</v>
      </c>
      <c r="Y21" s="561">
        <f t="shared" si="943"/>
        <v>-10824</v>
      </c>
      <c r="Z21" s="561">
        <f t="shared" si="943"/>
        <v>-1563.5</v>
      </c>
      <c r="AA21" s="561">
        <f t="shared" si="943"/>
        <v>-1493</v>
      </c>
      <c r="AB21" s="562">
        <f t="shared" si="943"/>
        <v>-50.399999999999636</v>
      </c>
      <c r="AC21" s="563">
        <f t="shared" si="943"/>
        <v>1262.2725274282275</v>
      </c>
      <c r="AD21" s="564">
        <f t="shared" si="943"/>
        <v>-1114.6762190900918</v>
      </c>
      <c r="AE21" s="561">
        <f t="shared" si="943"/>
        <v>-1231.9047178016044</v>
      </c>
      <c r="AF21" s="561">
        <f t="shared" si="943"/>
        <v>-1320</v>
      </c>
      <c r="AG21" s="561">
        <f t="shared" si="943"/>
        <v>2890.3354537898413</v>
      </c>
      <c r="AH21" s="561">
        <f t="shared" si="943"/>
        <v>8614.805810348771</v>
      </c>
      <c r="AI21" s="561">
        <f t="shared" si="943"/>
        <v>-1482.9004879945132</v>
      </c>
      <c r="AJ21" s="562">
        <f t="shared" si="943"/>
        <v>-5093.3873118242727</v>
      </c>
      <c r="AK21" s="563">
        <f t="shared" si="943"/>
        <v>-451.96540149464272</v>
      </c>
      <c r="AL21" s="564">
        <f t="shared" si="943"/>
        <v>-1151.4324656799581</v>
      </c>
      <c r="AM21" s="561">
        <f t="shared" si="943"/>
        <v>-1271.3341032295284</v>
      </c>
      <c r="AN21" s="561">
        <f t="shared" si="943"/>
        <v>-1343.2254028444586</v>
      </c>
      <c r="AO21" s="561">
        <f t="shared" si="943"/>
        <v>-2509.2571211466566</v>
      </c>
      <c r="AP21" s="561">
        <f t="shared" si="943"/>
        <v>8596.4438622950693</v>
      </c>
      <c r="AQ21" s="561">
        <f t="shared" si="943"/>
        <v>-1556.7272681539762</v>
      </c>
      <c r="AR21" s="562">
        <f t="shared" si="943"/>
        <v>-1216.4329027350213</v>
      </c>
      <c r="AS21" s="563">
        <f t="shared" si="943"/>
        <v>13907.377755151596</v>
      </c>
      <c r="AT21" s="564">
        <f t="shared" si="943"/>
        <v>-1186.8543126984732</v>
      </c>
      <c r="AU21" s="561">
        <f t="shared" si="943"/>
        <v>-1292.8123563960835</v>
      </c>
      <c r="AV21" s="561">
        <f t="shared" si="943"/>
        <v>-1363.9749115122831</v>
      </c>
      <c r="AW21" s="561">
        <f t="shared" si="943"/>
        <v>10821.998269655334</v>
      </c>
      <c r="AX21" s="561">
        <f t="shared" si="943"/>
        <v>3480.956466383941</v>
      </c>
      <c r="AY21" s="561">
        <f t="shared" si="943"/>
        <v>3555.1148622211185</v>
      </c>
      <c r="AZ21" s="562">
        <f t="shared" si="943"/>
        <v>-107.05026250185983</v>
      </c>
      <c r="BA21" s="563">
        <f t="shared" si="943"/>
        <v>-2694.6389301695162</v>
      </c>
      <c r="BB21" s="564">
        <f t="shared" si="943"/>
        <v>-1123.0569501440768</v>
      </c>
      <c r="BC21" s="561">
        <f t="shared" si="943"/>
        <v>-1253.6505732993683</v>
      </c>
      <c r="BD21" s="561">
        <f t="shared" si="943"/>
        <v>-1317.9528980633477</v>
      </c>
      <c r="BE21" s="561">
        <f t="shared" si="943"/>
        <v>-1253.9731238718232</v>
      </c>
      <c r="BF21" s="561">
        <f t="shared" si="943"/>
        <v>-1606.2708026904147</v>
      </c>
      <c r="BG21" s="561">
        <f t="shared" si="943"/>
        <v>-1501.7751278446231</v>
      </c>
      <c r="BH21" s="562">
        <f t="shared" si="943"/>
        <v>5362.0405457441493</v>
      </c>
      <c r="BI21" s="563">
        <f t="shared" ref="BI21:DT21" si="944">BI17-BI9</f>
        <v>-4231.5320367396343</v>
      </c>
      <c r="BJ21" s="564">
        <f t="shared" si="944"/>
        <v>-3586.3477995215799</v>
      </c>
      <c r="BK21" s="561">
        <f t="shared" si="944"/>
        <v>-1231.7956146205106</v>
      </c>
      <c r="BL21" s="561">
        <f t="shared" si="944"/>
        <v>-1237.3470340427011</v>
      </c>
      <c r="BM21" s="561">
        <f t="shared" si="944"/>
        <v>10176.229300818901</v>
      </c>
      <c r="BN21" s="561">
        <f t="shared" si="944"/>
        <v>-6759.0902110762254</v>
      </c>
      <c r="BO21" s="561">
        <f t="shared" si="944"/>
        <v>-1538.6669357406208</v>
      </c>
      <c r="BP21" s="562">
        <f t="shared" si="944"/>
        <v>-54.513742556911893</v>
      </c>
      <c r="BQ21" s="563">
        <f t="shared" si="944"/>
        <v>-10710.125143433106</v>
      </c>
      <c r="BR21" s="564">
        <f t="shared" si="944"/>
        <v>-1210.0919394087832</v>
      </c>
      <c r="BS21" s="561">
        <f t="shared" si="944"/>
        <v>-6981.9955084974208</v>
      </c>
      <c r="BT21" s="561">
        <f t="shared" si="944"/>
        <v>-1963.18306972961</v>
      </c>
      <c r="BU21" s="561">
        <f t="shared" si="944"/>
        <v>2605.3227133275359</v>
      </c>
      <c r="BV21" s="561">
        <f t="shared" si="944"/>
        <v>-1596.099593679799</v>
      </c>
      <c r="BW21" s="561">
        <f t="shared" si="944"/>
        <v>-1508.3873180178052</v>
      </c>
      <c r="BX21" s="562">
        <f t="shared" si="944"/>
        <v>-55.690427427293798</v>
      </c>
      <c r="BY21" s="563">
        <f t="shared" si="944"/>
        <v>-7965.2423012732761</v>
      </c>
      <c r="BZ21" s="564">
        <f t="shared" si="944"/>
        <v>-1141.7793551123177</v>
      </c>
      <c r="CA21" s="561">
        <f t="shared" si="944"/>
        <v>-1208.3498413130292</v>
      </c>
      <c r="CB21" s="561">
        <f t="shared" si="944"/>
        <v>-1190.933710253521</v>
      </c>
      <c r="CC21" s="561">
        <f t="shared" si="944"/>
        <v>-1973.3996580934472</v>
      </c>
      <c r="CD21" s="561">
        <f t="shared" si="944"/>
        <v>71.943907705164747</v>
      </c>
      <c r="CE21" s="561">
        <f t="shared" si="944"/>
        <v>-2466.7744329134293</v>
      </c>
      <c r="CF21" s="562">
        <f t="shared" si="944"/>
        <v>-55.949211292628206</v>
      </c>
      <c r="CG21" s="563">
        <f t="shared" si="944"/>
        <v>-11091.647326742299</v>
      </c>
      <c r="CH21" s="564">
        <f t="shared" si="944"/>
        <v>-1952.005633574212</v>
      </c>
      <c r="CI21" s="561">
        <f t="shared" si="944"/>
        <v>-2626.6750527789118</v>
      </c>
      <c r="CJ21" s="561">
        <f t="shared" si="944"/>
        <v>-112.12039041092794</v>
      </c>
      <c r="CK21" s="561">
        <f t="shared" si="944"/>
        <v>-1793.1337886590482</v>
      </c>
      <c r="CL21" s="561">
        <f t="shared" si="944"/>
        <v>-2292.0328215263144</v>
      </c>
      <c r="CM21" s="561">
        <f t="shared" si="944"/>
        <v>-2258.4325986233016</v>
      </c>
      <c r="CN21" s="562">
        <f t="shared" si="944"/>
        <v>-57.247041169517615</v>
      </c>
      <c r="CO21" s="563">
        <f t="shared" si="944"/>
        <v>-12727.572723372956</v>
      </c>
      <c r="CP21" s="564">
        <f t="shared" si="944"/>
        <v>-1804.7558428199118</v>
      </c>
      <c r="CQ21" s="561">
        <f t="shared" si="944"/>
        <v>-9405.167856628992</v>
      </c>
      <c r="CR21" s="561">
        <f t="shared" si="944"/>
        <v>-1995.4957576773304</v>
      </c>
      <c r="CS21" s="561">
        <f t="shared" si="944"/>
        <v>507.99200646513782</v>
      </c>
      <c r="CT21" s="561">
        <f t="shared" si="944"/>
        <v>2521.9378927978687</v>
      </c>
      <c r="CU21" s="561">
        <f t="shared" si="944"/>
        <v>-2492.3399521608662</v>
      </c>
      <c r="CV21" s="562">
        <f t="shared" si="944"/>
        <v>-59.743213348737299</v>
      </c>
      <c r="CW21" s="563">
        <f t="shared" si="944"/>
        <v>-12439.559682747698</v>
      </c>
      <c r="CX21" s="564">
        <f t="shared" si="944"/>
        <v>-2024.6183690571052</v>
      </c>
      <c r="CY21" s="561">
        <f t="shared" si="944"/>
        <v>280.37897050376341</v>
      </c>
      <c r="CZ21" s="561">
        <f t="shared" si="944"/>
        <v>2878.7874791311187</v>
      </c>
      <c r="DA21" s="561">
        <f t="shared" si="944"/>
        <v>-6036.3901249824703</v>
      </c>
      <c r="DB21" s="561">
        <f t="shared" si="944"/>
        <v>-3917.4688741876744</v>
      </c>
      <c r="DC21" s="561">
        <f t="shared" si="944"/>
        <v>-3564.7400863954972</v>
      </c>
      <c r="DD21" s="562">
        <f t="shared" si="944"/>
        <v>-55.508677759855345</v>
      </c>
      <c r="DE21" s="563">
        <f t="shared" si="944"/>
        <v>-9813.6618898094166</v>
      </c>
      <c r="DF21" s="564">
        <f t="shared" si="944"/>
        <v>-257.02821643959032</v>
      </c>
      <c r="DG21" s="561">
        <f t="shared" si="944"/>
        <v>-666.70237903950328</v>
      </c>
      <c r="DH21" s="561">
        <f t="shared" si="944"/>
        <v>-678.42994590425224</v>
      </c>
      <c r="DI21" s="561">
        <f t="shared" si="944"/>
        <v>-2561.7167823199125</v>
      </c>
      <c r="DJ21" s="561">
        <f t="shared" si="944"/>
        <v>-2983.4720498848474</v>
      </c>
      <c r="DK21" s="561">
        <f t="shared" si="944"/>
        <v>-2610.803838461492</v>
      </c>
      <c r="DL21" s="562">
        <f t="shared" si="944"/>
        <v>-55.508677759855345</v>
      </c>
      <c r="DM21" s="563">
        <f t="shared" si="944"/>
        <v>13679.646173489862</v>
      </c>
      <c r="DN21" s="564">
        <f t="shared" si="944"/>
        <v>333.25248111356632</v>
      </c>
      <c r="DO21" s="561">
        <f t="shared" si="944"/>
        <v>20.962235143815633</v>
      </c>
      <c r="DP21" s="561">
        <f t="shared" si="944"/>
        <v>9.0708262649422977</v>
      </c>
      <c r="DQ21" s="561">
        <f t="shared" si="944"/>
        <v>14131.385388400711</v>
      </c>
      <c r="DR21" s="561">
        <f t="shared" si="944"/>
        <v>-1558.3658634008898</v>
      </c>
      <c r="DS21" s="561">
        <f t="shared" si="944"/>
        <v>1013.6744339134602</v>
      </c>
      <c r="DT21" s="562">
        <f t="shared" si="944"/>
        <v>-270.33332794568196</v>
      </c>
      <c r="DU21" s="563">
        <f t="shared" ref="DU21:GF21" si="945">DU17-DU9</f>
        <v>-24925.537686840515</v>
      </c>
      <c r="DV21" s="564">
        <f t="shared" si="945"/>
        <v>0</v>
      </c>
      <c r="DW21" s="561">
        <f t="shared" si="945"/>
        <v>-14518.795197363281</v>
      </c>
      <c r="DX21" s="561">
        <f t="shared" si="945"/>
        <v>-1276.0877731688815</v>
      </c>
      <c r="DY21" s="561">
        <f t="shared" si="945"/>
        <v>-6208.8136549263436</v>
      </c>
      <c r="DZ21" s="561">
        <f t="shared" si="945"/>
        <v>-1497.7861300338991</v>
      </c>
      <c r="EA21" s="561">
        <f t="shared" si="945"/>
        <v>-1370.1411625393375</v>
      </c>
      <c r="EB21" s="562">
        <f t="shared" si="945"/>
        <v>-53.913768808833993</v>
      </c>
      <c r="EC21" s="563">
        <f t="shared" si="945"/>
        <v>-2576.0944191075396</v>
      </c>
      <c r="ED21" s="564">
        <f t="shared" si="945"/>
        <v>-1075.5222045075789</v>
      </c>
      <c r="EE21" s="561">
        <f t="shared" si="945"/>
        <v>1312.6824292622769</v>
      </c>
      <c r="EF21" s="561">
        <f t="shared" si="945"/>
        <v>3793.4012730511167</v>
      </c>
      <c r="EG21" s="561">
        <f t="shared" si="945"/>
        <v>-1130.3918247897091</v>
      </c>
      <c r="EH21" s="561">
        <f t="shared" si="945"/>
        <v>-1559.2010164612147</v>
      </c>
      <c r="EI21" s="561">
        <f t="shared" si="945"/>
        <v>-3917.0630756623577</v>
      </c>
      <c r="EJ21" s="562">
        <f t="shared" si="945"/>
        <v>0</v>
      </c>
      <c r="EK21" s="563">
        <f t="shared" si="945"/>
        <v>-8092.0495011581806</v>
      </c>
      <c r="EL21" s="564">
        <f t="shared" si="945"/>
        <v>-1181.0740967143793</v>
      </c>
      <c r="EM21" s="561">
        <f t="shared" si="945"/>
        <v>-1199.337881217667</v>
      </c>
      <c r="EN21" s="561">
        <f t="shared" si="945"/>
        <v>-1185.4712709617161</v>
      </c>
      <c r="EO21" s="561">
        <f t="shared" si="945"/>
        <v>-1141.9069910799735</v>
      </c>
      <c r="EP21" s="561">
        <f t="shared" si="945"/>
        <v>-1724.7290979581885</v>
      </c>
      <c r="EQ21" s="561">
        <f t="shared" si="945"/>
        <v>-1603.6363482731977</v>
      </c>
      <c r="ER21" s="562">
        <f t="shared" si="945"/>
        <v>-55.893814952991306</v>
      </c>
      <c r="ES21" s="563">
        <f t="shared" si="945"/>
        <v>-13533.66337508196</v>
      </c>
      <c r="ET21" s="564">
        <f t="shared" si="945"/>
        <v>-3806.4253012263507</v>
      </c>
      <c r="EU21" s="561">
        <f t="shared" si="945"/>
        <v>-1306.8254328177718</v>
      </c>
      <c r="EV21" s="561">
        <f t="shared" si="945"/>
        <v>-1326.4264735777106</v>
      </c>
      <c r="EW21" s="561">
        <f t="shared" si="945"/>
        <v>-3665.6603633365303</v>
      </c>
      <c r="EX21" s="561">
        <f t="shared" si="945"/>
        <v>-1771.6055924313841</v>
      </c>
      <c r="EY21" s="561">
        <f t="shared" si="945"/>
        <v>-1602.5447146861407</v>
      </c>
      <c r="EZ21" s="562">
        <f t="shared" si="945"/>
        <v>-54.175497006192018</v>
      </c>
      <c r="FA21" s="563">
        <f t="shared" si="945"/>
        <v>9572.6517475178698</v>
      </c>
      <c r="FB21" s="564">
        <f t="shared" si="945"/>
        <v>-1233.3960904529958</v>
      </c>
      <c r="FC21" s="561">
        <f t="shared" si="945"/>
        <v>-1246.8403128159698</v>
      </c>
      <c r="FD21" s="561">
        <f t="shared" si="945"/>
        <v>-1291.5523552150553</v>
      </c>
      <c r="FE21" s="561">
        <f t="shared" si="945"/>
        <v>3638.9907009619346</v>
      </c>
      <c r="FF21" s="561">
        <f t="shared" si="945"/>
        <v>3512.1364890688565</v>
      </c>
      <c r="FG21" s="561">
        <f t="shared" si="945"/>
        <v>6246.7057221619762</v>
      </c>
      <c r="FH21" s="562">
        <f t="shared" si="945"/>
        <v>-53.39240619094744</v>
      </c>
      <c r="FI21" s="563">
        <f t="shared" si="945"/>
        <v>588.97549819143023</v>
      </c>
      <c r="FJ21" s="564">
        <f t="shared" si="945"/>
        <v>1375.0178800152498</v>
      </c>
      <c r="FK21" s="561">
        <f t="shared" si="945"/>
        <v>1285.6567264421465</v>
      </c>
      <c r="FL21" s="561">
        <f t="shared" si="945"/>
        <v>3712.7492492391611</v>
      </c>
      <c r="FM21" s="561">
        <f t="shared" si="945"/>
        <v>0</v>
      </c>
      <c r="FN21" s="561">
        <f t="shared" si="945"/>
        <v>-4018.3245405364723</v>
      </c>
      <c r="FO21" s="561">
        <f t="shared" si="945"/>
        <v>-1712.947162823024</v>
      </c>
      <c r="FP21" s="562">
        <f t="shared" si="945"/>
        <v>-53.176654145666362</v>
      </c>
      <c r="FQ21" s="563">
        <f t="shared" si="945"/>
        <v>-1755.3370596439345</v>
      </c>
      <c r="FR21" s="564">
        <f t="shared" si="945"/>
        <v>-1233.4304491547227</v>
      </c>
      <c r="FS21" s="561">
        <f t="shared" si="945"/>
        <v>-1250.2300043157011</v>
      </c>
      <c r="FT21" s="561">
        <f t="shared" si="945"/>
        <v>-1283.3864168787986</v>
      </c>
      <c r="FU21" s="561">
        <f t="shared" si="945"/>
        <v>-1282.165483634657</v>
      </c>
      <c r="FV21" s="561">
        <f t="shared" si="945"/>
        <v>-269.88896038618986</v>
      </c>
      <c r="FW21" s="561">
        <f t="shared" si="945"/>
        <v>-1451.9598028629553</v>
      </c>
      <c r="FX21" s="562">
        <f t="shared" si="945"/>
        <v>5015.7240575890719</v>
      </c>
      <c r="FY21" s="563">
        <f t="shared" si="945"/>
        <v>16503.846690614475</v>
      </c>
      <c r="FZ21" s="564">
        <f t="shared" si="945"/>
        <v>0</v>
      </c>
      <c r="GA21" s="561">
        <f t="shared" si="945"/>
        <v>4290.579844873675</v>
      </c>
      <c r="GB21" s="561">
        <f t="shared" si="945"/>
        <v>-1400.6911552836245</v>
      </c>
      <c r="GC21" s="561">
        <f t="shared" si="945"/>
        <v>1327.8256065460155</v>
      </c>
      <c r="GD21" s="561">
        <f t="shared" si="945"/>
        <v>12585.292538475856</v>
      </c>
      <c r="GE21" s="561">
        <f t="shared" si="945"/>
        <v>-246.75528211129131</v>
      </c>
      <c r="GF21" s="562">
        <f t="shared" si="945"/>
        <v>-52.404861886218896</v>
      </c>
      <c r="GG21" s="563">
        <f t="shared" ref="GG21:IR21" si="946">GG17-GG9</f>
        <v>-5649.6087917207042</v>
      </c>
      <c r="GH21" s="564">
        <f t="shared" si="946"/>
        <v>-1190.2443606480956</v>
      </c>
      <c r="GI21" s="561">
        <f t="shared" si="946"/>
        <v>-1255.4982288519677</v>
      </c>
      <c r="GJ21" s="561">
        <f t="shared" si="946"/>
        <v>-1287.7873490677448</v>
      </c>
      <c r="GK21" s="561">
        <f t="shared" si="946"/>
        <v>-1253.1090402256814</v>
      </c>
      <c r="GL21" s="561">
        <f t="shared" si="946"/>
        <v>-1680.9513800755376</v>
      </c>
      <c r="GM21" s="561">
        <f t="shared" si="946"/>
        <v>1068.1135828423721</v>
      </c>
      <c r="GN21" s="562">
        <f t="shared" si="946"/>
        <v>-50.132015693995527</v>
      </c>
      <c r="GO21" s="563">
        <f t="shared" si="946"/>
        <v>-4641.5752016986953</v>
      </c>
      <c r="GP21" s="564">
        <f t="shared" si="946"/>
        <v>17.657394221139839</v>
      </c>
      <c r="GQ21" s="561">
        <f t="shared" si="946"/>
        <v>1095.5330341277295</v>
      </c>
      <c r="GR21" s="561">
        <f t="shared" si="946"/>
        <v>-1278.1007302362996</v>
      </c>
      <c r="GS21" s="561">
        <f t="shared" si="946"/>
        <v>-1268.8345958699065</v>
      </c>
      <c r="GT21" s="561">
        <f t="shared" si="946"/>
        <v>-1646.1404310059152</v>
      </c>
      <c r="GU21" s="561">
        <f t="shared" si="946"/>
        <v>-1511.7269326108508</v>
      </c>
      <c r="GV21" s="562">
        <f t="shared" si="946"/>
        <v>-49.962940324499868</v>
      </c>
      <c r="GW21" s="563">
        <f t="shared" si="946"/>
        <v>-5395.0926503670635</v>
      </c>
      <c r="GX21" s="564">
        <f t="shared" si="946"/>
        <v>1334.3085084010672</v>
      </c>
      <c r="GY21" s="561">
        <f t="shared" si="946"/>
        <v>-1246.7131070357573</v>
      </c>
      <c r="GZ21" s="561">
        <f t="shared" si="946"/>
        <v>-1265.9146304530295</v>
      </c>
      <c r="HA21" s="561">
        <f t="shared" si="946"/>
        <v>-1203.4380081145646</v>
      </c>
      <c r="HB21" s="561">
        <f t="shared" si="946"/>
        <v>-1544.5732545377978</v>
      </c>
      <c r="HC21" s="561">
        <f t="shared" si="946"/>
        <v>-1417.3093053622288</v>
      </c>
      <c r="HD21" s="562">
        <f t="shared" si="946"/>
        <v>-51.452853264769146</v>
      </c>
      <c r="HE21" s="563">
        <f t="shared" si="946"/>
        <v>-9356.609485119232</v>
      </c>
      <c r="HF21" s="564">
        <f t="shared" si="946"/>
        <v>-3480.9078375532117</v>
      </c>
      <c r="HG21" s="561">
        <f t="shared" si="946"/>
        <v>-1127.8541034629015</v>
      </c>
      <c r="HH21" s="561">
        <f t="shared" si="946"/>
        <v>-1122.7617094112356</v>
      </c>
      <c r="HI21" s="561">
        <f t="shared" si="946"/>
        <v>-1023.7456665523932</v>
      </c>
      <c r="HJ21" s="561">
        <f t="shared" si="946"/>
        <v>-1376.3599585081392</v>
      </c>
      <c r="HK21" s="561">
        <f t="shared" si="946"/>
        <v>-1224.9802096313797</v>
      </c>
      <c r="HL21" s="562">
        <f t="shared" si="946"/>
        <v>0</v>
      </c>
      <c r="HM21" s="563">
        <f t="shared" si="946"/>
        <v>-8854.9101402340457</v>
      </c>
      <c r="HN21" s="564">
        <f t="shared" si="946"/>
        <v>-3401.2663807837962</v>
      </c>
      <c r="HO21" s="561">
        <f t="shared" si="946"/>
        <v>-1029.1908782490646</v>
      </c>
      <c r="HP21" s="561">
        <f t="shared" si="946"/>
        <v>-1009.9116450225556</v>
      </c>
      <c r="HQ21" s="561">
        <f t="shared" si="946"/>
        <v>-1005.5360114535579</v>
      </c>
      <c r="HR21" s="561">
        <f t="shared" si="946"/>
        <v>-1275.54865102435</v>
      </c>
      <c r="HS21" s="561">
        <f t="shared" si="946"/>
        <v>-1133.4565737007506</v>
      </c>
      <c r="HT21" s="562">
        <f t="shared" si="946"/>
        <v>0</v>
      </c>
      <c r="HU21" s="563">
        <f t="shared" si="946"/>
        <v>-17525.398267695447</v>
      </c>
      <c r="HV21" s="564">
        <f t="shared" si="946"/>
        <v>-3302.4464769434999</v>
      </c>
      <c r="HW21" s="561">
        <f t="shared" si="946"/>
        <v>-1011.9807604660455</v>
      </c>
      <c r="HX21" s="561">
        <f t="shared" si="946"/>
        <v>-3330.9364339772001</v>
      </c>
      <c r="HY21" s="561">
        <f t="shared" si="946"/>
        <v>0</v>
      </c>
      <c r="HZ21" s="561">
        <f t="shared" si="946"/>
        <v>-6281.2554000066302</v>
      </c>
      <c r="IA21" s="561">
        <f t="shared" si="946"/>
        <v>-3598.779196301999</v>
      </c>
      <c r="IB21" s="562">
        <f t="shared" si="946"/>
        <v>0</v>
      </c>
      <c r="IC21" s="563">
        <f t="shared" si="946"/>
        <v>-132.58069062686991</v>
      </c>
      <c r="ID21" s="564">
        <f t="shared" si="946"/>
        <v>-890.95653437697911</v>
      </c>
      <c r="IE21" s="561">
        <f t="shared" si="946"/>
        <v>141.56015519567882</v>
      </c>
      <c r="IF21" s="561">
        <f t="shared" si="946"/>
        <v>-1013.6026504780166</v>
      </c>
      <c r="IG21" s="561">
        <f t="shared" si="946"/>
        <v>-978.04151736370113</v>
      </c>
      <c r="IH21" s="561">
        <f t="shared" si="946"/>
        <v>3678.0088547851774</v>
      </c>
      <c r="II21" s="561">
        <f t="shared" si="946"/>
        <v>-1069.5489983891312</v>
      </c>
      <c r="IJ21" s="562">
        <f t="shared" si="946"/>
        <v>0</v>
      </c>
      <c r="IK21" s="563">
        <f t="shared" si="946"/>
        <v>20.68774864252191</v>
      </c>
      <c r="IL21" s="564">
        <f t="shared" si="946"/>
        <v>-908.82077562177437</v>
      </c>
      <c r="IM21" s="561">
        <f t="shared" si="946"/>
        <v>-980.01940991300216</v>
      </c>
      <c r="IN21" s="561">
        <f t="shared" si="946"/>
        <v>-998.62356413403177</v>
      </c>
      <c r="IO21" s="561">
        <f t="shared" si="946"/>
        <v>1439.2642686776089</v>
      </c>
      <c r="IP21" s="561">
        <f t="shared" si="946"/>
        <v>2552.8341176395916</v>
      </c>
      <c r="IQ21" s="561">
        <f t="shared" si="946"/>
        <v>-1083.9468880059285</v>
      </c>
      <c r="IR21" s="562">
        <f t="shared" si="946"/>
        <v>0</v>
      </c>
      <c r="IS21" s="563">
        <f t="shared" ref="IS21:LD21" si="947">IS17-IS9</f>
        <v>8795.1569037253503</v>
      </c>
      <c r="IT21" s="564">
        <f t="shared" si="947"/>
        <v>3876.278663828125</v>
      </c>
      <c r="IU21" s="561">
        <f t="shared" si="947"/>
        <v>3627.5024355453061</v>
      </c>
      <c r="IV21" s="561">
        <f t="shared" si="947"/>
        <v>6046.0871795755229</v>
      </c>
      <c r="IW21" s="561">
        <f t="shared" si="947"/>
        <v>1122.0055466975173</v>
      </c>
      <c r="IX21" s="561">
        <f t="shared" si="947"/>
        <v>-3546.5157438509777</v>
      </c>
      <c r="IY21" s="561">
        <f t="shared" si="947"/>
        <v>-2330.2011780701869</v>
      </c>
      <c r="IZ21" s="562">
        <f t="shared" si="947"/>
        <v>0</v>
      </c>
      <c r="JA21" s="563">
        <f t="shared" si="947"/>
        <v>-5266.7811206757324</v>
      </c>
      <c r="JB21" s="564">
        <f t="shared" si="947"/>
        <v>0</v>
      </c>
      <c r="JC21" s="561">
        <f t="shared" si="947"/>
        <v>-781.89723719871836</v>
      </c>
      <c r="JD21" s="561">
        <f t="shared" si="947"/>
        <v>-1067.5858651350427</v>
      </c>
      <c r="JE21" s="561">
        <f t="shared" si="947"/>
        <v>-1019.1951876414387</v>
      </c>
      <c r="JF21" s="561">
        <f t="shared" si="947"/>
        <v>-1256.768978501088</v>
      </c>
      <c r="JG21" s="561">
        <f t="shared" si="947"/>
        <v>-1141.3338521994738</v>
      </c>
      <c r="JH21" s="562">
        <f t="shared" si="947"/>
        <v>0</v>
      </c>
      <c r="JI21" s="563">
        <f t="shared" si="947"/>
        <v>2565.9696058894042</v>
      </c>
      <c r="JJ21" s="564">
        <f t="shared" si="947"/>
        <v>1349.5340125333314</v>
      </c>
      <c r="JK21" s="561">
        <f t="shared" si="947"/>
        <v>3296.1389270615618</v>
      </c>
      <c r="JL21" s="561">
        <f t="shared" si="947"/>
        <v>3286.7243372343655</v>
      </c>
      <c r="JM21" s="561">
        <f t="shared" si="947"/>
        <v>-2306.5874724118767</v>
      </c>
      <c r="JN21" s="561">
        <f t="shared" si="947"/>
        <v>-1608.9831918757991</v>
      </c>
      <c r="JO21" s="561">
        <f t="shared" si="947"/>
        <v>-1450.8570066522516</v>
      </c>
      <c r="JP21" s="562">
        <f t="shared" si="947"/>
        <v>0</v>
      </c>
      <c r="JQ21" s="563">
        <f t="shared" si="947"/>
        <v>-15619.732577881427</v>
      </c>
      <c r="JR21" s="564">
        <f t="shared" si="947"/>
        <v>-1184.3356501257513</v>
      </c>
      <c r="JS21" s="561">
        <f t="shared" si="947"/>
        <v>1104.90670263223</v>
      </c>
      <c r="JT21" s="561">
        <f t="shared" si="947"/>
        <v>-3616.6320762038813</v>
      </c>
      <c r="JU21" s="561">
        <f t="shared" si="947"/>
        <v>-6140.8415596895211</v>
      </c>
      <c r="JV21" s="561">
        <f t="shared" si="947"/>
        <v>-4249.9936539295886</v>
      </c>
      <c r="JW21" s="561">
        <f t="shared" si="947"/>
        <v>-1532.8363405648852</v>
      </c>
      <c r="JX21" s="562">
        <f t="shared" si="947"/>
        <v>0</v>
      </c>
      <c r="JY21" s="563">
        <f t="shared" si="947"/>
        <v>19362.544228644692</v>
      </c>
      <c r="JZ21" s="564">
        <f t="shared" si="947"/>
        <v>-1267.814351307039</v>
      </c>
      <c r="KA21" s="561">
        <f t="shared" si="947"/>
        <v>-1356.6520282412821</v>
      </c>
      <c r="KB21" s="561">
        <f t="shared" si="947"/>
        <v>1183.2568448578531</v>
      </c>
      <c r="KC21" s="561">
        <f t="shared" si="947"/>
        <v>3557.1664251287875</v>
      </c>
      <c r="KD21" s="561">
        <f t="shared" si="947"/>
        <v>11029.115478842607</v>
      </c>
      <c r="KE21" s="561">
        <f t="shared" si="947"/>
        <v>6217.4718593636935</v>
      </c>
      <c r="KF21" s="562">
        <f t="shared" si="947"/>
        <v>0</v>
      </c>
      <c r="KG21" s="563">
        <f t="shared" si="947"/>
        <v>1627.3956146925921</v>
      </c>
      <c r="KH21" s="564">
        <f t="shared" si="947"/>
        <v>-1278.8027237487404</v>
      </c>
      <c r="KI21" s="561">
        <f t="shared" si="947"/>
        <v>-1311.5366797752795</v>
      </c>
      <c r="KJ21" s="561">
        <f t="shared" si="947"/>
        <v>-1354.0481910341477</v>
      </c>
      <c r="KK21" s="561">
        <f t="shared" si="947"/>
        <v>1134.8942746741959</v>
      </c>
      <c r="KL21" s="561">
        <f t="shared" si="947"/>
        <v>3434.0434238731686</v>
      </c>
      <c r="KM21" s="561">
        <f t="shared" si="947"/>
        <v>1002.845510703366</v>
      </c>
      <c r="KN21" s="562">
        <f t="shared" si="947"/>
        <v>0</v>
      </c>
      <c r="KO21" s="563">
        <f t="shared" si="947"/>
        <v>-7674.9043119907146</v>
      </c>
      <c r="KP21" s="564">
        <f t="shared" si="947"/>
        <v>-1178.4635015894601</v>
      </c>
      <c r="KQ21" s="561">
        <f t="shared" si="947"/>
        <v>-1080.3935757591971</v>
      </c>
      <c r="KR21" s="561">
        <f t="shared" si="947"/>
        <v>-1129.1079663728015</v>
      </c>
      <c r="KS21" s="561">
        <f t="shared" si="947"/>
        <v>-1264.2108366340108</v>
      </c>
      <c r="KT21" s="561">
        <f t="shared" si="947"/>
        <v>-1545.9445790835016</v>
      </c>
      <c r="KU21" s="561">
        <f t="shared" si="947"/>
        <v>-1476.7838525517145</v>
      </c>
      <c r="KV21" s="562">
        <f t="shared" si="947"/>
        <v>0</v>
      </c>
      <c r="KW21" s="563">
        <f t="shared" si="947"/>
        <v>-6430.7604812182253</v>
      </c>
      <c r="KX21" s="564">
        <f t="shared" si="947"/>
        <v>-1136.4560049210268</v>
      </c>
      <c r="KY21" s="561">
        <f t="shared" si="947"/>
        <v>-1202.7060920668882</v>
      </c>
      <c r="KZ21" s="561">
        <f t="shared" si="947"/>
        <v>-1226.7963482153282</v>
      </c>
      <c r="LA21" s="561">
        <f t="shared" si="947"/>
        <v>-1224.8368387118971</v>
      </c>
      <c r="LB21" s="561">
        <f t="shared" si="947"/>
        <v>-2756.2714441706776</v>
      </c>
      <c r="LC21" s="561">
        <f t="shared" si="947"/>
        <v>1116.3062468677235</v>
      </c>
      <c r="LD21" s="562">
        <f t="shared" si="947"/>
        <v>0</v>
      </c>
      <c r="LE21" s="563">
        <f t="shared" ref="LE21:NP21" si="948">LE17-LE9</f>
        <v>-16885.042872649385</v>
      </c>
      <c r="LF21" s="564">
        <f t="shared" si="948"/>
        <v>-1198.7433081530617</v>
      </c>
      <c r="LG21" s="561">
        <f t="shared" si="948"/>
        <v>-1189.7606717583549</v>
      </c>
      <c r="LH21" s="561">
        <f t="shared" si="948"/>
        <v>-1256.2198746288777</v>
      </c>
      <c r="LI21" s="561">
        <f t="shared" si="948"/>
        <v>-1217.3908731684205</v>
      </c>
      <c r="LJ21" s="561">
        <f t="shared" si="948"/>
        <v>-2865.8071057731577</v>
      </c>
      <c r="LK21" s="561">
        <f t="shared" si="948"/>
        <v>-9157.1210391674831</v>
      </c>
      <c r="LL21" s="562">
        <f t="shared" si="948"/>
        <v>0</v>
      </c>
      <c r="LM21" s="563">
        <f t="shared" si="948"/>
        <v>-13178.306111433078</v>
      </c>
      <c r="LN21" s="564">
        <f t="shared" si="948"/>
        <v>-6294.4215637231828</v>
      </c>
      <c r="LO21" s="561">
        <f t="shared" si="948"/>
        <v>-1256.8097236234753</v>
      </c>
      <c r="LP21" s="561">
        <f t="shared" si="948"/>
        <v>-1314.3799907375942</v>
      </c>
      <c r="LQ21" s="561">
        <f t="shared" si="948"/>
        <v>-1254.4167861379974</v>
      </c>
      <c r="LR21" s="561">
        <f t="shared" si="948"/>
        <v>-4158.1747989871365</v>
      </c>
      <c r="LS21" s="561">
        <f t="shared" si="948"/>
        <v>1099.8967517763376</v>
      </c>
      <c r="LT21" s="562">
        <f t="shared" si="948"/>
        <v>0</v>
      </c>
      <c r="LU21" s="563">
        <f t="shared" si="948"/>
        <v>-18340.706224571797</v>
      </c>
      <c r="LV21" s="564">
        <f t="shared" si="948"/>
        <v>-6275.4503323710233</v>
      </c>
      <c r="LW21" s="561">
        <f t="shared" si="948"/>
        <v>1148.7764098166663</v>
      </c>
      <c r="LX21" s="561">
        <f t="shared" si="948"/>
        <v>-3703.3599024933792</v>
      </c>
      <c r="LY21" s="561">
        <f t="shared" si="948"/>
        <v>-1213.458011328461</v>
      </c>
      <c r="LZ21" s="561">
        <f t="shared" si="948"/>
        <v>-1655.1079792343953</v>
      </c>
      <c r="MA21" s="561">
        <f t="shared" si="948"/>
        <v>-6642.1064089612628</v>
      </c>
      <c r="MB21" s="562">
        <f t="shared" si="948"/>
        <v>0</v>
      </c>
      <c r="MC21" s="563">
        <f t="shared" si="948"/>
        <v>12016.078423086787</v>
      </c>
      <c r="MD21" s="564">
        <f t="shared" si="948"/>
        <v>-5045.9344856445387</v>
      </c>
      <c r="ME21" s="561">
        <f t="shared" si="948"/>
        <v>5504.192080000008</v>
      </c>
      <c r="MF21" s="561">
        <f t="shared" si="948"/>
        <v>3504.1920576183766</v>
      </c>
      <c r="MG21" s="561">
        <f t="shared" si="948"/>
        <v>1150.8746204870404</v>
      </c>
      <c r="MH21" s="561">
        <f t="shared" si="948"/>
        <v>884.25009258146747</v>
      </c>
      <c r="MI21" s="561">
        <f t="shared" si="948"/>
        <v>6018.5040580445784</v>
      </c>
      <c r="MJ21" s="562">
        <f t="shared" si="948"/>
        <v>0</v>
      </c>
      <c r="MK21" s="563">
        <f t="shared" si="948"/>
        <v>-5040.4790204133606</v>
      </c>
      <c r="ML21" s="564">
        <f t="shared" si="948"/>
        <v>-1283.5029673017998</v>
      </c>
      <c r="MM21" s="561">
        <f t="shared" si="948"/>
        <v>0</v>
      </c>
      <c r="MN21" s="561">
        <f t="shared" si="948"/>
        <v>890.85222865988908</v>
      </c>
      <c r="MO21" s="561">
        <f t="shared" si="948"/>
        <v>-1312.6577054370136</v>
      </c>
      <c r="MP21" s="561">
        <f t="shared" si="948"/>
        <v>-1719.5796103072644</v>
      </c>
      <c r="MQ21" s="561">
        <f t="shared" si="948"/>
        <v>-1615.5909660271718</v>
      </c>
      <c r="MR21" s="562">
        <f t="shared" si="948"/>
        <v>0</v>
      </c>
      <c r="MS21" s="563">
        <f t="shared" si="948"/>
        <v>-9357.4132931597997</v>
      </c>
      <c r="MT21" s="564">
        <f t="shared" si="948"/>
        <v>7287.2792076837795</v>
      </c>
      <c r="MU21" s="561">
        <f t="shared" si="948"/>
        <v>-5044.2224270431325</v>
      </c>
      <c r="MV21" s="561">
        <f t="shared" si="948"/>
        <v>-13393.557908094925</v>
      </c>
      <c r="MW21" s="561">
        <f t="shared" si="948"/>
        <v>3229.1422700046678</v>
      </c>
      <c r="MX21" s="561">
        <f t="shared" si="948"/>
        <v>0</v>
      </c>
      <c r="MY21" s="561">
        <f t="shared" si="948"/>
        <v>-1436.054435710219</v>
      </c>
      <c r="MZ21" s="562">
        <f t="shared" si="948"/>
        <v>0</v>
      </c>
      <c r="NA21" s="563">
        <f t="shared" si="948"/>
        <v>-7277.8199656138895</v>
      </c>
      <c r="NB21" s="564">
        <f t="shared" si="948"/>
        <v>-1294.7149085729325</v>
      </c>
      <c r="NC21" s="561">
        <f t="shared" si="948"/>
        <v>-212.50275487190811</v>
      </c>
      <c r="ND21" s="561">
        <f t="shared" si="948"/>
        <v>-1413.8753524709609</v>
      </c>
      <c r="NE21" s="561">
        <f t="shared" si="948"/>
        <v>-1337.6762495587755</v>
      </c>
      <c r="NF21" s="561">
        <f t="shared" si="948"/>
        <v>994.58345312677557</v>
      </c>
      <c r="NG21" s="561">
        <f t="shared" si="948"/>
        <v>-4013.6341532662918</v>
      </c>
      <c r="NH21" s="562">
        <f t="shared" si="948"/>
        <v>0</v>
      </c>
      <c r="NI21" s="563">
        <f t="shared" si="948"/>
        <v>-4883.9260230290238</v>
      </c>
      <c r="NJ21" s="564">
        <f t="shared" si="948"/>
        <v>-4807.9938404573477</v>
      </c>
      <c r="NK21" s="561">
        <f t="shared" si="948"/>
        <v>-1685.8149791190517</v>
      </c>
      <c r="NL21" s="561">
        <f t="shared" si="948"/>
        <v>-474.35927379576606</v>
      </c>
      <c r="NM21" s="561">
        <f t="shared" si="948"/>
        <v>1917.7877159641066</v>
      </c>
      <c r="NN21" s="561">
        <f t="shared" si="948"/>
        <v>3297.2890326902561</v>
      </c>
      <c r="NO21" s="561">
        <f t="shared" si="948"/>
        <v>-3130.8346783113375</v>
      </c>
      <c r="NP21" s="562">
        <f t="shared" si="948"/>
        <v>0</v>
      </c>
      <c r="NQ21" s="563">
        <f t="shared" ref="NQ21:PD21" si="949">NQ17-NQ9</f>
        <v>342.80467950575985</v>
      </c>
      <c r="NR21" s="564">
        <f t="shared" si="949"/>
        <v>974.1767775612243</v>
      </c>
      <c r="NS21" s="561">
        <f t="shared" si="949"/>
        <v>-6261.2827572199167</v>
      </c>
      <c r="NT21" s="561">
        <f t="shared" si="949"/>
        <v>-1780.2531975380844</v>
      </c>
      <c r="NU21" s="561">
        <f t="shared" si="949"/>
        <v>2102.6081059740682</v>
      </c>
      <c r="NV21" s="561">
        <f t="shared" si="949"/>
        <v>-411.56720657064579</v>
      </c>
      <c r="NW21" s="561">
        <f t="shared" si="949"/>
        <v>5719.1229572991142</v>
      </c>
      <c r="NX21" s="562">
        <f t="shared" si="949"/>
        <v>0</v>
      </c>
      <c r="NY21" s="563">
        <f t="shared" si="949"/>
        <v>-7529.5404679076746</v>
      </c>
      <c r="NZ21" s="564">
        <f t="shared" si="949"/>
        <v>-1340.807897484483</v>
      </c>
      <c r="OA21" s="561">
        <f t="shared" si="949"/>
        <v>-1472.3409418567317</v>
      </c>
      <c r="OB21" s="561">
        <f t="shared" si="949"/>
        <v>-1506.9698336578149</v>
      </c>
      <c r="OC21" s="561">
        <f t="shared" si="949"/>
        <v>-1345.380124468822</v>
      </c>
      <c r="OD21" s="561">
        <f t="shared" si="949"/>
        <v>-395.66421170165995</v>
      </c>
      <c r="OE21" s="561">
        <f t="shared" si="949"/>
        <v>-1468.3774587381631</v>
      </c>
      <c r="OF21" s="562">
        <f t="shared" si="949"/>
        <v>0</v>
      </c>
      <c r="OG21" s="563">
        <f t="shared" si="949"/>
        <v>2864.8011016123928</v>
      </c>
      <c r="OH21" s="564">
        <f t="shared" si="949"/>
        <v>-7247.2825220711529</v>
      </c>
      <c r="OI21" s="561">
        <f t="shared" si="949"/>
        <v>2844.0018512414244</v>
      </c>
      <c r="OJ21" s="561">
        <f t="shared" si="949"/>
        <v>768.55485397641314</v>
      </c>
      <c r="OK21" s="561">
        <f t="shared" si="949"/>
        <v>-1259.0714659818186</v>
      </c>
      <c r="OL21" s="561">
        <f t="shared" si="949"/>
        <v>9221.0090199483384</v>
      </c>
      <c r="OM21" s="561">
        <f t="shared" si="949"/>
        <v>-1462.4106355007971</v>
      </c>
      <c r="ON21" s="562">
        <f t="shared" si="949"/>
        <v>0</v>
      </c>
      <c r="OO21" s="563">
        <f t="shared" si="949"/>
        <v>-27837.592499999912</v>
      </c>
      <c r="OP21" s="564">
        <f t="shared" si="949"/>
        <v>-1355.7749999999942</v>
      </c>
      <c r="OQ21" s="561">
        <f t="shared" si="949"/>
        <v>-1655.4799999999814</v>
      </c>
      <c r="OR21" s="561">
        <f t="shared" si="949"/>
        <v>-1599.3199999999779</v>
      </c>
      <c r="OS21" s="561">
        <f t="shared" si="949"/>
        <v>-668.05000000001746</v>
      </c>
      <c r="OT21" s="561">
        <f t="shared" si="949"/>
        <v>460.80000000001746</v>
      </c>
      <c r="OU21" s="561">
        <f t="shared" si="949"/>
        <v>-23019.767500000002</v>
      </c>
      <c r="OV21" s="562">
        <f t="shared" si="949"/>
        <v>0</v>
      </c>
      <c r="OW21" s="563">
        <f t="shared" si="949"/>
        <v>-30198.889999999898</v>
      </c>
      <c r="OX21" s="564">
        <f t="shared" si="949"/>
        <v>-22459.237500000003</v>
      </c>
      <c r="OY21" s="561">
        <f t="shared" si="949"/>
        <v>-1570.9899999999907</v>
      </c>
      <c r="OZ21" s="561">
        <f t="shared" si="949"/>
        <v>1624.3225000000093</v>
      </c>
      <c r="PA21" s="561">
        <f t="shared" si="949"/>
        <v>9571.2374999999884</v>
      </c>
      <c r="PB21" s="561">
        <f t="shared" si="949"/>
        <v>3191.2374999999884</v>
      </c>
      <c r="PC21" s="561">
        <f t="shared" si="949"/>
        <v>-20555.459999999992</v>
      </c>
      <c r="PD21" s="562">
        <f t="shared" si="949"/>
        <v>0</v>
      </c>
      <c r="PE21" s="563">
        <f t="shared" ref="PE21:PL21" si="950">PE17-PE9</f>
        <v>-7235</v>
      </c>
      <c r="PF21" s="564">
        <f t="shared" si="950"/>
        <v>41.75</v>
      </c>
      <c r="PG21" s="561">
        <f t="shared" si="950"/>
        <v>-1418.25</v>
      </c>
      <c r="PH21" s="561">
        <f t="shared" si="950"/>
        <v>-1407.5</v>
      </c>
      <c r="PI21" s="561">
        <f t="shared" si="950"/>
        <v>1040.5</v>
      </c>
      <c r="PJ21" s="561">
        <f t="shared" si="950"/>
        <v>-1594</v>
      </c>
      <c r="PK21" s="561">
        <f t="shared" si="950"/>
        <v>-3897.5</v>
      </c>
      <c r="PL21" s="562">
        <f t="shared" si="950"/>
        <v>0</v>
      </c>
    </row>
    <row r="22" spans="1:428" s="44" customFormat="1" ht="15" hidden="1" customHeight="1" outlineLevel="1" x14ac:dyDescent="0.3">
      <c r="A22"/>
      <c r="B22" s="1009"/>
      <c r="C22" s="1010"/>
      <c r="D22" s="240" t="s">
        <v>302</v>
      </c>
      <c r="E22" s="568">
        <f t="shared" ref="E22:L22" si="951">SUM(E19:E20)-E11</f>
        <v>-5402.1694973923732</v>
      </c>
      <c r="F22" s="569">
        <f t="shared" si="951"/>
        <v>-445.61132865919353</v>
      </c>
      <c r="G22" s="570">
        <f t="shared" si="951"/>
        <v>-1032.0533269004809</v>
      </c>
      <c r="H22" s="565">
        <f t="shared" si="951"/>
        <v>-1048.904841832642</v>
      </c>
      <c r="I22" s="566">
        <f t="shared" si="951"/>
        <v>-5950</v>
      </c>
      <c r="J22" s="565">
        <f t="shared" si="951"/>
        <v>-999</v>
      </c>
      <c r="K22" s="566">
        <f t="shared" si="951"/>
        <v>-954</v>
      </c>
      <c r="L22" s="567">
        <f t="shared" si="951"/>
        <v>5027.3999999999996</v>
      </c>
      <c r="M22" s="568">
        <f t="shared" ref="M22:BH22" si="952">SUM(M19:M20)-M11</f>
        <v>-15835.11443235504</v>
      </c>
      <c r="N22" s="569">
        <f t="shared" si="952"/>
        <v>-3406.3582954051963</v>
      </c>
      <c r="O22" s="570">
        <f t="shared" si="952"/>
        <v>1489.8089813581319</v>
      </c>
      <c r="P22" s="565">
        <f t="shared" si="952"/>
        <v>-984.76511830797244</v>
      </c>
      <c r="Q22" s="566">
        <f t="shared" si="952"/>
        <v>-10670</v>
      </c>
      <c r="R22" s="565">
        <f t="shared" si="952"/>
        <v>-1121</v>
      </c>
      <c r="S22" s="566">
        <f t="shared" si="952"/>
        <v>-1091.5</v>
      </c>
      <c r="T22" s="567">
        <f t="shared" si="952"/>
        <v>-51.300000000000182</v>
      </c>
      <c r="U22" s="568">
        <f t="shared" si="952"/>
        <v>-15487.372080341447</v>
      </c>
      <c r="V22" s="569">
        <f t="shared" si="952"/>
        <v>-807.47032620894606</v>
      </c>
      <c r="W22" s="570">
        <f t="shared" si="952"/>
        <v>-1004.0523669661052</v>
      </c>
      <c r="X22" s="565">
        <f t="shared" si="952"/>
        <v>-1030.4493871664454</v>
      </c>
      <c r="Y22" s="566">
        <f t="shared" si="952"/>
        <v>-10536</v>
      </c>
      <c r="Z22" s="565">
        <f t="shared" si="952"/>
        <v>-1060</v>
      </c>
      <c r="AA22" s="566">
        <f t="shared" si="952"/>
        <v>-999</v>
      </c>
      <c r="AB22" s="567">
        <f t="shared" si="952"/>
        <v>-50.399999999999636</v>
      </c>
      <c r="AC22" s="568">
        <f t="shared" si="952"/>
        <v>3344.6267829864519</v>
      </c>
      <c r="AD22" s="569">
        <f t="shared" si="952"/>
        <v>-806.38218923933164</v>
      </c>
      <c r="AE22" s="570">
        <f t="shared" si="952"/>
        <v>-964.06750849926902</v>
      </c>
      <c r="AF22" s="565">
        <f t="shared" si="952"/>
        <v>-1032</v>
      </c>
      <c r="AG22" s="566">
        <f t="shared" si="952"/>
        <v>3148.6048718946695</v>
      </c>
      <c r="AH22" s="565">
        <f t="shared" si="952"/>
        <v>9056.3020176387508</v>
      </c>
      <c r="AI22" s="566">
        <f t="shared" si="952"/>
        <v>-964.44309698407596</v>
      </c>
      <c r="AJ22" s="567">
        <f t="shared" si="952"/>
        <v>-5093.3873118242727</v>
      </c>
      <c r="AK22" s="568">
        <f t="shared" si="952"/>
        <v>1701.0012171854032</v>
      </c>
      <c r="AL22" s="569">
        <f t="shared" si="952"/>
        <v>-796.91719777375693</v>
      </c>
      <c r="AM22" s="570">
        <f t="shared" si="952"/>
        <v>-1003.0628520993487</v>
      </c>
      <c r="AN22" s="565">
        <f t="shared" si="952"/>
        <v>-1066.4021774132852</v>
      </c>
      <c r="AO22" s="566">
        <f t="shared" si="952"/>
        <v>-2268.7740104745462</v>
      </c>
      <c r="AP22" s="565">
        <f t="shared" si="952"/>
        <v>9078.9922091219923</v>
      </c>
      <c r="AQ22" s="566">
        <f t="shared" si="952"/>
        <v>-1026.4018514406052</v>
      </c>
      <c r="AR22" s="567">
        <f t="shared" si="952"/>
        <v>-1216.4329027350213</v>
      </c>
      <c r="AS22" s="568">
        <f t="shared" si="952"/>
        <v>16036.122905356227</v>
      </c>
      <c r="AT22" s="569">
        <f t="shared" si="952"/>
        <v>-826.956321088408</v>
      </c>
      <c r="AU22" s="570">
        <f t="shared" si="952"/>
        <v>-1039.9835118399351</v>
      </c>
      <c r="AV22" s="565">
        <f t="shared" si="952"/>
        <v>-1079.7751525376079</v>
      </c>
      <c r="AW22" s="566">
        <f t="shared" si="952"/>
        <v>11037.832895101325</v>
      </c>
      <c r="AX22" s="565">
        <f t="shared" si="952"/>
        <v>3992.8993960021035</v>
      </c>
      <c r="AY22" s="566">
        <f t="shared" si="952"/>
        <v>4059.1558622205484</v>
      </c>
      <c r="AZ22" s="567">
        <f t="shared" si="952"/>
        <v>-107.05026250185983</v>
      </c>
      <c r="BA22" s="568">
        <f t="shared" si="952"/>
        <v>4447.4101008469006</v>
      </c>
      <c r="BB22" s="569">
        <f t="shared" si="952"/>
        <v>-764.51987289899262</v>
      </c>
      <c r="BC22" s="570">
        <f t="shared" si="952"/>
        <v>1464.0486917461385</v>
      </c>
      <c r="BD22" s="565">
        <f t="shared" si="952"/>
        <v>1468.1310377183545</v>
      </c>
      <c r="BE22" s="566">
        <f t="shared" si="952"/>
        <v>-1005.9439465548639</v>
      </c>
      <c r="BF22" s="565">
        <f t="shared" si="952"/>
        <v>-1083.3059395613527</v>
      </c>
      <c r="BG22" s="566">
        <f t="shared" si="952"/>
        <v>-993.04041534653516</v>
      </c>
      <c r="BH22" s="567">
        <f t="shared" si="952"/>
        <v>5362.0405457441493</v>
      </c>
      <c r="BI22" s="568">
        <f t="shared" ref="BI22:DT22" si="953">SUM(BI19:BI20)-BI11</f>
        <v>5451.0180623731576</v>
      </c>
      <c r="BJ22" s="569">
        <f t="shared" si="953"/>
        <v>-814.55493990074319</v>
      </c>
      <c r="BK22" s="570">
        <f t="shared" si="953"/>
        <v>-980.17589779505215</v>
      </c>
      <c r="BL22" s="565">
        <f t="shared" si="953"/>
        <v>-997.55531040068308</v>
      </c>
      <c r="BM22" s="566">
        <f t="shared" si="953"/>
        <v>10422.36990174379</v>
      </c>
      <c r="BN22" s="565">
        <f t="shared" si="953"/>
        <v>-1084.236972925064</v>
      </c>
      <c r="BO22" s="566">
        <f t="shared" si="953"/>
        <v>-1040.3149757922365</v>
      </c>
      <c r="BP22" s="567">
        <f t="shared" si="953"/>
        <v>-54.513742556911893</v>
      </c>
      <c r="BQ22" s="568">
        <f t="shared" si="953"/>
        <v>-6225.7289472474949</v>
      </c>
      <c r="BR22" s="569">
        <f t="shared" si="953"/>
        <v>-830.48233995691407</v>
      </c>
      <c r="BS22" s="570">
        <f t="shared" si="953"/>
        <v>-6755.5707735525066</v>
      </c>
      <c r="BT22" s="565">
        <f t="shared" si="953"/>
        <v>647.16698048191029</v>
      </c>
      <c r="BU22" s="566">
        <f t="shared" si="953"/>
        <v>2825.6823996282037</v>
      </c>
      <c r="BV22" s="565">
        <f t="shared" si="953"/>
        <v>-1039.280110516469</v>
      </c>
      <c r="BW22" s="566">
        <f t="shared" si="953"/>
        <v>-1017.5546759043937</v>
      </c>
      <c r="BX22" s="567">
        <f t="shared" si="953"/>
        <v>-55.690427427293798</v>
      </c>
      <c r="BY22" s="568">
        <f t="shared" si="953"/>
        <v>-5855.1408685812494</v>
      </c>
      <c r="BZ22" s="569">
        <f t="shared" si="953"/>
        <v>-785.47896466626844</v>
      </c>
      <c r="CA22" s="570">
        <f t="shared" si="953"/>
        <v>-968.06525050895289</v>
      </c>
      <c r="CB22" s="565">
        <f t="shared" si="953"/>
        <v>-947.81999790134432</v>
      </c>
      <c r="CC22" s="566">
        <f t="shared" si="953"/>
        <v>-1752.4906091912562</v>
      </c>
      <c r="CD22" s="565">
        <f t="shared" si="953"/>
        <v>604.77848180064757</v>
      </c>
      <c r="CE22" s="566">
        <f t="shared" si="953"/>
        <v>-1950.1153168215096</v>
      </c>
      <c r="CF22" s="567">
        <f t="shared" si="953"/>
        <v>-55.949211292628206</v>
      </c>
      <c r="CG22" s="568">
        <f t="shared" si="953"/>
        <v>-9108.0202637002803</v>
      </c>
      <c r="CH22" s="569">
        <f t="shared" si="953"/>
        <v>-1594.8169767092768</v>
      </c>
      <c r="CI22" s="570">
        <f t="shared" si="953"/>
        <v>-2420.0837456760491</v>
      </c>
      <c r="CJ22" s="565">
        <f t="shared" si="953"/>
        <v>105.39003260240133</v>
      </c>
      <c r="CK22" s="566">
        <f t="shared" si="953"/>
        <v>-1579.0128716934705</v>
      </c>
      <c r="CL22" s="565">
        <f t="shared" si="953"/>
        <v>-1804.8685379361268</v>
      </c>
      <c r="CM22" s="566">
        <f t="shared" si="953"/>
        <v>-1757.3811231182335</v>
      </c>
      <c r="CN22" s="567">
        <f t="shared" si="953"/>
        <v>-57.247041169517615</v>
      </c>
      <c r="CO22" s="568">
        <f t="shared" si="953"/>
        <v>-8319.9343383165542</v>
      </c>
      <c r="CP22" s="569">
        <f t="shared" si="953"/>
        <v>-1459.0157874294091</v>
      </c>
      <c r="CQ22" s="570">
        <f t="shared" si="953"/>
        <v>-6861.3094330964523</v>
      </c>
      <c r="CR22" s="565">
        <f t="shared" si="953"/>
        <v>-1751.9863939056668</v>
      </c>
      <c r="CS22" s="566">
        <f t="shared" si="953"/>
        <v>732.61988146102522</v>
      </c>
      <c r="CT22" s="565">
        <f t="shared" si="953"/>
        <v>3036.7457207141561</v>
      </c>
      <c r="CU22" s="566">
        <f t="shared" si="953"/>
        <v>-1957.2451127115637</v>
      </c>
      <c r="CV22" s="567">
        <f t="shared" si="953"/>
        <v>-59.743213348737299</v>
      </c>
      <c r="CW22" s="568">
        <f t="shared" si="953"/>
        <v>-10422.63819766161</v>
      </c>
      <c r="CX22" s="569">
        <f t="shared" si="953"/>
        <v>-1682.6649351779924</v>
      </c>
      <c r="CY22" s="570">
        <f t="shared" si="953"/>
        <v>515.15245420984866</v>
      </c>
      <c r="CZ22" s="565">
        <f t="shared" si="953"/>
        <v>3098.8403630877583</v>
      </c>
      <c r="DA22" s="566">
        <f t="shared" si="953"/>
        <v>-5794.5293006006978</v>
      </c>
      <c r="DB22" s="565">
        <f t="shared" si="953"/>
        <v>-3411.2453332870791</v>
      </c>
      <c r="DC22" s="566">
        <f t="shared" si="953"/>
        <v>-3092.6827681336435</v>
      </c>
      <c r="DD22" s="567">
        <f t="shared" si="953"/>
        <v>-55.508677759855345</v>
      </c>
      <c r="DE22" s="568">
        <f t="shared" si="953"/>
        <v>-7767.7117172869621</v>
      </c>
      <c r="DF22" s="569">
        <f t="shared" si="953"/>
        <v>78.426607737404993</v>
      </c>
      <c r="DG22" s="570">
        <f t="shared" si="953"/>
        <v>-444.81458310085873</v>
      </c>
      <c r="DH22" s="565">
        <f t="shared" si="953"/>
        <v>-443.64714634277334</v>
      </c>
      <c r="DI22" s="566">
        <f t="shared" si="953"/>
        <v>-2312.770996443709</v>
      </c>
      <c r="DJ22" s="565">
        <f t="shared" si="953"/>
        <v>-2460.6552759345504</v>
      </c>
      <c r="DK22" s="566">
        <f t="shared" si="953"/>
        <v>-2128.7416454426129</v>
      </c>
      <c r="DL22" s="567">
        <f t="shared" si="953"/>
        <v>-55.508677759855345</v>
      </c>
      <c r="DM22" s="568">
        <f t="shared" si="953"/>
        <v>13330.99851347669</v>
      </c>
      <c r="DN22" s="569">
        <f t="shared" si="953"/>
        <v>692.55707343009999</v>
      </c>
      <c r="DO22" s="570">
        <f t="shared" si="953"/>
        <v>264.9117971657688</v>
      </c>
      <c r="DP22" s="565">
        <f t="shared" si="953"/>
        <v>265.97627339532482</v>
      </c>
      <c r="DQ22" s="566">
        <f t="shared" si="953"/>
        <v>14391.533734641343</v>
      </c>
      <c r="DR22" s="565">
        <f t="shared" si="953"/>
        <v>-1039.7117100211472</v>
      </c>
      <c r="DS22" s="566">
        <f t="shared" si="953"/>
        <v>-973.93532718907227</v>
      </c>
      <c r="DT22" s="567">
        <f t="shared" si="953"/>
        <v>-270.33332794568196</v>
      </c>
      <c r="DU22" s="568">
        <f t="shared" ref="DU22:GF22" si="954">SUM(DU19:DU20)-DU11</f>
        <v>-27808.139701492793</v>
      </c>
      <c r="DV22" s="569">
        <f t="shared" si="954"/>
        <v>0</v>
      </c>
      <c r="DW22" s="570">
        <f t="shared" si="954"/>
        <v>-18804.303577711991</v>
      </c>
      <c r="DX22" s="565">
        <f t="shared" si="954"/>
        <v>-1019.3838241416233</v>
      </c>
      <c r="DY22" s="566">
        <f t="shared" si="954"/>
        <v>-5948.3870733606309</v>
      </c>
      <c r="DZ22" s="565">
        <f t="shared" si="954"/>
        <v>-1027.7697197595262</v>
      </c>
      <c r="EA22" s="566">
        <f t="shared" si="954"/>
        <v>-954.38173771019501</v>
      </c>
      <c r="EB22" s="567">
        <f t="shared" si="954"/>
        <v>-53.913768808833993</v>
      </c>
      <c r="EC22" s="568">
        <f t="shared" si="954"/>
        <v>-700.31278448924422</v>
      </c>
      <c r="ED22" s="569">
        <f t="shared" si="954"/>
        <v>-769.82289258559467</v>
      </c>
      <c r="EE22" s="570">
        <f t="shared" si="954"/>
        <v>1529.1382142947696</v>
      </c>
      <c r="EF22" s="565">
        <f t="shared" si="954"/>
        <v>4005.0098678386858</v>
      </c>
      <c r="EG22" s="566">
        <f t="shared" si="954"/>
        <v>-910.51194697644678</v>
      </c>
      <c r="EH22" s="565">
        <f t="shared" si="954"/>
        <v>-1070.9951829581551</v>
      </c>
      <c r="EI22" s="566">
        <f t="shared" si="954"/>
        <v>-3483.1308441024594</v>
      </c>
      <c r="EJ22" s="567">
        <f t="shared" si="954"/>
        <v>0</v>
      </c>
      <c r="EK22" s="568">
        <f t="shared" si="954"/>
        <v>-5972.5469042354962</v>
      </c>
      <c r="EL22" s="569">
        <f t="shared" si="954"/>
        <v>-857.02387623724644</v>
      </c>
      <c r="EM22" s="570">
        <f t="shared" si="954"/>
        <v>-979.06973649367865</v>
      </c>
      <c r="EN22" s="565">
        <f t="shared" si="954"/>
        <v>-945.10832512289926</v>
      </c>
      <c r="EO22" s="566">
        <f t="shared" si="954"/>
        <v>-914.87117500639579</v>
      </c>
      <c r="EP22" s="565">
        <f t="shared" si="954"/>
        <v>-1139.3946394382074</v>
      </c>
      <c r="EQ22" s="566">
        <f t="shared" si="954"/>
        <v>-1081.1853369841265</v>
      </c>
      <c r="ER22" s="567">
        <f t="shared" si="954"/>
        <v>-55.893814952991306</v>
      </c>
      <c r="ES22" s="568">
        <f t="shared" si="954"/>
        <v>-6199.9261405671714</v>
      </c>
      <c r="ET22" s="569">
        <f t="shared" si="954"/>
        <v>-3431.5764843767975</v>
      </c>
      <c r="EU22" s="570">
        <f t="shared" si="954"/>
        <v>-1025.3629205072648</v>
      </c>
      <c r="EV22" s="565">
        <f t="shared" si="954"/>
        <v>-1039.583539944957</v>
      </c>
      <c r="EW22" s="566">
        <f t="shared" si="954"/>
        <v>1515.1382919855532</v>
      </c>
      <c r="EX22" s="565">
        <f t="shared" si="954"/>
        <v>-1136.0921389944415</v>
      </c>
      <c r="EY22" s="566">
        <f t="shared" si="954"/>
        <v>-1028.2738517230318</v>
      </c>
      <c r="EZ22" s="567">
        <f t="shared" si="954"/>
        <v>-54.175497006192018</v>
      </c>
      <c r="FA22" s="568">
        <f t="shared" si="954"/>
        <v>1852.1201324978611</v>
      </c>
      <c r="FB22" s="569">
        <f t="shared" si="954"/>
        <v>-839.31561759204487</v>
      </c>
      <c r="FC22" s="570">
        <f t="shared" si="954"/>
        <v>-944.86748044633714</v>
      </c>
      <c r="FD22" s="565">
        <f t="shared" si="954"/>
        <v>-987.65768309839768</v>
      </c>
      <c r="FE22" s="566">
        <f t="shared" si="954"/>
        <v>1555.0762111306831</v>
      </c>
      <c r="FF22" s="565">
        <f t="shared" si="954"/>
        <v>4051.5852085848164</v>
      </c>
      <c r="FG22" s="566">
        <f t="shared" si="954"/>
        <v>-929.30809988982219</v>
      </c>
      <c r="FH22" s="567">
        <f t="shared" si="954"/>
        <v>-53.39240619094744</v>
      </c>
      <c r="FI22" s="568">
        <f t="shared" si="954"/>
        <v>2490.8164007201558</v>
      </c>
      <c r="FJ22" s="569">
        <f t="shared" si="954"/>
        <v>1710.5091274013685</v>
      </c>
      <c r="FK22" s="570">
        <f t="shared" si="954"/>
        <v>1526.604898724021</v>
      </c>
      <c r="FL22" s="565">
        <f t="shared" si="954"/>
        <v>3987.7333229584328</v>
      </c>
      <c r="FM22" s="566">
        <f t="shared" si="954"/>
        <v>0</v>
      </c>
      <c r="FN22" s="565">
        <f t="shared" si="954"/>
        <v>-3559.4176128594845</v>
      </c>
      <c r="FO22" s="566">
        <f t="shared" si="954"/>
        <v>-1121.4366813585075</v>
      </c>
      <c r="FP22" s="567">
        <f t="shared" si="954"/>
        <v>-53.176654145666362</v>
      </c>
      <c r="FQ22" s="568">
        <f t="shared" si="954"/>
        <v>502.91974411497358</v>
      </c>
      <c r="FR22" s="569">
        <f t="shared" si="954"/>
        <v>-835.57603905739961</v>
      </c>
      <c r="FS22" s="570">
        <f t="shared" si="954"/>
        <v>-954.76069715032645</v>
      </c>
      <c r="FT22" s="565">
        <f t="shared" si="954"/>
        <v>-973.88532754110929</v>
      </c>
      <c r="FU22" s="566">
        <f t="shared" si="954"/>
        <v>-975.81023387049208</v>
      </c>
      <c r="FV22" s="565">
        <f t="shared" si="954"/>
        <v>217.78413380069833</v>
      </c>
      <c r="FW22" s="566">
        <f t="shared" si="954"/>
        <v>-990.55614965545828</v>
      </c>
      <c r="FX22" s="567">
        <f t="shared" si="954"/>
        <v>5015.7240575890719</v>
      </c>
      <c r="FY22" s="568">
        <f t="shared" si="954"/>
        <v>12987.27521027613</v>
      </c>
      <c r="FZ22" s="569">
        <f t="shared" si="954"/>
        <v>0</v>
      </c>
      <c r="GA22" s="570">
        <f t="shared" si="954"/>
        <v>6726.3998735565983</v>
      </c>
      <c r="GB22" s="565">
        <f t="shared" si="954"/>
        <v>-1066.9067882016388</v>
      </c>
      <c r="GC22" s="566">
        <f t="shared" si="954"/>
        <v>1583.8256065460009</v>
      </c>
      <c r="GD22" s="565">
        <f t="shared" si="954"/>
        <v>5484.2206900608144</v>
      </c>
      <c r="GE22" s="566">
        <f t="shared" si="954"/>
        <v>312.14069020043826</v>
      </c>
      <c r="GF22" s="567">
        <f t="shared" si="954"/>
        <v>-52.404861886218896</v>
      </c>
      <c r="GG22" s="568">
        <f t="shared" ref="GG22:IR22" si="955">SUM(GG19:GG20)-GG11</f>
        <v>-5925.9099789538886</v>
      </c>
      <c r="GH22" s="569">
        <f t="shared" si="955"/>
        <v>-837.97813564076205</v>
      </c>
      <c r="GI22" s="570">
        <f t="shared" si="955"/>
        <v>-959.44884205896233</v>
      </c>
      <c r="GJ22" s="565">
        <f t="shared" si="955"/>
        <v>-990.79211778572062</v>
      </c>
      <c r="GK22" s="566">
        <f t="shared" si="955"/>
        <v>-976.04323865004699</v>
      </c>
      <c r="GL22" s="565">
        <f t="shared" si="955"/>
        <v>-1104.8660498504905</v>
      </c>
      <c r="GM22" s="566">
        <f t="shared" si="955"/>
        <v>-1006.6495792738133</v>
      </c>
      <c r="GN22" s="567">
        <f t="shared" si="955"/>
        <v>-50.132015693995527</v>
      </c>
      <c r="GO22" s="568">
        <f t="shared" si="955"/>
        <v>-8452.9176580273779</v>
      </c>
      <c r="GP22" s="569">
        <f t="shared" si="955"/>
        <v>-5754.6311511030945</v>
      </c>
      <c r="GQ22" s="570">
        <f t="shared" si="955"/>
        <v>1444.85015064865</v>
      </c>
      <c r="GR22" s="565">
        <f t="shared" si="955"/>
        <v>-1004.9666358182149</v>
      </c>
      <c r="GS22" s="566">
        <f t="shared" si="955"/>
        <v>-984.14849687725655</v>
      </c>
      <c r="GT22" s="565">
        <f t="shared" si="955"/>
        <v>-1100.9651709563768</v>
      </c>
      <c r="GU22" s="566">
        <f t="shared" si="955"/>
        <v>-1003.0934135966527</v>
      </c>
      <c r="GV22" s="567">
        <f t="shared" si="955"/>
        <v>-49.962940324499868</v>
      </c>
      <c r="GW22" s="568">
        <f t="shared" si="955"/>
        <v>-3246.9480459264014</v>
      </c>
      <c r="GX22" s="569">
        <f t="shared" si="955"/>
        <v>1648.724121109437</v>
      </c>
      <c r="GY22" s="570">
        <f t="shared" si="955"/>
        <v>-976.10338347211655</v>
      </c>
      <c r="GZ22" s="565">
        <f t="shared" si="955"/>
        <v>-1001.4245071145997</v>
      </c>
      <c r="HA22" s="566">
        <f t="shared" si="955"/>
        <v>-931.57205332224839</v>
      </c>
      <c r="HB22" s="565">
        <f t="shared" si="955"/>
        <v>-1006.5794071287237</v>
      </c>
      <c r="HC22" s="566">
        <f t="shared" si="955"/>
        <v>-928.53996273357188</v>
      </c>
      <c r="HD22" s="567">
        <f t="shared" si="955"/>
        <v>-51.452853264769146</v>
      </c>
      <c r="HE22" s="568">
        <f t="shared" si="955"/>
        <v>-7631.7958165976452</v>
      </c>
      <c r="HF22" s="569">
        <f t="shared" si="955"/>
        <v>-3217.8701131266571</v>
      </c>
      <c r="HG22" s="570">
        <f t="shared" si="955"/>
        <v>-906.35192503243161</v>
      </c>
      <c r="HH22" s="565">
        <f t="shared" si="955"/>
        <v>-908.67813807212224</v>
      </c>
      <c r="HI22" s="566">
        <f t="shared" si="955"/>
        <v>-814.73777747855638</v>
      </c>
      <c r="HJ22" s="565">
        <f t="shared" si="955"/>
        <v>-940.80007180696703</v>
      </c>
      <c r="HK22" s="566">
        <f t="shared" si="955"/>
        <v>-843.35779108095448</v>
      </c>
      <c r="HL22" s="567">
        <f t="shared" si="955"/>
        <v>0</v>
      </c>
      <c r="HM22" s="568">
        <f t="shared" si="955"/>
        <v>-7282.6067430480034</v>
      </c>
      <c r="HN22" s="569">
        <f t="shared" si="955"/>
        <v>-3169.7608056667086</v>
      </c>
      <c r="HO22" s="570">
        <f t="shared" si="955"/>
        <v>-807.40168384247227</v>
      </c>
      <c r="HP22" s="565">
        <f t="shared" si="955"/>
        <v>-815.69846565667831</v>
      </c>
      <c r="HQ22" s="566">
        <f t="shared" si="955"/>
        <v>-803.45070581707114</v>
      </c>
      <c r="HR22" s="565">
        <f t="shared" si="955"/>
        <v>-900.45055409496126</v>
      </c>
      <c r="HS22" s="566">
        <f t="shared" si="955"/>
        <v>-785.84452797006816</v>
      </c>
      <c r="HT22" s="567">
        <f t="shared" si="955"/>
        <v>0</v>
      </c>
      <c r="HU22" s="568">
        <f t="shared" si="955"/>
        <v>-16102.363865778432</v>
      </c>
      <c r="HV22" s="569">
        <f t="shared" si="955"/>
        <v>-3096.8208768652548</v>
      </c>
      <c r="HW22" s="570">
        <f t="shared" si="955"/>
        <v>-817.83272741615656</v>
      </c>
      <c r="HX22" s="565">
        <f t="shared" si="955"/>
        <v>-3119.9717203990149</v>
      </c>
      <c r="HY22" s="566">
        <f t="shared" si="955"/>
        <v>0</v>
      </c>
      <c r="HZ22" s="565">
        <f t="shared" si="955"/>
        <v>-5837.309490326501</v>
      </c>
      <c r="IA22" s="566">
        <f t="shared" si="955"/>
        <v>-3230.4290507714759</v>
      </c>
      <c r="IB22" s="567">
        <f t="shared" si="955"/>
        <v>0</v>
      </c>
      <c r="IC22" s="568">
        <f t="shared" si="955"/>
        <v>1315.7884452030994</v>
      </c>
      <c r="ID22" s="569">
        <f t="shared" si="955"/>
        <v>-683.62671230069827</v>
      </c>
      <c r="IE22" s="570">
        <f t="shared" si="955"/>
        <v>337.41411353214062</v>
      </c>
      <c r="IF22" s="565">
        <f t="shared" si="955"/>
        <v>-820.84186174719071</v>
      </c>
      <c r="IG22" s="566">
        <f t="shared" si="955"/>
        <v>-776.61279181200371</v>
      </c>
      <c r="IH22" s="565">
        <f t="shared" si="955"/>
        <v>4017.0649580384343</v>
      </c>
      <c r="II22" s="566">
        <f t="shared" si="955"/>
        <v>-757.6092605075246</v>
      </c>
      <c r="IJ22" s="567">
        <f t="shared" si="955"/>
        <v>0</v>
      </c>
      <c r="IK22" s="568">
        <f t="shared" si="955"/>
        <v>1573.603790633264</v>
      </c>
      <c r="IL22" s="569">
        <f t="shared" si="955"/>
        <v>-673.4700584125676</v>
      </c>
      <c r="IM22" s="570">
        <f t="shared" si="955"/>
        <v>-781.48314010210743</v>
      </c>
      <c r="IN22" s="565">
        <f t="shared" si="955"/>
        <v>-805.90993025056378</v>
      </c>
      <c r="IO22" s="566">
        <f t="shared" si="955"/>
        <v>1652.8440365409915</v>
      </c>
      <c r="IP22" s="565">
        <f t="shared" si="955"/>
        <v>2928.988752078556</v>
      </c>
      <c r="IQ22" s="566">
        <f t="shared" si="955"/>
        <v>-747.36586922100105</v>
      </c>
      <c r="IR22" s="567">
        <f t="shared" si="955"/>
        <v>0</v>
      </c>
      <c r="IS22" s="568">
        <f t="shared" ref="IS22:LD22" si="956">SUM(IS19:IS20)-IS11</f>
        <v>7058.2310281877872</v>
      </c>
      <c r="IT22" s="569">
        <f t="shared" si="956"/>
        <v>4115.2343094506068</v>
      </c>
      <c r="IU22" s="570">
        <f t="shared" si="956"/>
        <v>3829.317685950853</v>
      </c>
      <c r="IV22" s="565">
        <f t="shared" si="956"/>
        <v>6246.1024279307167</v>
      </c>
      <c r="IW22" s="566">
        <f t="shared" si="956"/>
        <v>-766.83946216394543</v>
      </c>
      <c r="IX22" s="565">
        <f t="shared" si="956"/>
        <v>-3200.9140160160168</v>
      </c>
      <c r="IY22" s="566">
        <f t="shared" si="956"/>
        <v>-3164.6699169644853</v>
      </c>
      <c r="IZ22" s="567">
        <f t="shared" si="956"/>
        <v>0</v>
      </c>
      <c r="JA22" s="568">
        <f t="shared" si="956"/>
        <v>-3763.3339230234269</v>
      </c>
      <c r="JB22" s="569">
        <f t="shared" si="956"/>
        <v>0</v>
      </c>
      <c r="JC22" s="570">
        <f t="shared" si="956"/>
        <v>-444.38576629249292</v>
      </c>
      <c r="JD22" s="565">
        <f t="shared" si="956"/>
        <v>-840.60304051911226</v>
      </c>
      <c r="JE22" s="566">
        <f t="shared" si="956"/>
        <v>-821.5199144463113</v>
      </c>
      <c r="JF22" s="565">
        <f t="shared" si="956"/>
        <v>-875.66594819404418</v>
      </c>
      <c r="JG22" s="566">
        <f t="shared" si="956"/>
        <v>-781.15925357142987</v>
      </c>
      <c r="JH22" s="567">
        <f t="shared" si="956"/>
        <v>0</v>
      </c>
      <c r="JI22" s="568">
        <f t="shared" si="956"/>
        <v>455.85761012905277</v>
      </c>
      <c r="JJ22" s="569">
        <f t="shared" si="956"/>
        <v>1642.9742587132205</v>
      </c>
      <c r="JK22" s="570">
        <f t="shared" si="956"/>
        <v>1414.0836556154245</v>
      </c>
      <c r="JL22" s="565">
        <f t="shared" si="956"/>
        <v>1445.6805008208757</v>
      </c>
      <c r="JM22" s="566">
        <f t="shared" si="956"/>
        <v>-2065.416624001562</v>
      </c>
      <c r="JN22" s="565">
        <f t="shared" si="956"/>
        <v>-1054.5388920205587</v>
      </c>
      <c r="JO22" s="566">
        <f t="shared" si="956"/>
        <v>-926.92528899831814</v>
      </c>
      <c r="JP22" s="567">
        <f t="shared" si="956"/>
        <v>0</v>
      </c>
      <c r="JQ22" s="568">
        <f t="shared" si="956"/>
        <v>-8102.2944934446132</v>
      </c>
      <c r="JR22" s="569">
        <f t="shared" si="956"/>
        <v>-845.01069739881495</v>
      </c>
      <c r="JS22" s="570">
        <f t="shared" si="956"/>
        <v>1394.8835539899737</v>
      </c>
      <c r="JT22" s="565">
        <f t="shared" si="956"/>
        <v>-3331.2341294128419</v>
      </c>
      <c r="JU22" s="566">
        <f t="shared" si="956"/>
        <v>-5846.2666747101757</v>
      </c>
      <c r="JV22" s="565">
        <f t="shared" si="956"/>
        <v>-1072.4838922960189</v>
      </c>
      <c r="JW22" s="566">
        <f t="shared" si="956"/>
        <v>1597.817346383119</v>
      </c>
      <c r="JX22" s="567">
        <f t="shared" si="956"/>
        <v>0</v>
      </c>
      <c r="JY22" s="568">
        <f t="shared" si="956"/>
        <v>21763.998795154155</v>
      </c>
      <c r="JZ22" s="569">
        <f t="shared" si="956"/>
        <v>-883.65742974515888</v>
      </c>
      <c r="KA22" s="570">
        <f t="shared" si="956"/>
        <v>-1054.0879125180654</v>
      </c>
      <c r="KB22" s="565">
        <f t="shared" si="956"/>
        <v>1499.4553916887671</v>
      </c>
      <c r="KC22" s="566">
        <f t="shared" si="956"/>
        <v>3838.9376013274887</v>
      </c>
      <c r="KD22" s="565">
        <f t="shared" si="956"/>
        <v>11612.192322205708</v>
      </c>
      <c r="KE22" s="566">
        <f t="shared" si="956"/>
        <v>6751.158822195328</v>
      </c>
      <c r="KF22" s="567">
        <f t="shared" si="956"/>
        <v>0</v>
      </c>
      <c r="KG22" s="568">
        <f t="shared" si="956"/>
        <v>3956.2746376577998</v>
      </c>
      <c r="KH22" s="569">
        <f t="shared" si="956"/>
        <v>-900.28839914170385</v>
      </c>
      <c r="KI22" s="570">
        <f t="shared" si="956"/>
        <v>-1003.536679775294</v>
      </c>
      <c r="KJ22" s="565">
        <f t="shared" si="956"/>
        <v>-1039.7252323588618</v>
      </c>
      <c r="KK22" s="566">
        <f t="shared" si="956"/>
        <v>1420.8942746741959</v>
      </c>
      <c r="KL22" s="565">
        <f t="shared" si="956"/>
        <v>3971.9451635560254</v>
      </c>
      <c r="KM22" s="566">
        <f t="shared" si="956"/>
        <v>1506.98551070338</v>
      </c>
      <c r="KN22" s="567">
        <f t="shared" si="956"/>
        <v>0</v>
      </c>
      <c r="KO22" s="568">
        <f t="shared" si="956"/>
        <v>-5510.1955531457206</v>
      </c>
      <c r="KP22" s="569">
        <f t="shared" si="956"/>
        <v>-827.35525416678865</v>
      </c>
      <c r="KQ22" s="570">
        <f t="shared" si="956"/>
        <v>-843.99357575918839</v>
      </c>
      <c r="KR22" s="565">
        <f t="shared" si="956"/>
        <v>-868.45796637279273</v>
      </c>
      <c r="KS22" s="566">
        <f t="shared" si="956"/>
        <v>-960.0585789490724</v>
      </c>
      <c r="KT22" s="565">
        <f t="shared" si="956"/>
        <v>-1052.6197371432936</v>
      </c>
      <c r="KU22" s="566">
        <f t="shared" si="956"/>
        <v>-957.71044075467216</v>
      </c>
      <c r="KV22" s="567">
        <f t="shared" si="956"/>
        <v>0</v>
      </c>
      <c r="KW22" s="568">
        <f t="shared" si="956"/>
        <v>-4400.947087255423</v>
      </c>
      <c r="KX22" s="569">
        <f t="shared" si="956"/>
        <v>-794.11109865503386</v>
      </c>
      <c r="KY22" s="570">
        <f t="shared" si="956"/>
        <v>-962.91141585270816</v>
      </c>
      <c r="KZ22" s="565">
        <f t="shared" si="956"/>
        <v>-977.66187356680166</v>
      </c>
      <c r="LA22" s="566">
        <f t="shared" si="956"/>
        <v>-939.29920341429533</v>
      </c>
      <c r="LB22" s="565">
        <f t="shared" si="956"/>
        <v>-2281.1036427812796</v>
      </c>
      <c r="LC22" s="566">
        <f t="shared" si="956"/>
        <v>1554.1401470146084</v>
      </c>
      <c r="LD22" s="567">
        <f t="shared" si="956"/>
        <v>0</v>
      </c>
      <c r="LE22" s="568">
        <f t="shared" ref="LE22:NP22" si="957">SUM(LE19:LE20)-LE11</f>
        <v>-14767.904887235258</v>
      </c>
      <c r="LF22" s="569">
        <f t="shared" si="957"/>
        <v>-863.69447820556525</v>
      </c>
      <c r="LG22" s="570">
        <f t="shared" si="957"/>
        <v>-944.44856405326573</v>
      </c>
      <c r="LH22" s="565">
        <f t="shared" si="957"/>
        <v>-981.55365853346302</v>
      </c>
      <c r="LI22" s="566">
        <f t="shared" si="957"/>
        <v>-952.88197745750949</v>
      </c>
      <c r="LJ22" s="565">
        <f t="shared" si="957"/>
        <v>-2336.9825819319958</v>
      </c>
      <c r="LK22" s="566">
        <f t="shared" si="957"/>
        <v>-8688.3436270535167</v>
      </c>
      <c r="LL22" s="567">
        <f t="shared" si="957"/>
        <v>0</v>
      </c>
      <c r="LM22" s="568">
        <f t="shared" si="957"/>
        <v>-11002.678091909736</v>
      </c>
      <c r="LN22" s="569">
        <f t="shared" si="957"/>
        <v>-5933.5961168149224</v>
      </c>
      <c r="LO22" s="570">
        <f t="shared" si="957"/>
        <v>-987.77828316313389</v>
      </c>
      <c r="LP22" s="565">
        <f t="shared" si="957"/>
        <v>-1014.7796989284398</v>
      </c>
      <c r="LQ22" s="566">
        <f t="shared" si="957"/>
        <v>-985.71958136286412</v>
      </c>
      <c r="LR22" s="565">
        <f t="shared" si="957"/>
        <v>-3642.0081334698189</v>
      </c>
      <c r="LS22" s="566">
        <f t="shared" si="957"/>
        <v>1561.2037218294718</v>
      </c>
      <c r="LT22" s="567">
        <f t="shared" si="957"/>
        <v>0</v>
      </c>
      <c r="LU22" s="568">
        <f t="shared" si="957"/>
        <v>-16194.340003067977</v>
      </c>
      <c r="LV22" s="569">
        <f t="shared" si="957"/>
        <v>-5934.7928143020981</v>
      </c>
      <c r="LW22" s="570">
        <f t="shared" si="957"/>
        <v>1404.6405924328428</v>
      </c>
      <c r="LX22" s="565">
        <f t="shared" si="957"/>
        <v>-3443.1054717720108</v>
      </c>
      <c r="LY22" s="566">
        <f t="shared" si="957"/>
        <v>-958.28726430032111</v>
      </c>
      <c r="LZ22" s="565">
        <f t="shared" si="957"/>
        <v>-1111.4620382944122</v>
      </c>
      <c r="MA22" s="566">
        <f t="shared" si="957"/>
        <v>-6151.3330068318319</v>
      </c>
      <c r="MB22" s="567">
        <f t="shared" si="957"/>
        <v>0</v>
      </c>
      <c r="MC22" s="568">
        <f t="shared" si="957"/>
        <v>12115.858906309702</v>
      </c>
      <c r="MD22" s="569">
        <f t="shared" si="957"/>
        <v>-4673.62581818529</v>
      </c>
      <c r="ME22" s="570">
        <f t="shared" si="957"/>
        <v>3745.0841142473218</v>
      </c>
      <c r="MF22" s="565">
        <f t="shared" si="957"/>
        <v>3774.1485327187256</v>
      </c>
      <c r="MG22" s="566">
        <f t="shared" si="957"/>
        <v>1412.6664276559459</v>
      </c>
      <c r="MH22" s="565">
        <f t="shared" si="957"/>
        <v>1380.9492759793502</v>
      </c>
      <c r="MI22" s="566">
        <f t="shared" si="957"/>
        <v>6476.6363738935761</v>
      </c>
      <c r="MJ22" s="567">
        <f t="shared" si="957"/>
        <v>0</v>
      </c>
      <c r="MK22" s="568">
        <f t="shared" si="957"/>
        <v>-5037.6913862021174</v>
      </c>
      <c r="ML22" s="569">
        <f t="shared" si="957"/>
        <v>-906.40036040330597</v>
      </c>
      <c r="MM22" s="570">
        <f t="shared" si="957"/>
        <v>0</v>
      </c>
      <c r="MN22" s="565">
        <f t="shared" si="957"/>
        <v>-903.41140403616009</v>
      </c>
      <c r="MO22" s="566">
        <f t="shared" si="957"/>
        <v>-1018.9063478631142</v>
      </c>
      <c r="MP22" s="565">
        <f t="shared" si="957"/>
        <v>-1122.1549886865687</v>
      </c>
      <c r="MQ22" s="566">
        <f t="shared" si="957"/>
        <v>-1086.8182852129685</v>
      </c>
      <c r="MR22" s="567">
        <f t="shared" si="957"/>
        <v>0</v>
      </c>
      <c r="MS22" s="568">
        <f t="shared" si="957"/>
        <v>-206.56846156105166</v>
      </c>
      <c r="MT22" s="569">
        <f t="shared" si="957"/>
        <v>4006.5911197511305</v>
      </c>
      <c r="MU22" s="570">
        <f t="shared" si="957"/>
        <v>-4699.305864022157</v>
      </c>
      <c r="MV22" s="565">
        <f t="shared" si="957"/>
        <v>97.038167588732904</v>
      </c>
      <c r="MW22" s="566">
        <f t="shared" si="957"/>
        <v>1304.4071368403238</v>
      </c>
      <c r="MX22" s="565">
        <f t="shared" si="957"/>
        <v>0</v>
      </c>
      <c r="MY22" s="566">
        <f t="shared" si="957"/>
        <v>-915.29902171906724</v>
      </c>
      <c r="MZ22" s="567">
        <f t="shared" si="957"/>
        <v>0</v>
      </c>
      <c r="NA22" s="568">
        <f t="shared" si="957"/>
        <v>-5060.4460247912211</v>
      </c>
      <c r="NB22" s="569">
        <f t="shared" si="957"/>
        <v>-953.12807069707196</v>
      </c>
      <c r="NC22" s="570">
        <f t="shared" si="957"/>
        <v>99.491210477310233</v>
      </c>
      <c r="ND22" s="565">
        <f t="shared" si="957"/>
        <v>-1108.2154991049902</v>
      </c>
      <c r="NE22" s="566">
        <f t="shared" si="957"/>
        <v>-1063.0018581336772</v>
      </c>
      <c r="NF22" s="565">
        <f t="shared" si="957"/>
        <v>-1072.0891728748538</v>
      </c>
      <c r="NG22" s="566">
        <f t="shared" si="957"/>
        <v>-963.50263445780729</v>
      </c>
      <c r="NH22" s="567">
        <f t="shared" si="957"/>
        <v>0</v>
      </c>
      <c r="NI22" s="568">
        <f t="shared" si="957"/>
        <v>-2965.915793688735</v>
      </c>
      <c r="NJ22" s="569">
        <f t="shared" si="957"/>
        <v>-5666.3261018889025</v>
      </c>
      <c r="NK22" s="570">
        <f t="shared" si="957"/>
        <v>-1191.0918572944356</v>
      </c>
      <c r="NL22" s="565">
        <f t="shared" si="957"/>
        <v>25.246580085600726</v>
      </c>
      <c r="NM22" s="566">
        <f t="shared" si="957"/>
        <v>2424.0661361081729</v>
      </c>
      <c r="NN22" s="565">
        <f t="shared" si="957"/>
        <v>3961.5475561351777</v>
      </c>
      <c r="NO22" s="566">
        <f t="shared" si="957"/>
        <v>-2519.3581068342464</v>
      </c>
      <c r="NP22" s="567">
        <f t="shared" si="957"/>
        <v>0</v>
      </c>
      <c r="NQ22" s="568">
        <f t="shared" ref="NQ22:PD22" si="958">SUM(NQ19:NQ20)-NQ11</f>
        <v>5353.4874997168081</v>
      </c>
      <c r="NR22" s="569">
        <f t="shared" si="958"/>
        <v>1462.0314024824329</v>
      </c>
      <c r="NS22" s="570">
        <f t="shared" si="958"/>
        <v>0</v>
      </c>
      <c r="NT22" s="565">
        <f t="shared" si="958"/>
        <v>0</v>
      </c>
      <c r="NU22" s="566">
        <f t="shared" si="958"/>
        <v>77.494425397773739</v>
      </c>
      <c r="NV22" s="565">
        <f t="shared" si="958"/>
        <v>-2420.8814653003938</v>
      </c>
      <c r="NW22" s="566">
        <f t="shared" si="958"/>
        <v>6234.8431371371262</v>
      </c>
      <c r="NX22" s="567">
        <f t="shared" si="958"/>
        <v>0</v>
      </c>
      <c r="NY22" s="568">
        <f t="shared" si="958"/>
        <v>-6525.8158097047126</v>
      </c>
      <c r="NZ22" s="569">
        <f t="shared" si="958"/>
        <v>-977.08187325560721</v>
      </c>
      <c r="OA22" s="570">
        <f t="shared" si="958"/>
        <v>-1146.6717174485239</v>
      </c>
      <c r="OB22" s="565">
        <f t="shared" si="958"/>
        <v>-1187.5853573927452</v>
      </c>
      <c r="OC22" s="566">
        <f t="shared" si="958"/>
        <v>-1086.9996489617479</v>
      </c>
      <c r="OD22" s="565">
        <f t="shared" si="958"/>
        <v>-1113.5226439860853</v>
      </c>
      <c r="OE22" s="566">
        <f t="shared" si="958"/>
        <v>-1013.9545686599886</v>
      </c>
      <c r="OF22" s="567">
        <f t="shared" si="958"/>
        <v>0</v>
      </c>
      <c r="OG22" s="568">
        <f t="shared" si="958"/>
        <v>3634.6823468345683</v>
      </c>
      <c r="OH22" s="569">
        <f t="shared" si="958"/>
        <v>-3317.7749662525748</v>
      </c>
      <c r="OI22" s="570">
        <f t="shared" si="958"/>
        <v>-1087.0909047497553</v>
      </c>
      <c r="OJ22" s="565">
        <f t="shared" si="958"/>
        <v>-1050.0441650739376</v>
      </c>
      <c r="OK22" s="566">
        <f t="shared" si="958"/>
        <v>-1015.5241194672853</v>
      </c>
      <c r="OL22" s="565">
        <f t="shared" si="958"/>
        <v>11049.765447589409</v>
      </c>
      <c r="OM22" s="566">
        <f t="shared" si="958"/>
        <v>-944.64894521122915</v>
      </c>
      <c r="ON22" s="567">
        <f t="shared" si="958"/>
        <v>0</v>
      </c>
      <c r="OO22" s="568">
        <f t="shared" si="958"/>
        <v>-24500.695000000065</v>
      </c>
      <c r="OP22" s="569">
        <f t="shared" si="958"/>
        <v>-997.5</v>
      </c>
      <c r="OQ22" s="570">
        <f t="shared" si="958"/>
        <v>-1246.25</v>
      </c>
      <c r="OR22" s="565">
        <f t="shared" si="958"/>
        <v>-1223.75</v>
      </c>
      <c r="OS22" s="566">
        <f t="shared" si="958"/>
        <v>0</v>
      </c>
      <c r="OT22" s="565">
        <f t="shared" si="958"/>
        <v>1263.5249999999942</v>
      </c>
      <c r="OU22" s="566">
        <f t="shared" si="958"/>
        <v>-22296.720000000001</v>
      </c>
      <c r="OV22" s="567">
        <f t="shared" si="958"/>
        <v>0</v>
      </c>
      <c r="OW22" s="568">
        <f t="shared" si="958"/>
        <v>-40895.395000000019</v>
      </c>
      <c r="OX22" s="569">
        <f t="shared" si="958"/>
        <v>-23168.307499999995</v>
      </c>
      <c r="OY22" s="570">
        <f t="shared" si="958"/>
        <v>-1187.679999999993</v>
      </c>
      <c r="OZ22" s="565">
        <f t="shared" si="958"/>
        <v>-57.23750000000291</v>
      </c>
      <c r="PA22" s="566">
        <f t="shared" si="958"/>
        <v>-57.562499999985448</v>
      </c>
      <c r="PB22" s="565">
        <f t="shared" si="958"/>
        <v>-56.937499999985448</v>
      </c>
      <c r="PC22" s="566">
        <f t="shared" si="958"/>
        <v>-16367.669999999991</v>
      </c>
      <c r="PD22" s="567">
        <f t="shared" si="958"/>
        <v>0</v>
      </c>
      <c r="PE22" s="568">
        <f t="shared" ref="PE22:PL22" si="959">SUM(PE19:PE20)-PE11</f>
        <v>-6239.75</v>
      </c>
      <c r="PF22" s="569">
        <f t="shared" si="959"/>
        <v>-740.25</v>
      </c>
      <c r="PG22" s="570">
        <f t="shared" si="959"/>
        <v>-1128</v>
      </c>
      <c r="PH22" s="565">
        <f t="shared" si="959"/>
        <v>-1128</v>
      </c>
      <c r="PI22" s="566">
        <f t="shared" si="959"/>
        <v>1292.5</v>
      </c>
      <c r="PJ22" s="565">
        <f t="shared" si="959"/>
        <v>-1104</v>
      </c>
      <c r="PK22" s="566">
        <f t="shared" si="959"/>
        <v>-3432</v>
      </c>
      <c r="PL22" s="567">
        <f t="shared" si="959"/>
        <v>0</v>
      </c>
    </row>
    <row r="23" spans="1:428" s="44" customFormat="1" ht="15" hidden="1" customHeight="1" outlineLevel="1" thickBot="1" x14ac:dyDescent="0.35">
      <c r="A23"/>
      <c r="B23" s="1011"/>
      <c r="C23" s="1012"/>
      <c r="D23" s="241" t="s">
        <v>208</v>
      </c>
      <c r="E23" s="574">
        <f t="shared" ref="E23:L23" si="960">E18-E10</f>
        <v>-2112.8983960960177</v>
      </c>
      <c r="F23" s="575">
        <f t="shared" si="960"/>
        <v>-305.59790006567709</v>
      </c>
      <c r="G23" s="571">
        <f t="shared" si="960"/>
        <v>-311.50944028254889</v>
      </c>
      <c r="H23" s="571">
        <f t="shared" si="960"/>
        <v>-287.79105574779533</v>
      </c>
      <c r="I23" s="572">
        <f t="shared" si="960"/>
        <v>-245</v>
      </c>
      <c r="J23" s="571">
        <f t="shared" si="960"/>
        <v>-486</v>
      </c>
      <c r="K23" s="571">
        <f t="shared" si="960"/>
        <v>-477</v>
      </c>
      <c r="L23" s="573">
        <f t="shared" si="960"/>
        <v>0</v>
      </c>
      <c r="M23" s="574">
        <f t="shared" ref="M23:BH23" si="961">M18-M10</f>
        <v>-2061.8996091412846</v>
      </c>
      <c r="N23" s="575">
        <f t="shared" si="961"/>
        <v>-299.91970211131047</v>
      </c>
      <c r="O23" s="571">
        <f t="shared" si="961"/>
        <v>-254.55334176994802</v>
      </c>
      <c r="P23" s="571">
        <f t="shared" si="961"/>
        <v>-256.42656526004066</v>
      </c>
      <c r="Q23" s="572">
        <f t="shared" si="961"/>
        <v>-306</v>
      </c>
      <c r="R23" s="571">
        <f t="shared" si="961"/>
        <v>-468</v>
      </c>
      <c r="S23" s="571">
        <f t="shared" si="961"/>
        <v>-477</v>
      </c>
      <c r="T23" s="573">
        <f t="shared" si="961"/>
        <v>0</v>
      </c>
      <c r="U23" s="574">
        <f t="shared" si="961"/>
        <v>-2196.9837829268072</v>
      </c>
      <c r="V23" s="575">
        <f t="shared" si="961"/>
        <v>-330.21975604757608</v>
      </c>
      <c r="W23" s="571">
        <f t="shared" si="961"/>
        <v>-272.82405632713198</v>
      </c>
      <c r="X23" s="571">
        <f t="shared" si="961"/>
        <v>-308.43997055211003</v>
      </c>
      <c r="Y23" s="572">
        <f t="shared" si="961"/>
        <v>-288</v>
      </c>
      <c r="Z23" s="571">
        <f t="shared" si="961"/>
        <v>-503.5</v>
      </c>
      <c r="AA23" s="571">
        <f t="shared" si="961"/>
        <v>-494</v>
      </c>
      <c r="AB23" s="573">
        <f t="shared" si="961"/>
        <v>0</v>
      </c>
      <c r="AC23" s="574">
        <f t="shared" si="961"/>
        <v>-2082.3542555583117</v>
      </c>
      <c r="AD23" s="575">
        <f t="shared" si="961"/>
        <v>-308.29402985074557</v>
      </c>
      <c r="AE23" s="571">
        <f t="shared" si="961"/>
        <v>-267.83720930232448</v>
      </c>
      <c r="AF23" s="571">
        <f t="shared" si="961"/>
        <v>-288</v>
      </c>
      <c r="AG23" s="572">
        <f t="shared" si="961"/>
        <v>-258.26941810482458</v>
      </c>
      <c r="AH23" s="571">
        <f t="shared" si="961"/>
        <v>-441.49620728997979</v>
      </c>
      <c r="AI23" s="571">
        <f t="shared" si="961"/>
        <v>-518.45739101043</v>
      </c>
      <c r="AJ23" s="573">
        <f t="shared" si="961"/>
        <v>0</v>
      </c>
      <c r="AK23" s="574">
        <f t="shared" si="961"/>
        <v>-2152.9666186799877</v>
      </c>
      <c r="AL23" s="575">
        <f t="shared" si="961"/>
        <v>-354.51526790619391</v>
      </c>
      <c r="AM23" s="571">
        <f t="shared" si="961"/>
        <v>-268.27125113018701</v>
      </c>
      <c r="AN23" s="571">
        <f t="shared" si="961"/>
        <v>-276.82322543118426</v>
      </c>
      <c r="AO23" s="572">
        <f t="shared" si="961"/>
        <v>-240.48311067212126</v>
      </c>
      <c r="AP23" s="571">
        <f t="shared" si="961"/>
        <v>-482.54834682690853</v>
      </c>
      <c r="AQ23" s="571">
        <f t="shared" si="961"/>
        <v>-530.32541671336367</v>
      </c>
      <c r="AR23" s="573">
        <f t="shared" si="961"/>
        <v>0</v>
      </c>
      <c r="AS23" s="574">
        <f t="shared" si="961"/>
        <v>-2128.7451502045442</v>
      </c>
      <c r="AT23" s="575">
        <f t="shared" si="961"/>
        <v>-359.89799161005794</v>
      </c>
      <c r="AU23" s="571">
        <f t="shared" si="961"/>
        <v>-252.82884455616659</v>
      </c>
      <c r="AV23" s="571">
        <f t="shared" si="961"/>
        <v>-284.19975897470067</v>
      </c>
      <c r="AW23" s="572">
        <f t="shared" si="961"/>
        <v>-215.83462544599024</v>
      </c>
      <c r="AX23" s="571">
        <f t="shared" si="961"/>
        <v>-511.94292961819156</v>
      </c>
      <c r="AY23" s="571">
        <f t="shared" si="961"/>
        <v>-504.04099999942264</v>
      </c>
      <c r="AZ23" s="573">
        <f t="shared" si="961"/>
        <v>0</v>
      </c>
      <c r="BA23" s="574">
        <f t="shared" si="961"/>
        <v>-7142.0490310163877</v>
      </c>
      <c r="BB23" s="575">
        <f t="shared" si="961"/>
        <v>-358.53707724506239</v>
      </c>
      <c r="BC23" s="571">
        <f t="shared" si="961"/>
        <v>-2717.699265045525</v>
      </c>
      <c r="BD23" s="571">
        <f t="shared" si="961"/>
        <v>-2786.0839357817022</v>
      </c>
      <c r="BE23" s="572">
        <f t="shared" si="961"/>
        <v>-248.02917731694833</v>
      </c>
      <c r="BF23" s="571">
        <f t="shared" si="961"/>
        <v>-522.964863129062</v>
      </c>
      <c r="BG23" s="571">
        <f t="shared" si="961"/>
        <v>-508.73471249806607</v>
      </c>
      <c r="BH23" s="573">
        <f t="shared" si="961"/>
        <v>0</v>
      </c>
      <c r="BI23" s="574">
        <f t="shared" ref="BI23:DT23" si="962">BI18-BI10</f>
        <v>-9682.550099112821</v>
      </c>
      <c r="BJ23" s="575">
        <f t="shared" si="962"/>
        <v>-2771.7928596208367</v>
      </c>
      <c r="BK23" s="571">
        <f t="shared" si="962"/>
        <v>-251.61971682547301</v>
      </c>
      <c r="BL23" s="571">
        <f t="shared" si="962"/>
        <v>-239.7917236420144</v>
      </c>
      <c r="BM23" s="572">
        <f t="shared" si="962"/>
        <v>-246.14060092487853</v>
      </c>
      <c r="BN23" s="571">
        <f t="shared" si="962"/>
        <v>-5674.8532381511759</v>
      </c>
      <c r="BO23" s="571">
        <f t="shared" si="962"/>
        <v>-498.35195994840615</v>
      </c>
      <c r="BP23" s="573">
        <f t="shared" si="962"/>
        <v>0</v>
      </c>
      <c r="BQ23" s="574">
        <f t="shared" si="962"/>
        <v>-4484.3961961856403</v>
      </c>
      <c r="BR23" s="575">
        <f t="shared" si="962"/>
        <v>-379.60959945187642</v>
      </c>
      <c r="BS23" s="571">
        <f t="shared" si="962"/>
        <v>-226.42473494489968</v>
      </c>
      <c r="BT23" s="571">
        <f t="shared" si="962"/>
        <v>-2610.3500502115094</v>
      </c>
      <c r="BU23" s="572">
        <f t="shared" si="962"/>
        <v>-220.35968630066054</v>
      </c>
      <c r="BV23" s="571">
        <f t="shared" si="962"/>
        <v>-556.81948316333001</v>
      </c>
      <c r="BW23" s="571">
        <f t="shared" si="962"/>
        <v>-490.83264211340429</v>
      </c>
      <c r="BX23" s="573">
        <f t="shared" si="962"/>
        <v>0</v>
      </c>
      <c r="BY23" s="574">
        <f t="shared" si="962"/>
        <v>-2110.1014326919394</v>
      </c>
      <c r="BZ23" s="575">
        <f t="shared" si="962"/>
        <v>-356.300390446042</v>
      </c>
      <c r="CA23" s="571">
        <f t="shared" si="962"/>
        <v>-240.28459080407993</v>
      </c>
      <c r="CB23" s="571">
        <f t="shared" si="962"/>
        <v>-243.11371235218758</v>
      </c>
      <c r="CC23" s="572">
        <f t="shared" si="962"/>
        <v>-220.90904890219463</v>
      </c>
      <c r="CD23" s="571">
        <f t="shared" si="962"/>
        <v>-532.83457409550465</v>
      </c>
      <c r="CE23" s="571">
        <f t="shared" si="962"/>
        <v>-516.65911609193427</v>
      </c>
      <c r="CF23" s="573">
        <f t="shared" si="962"/>
        <v>0</v>
      </c>
      <c r="CG23" s="574">
        <f t="shared" si="962"/>
        <v>-1983.6270630419604</v>
      </c>
      <c r="CH23" s="575">
        <f t="shared" si="962"/>
        <v>-357.18865686494973</v>
      </c>
      <c r="CI23" s="571">
        <f t="shared" si="962"/>
        <v>-206.59130710285172</v>
      </c>
      <c r="CJ23" s="571">
        <f t="shared" si="962"/>
        <v>-217.510423013322</v>
      </c>
      <c r="CK23" s="572">
        <f t="shared" si="962"/>
        <v>-214.120916965574</v>
      </c>
      <c r="CL23" s="571">
        <f t="shared" si="962"/>
        <v>-487.16428359018755</v>
      </c>
      <c r="CM23" s="571">
        <f t="shared" si="962"/>
        <v>-501.05147550506808</v>
      </c>
      <c r="CN23" s="573">
        <f t="shared" si="962"/>
        <v>0</v>
      </c>
      <c r="CO23" s="574">
        <f t="shared" si="962"/>
        <v>-4407.6383850561688</v>
      </c>
      <c r="CP23" s="575">
        <f t="shared" si="962"/>
        <v>-345.7400553904954</v>
      </c>
      <c r="CQ23" s="571">
        <f t="shared" si="962"/>
        <v>-2543.8584235325325</v>
      </c>
      <c r="CR23" s="571">
        <f t="shared" si="962"/>
        <v>-243.50936377165272</v>
      </c>
      <c r="CS23" s="572">
        <f t="shared" si="962"/>
        <v>-224.62787499589103</v>
      </c>
      <c r="CT23" s="571">
        <f t="shared" si="962"/>
        <v>-514.80782791628008</v>
      </c>
      <c r="CU23" s="571">
        <f t="shared" si="962"/>
        <v>-535.09483944931708</v>
      </c>
      <c r="CV23" s="573">
        <f t="shared" si="962"/>
        <v>0</v>
      </c>
      <c r="CW23" s="574">
        <f t="shared" si="962"/>
        <v>-2016.9214850860299</v>
      </c>
      <c r="CX23" s="575">
        <f t="shared" si="962"/>
        <v>-341.95343387909088</v>
      </c>
      <c r="CY23" s="571">
        <f t="shared" si="962"/>
        <v>-234.77348370608161</v>
      </c>
      <c r="CZ23" s="571">
        <f t="shared" si="962"/>
        <v>-220.05288395663956</v>
      </c>
      <c r="DA23" s="572">
        <f t="shared" si="962"/>
        <v>-241.86082438176527</v>
      </c>
      <c r="DB23" s="571">
        <f t="shared" si="962"/>
        <v>-506.22354090057343</v>
      </c>
      <c r="DC23" s="571">
        <f t="shared" si="962"/>
        <v>-472.05731826184638</v>
      </c>
      <c r="DD23" s="573">
        <f t="shared" si="962"/>
        <v>0</v>
      </c>
      <c r="DE23" s="574">
        <f t="shared" si="962"/>
        <v>-2045.9501725224836</v>
      </c>
      <c r="DF23" s="575">
        <f t="shared" si="962"/>
        <v>-335.45482417698804</v>
      </c>
      <c r="DG23" s="571">
        <f t="shared" si="962"/>
        <v>-221.88779593864456</v>
      </c>
      <c r="DH23" s="571">
        <f t="shared" si="962"/>
        <v>-234.78279956145707</v>
      </c>
      <c r="DI23" s="572">
        <f t="shared" si="962"/>
        <v>-248.94578587621072</v>
      </c>
      <c r="DJ23" s="571">
        <f t="shared" si="962"/>
        <v>-522.8167739503042</v>
      </c>
      <c r="DK23" s="571">
        <f t="shared" si="962"/>
        <v>-482.06219301887904</v>
      </c>
      <c r="DL23" s="573">
        <f t="shared" si="962"/>
        <v>0</v>
      </c>
      <c r="DM23" s="574">
        <f t="shared" si="962"/>
        <v>348.64766001331736</v>
      </c>
      <c r="DN23" s="575">
        <f t="shared" si="962"/>
        <v>-359.30459231651912</v>
      </c>
      <c r="DO23" s="571">
        <f t="shared" si="962"/>
        <v>-243.94956202194589</v>
      </c>
      <c r="DP23" s="571">
        <f t="shared" si="962"/>
        <v>-256.90544713039708</v>
      </c>
      <c r="DQ23" s="572">
        <f t="shared" si="962"/>
        <v>-260.14834624063951</v>
      </c>
      <c r="DR23" s="571">
        <f t="shared" si="962"/>
        <v>-518.65415337972081</v>
      </c>
      <c r="DS23" s="571">
        <f t="shared" si="962"/>
        <v>1987.609761102518</v>
      </c>
      <c r="DT23" s="573">
        <f t="shared" si="962"/>
        <v>0</v>
      </c>
      <c r="DU23" s="574">
        <f t="shared" ref="DU23:GF23" si="963">DU18-DU10</f>
        <v>2882.6020146521914</v>
      </c>
      <c r="DV23" s="575">
        <f t="shared" si="963"/>
        <v>0</v>
      </c>
      <c r="DW23" s="571">
        <f t="shared" si="963"/>
        <v>4285.5083803487105</v>
      </c>
      <c r="DX23" s="571">
        <f t="shared" si="963"/>
        <v>-256.70394902726912</v>
      </c>
      <c r="DY23" s="572">
        <f t="shared" si="963"/>
        <v>-260.42658156570542</v>
      </c>
      <c r="DZ23" s="571">
        <f t="shared" si="963"/>
        <v>-470.01641027439473</v>
      </c>
      <c r="EA23" s="571">
        <f t="shared" si="963"/>
        <v>-415.75942482913524</v>
      </c>
      <c r="EB23" s="573">
        <f t="shared" si="963"/>
        <v>0</v>
      </c>
      <c r="EC23" s="574">
        <f t="shared" si="963"/>
        <v>-1875.7816346182954</v>
      </c>
      <c r="ED23" s="575">
        <f t="shared" si="963"/>
        <v>-305.69931192198783</v>
      </c>
      <c r="EE23" s="571">
        <f t="shared" si="963"/>
        <v>-216.45578503250726</v>
      </c>
      <c r="EF23" s="571">
        <f t="shared" si="963"/>
        <v>-211.60859478756538</v>
      </c>
      <c r="EG23" s="572">
        <f t="shared" si="963"/>
        <v>-219.87987781326228</v>
      </c>
      <c r="EH23" s="571">
        <f t="shared" si="963"/>
        <v>-488.20583350306697</v>
      </c>
      <c r="EI23" s="571">
        <f t="shared" si="963"/>
        <v>-433.93223155989836</v>
      </c>
      <c r="EJ23" s="573">
        <f t="shared" si="963"/>
        <v>0</v>
      </c>
      <c r="EK23" s="574">
        <f t="shared" si="963"/>
        <v>-2119.502596922568</v>
      </c>
      <c r="EL23" s="575">
        <f t="shared" si="963"/>
        <v>-324.05022047711464</v>
      </c>
      <c r="EM23" s="571">
        <f t="shared" si="963"/>
        <v>-220.26814472399928</v>
      </c>
      <c r="EN23" s="571">
        <f t="shared" si="963"/>
        <v>-240.36294583880226</v>
      </c>
      <c r="EO23" s="572">
        <f t="shared" si="963"/>
        <v>-227.03581607359592</v>
      </c>
      <c r="EP23" s="571">
        <f t="shared" si="963"/>
        <v>-585.33445851998113</v>
      </c>
      <c r="EQ23" s="571">
        <f t="shared" si="963"/>
        <v>-522.45101128905662</v>
      </c>
      <c r="ER23" s="573">
        <f t="shared" si="963"/>
        <v>0</v>
      </c>
      <c r="ES23" s="574">
        <f t="shared" si="963"/>
        <v>-7333.7372345149342</v>
      </c>
      <c r="ET23" s="575">
        <f t="shared" si="963"/>
        <v>-374.84881684956054</v>
      </c>
      <c r="EU23" s="571">
        <f t="shared" si="963"/>
        <v>-281.46251231049246</v>
      </c>
      <c r="EV23" s="571">
        <f t="shared" si="963"/>
        <v>-286.84293363273537</v>
      </c>
      <c r="EW23" s="572">
        <f t="shared" si="963"/>
        <v>-5180.7986553220835</v>
      </c>
      <c r="EX23" s="571">
        <f t="shared" si="963"/>
        <v>-635.51345343693538</v>
      </c>
      <c r="EY23" s="571">
        <f t="shared" si="963"/>
        <v>-574.27086296310881</v>
      </c>
      <c r="EZ23" s="573">
        <f t="shared" si="963"/>
        <v>0</v>
      </c>
      <c r="FA23" s="574">
        <f t="shared" si="963"/>
        <v>7720.5316150198923</v>
      </c>
      <c r="FB23" s="575">
        <f t="shared" si="963"/>
        <v>-394.0804728609437</v>
      </c>
      <c r="FC23" s="571">
        <f t="shared" si="963"/>
        <v>-301.97283236961812</v>
      </c>
      <c r="FD23" s="571">
        <f t="shared" si="963"/>
        <v>-303.89467211665033</v>
      </c>
      <c r="FE23" s="572">
        <f t="shared" si="963"/>
        <v>2083.9144898312625</v>
      </c>
      <c r="FF23" s="571">
        <f t="shared" si="963"/>
        <v>-539.44871951595997</v>
      </c>
      <c r="FG23" s="571">
        <f t="shared" si="963"/>
        <v>7176.0138220517983</v>
      </c>
      <c r="FH23" s="573">
        <f t="shared" si="963"/>
        <v>0</v>
      </c>
      <c r="FI23" s="574">
        <f t="shared" si="963"/>
        <v>-1901.8409025287547</v>
      </c>
      <c r="FJ23" s="575">
        <f t="shared" si="963"/>
        <v>-335.49124738610408</v>
      </c>
      <c r="FK23" s="571">
        <f t="shared" si="963"/>
        <v>-240.94817228187458</v>
      </c>
      <c r="FL23" s="571">
        <f t="shared" si="963"/>
        <v>-274.98407371927169</v>
      </c>
      <c r="FM23" s="572">
        <f t="shared" si="963"/>
        <v>0</v>
      </c>
      <c r="FN23" s="571">
        <f t="shared" si="963"/>
        <v>-458.90692767698783</v>
      </c>
      <c r="FO23" s="571">
        <f t="shared" si="963"/>
        <v>-591.51048146450921</v>
      </c>
      <c r="FP23" s="573">
        <f t="shared" si="963"/>
        <v>0</v>
      </c>
      <c r="FQ23" s="574">
        <f t="shared" si="963"/>
        <v>-2258.2568037589663</v>
      </c>
      <c r="FR23" s="575">
        <f t="shared" si="963"/>
        <v>-397.85441009731585</v>
      </c>
      <c r="FS23" s="571">
        <f t="shared" si="963"/>
        <v>-295.46930716538191</v>
      </c>
      <c r="FT23" s="571">
        <f t="shared" si="963"/>
        <v>-309.50108933770753</v>
      </c>
      <c r="FU23" s="572">
        <f t="shared" si="963"/>
        <v>-306.35524976415763</v>
      </c>
      <c r="FV23" s="571">
        <f t="shared" si="963"/>
        <v>-487.67309418687364</v>
      </c>
      <c r="FW23" s="571">
        <f t="shared" si="963"/>
        <v>-461.40365320752608</v>
      </c>
      <c r="FX23" s="573">
        <f t="shared" si="963"/>
        <v>0</v>
      </c>
      <c r="FY23" s="574">
        <f t="shared" si="963"/>
        <v>3516.5714803383744</v>
      </c>
      <c r="FZ23" s="575">
        <f t="shared" si="963"/>
        <v>0</v>
      </c>
      <c r="GA23" s="571">
        <f t="shared" si="963"/>
        <v>-2435.820028682916</v>
      </c>
      <c r="GB23" s="571">
        <f t="shared" si="963"/>
        <v>-333.78436708199297</v>
      </c>
      <c r="GC23" s="572">
        <f t="shared" si="963"/>
        <v>-256</v>
      </c>
      <c r="GD23" s="571">
        <f t="shared" si="963"/>
        <v>7101.0718484150275</v>
      </c>
      <c r="GE23" s="571">
        <f t="shared" si="963"/>
        <v>-558.89597231173684</v>
      </c>
      <c r="GF23" s="573">
        <f t="shared" si="963"/>
        <v>0</v>
      </c>
      <c r="GG23" s="574">
        <f t="shared" ref="GG23:IR23" si="964">GG18-GG10</f>
        <v>276.30118723315536</v>
      </c>
      <c r="GH23" s="575">
        <f t="shared" si="964"/>
        <v>-352.26622500733356</v>
      </c>
      <c r="GI23" s="571">
        <f t="shared" si="964"/>
        <v>-296.04938679299812</v>
      </c>
      <c r="GJ23" s="571">
        <f t="shared" si="964"/>
        <v>-296.99523128203145</v>
      </c>
      <c r="GK23" s="572">
        <f t="shared" si="964"/>
        <v>-277.06580157563076</v>
      </c>
      <c r="GL23" s="571">
        <f t="shared" si="964"/>
        <v>-576.08533022504707</v>
      </c>
      <c r="GM23" s="571">
        <f t="shared" si="964"/>
        <v>2074.7631621161854</v>
      </c>
      <c r="GN23" s="573">
        <f t="shared" si="964"/>
        <v>0</v>
      </c>
      <c r="GO23" s="574">
        <f t="shared" si="964"/>
        <v>3811.3424563288572</v>
      </c>
      <c r="GP23" s="575">
        <f t="shared" si="964"/>
        <v>5772.2885453242379</v>
      </c>
      <c r="GQ23" s="571">
        <f t="shared" si="964"/>
        <v>-349.31711652094236</v>
      </c>
      <c r="GR23" s="571">
        <f t="shared" si="964"/>
        <v>-273.1340944180738</v>
      </c>
      <c r="GS23" s="572">
        <f t="shared" si="964"/>
        <v>-284.68609899266812</v>
      </c>
      <c r="GT23" s="571">
        <f t="shared" si="964"/>
        <v>-545.17526004950923</v>
      </c>
      <c r="GU23" s="571">
        <f t="shared" si="964"/>
        <v>-508.6335190141981</v>
      </c>
      <c r="GV23" s="573">
        <f t="shared" si="964"/>
        <v>0</v>
      </c>
      <c r="GW23" s="574">
        <f t="shared" si="964"/>
        <v>-2148.1446044404875</v>
      </c>
      <c r="GX23" s="575">
        <f t="shared" si="964"/>
        <v>-314.41561270836974</v>
      </c>
      <c r="GY23" s="571">
        <f t="shared" si="964"/>
        <v>-270.60972356364437</v>
      </c>
      <c r="GZ23" s="571">
        <f t="shared" si="964"/>
        <v>-264.49012333843712</v>
      </c>
      <c r="HA23" s="572">
        <f t="shared" si="964"/>
        <v>-271.86595479231619</v>
      </c>
      <c r="HB23" s="571">
        <f t="shared" si="964"/>
        <v>-537.9938474090668</v>
      </c>
      <c r="HC23" s="571">
        <f t="shared" si="964"/>
        <v>-488.76934262866416</v>
      </c>
      <c r="HD23" s="573">
        <f t="shared" si="964"/>
        <v>0</v>
      </c>
      <c r="HE23" s="574">
        <f t="shared" si="964"/>
        <v>-1724.8136685216159</v>
      </c>
      <c r="HF23" s="575">
        <f t="shared" si="964"/>
        <v>-263.03772442655099</v>
      </c>
      <c r="HG23" s="571">
        <f t="shared" si="964"/>
        <v>-221.50217843048449</v>
      </c>
      <c r="HH23" s="571">
        <f t="shared" si="964"/>
        <v>-214.08357133911704</v>
      </c>
      <c r="HI23" s="572">
        <f t="shared" si="964"/>
        <v>-209.00788907383321</v>
      </c>
      <c r="HJ23" s="571">
        <f t="shared" si="964"/>
        <v>-435.55988670120132</v>
      </c>
      <c r="HK23" s="571">
        <f t="shared" si="964"/>
        <v>-381.62241855043249</v>
      </c>
      <c r="HL23" s="573">
        <f t="shared" si="964"/>
        <v>0</v>
      </c>
      <c r="HM23" s="574">
        <f t="shared" si="964"/>
        <v>-1572.3033971860714</v>
      </c>
      <c r="HN23" s="575">
        <f t="shared" si="964"/>
        <v>-231.50557511707302</v>
      </c>
      <c r="HO23" s="571">
        <f t="shared" si="964"/>
        <v>-221.78919440658137</v>
      </c>
      <c r="HP23" s="571">
        <f t="shared" si="964"/>
        <v>-194.21317936588093</v>
      </c>
      <c r="HQ23" s="572">
        <f t="shared" si="964"/>
        <v>-202.0853056364831</v>
      </c>
      <c r="HR23" s="571">
        <f t="shared" si="964"/>
        <v>-375.0980969293887</v>
      </c>
      <c r="HS23" s="571">
        <f t="shared" si="964"/>
        <v>-347.61204573068972</v>
      </c>
      <c r="HT23" s="573">
        <f t="shared" si="964"/>
        <v>0</v>
      </c>
      <c r="HU23" s="574">
        <f t="shared" si="964"/>
        <v>-1423.0344019169279</v>
      </c>
      <c r="HV23" s="575">
        <f t="shared" si="964"/>
        <v>-205.62560007823777</v>
      </c>
      <c r="HW23" s="571">
        <f t="shared" si="964"/>
        <v>-194.14803304988891</v>
      </c>
      <c r="HX23" s="571">
        <f t="shared" si="964"/>
        <v>-210.96471357817791</v>
      </c>
      <c r="HY23" s="572">
        <f t="shared" si="964"/>
        <v>0</v>
      </c>
      <c r="HZ23" s="571">
        <f t="shared" si="964"/>
        <v>-443.94590968010743</v>
      </c>
      <c r="IA23" s="571">
        <f t="shared" si="964"/>
        <v>-368.35014553051587</v>
      </c>
      <c r="IB23" s="573">
        <f t="shared" si="964"/>
        <v>0</v>
      </c>
      <c r="IC23" s="574">
        <f t="shared" si="964"/>
        <v>-1448.3691358301439</v>
      </c>
      <c r="ID23" s="575">
        <f t="shared" si="964"/>
        <v>-207.32982207627356</v>
      </c>
      <c r="IE23" s="571">
        <f t="shared" si="964"/>
        <v>-195.85395833645089</v>
      </c>
      <c r="IF23" s="571">
        <f t="shared" si="964"/>
        <v>-192.76078873084043</v>
      </c>
      <c r="IG23" s="572">
        <f t="shared" si="964"/>
        <v>-201.42872555169379</v>
      </c>
      <c r="IH23" s="571">
        <f t="shared" si="964"/>
        <v>-339.05610325325688</v>
      </c>
      <c r="II23" s="571">
        <f t="shared" si="964"/>
        <v>-311.93973788160656</v>
      </c>
      <c r="IJ23" s="573">
        <f t="shared" si="964"/>
        <v>0</v>
      </c>
      <c r="IK23" s="574">
        <f t="shared" si="964"/>
        <v>-1552.9160419908294</v>
      </c>
      <c r="IL23" s="575">
        <f t="shared" si="964"/>
        <v>-235.35071720920314</v>
      </c>
      <c r="IM23" s="571">
        <f t="shared" si="964"/>
        <v>-198.53626981089474</v>
      </c>
      <c r="IN23" s="571">
        <f t="shared" si="964"/>
        <v>-192.71363388347891</v>
      </c>
      <c r="IO23" s="572">
        <f t="shared" si="964"/>
        <v>-213.5797678633935</v>
      </c>
      <c r="IP23" s="571">
        <f t="shared" si="964"/>
        <v>-376.15463443895715</v>
      </c>
      <c r="IQ23" s="571">
        <f t="shared" si="964"/>
        <v>-336.58101878492744</v>
      </c>
      <c r="IR23" s="573">
        <f t="shared" si="964"/>
        <v>0</v>
      </c>
      <c r="IS23" s="574">
        <f t="shared" ref="IS23:LD23" si="965">IS18-IS10</f>
        <v>1736.9258755375922</v>
      </c>
      <c r="IT23" s="575">
        <f t="shared" si="965"/>
        <v>-238.95564562246363</v>
      </c>
      <c r="IU23" s="571">
        <f t="shared" si="965"/>
        <v>-201.81525040554698</v>
      </c>
      <c r="IV23" s="571">
        <f t="shared" si="965"/>
        <v>-200.01524835518649</v>
      </c>
      <c r="IW23" s="572">
        <f t="shared" si="965"/>
        <v>1888.8450088614518</v>
      </c>
      <c r="IX23" s="571">
        <f t="shared" si="965"/>
        <v>-345.60172783496819</v>
      </c>
      <c r="IY23" s="571">
        <f t="shared" si="965"/>
        <v>834.46873889430572</v>
      </c>
      <c r="IZ23" s="573">
        <f t="shared" si="965"/>
        <v>0</v>
      </c>
      <c r="JA23" s="574">
        <f t="shared" si="965"/>
        <v>-1503.4471976523637</v>
      </c>
      <c r="JB23" s="575">
        <f t="shared" si="965"/>
        <v>0</v>
      </c>
      <c r="JC23" s="571">
        <f t="shared" si="965"/>
        <v>-337.51147090622544</v>
      </c>
      <c r="JD23" s="571">
        <f t="shared" si="965"/>
        <v>-226.98282461593044</v>
      </c>
      <c r="JE23" s="572">
        <f t="shared" si="965"/>
        <v>-197.67527319513829</v>
      </c>
      <c r="JF23" s="571">
        <f t="shared" si="965"/>
        <v>-381.10303030703653</v>
      </c>
      <c r="JG23" s="571">
        <f t="shared" si="965"/>
        <v>-360.17459862802934</v>
      </c>
      <c r="JH23" s="573">
        <f t="shared" si="965"/>
        <v>0</v>
      </c>
      <c r="JI23" s="574">
        <f t="shared" si="965"/>
        <v>2110.1119957603223</v>
      </c>
      <c r="JJ23" s="575">
        <f t="shared" si="965"/>
        <v>-293.44024617988543</v>
      </c>
      <c r="JK23" s="571">
        <f t="shared" si="965"/>
        <v>1882.0552714461519</v>
      </c>
      <c r="JL23" s="571">
        <f t="shared" si="965"/>
        <v>1841.0438364135043</v>
      </c>
      <c r="JM23" s="572">
        <f t="shared" si="965"/>
        <v>-241.17084841030737</v>
      </c>
      <c r="JN23" s="571">
        <f t="shared" si="965"/>
        <v>-554.44429985523311</v>
      </c>
      <c r="JO23" s="571">
        <f t="shared" si="965"/>
        <v>-523.93171765391162</v>
      </c>
      <c r="JP23" s="573">
        <f t="shared" si="965"/>
        <v>0</v>
      </c>
      <c r="JQ23" s="574">
        <f t="shared" si="965"/>
        <v>-7517.4380844365514</v>
      </c>
      <c r="JR23" s="575">
        <f t="shared" si="965"/>
        <v>-339.32495272692904</v>
      </c>
      <c r="JS23" s="571">
        <f t="shared" si="965"/>
        <v>-289.97685135774009</v>
      </c>
      <c r="JT23" s="571">
        <f t="shared" si="965"/>
        <v>-285.39794679102852</v>
      </c>
      <c r="JU23" s="572">
        <f t="shared" si="965"/>
        <v>-294.57488497933082</v>
      </c>
      <c r="JV23" s="571">
        <f t="shared" si="965"/>
        <v>-3177.5097616335552</v>
      </c>
      <c r="JW23" s="571">
        <f t="shared" si="965"/>
        <v>-3130.6536869479824</v>
      </c>
      <c r="JX23" s="573">
        <f t="shared" si="965"/>
        <v>0</v>
      </c>
      <c r="JY23" s="574">
        <f t="shared" si="965"/>
        <v>-2401.4545665094629</v>
      </c>
      <c r="JZ23" s="575">
        <f t="shared" si="965"/>
        <v>-384.15692156188015</v>
      </c>
      <c r="KA23" s="571">
        <f t="shared" si="965"/>
        <v>-302.56411572320576</v>
      </c>
      <c r="KB23" s="571">
        <f t="shared" si="965"/>
        <v>-316.19854683093217</v>
      </c>
      <c r="KC23" s="572">
        <f t="shared" si="965"/>
        <v>-281.7711761986975</v>
      </c>
      <c r="KD23" s="571">
        <f t="shared" si="965"/>
        <v>-583.0768433631165</v>
      </c>
      <c r="KE23" s="571">
        <f t="shared" si="965"/>
        <v>-533.686962831649</v>
      </c>
      <c r="KF23" s="573">
        <f t="shared" si="965"/>
        <v>0</v>
      </c>
      <c r="KG23" s="574">
        <f t="shared" si="965"/>
        <v>-2328.8790229651495</v>
      </c>
      <c r="KH23" s="575">
        <f t="shared" si="965"/>
        <v>-378.51432460702199</v>
      </c>
      <c r="KI23" s="571">
        <f t="shared" si="965"/>
        <v>-308</v>
      </c>
      <c r="KJ23" s="571">
        <f t="shared" si="965"/>
        <v>-314.32295867529319</v>
      </c>
      <c r="KK23" s="572">
        <f t="shared" si="965"/>
        <v>-286</v>
      </c>
      <c r="KL23" s="571">
        <f t="shared" si="965"/>
        <v>-537.90173968285671</v>
      </c>
      <c r="KM23" s="571">
        <f t="shared" si="965"/>
        <v>-504.13999999999942</v>
      </c>
      <c r="KN23" s="573">
        <f t="shared" si="965"/>
        <v>0</v>
      </c>
      <c r="KO23" s="574">
        <f t="shared" si="965"/>
        <v>-2164.7087588449067</v>
      </c>
      <c r="KP23" s="575">
        <f t="shared" si="965"/>
        <v>-351.10824742267869</v>
      </c>
      <c r="KQ23" s="571">
        <f t="shared" si="965"/>
        <v>-236.40000000000146</v>
      </c>
      <c r="KR23" s="571">
        <f t="shared" si="965"/>
        <v>-260.65000000000146</v>
      </c>
      <c r="KS23" s="572">
        <f t="shared" si="965"/>
        <v>-304.1522576849311</v>
      </c>
      <c r="KT23" s="571">
        <f t="shared" si="965"/>
        <v>-493.32484194020799</v>
      </c>
      <c r="KU23" s="571">
        <f t="shared" si="965"/>
        <v>-519.07341179704235</v>
      </c>
      <c r="KV23" s="573">
        <f t="shared" si="965"/>
        <v>0</v>
      </c>
      <c r="KW23" s="574">
        <f t="shared" si="965"/>
        <v>-2029.8133939625986</v>
      </c>
      <c r="KX23" s="575">
        <f t="shared" si="965"/>
        <v>-342.34490626598563</v>
      </c>
      <c r="KY23" s="571">
        <f t="shared" si="965"/>
        <v>-239.79467621418735</v>
      </c>
      <c r="KZ23" s="571">
        <f t="shared" si="965"/>
        <v>-249.13447464853016</v>
      </c>
      <c r="LA23" s="572">
        <f t="shared" si="965"/>
        <v>-285.53763529758726</v>
      </c>
      <c r="LB23" s="571">
        <f t="shared" si="965"/>
        <v>-475.16780138942704</v>
      </c>
      <c r="LC23" s="571">
        <f t="shared" si="965"/>
        <v>-437.83390014685574</v>
      </c>
      <c r="LD23" s="573">
        <f t="shared" si="965"/>
        <v>0</v>
      </c>
      <c r="LE23" s="574">
        <f t="shared" ref="LE23:NP23" si="966">LE18-LE10</f>
        <v>-2117.1379854140687</v>
      </c>
      <c r="LF23" s="575">
        <f t="shared" si="966"/>
        <v>-335.04882994749642</v>
      </c>
      <c r="LG23" s="571">
        <f t="shared" si="966"/>
        <v>-245.31210770508187</v>
      </c>
      <c r="LH23" s="571">
        <f t="shared" si="966"/>
        <v>-274.66621609542563</v>
      </c>
      <c r="LI23" s="572">
        <f t="shared" si="966"/>
        <v>-264.50889571090011</v>
      </c>
      <c r="LJ23" s="571">
        <f t="shared" si="966"/>
        <v>-528.82452384117641</v>
      </c>
      <c r="LK23" s="571">
        <f t="shared" si="966"/>
        <v>-468.7774121139737</v>
      </c>
      <c r="LL23" s="573">
        <f t="shared" si="966"/>
        <v>0</v>
      </c>
      <c r="LM23" s="574">
        <f t="shared" si="966"/>
        <v>-2175.6280195233412</v>
      </c>
      <c r="LN23" s="575">
        <f t="shared" si="966"/>
        <v>-360.82544690826762</v>
      </c>
      <c r="LO23" s="571">
        <f t="shared" si="966"/>
        <v>-269.03144046033776</v>
      </c>
      <c r="LP23" s="571">
        <f t="shared" si="966"/>
        <v>-299.6002918091508</v>
      </c>
      <c r="LQ23" s="572">
        <f t="shared" si="966"/>
        <v>-268.69720477512965</v>
      </c>
      <c r="LR23" s="571">
        <f t="shared" si="966"/>
        <v>-516.1666655173176</v>
      </c>
      <c r="LS23" s="571">
        <f t="shared" si="966"/>
        <v>-461.30697005314141</v>
      </c>
      <c r="LT23" s="573">
        <f t="shared" si="966"/>
        <v>0</v>
      </c>
      <c r="LU23" s="574">
        <f t="shared" si="966"/>
        <v>-2146.3662215040531</v>
      </c>
      <c r="LV23" s="575">
        <f t="shared" si="966"/>
        <v>-340.65751806891058</v>
      </c>
      <c r="LW23" s="571">
        <f t="shared" si="966"/>
        <v>-255.86418261616927</v>
      </c>
      <c r="LX23" s="571">
        <f t="shared" si="966"/>
        <v>-260.25443072135386</v>
      </c>
      <c r="LY23" s="572">
        <f t="shared" si="966"/>
        <v>-255.17074702815444</v>
      </c>
      <c r="LZ23" s="571">
        <f t="shared" si="966"/>
        <v>-543.64594093999767</v>
      </c>
      <c r="MA23" s="571">
        <f t="shared" si="966"/>
        <v>-490.77340212943091</v>
      </c>
      <c r="MB23" s="573">
        <f t="shared" si="966"/>
        <v>0</v>
      </c>
      <c r="MC23" s="574">
        <f t="shared" si="966"/>
        <v>-99.780483222712064</v>
      </c>
      <c r="MD23" s="575">
        <f t="shared" si="966"/>
        <v>-372.30866745925596</v>
      </c>
      <c r="ME23" s="571">
        <f t="shared" si="966"/>
        <v>1759.1079657526971</v>
      </c>
      <c r="MF23" s="571">
        <f t="shared" si="966"/>
        <v>-269.95647510034541</v>
      </c>
      <c r="MG23" s="572">
        <f t="shared" si="966"/>
        <v>-261.79180716890914</v>
      </c>
      <c r="MH23" s="571">
        <f t="shared" si="966"/>
        <v>-496.69918339788273</v>
      </c>
      <c r="MI23" s="571">
        <f t="shared" si="966"/>
        <v>-458.13231584899768</v>
      </c>
      <c r="MJ23" s="573">
        <f t="shared" si="966"/>
        <v>0</v>
      </c>
      <c r="MK23" s="574">
        <f t="shared" si="966"/>
        <v>-2.7876342112722341</v>
      </c>
      <c r="ML23" s="575">
        <f t="shared" si="966"/>
        <v>-377.10260689850838</v>
      </c>
      <c r="MM23" s="571">
        <f t="shared" si="966"/>
        <v>0</v>
      </c>
      <c r="MN23" s="571">
        <f t="shared" si="966"/>
        <v>1794.2636326960637</v>
      </c>
      <c r="MO23" s="572">
        <f t="shared" si="966"/>
        <v>-293.75135757389944</v>
      </c>
      <c r="MP23" s="571">
        <f t="shared" si="966"/>
        <v>-597.42462162070296</v>
      </c>
      <c r="MQ23" s="571">
        <f t="shared" si="966"/>
        <v>-528.77268081419606</v>
      </c>
      <c r="MR23" s="573">
        <f t="shared" si="966"/>
        <v>0</v>
      </c>
      <c r="MS23" s="574">
        <f t="shared" si="966"/>
        <v>-9150.8448315987771</v>
      </c>
      <c r="MT23" s="575">
        <f t="shared" si="966"/>
        <v>3280.6880879326563</v>
      </c>
      <c r="MU23" s="571">
        <f t="shared" si="966"/>
        <v>-344.91656302093907</v>
      </c>
      <c r="MV23" s="571">
        <f t="shared" si="966"/>
        <v>-13490.596075683661</v>
      </c>
      <c r="MW23" s="572">
        <f t="shared" si="966"/>
        <v>1924.7351331643367</v>
      </c>
      <c r="MX23" s="571">
        <f t="shared" si="966"/>
        <v>0</v>
      </c>
      <c r="MY23" s="571">
        <f t="shared" si="966"/>
        <v>-520.75541399117355</v>
      </c>
      <c r="MZ23" s="573">
        <f t="shared" si="966"/>
        <v>0</v>
      </c>
      <c r="NA23" s="574">
        <f t="shared" si="966"/>
        <v>-2217.3739408229303</v>
      </c>
      <c r="NB23" s="575">
        <f t="shared" si="966"/>
        <v>-341.58683787584596</v>
      </c>
      <c r="NC23" s="571">
        <f t="shared" si="966"/>
        <v>-311.99396534919288</v>
      </c>
      <c r="ND23" s="571">
        <f t="shared" si="966"/>
        <v>-305.6598533659926</v>
      </c>
      <c r="NE23" s="572">
        <f t="shared" si="966"/>
        <v>-274.6743914250801</v>
      </c>
      <c r="NF23" s="571">
        <f t="shared" si="966"/>
        <v>2066.6726260016585</v>
      </c>
      <c r="NG23" s="571">
        <f t="shared" si="966"/>
        <v>-3050.1315188084918</v>
      </c>
      <c r="NH23" s="573">
        <f t="shared" si="966"/>
        <v>0</v>
      </c>
      <c r="NI23" s="574">
        <f t="shared" si="966"/>
        <v>-1918.0102293405216</v>
      </c>
      <c r="NJ23" s="575">
        <f t="shared" si="966"/>
        <v>858.33226143154025</v>
      </c>
      <c r="NK23" s="571">
        <f t="shared" si="966"/>
        <v>-494.7231218246161</v>
      </c>
      <c r="NL23" s="571">
        <f t="shared" si="966"/>
        <v>-499.60585388135951</v>
      </c>
      <c r="NM23" s="572">
        <f t="shared" si="966"/>
        <v>-506.27842014407361</v>
      </c>
      <c r="NN23" s="571">
        <f t="shared" si="966"/>
        <v>-664.25852344489249</v>
      </c>
      <c r="NO23" s="571">
        <f t="shared" si="966"/>
        <v>-611.47657147709106</v>
      </c>
      <c r="NP23" s="573">
        <f t="shared" si="966"/>
        <v>0</v>
      </c>
      <c r="NQ23" s="574">
        <f t="shared" ref="NQ23:PD23" si="967">NQ18-NQ10</f>
        <v>-5010.6828202112229</v>
      </c>
      <c r="NR23" s="575">
        <f t="shared" si="967"/>
        <v>-487.85462492122315</v>
      </c>
      <c r="NS23" s="571">
        <f t="shared" si="967"/>
        <v>-6261.2827572199385</v>
      </c>
      <c r="NT23" s="571">
        <f t="shared" si="967"/>
        <v>-1780.2531975380844</v>
      </c>
      <c r="NU23" s="572">
        <f t="shared" si="967"/>
        <v>2025.1136805762799</v>
      </c>
      <c r="NV23" s="571">
        <f t="shared" si="967"/>
        <v>2009.314258729748</v>
      </c>
      <c r="NW23" s="571">
        <f t="shared" si="967"/>
        <v>-515.72017983799742</v>
      </c>
      <c r="NX23" s="573">
        <f t="shared" si="967"/>
        <v>0</v>
      </c>
      <c r="NY23" s="574">
        <f t="shared" si="967"/>
        <v>-1003.7246582029329</v>
      </c>
      <c r="NZ23" s="575">
        <f t="shared" si="967"/>
        <v>-363.72602422886121</v>
      </c>
      <c r="OA23" s="571">
        <f t="shared" si="967"/>
        <v>-325.669224408226</v>
      </c>
      <c r="OB23" s="571">
        <f t="shared" si="967"/>
        <v>-319.38447626504785</v>
      </c>
      <c r="OC23" s="572">
        <f t="shared" si="967"/>
        <v>-258.38047550707051</v>
      </c>
      <c r="OD23" s="571">
        <f t="shared" si="967"/>
        <v>717.85843228443991</v>
      </c>
      <c r="OE23" s="571">
        <f t="shared" si="967"/>
        <v>-454.42289007815998</v>
      </c>
      <c r="OF23" s="573">
        <f t="shared" si="967"/>
        <v>0</v>
      </c>
      <c r="OG23" s="574">
        <f t="shared" si="967"/>
        <v>-769.88124522226281</v>
      </c>
      <c r="OH23" s="575">
        <f t="shared" si="967"/>
        <v>-3929.5075558185781</v>
      </c>
      <c r="OI23" s="571">
        <f t="shared" si="967"/>
        <v>3931.0927559911615</v>
      </c>
      <c r="OJ23" s="571">
        <f t="shared" si="967"/>
        <v>1818.5990190503435</v>
      </c>
      <c r="OK23" s="572">
        <f t="shared" si="967"/>
        <v>-243.54734651454055</v>
      </c>
      <c r="OL23" s="571">
        <f t="shared" si="967"/>
        <v>-1828.7564276410776</v>
      </c>
      <c r="OM23" s="571">
        <f t="shared" si="967"/>
        <v>-517.76169028955337</v>
      </c>
      <c r="ON23" s="573">
        <f t="shared" si="967"/>
        <v>0</v>
      </c>
      <c r="OO23" s="574">
        <f t="shared" si="967"/>
        <v>-3336.897500000021</v>
      </c>
      <c r="OP23" s="575">
        <f t="shared" si="967"/>
        <v>-358.27500000000146</v>
      </c>
      <c r="OQ23" s="571">
        <f t="shared" si="967"/>
        <v>-409.2300000000032</v>
      </c>
      <c r="OR23" s="571">
        <f t="shared" si="967"/>
        <v>-375.56999999999971</v>
      </c>
      <c r="OS23" s="572">
        <f t="shared" si="967"/>
        <v>-668.05000000000291</v>
      </c>
      <c r="OT23" s="571">
        <f t="shared" si="967"/>
        <v>-802.72500000000582</v>
      </c>
      <c r="OU23" s="571">
        <f t="shared" si="967"/>
        <v>-723.04750000000058</v>
      </c>
      <c r="OV23" s="573">
        <f t="shared" si="967"/>
        <v>0</v>
      </c>
      <c r="OW23" s="574">
        <f t="shared" si="967"/>
        <v>10696.505000000005</v>
      </c>
      <c r="OX23" s="575">
        <f t="shared" si="967"/>
        <v>709.06999999999971</v>
      </c>
      <c r="OY23" s="571">
        <f t="shared" si="967"/>
        <v>-383.30999999999767</v>
      </c>
      <c r="OZ23" s="571">
        <f t="shared" si="967"/>
        <v>1681.5599999999977</v>
      </c>
      <c r="PA23" s="572">
        <f t="shared" si="967"/>
        <v>9628.7999999999956</v>
      </c>
      <c r="PB23" s="571">
        <f t="shared" si="967"/>
        <v>3248.1750000000029</v>
      </c>
      <c r="PC23" s="571">
        <f t="shared" si="967"/>
        <v>-4187.7899999999936</v>
      </c>
      <c r="PD23" s="573">
        <f t="shared" si="967"/>
        <v>0</v>
      </c>
      <c r="PE23" s="574">
        <f t="shared" ref="PE23:PL23" si="968">PE18-PE10</f>
        <v>-995.25</v>
      </c>
      <c r="PF23" s="575">
        <f t="shared" si="968"/>
        <v>782</v>
      </c>
      <c r="PG23" s="571">
        <f t="shared" si="968"/>
        <v>-290.25</v>
      </c>
      <c r="PH23" s="571">
        <f t="shared" si="968"/>
        <v>-279.5</v>
      </c>
      <c r="PI23" s="572">
        <f t="shared" si="968"/>
        <v>-252</v>
      </c>
      <c r="PJ23" s="571">
        <f t="shared" si="968"/>
        <v>-490</v>
      </c>
      <c r="PK23" s="571">
        <f t="shared" si="968"/>
        <v>-465.5</v>
      </c>
      <c r="PL23" s="573">
        <f t="shared" si="968"/>
        <v>0</v>
      </c>
    </row>
    <row r="24" spans="1:428" s="44" customFormat="1" ht="9" customHeight="1" collapsed="1" thickBot="1" x14ac:dyDescent="0.35">
      <c r="A24"/>
      <c r="B24" s="264"/>
      <c r="C24" s="265"/>
      <c r="D24" s="265"/>
      <c r="E24" s="578"/>
      <c r="F24" s="576"/>
      <c r="G24" s="576"/>
      <c r="H24" s="576"/>
      <c r="I24" s="576"/>
      <c r="J24" s="576"/>
      <c r="K24" s="576"/>
      <c r="L24" s="577"/>
      <c r="M24" s="578"/>
      <c r="N24" s="576"/>
      <c r="O24" s="576"/>
      <c r="P24" s="576"/>
      <c r="Q24" s="576"/>
      <c r="R24" s="576"/>
      <c r="S24" s="576"/>
      <c r="T24" s="577"/>
      <c r="U24" s="578"/>
      <c r="V24" s="576"/>
      <c r="W24" s="576"/>
      <c r="X24" s="576"/>
      <c r="Y24" s="576"/>
      <c r="Z24" s="576"/>
      <c r="AA24" s="576"/>
      <c r="AB24" s="577"/>
      <c r="AC24" s="578"/>
      <c r="AD24" s="576"/>
      <c r="AE24" s="576"/>
      <c r="AF24" s="576"/>
      <c r="AG24" s="576"/>
      <c r="AH24" s="576"/>
      <c r="AI24" s="576"/>
      <c r="AJ24" s="577"/>
      <c r="AK24" s="578"/>
      <c r="AL24" s="576"/>
      <c r="AM24" s="576"/>
      <c r="AN24" s="576"/>
      <c r="AO24" s="576"/>
      <c r="AP24" s="576"/>
      <c r="AQ24" s="576"/>
      <c r="AR24" s="577"/>
      <c r="AS24" s="578"/>
      <c r="AT24" s="576"/>
      <c r="AU24" s="576"/>
      <c r="AV24" s="576"/>
      <c r="AW24" s="576"/>
      <c r="AX24" s="576"/>
      <c r="AY24" s="576"/>
      <c r="AZ24" s="577"/>
      <c r="BA24" s="578"/>
      <c r="BB24" s="576"/>
      <c r="BC24" s="576"/>
      <c r="BD24" s="576"/>
      <c r="BE24" s="576"/>
      <c r="BF24" s="576"/>
      <c r="BG24" s="576"/>
      <c r="BH24" s="577"/>
      <c r="BI24" s="578"/>
      <c r="BJ24" s="576"/>
      <c r="BK24" s="576"/>
      <c r="BL24" s="576"/>
      <c r="BM24" s="576"/>
      <c r="BN24" s="576"/>
      <c r="BO24" s="576"/>
      <c r="BP24" s="577"/>
      <c r="BQ24" s="578"/>
      <c r="BR24" s="576"/>
      <c r="BS24" s="576"/>
      <c r="BT24" s="576"/>
      <c r="BU24" s="576"/>
      <c r="BV24" s="576"/>
      <c r="BW24" s="576"/>
      <c r="BX24" s="577"/>
      <c r="BY24" s="578"/>
      <c r="BZ24" s="576"/>
      <c r="CA24" s="576"/>
      <c r="CB24" s="576"/>
      <c r="CC24" s="576"/>
      <c r="CD24" s="576"/>
      <c r="CE24" s="576"/>
      <c r="CF24" s="577"/>
      <c r="CG24" s="578"/>
      <c r="CH24" s="576"/>
      <c r="CI24" s="576"/>
      <c r="CJ24" s="576"/>
      <c r="CK24" s="576"/>
      <c r="CL24" s="576"/>
      <c r="CM24" s="576"/>
      <c r="CN24" s="577"/>
      <c r="CO24" s="578"/>
      <c r="CP24" s="576"/>
      <c r="CQ24" s="576"/>
      <c r="CR24" s="576"/>
      <c r="CS24" s="576"/>
      <c r="CT24" s="576"/>
      <c r="CU24" s="576"/>
      <c r="CV24" s="577"/>
      <c r="CW24" s="578"/>
      <c r="CX24" s="576"/>
      <c r="CY24" s="576"/>
      <c r="CZ24" s="576"/>
      <c r="DA24" s="576"/>
      <c r="DB24" s="576"/>
      <c r="DC24" s="576"/>
      <c r="DD24" s="577"/>
      <c r="DE24" s="578"/>
      <c r="DF24" s="576"/>
      <c r="DG24" s="576"/>
      <c r="DH24" s="576"/>
      <c r="DI24" s="576"/>
      <c r="DJ24" s="576"/>
      <c r="DK24" s="576"/>
      <c r="DL24" s="577"/>
      <c r="DM24" s="578"/>
      <c r="DN24" s="576"/>
      <c r="DO24" s="576"/>
      <c r="DP24" s="576"/>
      <c r="DQ24" s="576"/>
      <c r="DR24" s="576"/>
      <c r="DS24" s="576"/>
      <c r="DT24" s="577"/>
      <c r="DU24" s="578"/>
      <c r="DV24" s="576"/>
      <c r="DW24" s="576"/>
      <c r="DX24" s="576"/>
      <c r="DY24" s="576"/>
      <c r="DZ24" s="576"/>
      <c r="EA24" s="576"/>
      <c r="EB24" s="577"/>
      <c r="EC24" s="578"/>
      <c r="ED24" s="576"/>
      <c r="EE24" s="576"/>
      <c r="EF24" s="576"/>
      <c r="EG24" s="576"/>
      <c r="EH24" s="576"/>
      <c r="EI24" s="576"/>
      <c r="EJ24" s="577"/>
      <c r="EK24" s="578"/>
      <c r="EL24" s="576"/>
      <c r="EM24" s="576"/>
      <c r="EN24" s="576"/>
      <c r="EO24" s="576"/>
      <c r="EP24" s="576"/>
      <c r="EQ24" s="576"/>
      <c r="ER24" s="577"/>
      <c r="ES24" s="578"/>
      <c r="ET24" s="576"/>
      <c r="EU24" s="576"/>
      <c r="EV24" s="576"/>
      <c r="EW24" s="576"/>
      <c r="EX24" s="576"/>
      <c r="EY24" s="576"/>
      <c r="EZ24" s="577"/>
      <c r="FA24" s="578"/>
      <c r="FB24" s="576"/>
      <c r="FC24" s="576"/>
      <c r="FD24" s="576"/>
      <c r="FE24" s="576"/>
      <c r="FF24" s="576"/>
      <c r="FG24" s="576"/>
      <c r="FH24" s="577"/>
      <c r="FI24" s="578"/>
      <c r="FJ24" s="576"/>
      <c r="FK24" s="576"/>
      <c r="FL24" s="576"/>
      <c r="FM24" s="576"/>
      <c r="FN24" s="576"/>
      <c r="FO24" s="576"/>
      <c r="FP24" s="577"/>
      <c r="FQ24" s="578"/>
      <c r="FR24" s="576"/>
      <c r="FS24" s="576"/>
      <c r="FT24" s="576"/>
      <c r="FU24" s="576"/>
      <c r="FV24" s="576"/>
      <c r="FW24" s="576"/>
      <c r="FX24" s="577"/>
      <c r="FY24" s="578"/>
      <c r="FZ24" s="576"/>
      <c r="GA24" s="576"/>
      <c r="GB24" s="576"/>
      <c r="GC24" s="576"/>
      <c r="GD24" s="576"/>
      <c r="GE24" s="576"/>
      <c r="GF24" s="577"/>
      <c r="GG24" s="578"/>
      <c r="GH24" s="576"/>
      <c r="GI24" s="576"/>
      <c r="GJ24" s="576"/>
      <c r="GK24" s="576"/>
      <c r="GL24" s="576"/>
      <c r="GM24" s="576"/>
      <c r="GN24" s="577"/>
      <c r="GO24" s="578"/>
      <c r="GP24" s="576"/>
      <c r="GQ24" s="576"/>
      <c r="GR24" s="576"/>
      <c r="GS24" s="576"/>
      <c r="GT24" s="576"/>
      <c r="GU24" s="576"/>
      <c r="GV24" s="577"/>
      <c r="GW24" s="578"/>
      <c r="GX24" s="576"/>
      <c r="GY24" s="576"/>
      <c r="GZ24" s="576"/>
      <c r="HA24" s="576"/>
      <c r="HB24" s="576"/>
      <c r="HC24" s="576"/>
      <c r="HD24" s="577"/>
      <c r="HE24" s="578"/>
      <c r="HF24" s="576"/>
      <c r="HG24" s="576"/>
      <c r="HH24" s="576"/>
      <c r="HI24" s="576"/>
      <c r="HJ24" s="576"/>
      <c r="HK24" s="576"/>
      <c r="HL24" s="577"/>
      <c r="HM24" s="578"/>
      <c r="HN24" s="576"/>
      <c r="HO24" s="576"/>
      <c r="HP24" s="576"/>
      <c r="HQ24" s="576"/>
      <c r="HR24" s="576"/>
      <c r="HS24" s="576"/>
      <c r="HT24" s="577"/>
      <c r="HU24" s="578"/>
      <c r="HV24" s="576"/>
      <c r="HW24" s="576"/>
      <c r="HX24" s="576"/>
      <c r="HY24" s="576"/>
      <c r="HZ24" s="576"/>
      <c r="IA24" s="576"/>
      <c r="IB24" s="577"/>
      <c r="IC24" s="578"/>
      <c r="ID24" s="576"/>
      <c r="IE24" s="576"/>
      <c r="IF24" s="576"/>
      <c r="IG24" s="576"/>
      <c r="IH24" s="576"/>
      <c r="II24" s="576"/>
      <c r="IJ24" s="577"/>
      <c r="IK24" s="578"/>
      <c r="IL24" s="576"/>
      <c r="IM24" s="576"/>
      <c r="IN24" s="576"/>
      <c r="IO24" s="576"/>
      <c r="IP24" s="576"/>
      <c r="IQ24" s="576"/>
      <c r="IR24" s="577"/>
      <c r="IS24" s="578"/>
      <c r="IT24" s="576"/>
      <c r="IU24" s="576"/>
      <c r="IV24" s="576"/>
      <c r="IW24" s="576"/>
      <c r="IX24" s="576"/>
      <c r="IY24" s="576"/>
      <c r="IZ24" s="577"/>
      <c r="JA24" s="578"/>
      <c r="JB24" s="576"/>
      <c r="JC24" s="576"/>
      <c r="JD24" s="576"/>
      <c r="JE24" s="576"/>
      <c r="JF24" s="576"/>
      <c r="JG24" s="576"/>
      <c r="JH24" s="577"/>
      <c r="JI24" s="578"/>
      <c r="JJ24" s="576"/>
      <c r="JK24" s="576"/>
      <c r="JL24" s="576"/>
      <c r="JM24" s="576"/>
      <c r="JN24" s="576"/>
      <c r="JO24" s="576"/>
      <c r="JP24" s="577"/>
      <c r="JQ24" s="578"/>
      <c r="JR24" s="576"/>
      <c r="JS24" s="576"/>
      <c r="JT24" s="576"/>
      <c r="JU24" s="576"/>
      <c r="JV24" s="576"/>
      <c r="JW24" s="576"/>
      <c r="JX24" s="577"/>
      <c r="JY24" s="578"/>
      <c r="JZ24" s="576"/>
      <c r="KA24" s="576"/>
      <c r="KB24" s="576"/>
      <c r="KC24" s="576"/>
      <c r="KD24" s="576"/>
      <c r="KE24" s="576"/>
      <c r="KF24" s="577"/>
      <c r="KG24" s="578"/>
      <c r="KH24" s="576"/>
      <c r="KI24" s="576"/>
      <c r="KJ24" s="576"/>
      <c r="KK24" s="576"/>
      <c r="KL24" s="576"/>
      <c r="KM24" s="576"/>
      <c r="KN24" s="577"/>
      <c r="KO24" s="578"/>
      <c r="KP24" s="576"/>
      <c r="KQ24" s="576"/>
      <c r="KR24" s="576"/>
      <c r="KS24" s="576"/>
      <c r="KT24" s="576"/>
      <c r="KU24" s="576"/>
      <c r="KV24" s="577"/>
      <c r="KW24" s="578"/>
      <c r="KX24" s="576"/>
      <c r="KY24" s="576"/>
      <c r="KZ24" s="576"/>
      <c r="LA24" s="576"/>
      <c r="LB24" s="576"/>
      <c r="LC24" s="576"/>
      <c r="LD24" s="577"/>
      <c r="LE24" s="578"/>
      <c r="LF24" s="576"/>
      <c r="LG24" s="576"/>
      <c r="LH24" s="576"/>
      <c r="LI24" s="576"/>
      <c r="LJ24" s="576"/>
      <c r="LK24" s="576"/>
      <c r="LL24" s="577"/>
      <c r="LM24" s="578"/>
      <c r="LN24" s="576"/>
      <c r="LO24" s="576"/>
      <c r="LP24" s="576"/>
      <c r="LQ24" s="576"/>
      <c r="LR24" s="576"/>
      <c r="LS24" s="576"/>
      <c r="LT24" s="577"/>
      <c r="LU24" s="578"/>
      <c r="LV24" s="576"/>
      <c r="LW24" s="576"/>
      <c r="LX24" s="576"/>
      <c r="LY24" s="576"/>
      <c r="LZ24" s="576"/>
      <c r="MA24" s="576"/>
      <c r="MB24" s="577"/>
      <c r="MC24" s="578"/>
      <c r="MD24" s="576"/>
      <c r="ME24" s="576"/>
      <c r="MF24" s="576"/>
      <c r="MG24" s="576"/>
      <c r="MH24" s="576"/>
      <c r="MI24" s="576"/>
      <c r="MJ24" s="577"/>
      <c r="MK24" s="578"/>
      <c r="ML24" s="576"/>
      <c r="MM24" s="576"/>
      <c r="MN24" s="576"/>
      <c r="MO24" s="576"/>
      <c r="MP24" s="576"/>
      <c r="MQ24" s="576"/>
      <c r="MR24" s="577"/>
      <c r="MS24" s="578"/>
      <c r="MT24" s="576"/>
      <c r="MU24" s="576"/>
      <c r="MV24" s="576"/>
      <c r="MW24" s="576"/>
      <c r="MX24" s="576"/>
      <c r="MY24" s="576"/>
      <c r="MZ24" s="577"/>
      <c r="NA24" s="578"/>
      <c r="NB24" s="576"/>
      <c r="NC24" s="576"/>
      <c r="ND24" s="576"/>
      <c r="NE24" s="576"/>
      <c r="NF24" s="576"/>
      <c r="NG24" s="576"/>
      <c r="NH24" s="577"/>
      <c r="NI24" s="578"/>
      <c r="NJ24" s="576"/>
      <c r="NK24" s="576"/>
      <c r="NL24" s="576"/>
      <c r="NM24" s="576"/>
      <c r="NN24" s="576"/>
      <c r="NO24" s="576"/>
      <c r="NP24" s="577"/>
      <c r="NQ24" s="578"/>
      <c r="NR24" s="576"/>
      <c r="NS24" s="576"/>
      <c r="NT24" s="576"/>
      <c r="NU24" s="576"/>
      <c r="NV24" s="576"/>
      <c r="NW24" s="576"/>
      <c r="NX24" s="577"/>
      <c r="NY24" s="578"/>
      <c r="NZ24" s="576"/>
      <c r="OA24" s="576"/>
      <c r="OB24" s="576"/>
      <c r="OC24" s="576"/>
      <c r="OD24" s="576"/>
      <c r="OE24" s="576"/>
      <c r="OF24" s="577"/>
      <c r="OG24" s="578"/>
      <c r="OH24" s="576"/>
      <c r="OI24" s="576"/>
      <c r="OJ24" s="576"/>
      <c r="OK24" s="576"/>
      <c r="OL24" s="576"/>
      <c r="OM24" s="576"/>
      <c r="ON24" s="577"/>
      <c r="OO24" s="578"/>
      <c r="OP24" s="576"/>
      <c r="OQ24" s="576"/>
      <c r="OR24" s="576"/>
      <c r="OS24" s="576"/>
      <c r="OT24" s="576"/>
      <c r="OU24" s="576"/>
      <c r="OV24" s="577"/>
      <c r="OW24" s="578"/>
      <c r="OX24" s="576"/>
      <c r="OY24" s="576"/>
      <c r="OZ24" s="576"/>
      <c r="PA24" s="576"/>
      <c r="PB24" s="576"/>
      <c r="PC24" s="576"/>
      <c r="PD24" s="577"/>
      <c r="PE24" s="578"/>
      <c r="PF24" s="576"/>
      <c r="PG24" s="576"/>
      <c r="PH24" s="576"/>
      <c r="PI24" s="576"/>
      <c r="PJ24" s="576"/>
      <c r="PK24" s="576"/>
      <c r="PL24" s="577"/>
    </row>
    <row r="25" spans="1:428" s="44" customFormat="1" ht="14.85" customHeight="1" x14ac:dyDescent="0.3">
      <c r="A25"/>
      <c r="B25" s="998" t="s">
        <v>159</v>
      </c>
      <c r="C25" s="999"/>
      <c r="D25" s="273" t="s">
        <v>216</v>
      </c>
      <c r="E25" s="579">
        <f>SUM(F25:L25)</f>
        <v>784802</v>
      </c>
      <c r="F25" s="656">
        <v>163257</v>
      </c>
      <c r="G25" s="610">
        <v>147576</v>
      </c>
      <c r="H25" s="610">
        <v>133426</v>
      </c>
      <c r="I25" s="610">
        <v>122216</v>
      </c>
      <c r="J25" s="610">
        <v>109870</v>
      </c>
      <c r="K25" s="610">
        <v>108457</v>
      </c>
      <c r="L25" s="580"/>
      <c r="M25" s="579">
        <f>SUM(N25:T25)</f>
        <v>801142</v>
      </c>
      <c r="N25" s="656">
        <v>166656</v>
      </c>
      <c r="O25" s="610">
        <v>149207</v>
      </c>
      <c r="P25" s="610">
        <v>136204</v>
      </c>
      <c r="Q25" s="610">
        <v>123158</v>
      </c>
      <c r="R25" s="610">
        <v>112157</v>
      </c>
      <c r="S25" s="610">
        <v>113760</v>
      </c>
      <c r="T25" s="580"/>
      <c r="U25" s="579">
        <f>SUM(V25:AB25)</f>
        <v>836114</v>
      </c>
      <c r="V25" s="656">
        <v>169750</v>
      </c>
      <c r="W25" s="610">
        <v>150497</v>
      </c>
      <c r="X25" s="610">
        <v>144825</v>
      </c>
      <c r="Y25" s="610">
        <v>138568</v>
      </c>
      <c r="Z25" s="610">
        <v>118726</v>
      </c>
      <c r="AA25" s="610">
        <v>113748</v>
      </c>
      <c r="AB25" s="580"/>
      <c r="AC25" s="579">
        <f>SUM(AD25:AJ25)</f>
        <v>840877</v>
      </c>
      <c r="AD25" s="656">
        <v>170717</v>
      </c>
      <c r="AE25" s="610">
        <v>151355</v>
      </c>
      <c r="AF25" s="610">
        <v>145650</v>
      </c>
      <c r="AG25" s="610">
        <v>139357</v>
      </c>
      <c r="AH25" s="610">
        <v>119402</v>
      </c>
      <c r="AI25" s="610">
        <v>114396</v>
      </c>
      <c r="AJ25" s="580"/>
      <c r="AK25" s="579">
        <f>SUM(AL25:AR25)</f>
        <v>855553</v>
      </c>
      <c r="AL25" s="656">
        <v>173697</v>
      </c>
      <c r="AM25" s="610">
        <v>153996</v>
      </c>
      <c r="AN25" s="610">
        <v>148192</v>
      </c>
      <c r="AO25" s="610">
        <v>141789</v>
      </c>
      <c r="AP25" s="610">
        <v>121486</v>
      </c>
      <c r="AQ25" s="610">
        <v>116393</v>
      </c>
      <c r="AR25" s="580"/>
      <c r="AS25" s="579">
        <f>SUM(AT25:AZ25)</f>
        <v>860504</v>
      </c>
      <c r="AT25" s="656">
        <v>174702</v>
      </c>
      <c r="AU25" s="610">
        <v>154887</v>
      </c>
      <c r="AV25" s="610">
        <v>149050</v>
      </c>
      <c r="AW25" s="610">
        <v>142610</v>
      </c>
      <c r="AX25" s="610">
        <v>122189</v>
      </c>
      <c r="AY25" s="610">
        <v>117066</v>
      </c>
      <c r="AZ25" s="580"/>
      <c r="BA25" s="579">
        <f>SUM(BB25:BH25)</f>
        <v>892566</v>
      </c>
      <c r="BB25" s="656">
        <v>233869</v>
      </c>
      <c r="BC25" s="610">
        <v>147310</v>
      </c>
      <c r="BD25" s="610">
        <v>136760</v>
      </c>
      <c r="BE25" s="610">
        <v>129179</v>
      </c>
      <c r="BF25" s="610">
        <v>129418</v>
      </c>
      <c r="BG25" s="610">
        <v>116030</v>
      </c>
      <c r="BH25" s="580"/>
      <c r="BI25" s="579">
        <f>SUM(BJ25:BP25)</f>
        <v>819328</v>
      </c>
      <c r="BJ25" s="656">
        <v>174359</v>
      </c>
      <c r="BK25" s="610">
        <v>147365</v>
      </c>
      <c r="BL25" s="610">
        <v>133598</v>
      </c>
      <c r="BM25" s="610">
        <v>126646</v>
      </c>
      <c r="BN25" s="610">
        <v>118680</v>
      </c>
      <c r="BO25" s="610">
        <v>118680</v>
      </c>
      <c r="BP25" s="580"/>
      <c r="BQ25" s="579">
        <f>SUM(BR25:BX25)</f>
        <v>818174</v>
      </c>
      <c r="BR25" s="656">
        <v>166108</v>
      </c>
      <c r="BS25" s="610">
        <v>147268</v>
      </c>
      <c r="BT25" s="610">
        <v>141718</v>
      </c>
      <c r="BU25" s="610">
        <v>135594</v>
      </c>
      <c r="BV25" s="610">
        <v>116178</v>
      </c>
      <c r="BW25" s="610">
        <v>111308</v>
      </c>
      <c r="BX25" s="580"/>
      <c r="BY25" s="579">
        <f>SUM(BZ25:CF25)</f>
        <v>792855</v>
      </c>
      <c r="BZ25" s="656">
        <v>176294</v>
      </c>
      <c r="CA25" s="610">
        <v>145481</v>
      </c>
      <c r="CB25" s="610">
        <v>125071</v>
      </c>
      <c r="CC25" s="610">
        <v>114405</v>
      </c>
      <c r="CD25" s="610">
        <v>113826</v>
      </c>
      <c r="CE25" s="610">
        <v>117778</v>
      </c>
      <c r="CF25" s="580"/>
      <c r="CG25" s="579">
        <f>SUM(CH25:CN25)</f>
        <v>794395</v>
      </c>
      <c r="CH25" s="656">
        <v>176636</v>
      </c>
      <c r="CI25" s="610">
        <v>145764</v>
      </c>
      <c r="CJ25" s="610">
        <v>125314</v>
      </c>
      <c r="CK25" s="610">
        <v>114627</v>
      </c>
      <c r="CL25" s="610">
        <v>114047</v>
      </c>
      <c r="CM25" s="610">
        <v>118007</v>
      </c>
      <c r="CN25" s="580"/>
      <c r="CO25" s="579">
        <f>SUM(CP25:CV25)</f>
        <v>826810</v>
      </c>
      <c r="CP25" s="656">
        <v>175134</v>
      </c>
      <c r="CQ25" s="610">
        <v>147853</v>
      </c>
      <c r="CR25" s="610">
        <v>134824</v>
      </c>
      <c r="CS25" s="610">
        <v>127808</v>
      </c>
      <c r="CT25" s="610">
        <v>115640</v>
      </c>
      <c r="CU25" s="610">
        <v>125551</v>
      </c>
      <c r="CV25" s="580"/>
      <c r="CW25" s="579">
        <f>SUM(CX25:DD25)</f>
        <v>825880</v>
      </c>
      <c r="CX25" s="656">
        <v>188317</v>
      </c>
      <c r="CY25" s="610">
        <v>135479</v>
      </c>
      <c r="CZ25" s="610">
        <v>129846</v>
      </c>
      <c r="DA25" s="610">
        <v>119527</v>
      </c>
      <c r="DB25" s="610">
        <v>122226</v>
      </c>
      <c r="DC25" s="610">
        <v>130485</v>
      </c>
      <c r="DD25" s="580"/>
      <c r="DE25" s="579">
        <f t="shared" ref="DE25:DE32" si="969">SUM(DF25:DL25)</f>
        <v>799144</v>
      </c>
      <c r="DF25" s="656">
        <v>170234</v>
      </c>
      <c r="DG25" s="610">
        <v>130294</v>
      </c>
      <c r="DH25" s="610">
        <v>125642</v>
      </c>
      <c r="DI25" s="610">
        <v>125247</v>
      </c>
      <c r="DJ25" s="610">
        <v>119069</v>
      </c>
      <c r="DK25" s="610">
        <v>128658</v>
      </c>
      <c r="DL25" s="580"/>
      <c r="DM25" s="579">
        <f t="shared" ref="DM25:DM32" si="970">SUM(DN25:DT25)</f>
        <v>855485</v>
      </c>
      <c r="DN25" s="656">
        <v>188224</v>
      </c>
      <c r="DO25" s="610">
        <v>140335</v>
      </c>
      <c r="DP25" s="610">
        <v>139633</v>
      </c>
      <c r="DQ25" s="610">
        <v>134307</v>
      </c>
      <c r="DR25" s="610">
        <v>132596</v>
      </c>
      <c r="DS25" s="610">
        <v>120390</v>
      </c>
      <c r="DT25" s="580"/>
      <c r="DU25" s="579">
        <f>SUM(DV25:EB25)</f>
        <v>645808</v>
      </c>
      <c r="DV25" s="656">
        <v>0</v>
      </c>
      <c r="DW25" s="610">
        <v>167909</v>
      </c>
      <c r="DX25" s="610">
        <v>119695</v>
      </c>
      <c r="DY25" s="610">
        <v>121608</v>
      </c>
      <c r="DZ25" s="610">
        <v>119655</v>
      </c>
      <c r="EA25" s="610">
        <v>116941</v>
      </c>
      <c r="EB25" s="580"/>
      <c r="EC25" s="579">
        <f>SUM(ED25:EJ25)</f>
        <v>755706</v>
      </c>
      <c r="ED25" s="656">
        <v>166174</v>
      </c>
      <c r="EE25" s="610">
        <v>122545</v>
      </c>
      <c r="EF25" s="610">
        <v>124979</v>
      </c>
      <c r="EG25" s="610">
        <v>114647</v>
      </c>
      <c r="EH25" s="610">
        <v>114852</v>
      </c>
      <c r="EI25" s="610">
        <f>SUM(EI26:EI29)</f>
        <v>112509.00000000006</v>
      </c>
      <c r="EJ25" s="580"/>
      <c r="EK25" s="579">
        <f>SUM(EL25:ER25)</f>
        <v>837207</v>
      </c>
      <c r="EL25" s="656">
        <v>185040</v>
      </c>
      <c r="EM25" s="610">
        <v>139011</v>
      </c>
      <c r="EN25" s="610">
        <v>132464</v>
      </c>
      <c r="EO25" s="610">
        <v>129538</v>
      </c>
      <c r="EP25" s="610">
        <v>120554</v>
      </c>
      <c r="EQ25" s="610">
        <v>130600</v>
      </c>
      <c r="ER25" s="580"/>
      <c r="ES25" s="579">
        <f>SUM(ET25:EZ25)</f>
        <v>868513</v>
      </c>
      <c r="ET25" s="656">
        <v>190222</v>
      </c>
      <c r="EU25" s="610">
        <v>144209</v>
      </c>
      <c r="EV25" s="610">
        <v>145233</v>
      </c>
      <c r="EW25" s="610">
        <v>131777</v>
      </c>
      <c r="EX25" s="610">
        <v>130273</v>
      </c>
      <c r="EY25" s="610">
        <v>126799</v>
      </c>
      <c r="EZ25" s="580"/>
      <c r="FA25" s="579">
        <f>SUM(FB25:FH25)</f>
        <v>837328</v>
      </c>
      <c r="FB25" s="656">
        <v>186741</v>
      </c>
      <c r="FC25" s="610">
        <v>134845</v>
      </c>
      <c r="FD25" s="610">
        <v>134157</v>
      </c>
      <c r="FE25" s="610">
        <v>125371</v>
      </c>
      <c r="FF25" s="610">
        <v>125595</v>
      </c>
      <c r="FG25" s="610">
        <v>130619</v>
      </c>
      <c r="FH25" s="580"/>
      <c r="FI25" s="579">
        <f>SUM(FJ25:FP25)</f>
        <v>677982</v>
      </c>
      <c r="FJ25" s="656">
        <v>205449</v>
      </c>
      <c r="FK25" s="610">
        <v>115290</v>
      </c>
      <c r="FL25" s="610">
        <v>124015</v>
      </c>
      <c r="FM25" s="610">
        <v>0</v>
      </c>
      <c r="FN25" s="610">
        <v>113902</v>
      </c>
      <c r="FO25" s="610">
        <v>119326</v>
      </c>
      <c r="FP25" s="580"/>
      <c r="FQ25" s="579">
        <f>SUM(FR25:FX25)</f>
        <v>851870</v>
      </c>
      <c r="FR25" s="656">
        <v>180442</v>
      </c>
      <c r="FS25" s="610">
        <v>152335</v>
      </c>
      <c r="FT25" s="610">
        <v>138910</v>
      </c>
      <c r="FU25" s="610">
        <v>131682</v>
      </c>
      <c r="FV25" s="610">
        <v>120846</v>
      </c>
      <c r="FW25" s="610">
        <v>127655</v>
      </c>
      <c r="FX25" s="580"/>
      <c r="FY25" s="579">
        <f>SUM(FZ25:GF25)</f>
        <v>690161.44420000003</v>
      </c>
      <c r="FZ25" s="656">
        <v>0</v>
      </c>
      <c r="GA25" s="610">
        <v>186335</v>
      </c>
      <c r="GB25" s="610">
        <f>SUM(GB26:GB29)</f>
        <v>127246.44420000006</v>
      </c>
      <c r="GC25" s="610">
        <v>127195</v>
      </c>
      <c r="GD25" s="610">
        <v>124417</v>
      </c>
      <c r="GE25" s="610">
        <v>124968</v>
      </c>
      <c r="GF25" s="580"/>
      <c r="GG25" s="579">
        <f>SUM(GH25:GN25)</f>
        <v>835741</v>
      </c>
      <c r="GH25" s="656">
        <v>177203</v>
      </c>
      <c r="GI25" s="610">
        <v>144585</v>
      </c>
      <c r="GJ25" s="610">
        <v>136417</v>
      </c>
      <c r="GK25" s="610">
        <v>127646</v>
      </c>
      <c r="GL25" s="610">
        <v>124527</v>
      </c>
      <c r="GM25" s="610">
        <v>125363</v>
      </c>
      <c r="GN25" s="580"/>
      <c r="GO25" s="579">
        <f>SUM(GP25:GV25)</f>
        <v>836896</v>
      </c>
      <c r="GP25" s="656">
        <v>177448</v>
      </c>
      <c r="GQ25" s="610">
        <v>144785</v>
      </c>
      <c r="GR25" s="610">
        <v>136605</v>
      </c>
      <c r="GS25" s="610">
        <v>127823</v>
      </c>
      <c r="GT25" s="610">
        <v>124699</v>
      </c>
      <c r="GU25" s="610">
        <v>125536</v>
      </c>
      <c r="GV25" s="580"/>
      <c r="GW25" s="579">
        <f>SUM(GX25:HD25)</f>
        <v>803466</v>
      </c>
      <c r="GX25" s="656">
        <v>170359</v>
      </c>
      <c r="GY25" s="610">
        <v>139002</v>
      </c>
      <c r="GZ25" s="610">
        <v>131148</v>
      </c>
      <c r="HA25" s="610">
        <v>122717</v>
      </c>
      <c r="HB25" s="610">
        <v>119718</v>
      </c>
      <c r="HC25" s="610">
        <v>120522</v>
      </c>
      <c r="HD25" s="580"/>
      <c r="HE25" s="579">
        <f>SUM(HF25:HL25)</f>
        <v>700946</v>
      </c>
      <c r="HF25" s="656">
        <v>155857</v>
      </c>
      <c r="HG25" s="610">
        <v>128617</v>
      </c>
      <c r="HH25" s="610">
        <v>110573</v>
      </c>
      <c r="HI25" s="610">
        <v>101143</v>
      </c>
      <c r="HJ25" s="610">
        <v>100631</v>
      </c>
      <c r="HK25" s="610">
        <v>104125</v>
      </c>
      <c r="HL25" s="580"/>
      <c r="HM25" s="579">
        <f>SUM(HN25:HT25)</f>
        <v>666867</v>
      </c>
      <c r="HN25" s="656">
        <v>145552</v>
      </c>
      <c r="HO25" s="610">
        <v>114457</v>
      </c>
      <c r="HP25" s="610">
        <v>107991</v>
      </c>
      <c r="HQ25" s="610">
        <v>101048</v>
      </c>
      <c r="HR25" s="610">
        <v>98579</v>
      </c>
      <c r="HS25" s="610">
        <v>99240</v>
      </c>
      <c r="HT25" s="580"/>
      <c r="HU25" s="579">
        <f>SUM(HV25:IB25)</f>
        <v>559236</v>
      </c>
      <c r="HV25" s="656">
        <v>139814</v>
      </c>
      <c r="HW25" s="610">
        <v>114256</v>
      </c>
      <c r="HX25" s="610">
        <v>103074</v>
      </c>
      <c r="HY25" s="610">
        <v>0</v>
      </c>
      <c r="HZ25" s="610">
        <v>100823</v>
      </c>
      <c r="IA25" s="610">
        <v>101269</v>
      </c>
      <c r="IB25" s="580"/>
      <c r="IC25" s="579">
        <f>SUM(ID25:IJ25)</f>
        <v>650551</v>
      </c>
      <c r="ID25" s="656">
        <v>144652</v>
      </c>
      <c r="IE25" s="610">
        <v>119370</v>
      </c>
      <c r="IF25" s="610">
        <v>102623</v>
      </c>
      <c r="IG25" s="610">
        <v>93871</v>
      </c>
      <c r="IH25" s="610">
        <v>93396</v>
      </c>
      <c r="II25" s="610">
        <v>96639</v>
      </c>
      <c r="IJ25" s="580"/>
      <c r="IK25" s="579">
        <f>SUM(IL25:IR25)</f>
        <v>622870</v>
      </c>
      <c r="IL25" s="656">
        <v>138497</v>
      </c>
      <c r="IM25" s="610">
        <v>114291</v>
      </c>
      <c r="IN25" s="610">
        <v>98256</v>
      </c>
      <c r="IO25" s="610">
        <v>89877</v>
      </c>
      <c r="IP25" s="610">
        <v>89422</v>
      </c>
      <c r="IQ25" s="610">
        <v>92527</v>
      </c>
      <c r="IR25" s="580">
        <v>0</v>
      </c>
      <c r="IS25" s="579">
        <f>SUM(IT25:IZ25)</f>
        <v>612702</v>
      </c>
      <c r="IT25" s="656">
        <v>136236</v>
      </c>
      <c r="IU25" s="610">
        <v>112425</v>
      </c>
      <c r="IV25" s="610">
        <v>96652</v>
      </c>
      <c r="IW25" s="610">
        <v>88410</v>
      </c>
      <c r="IX25" s="610">
        <v>87962</v>
      </c>
      <c r="IY25" s="610">
        <v>91017</v>
      </c>
      <c r="IZ25" s="580">
        <v>0</v>
      </c>
      <c r="JA25" s="579">
        <f>SUM(JB25:JH25)</f>
        <v>547484</v>
      </c>
      <c r="JB25" s="656">
        <v>0</v>
      </c>
      <c r="JC25" s="610">
        <v>136871</v>
      </c>
      <c r="JD25" s="610">
        <v>104022</v>
      </c>
      <c r="JE25" s="610">
        <v>104022</v>
      </c>
      <c r="JF25" s="610">
        <v>104022</v>
      </c>
      <c r="JG25" s="610">
        <v>98547</v>
      </c>
      <c r="JH25" s="580">
        <v>0</v>
      </c>
      <c r="JI25" s="579">
        <f>SUM(JJ25:JP25)</f>
        <v>806325</v>
      </c>
      <c r="JJ25" s="656">
        <v>209725</v>
      </c>
      <c r="JK25" s="610">
        <v>135462</v>
      </c>
      <c r="JL25" s="610">
        <v>113047</v>
      </c>
      <c r="JM25" s="610">
        <v>115063</v>
      </c>
      <c r="JN25" s="610">
        <v>116111</v>
      </c>
      <c r="JO25" s="610">
        <v>116917</v>
      </c>
      <c r="JP25" s="580">
        <v>0</v>
      </c>
      <c r="JQ25" s="579">
        <f>SUM(JR25:JX25)</f>
        <v>876159.83297006972</v>
      </c>
      <c r="JR25" s="656">
        <v>205440</v>
      </c>
      <c r="JS25" s="610">
        <v>137040.73813108398</v>
      </c>
      <c r="JT25" s="610">
        <v>150171.47255658513</v>
      </c>
      <c r="JU25" s="610">
        <v>126789.21059238935</v>
      </c>
      <c r="JV25" s="610">
        <v>126148.41169001117</v>
      </c>
      <c r="JW25" s="610">
        <v>130570.00000000007</v>
      </c>
      <c r="JX25" s="580">
        <v>0</v>
      </c>
      <c r="JY25" s="579">
        <f>SUM(JZ25:KF25)</f>
        <v>876721.9374754068</v>
      </c>
      <c r="JZ25" s="656">
        <v>182019</v>
      </c>
      <c r="KA25" s="610">
        <v>153778.48543610392</v>
      </c>
      <c r="KB25" s="610">
        <v>151893.10347144652</v>
      </c>
      <c r="KC25" s="610">
        <v>145272.41013384031</v>
      </c>
      <c r="KD25" s="610">
        <v>124469.93843401594</v>
      </c>
      <c r="KE25" s="610">
        <v>119289.00000000007</v>
      </c>
      <c r="KF25" s="580">
        <v>0</v>
      </c>
      <c r="KG25" s="579">
        <f>SUM(KH25:KN25)</f>
        <v>914160.64520117233</v>
      </c>
      <c r="KH25" s="656">
        <v>239558</v>
      </c>
      <c r="KI25" s="610">
        <v>146846.66080413782</v>
      </c>
      <c r="KJ25" s="610">
        <v>144099.08602847334</v>
      </c>
      <c r="KK25" s="610">
        <v>132279.48761557334</v>
      </c>
      <c r="KL25" s="610">
        <v>132524.41075298778</v>
      </c>
      <c r="KM25" s="610">
        <v>118853.00000000007</v>
      </c>
      <c r="KN25" s="580">
        <v>0</v>
      </c>
      <c r="KO25" s="579">
        <f>SUM(KP25:KV25)</f>
        <v>811974</v>
      </c>
      <c r="KP25" s="656">
        <v>172163</v>
      </c>
      <c r="KQ25" s="610">
        <v>140474</v>
      </c>
      <c r="KR25" s="610">
        <v>132537</v>
      </c>
      <c r="KS25" s="610">
        <v>124016</v>
      </c>
      <c r="KT25" s="610">
        <v>120986</v>
      </c>
      <c r="KU25" s="610">
        <v>121798</v>
      </c>
      <c r="KV25" s="580"/>
      <c r="KW25" s="579">
        <f>SUM(KX25:LD25)</f>
        <v>826266</v>
      </c>
      <c r="KX25" s="656">
        <v>175194</v>
      </c>
      <c r="KY25" s="610">
        <v>142946</v>
      </c>
      <c r="KZ25" s="610">
        <v>134870</v>
      </c>
      <c r="LA25" s="610">
        <v>126199</v>
      </c>
      <c r="LB25" s="610">
        <v>123115</v>
      </c>
      <c r="LC25" s="610">
        <v>123942</v>
      </c>
      <c r="LD25" s="580"/>
      <c r="LE25" s="579">
        <f>SUM(LF25:LL25)</f>
        <v>823172</v>
      </c>
      <c r="LF25" s="656">
        <v>181629</v>
      </c>
      <c r="LG25" s="610">
        <v>140854</v>
      </c>
      <c r="LH25" s="610">
        <v>132896</v>
      </c>
      <c r="LI25" s="610">
        <v>124352</v>
      </c>
      <c r="LJ25" s="610">
        <v>121313</v>
      </c>
      <c r="LK25" s="610">
        <v>122128</v>
      </c>
      <c r="LL25" s="580"/>
      <c r="LM25" s="579">
        <f>SUM(LN25:LT25)</f>
        <v>884306.62518599082</v>
      </c>
      <c r="LN25" s="656">
        <v>187509.00000000003</v>
      </c>
      <c r="LO25" s="610">
        <v>152995</v>
      </c>
      <c r="LP25" s="610">
        <v>144351</v>
      </c>
      <c r="LQ25" s="610">
        <v>135027.62518599082</v>
      </c>
      <c r="LR25" s="610">
        <v>131770</v>
      </c>
      <c r="LS25" s="610">
        <v>132654</v>
      </c>
      <c r="LT25" s="580"/>
      <c r="LU25" s="579">
        <f>SUM(LV25:MB25)</f>
        <v>878631.49626308633</v>
      </c>
      <c r="LV25" s="656">
        <v>186322.00000000003</v>
      </c>
      <c r="LW25" s="610">
        <v>151978.30566762004</v>
      </c>
      <c r="LX25" s="610">
        <v>143449.37505026255</v>
      </c>
      <c r="LY25" s="610">
        <v>134172.89342072821</v>
      </c>
      <c r="LZ25" s="610">
        <v>130894.92212447542</v>
      </c>
      <c r="MA25" s="610">
        <v>131814.00000000006</v>
      </c>
      <c r="MB25" s="580"/>
      <c r="MC25" s="579">
        <f>SUM(MD25:MJ25)</f>
        <v>856032.5442615404</v>
      </c>
      <c r="MD25" s="656">
        <v>181529</v>
      </c>
      <c r="ME25" s="610">
        <v>148069.53233174066</v>
      </c>
      <c r="MF25" s="610">
        <v>139760.05678119377</v>
      </c>
      <c r="MG25" s="610">
        <v>130721.97639887258</v>
      </c>
      <c r="MH25" s="610">
        <v>127527.9787497333</v>
      </c>
      <c r="MI25" s="610">
        <v>128424.00000000007</v>
      </c>
      <c r="MJ25" s="580"/>
      <c r="MK25" s="579">
        <f>SUM(ML25:MR25)</f>
        <v>780841.54069728637</v>
      </c>
      <c r="ML25" s="656">
        <v>152201</v>
      </c>
      <c r="MM25" s="610">
        <v>0</v>
      </c>
      <c r="MN25" s="610">
        <v>201862.75493518697</v>
      </c>
      <c r="MO25" s="610">
        <v>137646.80322691254</v>
      </c>
      <c r="MP25" s="610">
        <v>173180.98253518695</v>
      </c>
      <c r="MQ25" s="610">
        <v>115950.00000000006</v>
      </c>
      <c r="MR25" s="580"/>
      <c r="MS25" s="579">
        <f>SUM(MT25:MZ25)</f>
        <v>843111.98425933532</v>
      </c>
      <c r="MT25" s="656">
        <v>158417</v>
      </c>
      <c r="MU25" s="610">
        <v>209236.55947101486</v>
      </c>
      <c r="MV25" s="610">
        <v>159217.73559416019</v>
      </c>
      <c r="MW25" s="610">
        <v>201027.68919416019</v>
      </c>
      <c r="MX25" s="610">
        <v>0</v>
      </c>
      <c r="MY25" s="610">
        <v>115213.00000000006</v>
      </c>
      <c r="MZ25" s="580"/>
      <c r="NA25" s="579">
        <f>SUM(NB25:NH25)</f>
        <v>976168.27632447635</v>
      </c>
      <c r="NB25" s="656">
        <v>185421</v>
      </c>
      <c r="NC25" s="610">
        <v>151880.33641265429</v>
      </c>
      <c r="ND25" s="610">
        <v>168619.97110995895</v>
      </c>
      <c r="NE25" s="610">
        <v>180683.12212613586</v>
      </c>
      <c r="NF25" s="610">
        <v>144321.8466757272</v>
      </c>
      <c r="NG25" s="610">
        <v>145242.00000000006</v>
      </c>
      <c r="NH25" s="580"/>
      <c r="NI25" s="579">
        <f>SUM(NJ25:NP25)</f>
        <v>969550.65190323268</v>
      </c>
      <c r="NJ25" s="656">
        <v>217154.00000000003</v>
      </c>
      <c r="NK25" s="610">
        <v>159599.91382944724</v>
      </c>
      <c r="NL25" s="610">
        <v>158472.22494687315</v>
      </c>
      <c r="NM25" s="610">
        <v>149676.00150516193</v>
      </c>
      <c r="NN25" s="610">
        <v>141902.51162175019</v>
      </c>
      <c r="NO25" s="610">
        <v>142746.00000000009</v>
      </c>
      <c r="NP25" s="580"/>
      <c r="NQ25" s="579">
        <f>SUM(NR25:NX25)</f>
        <v>1066231.1505873632</v>
      </c>
      <c r="NR25" s="656">
        <v>259696.81</v>
      </c>
      <c r="NS25" s="610">
        <v>179524.80340660599</v>
      </c>
      <c r="NT25" s="610">
        <v>165989.06216103517</v>
      </c>
      <c r="NU25" s="610">
        <v>158251.15288362341</v>
      </c>
      <c r="NV25" s="610">
        <v>152984.32213609852</v>
      </c>
      <c r="NW25" s="610">
        <v>149785.00000000009</v>
      </c>
      <c r="NX25" s="580"/>
      <c r="NY25" s="579">
        <f>SUM(NZ25:OF25)</f>
        <v>877548.02989304881</v>
      </c>
      <c r="NZ25" s="656">
        <v>190953.53</v>
      </c>
      <c r="OA25" s="610">
        <v>148546.51444942487</v>
      </c>
      <c r="OB25" s="610">
        <v>141239.0613537773</v>
      </c>
      <c r="OC25" s="610">
        <v>140637.96071263059</v>
      </c>
      <c r="OD25" s="610">
        <v>127696.96337721619</v>
      </c>
      <c r="OE25" s="610">
        <v>128474.00000000006</v>
      </c>
      <c r="OF25" s="580"/>
      <c r="OG25" s="579">
        <f>SUM(OH25:ON25)</f>
        <v>907029.40415191534</v>
      </c>
      <c r="OH25" s="656">
        <v>215140.64500000002</v>
      </c>
      <c r="OI25" s="610">
        <v>146511.02142876477</v>
      </c>
      <c r="OJ25" s="610">
        <v>158778.92987043201</v>
      </c>
      <c r="OK25" s="610">
        <v>130380.40808425107</v>
      </c>
      <c r="OL25" s="610">
        <v>129145.39976846729</v>
      </c>
      <c r="OM25" s="610">
        <v>127073.00000000009</v>
      </c>
      <c r="ON25" s="580"/>
      <c r="OO25" s="579">
        <f>SUM(OP25:OV25)</f>
        <v>943518.14198033791</v>
      </c>
      <c r="OP25" s="656">
        <v>158932.94499999998</v>
      </c>
      <c r="OQ25" s="610">
        <v>170405.51712646379</v>
      </c>
      <c r="OR25" s="610">
        <v>159752.34883800431</v>
      </c>
      <c r="OS25" s="610">
        <v>162624.45923800432</v>
      </c>
      <c r="OT25" s="610">
        <v>141766.87177786542</v>
      </c>
      <c r="OU25" s="610">
        <v>150036.00000000009</v>
      </c>
      <c r="OV25" s="580"/>
      <c r="OW25" s="579">
        <f>SUM(OX25:PD25)</f>
        <v>901457.86945146648</v>
      </c>
      <c r="OX25" s="656">
        <v>176958</v>
      </c>
      <c r="OY25" s="610">
        <v>154180.30096174745</v>
      </c>
      <c r="OZ25" s="610">
        <v>149715.66243282371</v>
      </c>
      <c r="PA25" s="610">
        <v>152316.26377497622</v>
      </c>
      <c r="PB25" s="610">
        <v>132065.64228191899</v>
      </c>
      <c r="PC25" s="610">
        <v>136222.00000000006</v>
      </c>
      <c r="PD25" s="580"/>
      <c r="PE25" s="579">
        <f t="shared" ref="PE25:PE32" si="971">SUM(PF25:PL25)</f>
        <v>849111.81066778046</v>
      </c>
      <c r="PF25" s="656">
        <v>181861.2</v>
      </c>
      <c r="PG25" s="610">
        <v>144670.7665252575</v>
      </c>
      <c r="PH25" s="610">
        <v>141524.73652779631</v>
      </c>
      <c r="PI25" s="610">
        <v>131901.06596523855</v>
      </c>
      <c r="PJ25" s="610">
        <v>124141.04164948796</v>
      </c>
      <c r="PK25" s="610">
        <v>125013.00000000007</v>
      </c>
      <c r="PL25" s="580"/>
    </row>
    <row r="26" spans="1:428" s="44" customFormat="1" x14ac:dyDescent="0.3">
      <c r="A26"/>
      <c r="B26" s="1000"/>
      <c r="C26" s="1001"/>
      <c r="D26" s="599" t="s">
        <v>307</v>
      </c>
      <c r="E26" s="582">
        <f t="shared" ref="E26:E27" si="972">SUM(F26:L26)</f>
        <v>369906.91178016964</v>
      </c>
      <c r="F26" s="583">
        <v>85794.442754002535</v>
      </c>
      <c r="G26" s="583">
        <v>65323.939111411899</v>
      </c>
      <c r="H26" s="583">
        <v>59060.496963457772</v>
      </c>
      <c r="I26" s="583">
        <v>54098.434314795879</v>
      </c>
      <c r="J26" s="583">
        <v>48633.525709944879</v>
      </c>
      <c r="K26" s="583">
        <v>56996.072926556611</v>
      </c>
      <c r="L26" s="581"/>
      <c r="M26" s="582">
        <f t="shared" ref="M26:M27" si="973">SUM(N26:T26)</f>
        <v>377860.89760615124</v>
      </c>
      <c r="N26" s="583">
        <v>87580.677408080795</v>
      </c>
      <c r="O26" s="583">
        <v>66045.894881257351</v>
      </c>
      <c r="P26" s="583">
        <v>60290.167796462476</v>
      </c>
      <c r="Q26" s="583">
        <v>54515.406929875229</v>
      </c>
      <c r="R26" s="583">
        <v>49645.857313646018</v>
      </c>
      <c r="S26" s="583">
        <v>59782.893276829345</v>
      </c>
      <c r="T26" s="581"/>
      <c r="U26" s="582">
        <f t="shared" ref="U26:U27" si="974">SUM(V26:AB26)</f>
        <v>393596.52690262324</v>
      </c>
      <c r="V26" s="583">
        <v>89206.629164396814</v>
      </c>
      <c r="W26" s="583">
        <v>66616.908335028435</v>
      </c>
      <c r="X26" s="583">
        <v>64106.219722788454</v>
      </c>
      <c r="Y26" s="583">
        <v>61336.583148954604</v>
      </c>
      <c r="Z26" s="583">
        <v>52553.599466996595</v>
      </c>
      <c r="AA26" s="583">
        <v>59776.58706445837</v>
      </c>
      <c r="AB26" s="581"/>
      <c r="AC26" s="582">
        <f t="shared" ref="AC26:AC27" si="975">SUM(AD26:AJ26)</f>
        <v>395838.68786985346</v>
      </c>
      <c r="AD26" s="583">
        <v>89714.804777957761</v>
      </c>
      <c r="AE26" s="583">
        <v>66996.698678699438</v>
      </c>
      <c r="AF26" s="583">
        <v>64471.402745549029</v>
      </c>
      <c r="AG26" s="583">
        <v>61685.830912540172</v>
      </c>
      <c r="AH26" s="583">
        <v>52852.828222616168</v>
      </c>
      <c r="AI26" s="583">
        <v>60117.122532490946</v>
      </c>
      <c r="AJ26" s="581"/>
      <c r="AK26" s="582">
        <f t="shared" ref="AK26:AK27" si="976">SUM(AL26:AR26)</f>
        <v>402747.41386011458</v>
      </c>
      <c r="AL26" s="583">
        <v>91280.847516749534</v>
      </c>
      <c r="AM26" s="583">
        <v>68165.726997621474</v>
      </c>
      <c r="AN26" s="583">
        <v>65596.609101739799</v>
      </c>
      <c r="AO26" s="583">
        <v>62762.346199029533</v>
      </c>
      <c r="AP26" s="583">
        <v>53775.302670413796</v>
      </c>
      <c r="AQ26" s="583">
        <v>61166.581374560461</v>
      </c>
      <c r="AR26" s="581"/>
      <c r="AS26" s="582">
        <f t="shared" ref="AS26:AS27" si="977">SUM(AT26:AZ26)</f>
        <v>405078.01320331672</v>
      </c>
      <c r="AT26" s="583">
        <v>91808.992802818568</v>
      </c>
      <c r="AU26" s="583">
        <v>68560.124662202899</v>
      </c>
      <c r="AV26" s="583">
        <v>65976.399445410803</v>
      </c>
      <c r="AW26" s="583">
        <v>63125.758637437328</v>
      </c>
      <c r="AX26" s="583">
        <v>54086.482870414628</v>
      </c>
      <c r="AY26" s="583">
        <v>61520.254785032565</v>
      </c>
      <c r="AZ26" s="581"/>
      <c r="BA26" s="582">
        <f t="shared" ref="BA26:BA27" si="978">SUM(BB26:BH26)</f>
        <v>449087.54160825914</v>
      </c>
      <c r="BB26" s="583">
        <v>147902.29841560099</v>
      </c>
      <c r="BC26" s="583">
        <v>65206.195251952129</v>
      </c>
      <c r="BD26" s="583">
        <v>60536.279021498696</v>
      </c>
      <c r="BE26" s="583">
        <v>57180.579026895146</v>
      </c>
      <c r="BF26" s="583">
        <v>57286.371441973664</v>
      </c>
      <c r="BG26" s="583">
        <v>60975.818450338513</v>
      </c>
      <c r="BH26" s="581"/>
      <c r="BI26" s="582">
        <f t="shared" ref="BI26:BI27" si="979">SUM(BJ26:BP26)</f>
        <v>386957</v>
      </c>
      <c r="BJ26" s="583">
        <v>91629</v>
      </c>
      <c r="BK26" s="583">
        <v>65231</v>
      </c>
      <c r="BL26" s="583">
        <v>59137</v>
      </c>
      <c r="BM26" s="583">
        <v>56059</v>
      </c>
      <c r="BN26" s="583">
        <v>52533</v>
      </c>
      <c r="BO26" s="583">
        <v>62368</v>
      </c>
      <c r="BP26" s="581"/>
      <c r="BQ26" s="582">
        <f t="shared" ref="BQ26:BQ27" si="980">SUM(BR26:BX26)</f>
        <v>385151.43095212278</v>
      </c>
      <c r="BR26" s="583">
        <v>87292.693709806335</v>
      </c>
      <c r="BS26" s="583">
        <v>65187.604116247952</v>
      </c>
      <c r="BT26" s="583">
        <v>62730.918326767714</v>
      </c>
      <c r="BU26" s="583">
        <v>60020.153682663746</v>
      </c>
      <c r="BV26" s="583">
        <v>51425.737234276654</v>
      </c>
      <c r="BW26" s="583">
        <v>58494.323882360419</v>
      </c>
      <c r="BX26" s="581"/>
      <c r="BY26" s="582">
        <f t="shared" ref="BY26:BY27" si="981">SUM(BZ26:CF26)</f>
        <v>375324.38417106419</v>
      </c>
      <c r="BZ26" s="583">
        <v>92645.616977367725</v>
      </c>
      <c r="CA26" s="583">
        <v>64396.595556644133</v>
      </c>
      <c r="CB26" s="583">
        <v>55362.188896591571</v>
      </c>
      <c r="CC26" s="583">
        <v>50640.925719907566</v>
      </c>
      <c r="CD26" s="583">
        <v>50384.633634842867</v>
      </c>
      <c r="CE26" s="583">
        <v>61894.423385710325</v>
      </c>
      <c r="CF26" s="581"/>
      <c r="CG26" s="582">
        <f t="shared" ref="CG26:CG27" si="982">SUM(CH26:CN26)</f>
        <v>376053.37883584364</v>
      </c>
      <c r="CH26" s="583">
        <v>92825.344029940476</v>
      </c>
      <c r="CI26" s="583">
        <v>64521.864399603219</v>
      </c>
      <c r="CJ26" s="583">
        <v>55469.75189602287</v>
      </c>
      <c r="CK26" s="583">
        <v>50739.193151486776</v>
      </c>
      <c r="CL26" s="583">
        <v>50482.458420333882</v>
      </c>
      <c r="CM26" s="583">
        <v>62014.766938456407</v>
      </c>
      <c r="CN26" s="581"/>
      <c r="CO26" s="582">
        <f t="shared" ref="CO26:CO27" si="983">SUM(CP26:CV26)</f>
        <v>390902.46204858599</v>
      </c>
      <c r="CP26" s="583">
        <v>92036.016448173614</v>
      </c>
      <c r="CQ26" s="583">
        <v>65446.552077841814</v>
      </c>
      <c r="CR26" s="583">
        <v>59679.316194753876</v>
      </c>
      <c r="CS26" s="583">
        <v>56573.711239980294</v>
      </c>
      <c r="CT26" s="583">
        <v>51187.593638827944</v>
      </c>
      <c r="CU26" s="583">
        <v>65979.272449008451</v>
      </c>
      <c r="CV26" s="581"/>
      <c r="CW26" s="582">
        <f t="shared" ref="CW26:CW27" si="984">SUM(CX26:DD26)</f>
        <v>391992.1861338201</v>
      </c>
      <c r="CX26" s="583">
        <v>98963.916255385659</v>
      </c>
      <c r="CY26" s="583">
        <v>59969.249382521368</v>
      </c>
      <c r="CZ26" s="583">
        <v>57475.823967720971</v>
      </c>
      <c r="DA26" s="583">
        <v>52908.158983640496</v>
      </c>
      <c r="DB26" s="583">
        <v>54102.860775677829</v>
      </c>
      <c r="DC26" s="583">
        <v>68572.176768873745</v>
      </c>
      <c r="DD26" s="581"/>
      <c r="DE26" s="582">
        <f t="shared" si="969"/>
        <v>378507</v>
      </c>
      <c r="DF26" s="583">
        <v>89461</v>
      </c>
      <c r="DG26" s="583">
        <v>57674</v>
      </c>
      <c r="DH26" s="583">
        <v>55615</v>
      </c>
      <c r="DI26" s="583">
        <v>55440</v>
      </c>
      <c r="DJ26" s="583">
        <v>52705</v>
      </c>
      <c r="DK26" s="583">
        <v>67612</v>
      </c>
      <c r="DL26" s="581"/>
      <c r="DM26" s="582">
        <f t="shared" si="970"/>
        <v>425407.74761839275</v>
      </c>
      <c r="DN26" s="583">
        <v>102679.52310951061</v>
      </c>
      <c r="DO26" s="583">
        <v>67732.13878679453</v>
      </c>
      <c r="DP26" s="583">
        <v>68789.651232881894</v>
      </c>
      <c r="DQ26" s="583">
        <v>66165.818167157253</v>
      </c>
      <c r="DR26" s="583">
        <v>63996.940710256218</v>
      </c>
      <c r="DS26" s="583">
        <v>56043.675611792241</v>
      </c>
      <c r="DT26" s="581"/>
      <c r="DU26" s="582">
        <f t="shared" ref="DU26:DU27" si="985">SUM(DV26:EB26)</f>
        <v>312106.72379806853</v>
      </c>
      <c r="DV26" s="583">
        <v>0</v>
      </c>
      <c r="DW26" s="583">
        <v>81040.622022673473</v>
      </c>
      <c r="DX26" s="583">
        <v>58967.273526457197</v>
      </c>
      <c r="DY26" s="583">
        <v>59909.70549317354</v>
      </c>
      <c r="DZ26" s="583">
        <v>57751.017682929407</v>
      </c>
      <c r="EA26" s="583">
        <v>54438.105072834922</v>
      </c>
      <c r="EB26" s="581"/>
      <c r="EC26" s="582">
        <f t="shared" ref="EC26:EC27" si="986">SUM(ED26:EJ26)</f>
        <v>372310.51041968423</v>
      </c>
      <c r="ED26" s="583">
        <v>90650.857877846691</v>
      </c>
      <c r="EE26" s="583">
        <v>59145.864877811917</v>
      </c>
      <c r="EF26" s="583">
        <v>61570.415456477662</v>
      </c>
      <c r="EG26" s="583">
        <v>56480.396073250668</v>
      </c>
      <c r="EH26" s="583">
        <v>55432.868521330565</v>
      </c>
      <c r="EI26" s="583">
        <v>49030.107612966698</v>
      </c>
      <c r="EJ26" s="581"/>
      <c r="EK26" s="582">
        <f t="shared" ref="EK26:EK27" si="987">SUM(EL26:ER26)</f>
        <v>416091.4983459207</v>
      </c>
      <c r="EL26" s="583">
        <v>100942.59476041229</v>
      </c>
      <c r="EM26" s="583">
        <v>67093.115366024824</v>
      </c>
      <c r="EN26" s="583">
        <v>65257.871426614533</v>
      </c>
      <c r="EO26" s="583">
        <v>63816.388972557019</v>
      </c>
      <c r="EP26" s="583">
        <v>58184.916516216392</v>
      </c>
      <c r="EQ26" s="583">
        <v>60796.611304095575</v>
      </c>
      <c r="ER26" s="581"/>
      <c r="ES26" s="582">
        <f t="shared" ref="ES26:ES27" si="988">SUM(ET26:EZ26)</f>
        <v>411640.63947690686</v>
      </c>
      <c r="ET26" s="583">
        <v>103769.4674692777</v>
      </c>
      <c r="EU26" s="583">
        <v>66717.729732460546</v>
      </c>
      <c r="EV26" s="583">
        <v>63909.213526771855</v>
      </c>
      <c r="EW26" s="583">
        <v>59648.343564024806</v>
      </c>
      <c r="EX26" s="583">
        <v>57664.833847380076</v>
      </c>
      <c r="EY26" s="583">
        <v>59931.051336991906</v>
      </c>
      <c r="EZ26" s="581"/>
      <c r="FA26" s="582">
        <f t="shared" ref="FA26:FA27" si="989">SUM(FB26:FH26)</f>
        <v>398712.25274428277</v>
      </c>
      <c r="FB26" s="583">
        <v>101870.5203639978</v>
      </c>
      <c r="FC26" s="583">
        <v>62385.511762605958</v>
      </c>
      <c r="FD26" s="583">
        <v>60376.833053928051</v>
      </c>
      <c r="FE26" s="583">
        <v>56748.692723049957</v>
      </c>
      <c r="FF26" s="583">
        <v>55594.135446805565</v>
      </c>
      <c r="FG26" s="583">
        <v>61736.559393895419</v>
      </c>
      <c r="FH26" s="581"/>
      <c r="FI26" s="582">
        <f t="shared" ref="FI26:FI27" si="990">SUM(FJ26:FP26)</f>
        <v>328044.24044322246</v>
      </c>
      <c r="FJ26" s="583">
        <v>112076.06545034557</v>
      </c>
      <c r="FK26" s="583">
        <v>53338.467507959816</v>
      </c>
      <c r="FL26" s="583">
        <v>55812.465627458027</v>
      </c>
      <c r="FM26" s="583">
        <v>0</v>
      </c>
      <c r="FN26" s="583">
        <v>50418.27473754566</v>
      </c>
      <c r="FO26" s="583">
        <v>56398.967119913374</v>
      </c>
      <c r="FP26" s="581"/>
      <c r="FQ26" s="582">
        <f t="shared" ref="FQ26:FQ27" si="991">SUM(FR26:FX26)</f>
        <v>404860.38609128364</v>
      </c>
      <c r="FR26" s="583">
        <v>98434.304386934265</v>
      </c>
      <c r="FS26" s="583">
        <v>70477.191845130175</v>
      </c>
      <c r="FT26" s="583">
        <v>62515.902111117161</v>
      </c>
      <c r="FU26" s="583">
        <v>59605.342185646317</v>
      </c>
      <c r="FV26" s="583">
        <v>53492.009173969229</v>
      </c>
      <c r="FW26" s="583">
        <v>60335.636388486513</v>
      </c>
      <c r="FX26" s="581"/>
      <c r="FY26" s="582">
        <f>SUM(FZ26:GF26)</f>
        <v>314925.19012229465</v>
      </c>
      <c r="FZ26" s="583">
        <v>0</v>
      </c>
      <c r="GA26" s="583">
        <v>86207.158843747864</v>
      </c>
      <c r="GB26" s="583">
        <v>57255.31338621</v>
      </c>
      <c r="GC26" s="583">
        <v>57574.319187916975</v>
      </c>
      <c r="GD26" s="583">
        <v>55072.698354912282</v>
      </c>
      <c r="GE26" s="583">
        <v>58815.700349507519</v>
      </c>
      <c r="GF26" s="581"/>
      <c r="GG26" s="582">
        <f>SUM(GH26:GN26)</f>
        <v>396854.45199198951</v>
      </c>
      <c r="GH26" s="583">
        <v>96667.372564468984</v>
      </c>
      <c r="GI26" s="583">
        <v>66891.684661621737</v>
      </c>
      <c r="GJ26" s="583">
        <v>61393.937213247933</v>
      </c>
      <c r="GK26" s="583">
        <v>57778.462573692756</v>
      </c>
      <c r="GL26" s="583">
        <v>55121.389424613692</v>
      </c>
      <c r="GM26" s="583">
        <v>59001.605554344402</v>
      </c>
      <c r="GN26" s="581"/>
      <c r="GO26" s="582">
        <f t="shared" ref="GO26:GO27" si="992">SUM(GP26:GV26)</f>
        <v>397402.91696815402</v>
      </c>
      <c r="GP26" s="583">
        <v>96801.024400376351</v>
      </c>
      <c r="GQ26" s="583">
        <v>66984.213879260657</v>
      </c>
      <c r="GR26" s="583">
        <v>61478.545877828525</v>
      </c>
      <c r="GS26" s="583">
        <v>57858.580931303208</v>
      </c>
      <c r="GT26" s="583">
        <v>55197.524551783164</v>
      </c>
      <c r="GU26" s="583">
        <v>59083.027327602074</v>
      </c>
      <c r="GV26" s="581"/>
      <c r="GW26" s="582">
        <f>SUM(GX26:HD26)</f>
        <v>381528.50760086643</v>
      </c>
      <c r="GX26" s="583">
        <v>92933.849442223727</v>
      </c>
      <c r="GY26" s="583">
        <v>64308.731551231067</v>
      </c>
      <c r="GZ26" s="583">
        <v>59022.644374550386</v>
      </c>
      <c r="HA26" s="583">
        <v>55547.370004981385</v>
      </c>
      <c r="HB26" s="583">
        <v>52992.704386485675</v>
      </c>
      <c r="HC26" s="583">
        <v>56723.207841394156</v>
      </c>
      <c r="HD26" s="581"/>
      <c r="HE26" s="582">
        <f t="shared" ref="HE26:HE27" si="993">SUM(HF26:HL26)</f>
        <v>333621.77555982926</v>
      </c>
      <c r="HF26" s="583">
        <v>85022.751791902207</v>
      </c>
      <c r="HG26" s="583">
        <v>59504.151925329752</v>
      </c>
      <c r="HH26" s="583">
        <v>49762.946109945704</v>
      </c>
      <c r="HI26" s="583">
        <v>45781.983298270272</v>
      </c>
      <c r="HJ26" s="583">
        <v>44543.918501114618</v>
      </c>
      <c r="HK26" s="583">
        <v>49006.023933266682</v>
      </c>
      <c r="HL26" s="581"/>
      <c r="HM26" s="582">
        <f t="shared" ref="HM26:HM27" si="994">SUM(HN26:HT26)</f>
        <v>321457.43371232768</v>
      </c>
      <c r="HN26" s="583">
        <v>80053.600000000006</v>
      </c>
      <c r="HO26" s="583">
        <v>54939.360000000001</v>
      </c>
      <c r="HP26" s="583">
        <v>53995.5</v>
      </c>
      <c r="HQ26" s="583">
        <v>45738.981919891776</v>
      </c>
      <c r="HR26" s="583">
        <v>40023.074000000001</v>
      </c>
      <c r="HS26" s="583">
        <v>46706.917792435874</v>
      </c>
      <c r="HT26" s="581"/>
      <c r="HU26" s="582">
        <f t="shared" ref="HU26:HU27" si="995">SUM(HV26:IB26)</f>
        <v>271873.57670538279</v>
      </c>
      <c r="HV26" s="583">
        <v>76897.700000000012</v>
      </c>
      <c r="HW26" s="583">
        <v>54842.879999999997</v>
      </c>
      <c r="HX26" s="583">
        <v>51537</v>
      </c>
      <c r="HY26" s="583">
        <v>0</v>
      </c>
      <c r="HZ26" s="583">
        <v>40934.138000000006</v>
      </c>
      <c r="IA26" s="583">
        <v>47661.858705382794</v>
      </c>
      <c r="IB26" s="581"/>
      <c r="IC26" s="582">
        <f t="shared" ref="IC26:IC27" si="996">SUM(ID26:IJ26)</f>
        <v>314059.58426196052</v>
      </c>
      <c r="ID26" s="583">
        <v>79558.600000000006</v>
      </c>
      <c r="IE26" s="583">
        <v>57297.599999999999</v>
      </c>
      <c r="IF26" s="583">
        <v>51311.5</v>
      </c>
      <c r="IG26" s="583">
        <v>42490.340944918862</v>
      </c>
      <c r="IH26" s="583">
        <v>37918.776000000005</v>
      </c>
      <c r="II26" s="583">
        <v>45482.767317041624</v>
      </c>
      <c r="IJ26" s="581"/>
      <c r="IK26" s="582">
        <f t="shared" ref="IK26:IK27" si="997">SUM(IL26:IR26)</f>
        <v>289797.92860238528</v>
      </c>
      <c r="IL26" s="583">
        <v>72018.44</v>
      </c>
      <c r="IM26" s="583">
        <v>52116.696000000004</v>
      </c>
      <c r="IN26" s="583">
        <v>47162.879999999997</v>
      </c>
      <c r="IO26" s="583">
        <v>38647.11</v>
      </c>
      <c r="IP26" s="583">
        <v>36305.332000000002</v>
      </c>
      <c r="IQ26" s="583">
        <v>43547.47060238527</v>
      </c>
      <c r="IR26" s="581">
        <v>0</v>
      </c>
      <c r="IS26" s="582">
        <f t="shared" ref="IS26:IS27" si="998">SUM(IT26:IZ26)</f>
        <v>285067.14700921136</v>
      </c>
      <c r="IT26" s="583">
        <v>70842.720000000001</v>
      </c>
      <c r="IU26" s="583">
        <v>51265.8</v>
      </c>
      <c r="IV26" s="583">
        <v>46392.959999999999</v>
      </c>
      <c r="IW26" s="583">
        <v>38016.300000000003</v>
      </c>
      <c r="IX26" s="583">
        <v>35712.572</v>
      </c>
      <c r="IY26" s="583">
        <v>42836.795009211368</v>
      </c>
      <c r="IZ26" s="581">
        <v>0</v>
      </c>
      <c r="JA26" s="582">
        <f t="shared" ref="JA26:JA27" si="999">SUM(JB26:JH26)</f>
        <v>245686.88805331697</v>
      </c>
      <c r="JB26" s="583">
        <v>0</v>
      </c>
      <c r="JC26" s="583">
        <v>62413.175999999999</v>
      </c>
      <c r="JD26" s="583">
        <v>49930.559999999998</v>
      </c>
      <c r="JE26" s="583">
        <v>44729.46</v>
      </c>
      <c r="JF26" s="583">
        <v>42232.932000000001</v>
      </c>
      <c r="JG26" s="583">
        <v>46380.76005331699</v>
      </c>
      <c r="JH26" s="581">
        <v>0</v>
      </c>
      <c r="JI26" s="582">
        <f t="shared" ref="JI26:JI27" si="1000">SUM(JJ26:JP26)</f>
        <v>397707.41669345245</v>
      </c>
      <c r="JJ26" s="583">
        <v>130029.5</v>
      </c>
      <c r="JK26" s="583">
        <v>61770.671999999999</v>
      </c>
      <c r="JL26" s="583">
        <v>54262.559999999998</v>
      </c>
      <c r="JM26" s="583">
        <v>49477.09</v>
      </c>
      <c r="JN26" s="583">
        <v>47141.066000000006</v>
      </c>
      <c r="JO26" s="583">
        <v>55026.528693452492</v>
      </c>
      <c r="JP26" s="581">
        <v>0</v>
      </c>
      <c r="JQ26" s="582">
        <f t="shared" ref="JQ26:JQ27" si="1001">SUM(JR26:JX26)</f>
        <v>425684.45773557387</v>
      </c>
      <c r="JR26" s="583">
        <v>129172.8</v>
      </c>
      <c r="JS26" s="583">
        <v>64334.76</v>
      </c>
      <c r="JT26" s="583">
        <v>64955.839999999997</v>
      </c>
      <c r="JU26" s="583">
        <v>54536.47</v>
      </c>
      <c r="JV26" s="583">
        <v>51232.328000000001</v>
      </c>
      <c r="JW26" s="583">
        <v>61452.259735573884</v>
      </c>
      <c r="JX26" s="581">
        <v>0</v>
      </c>
      <c r="JY26" s="582">
        <f t="shared" ref="JY26:JY27" si="1002">SUM(JZ26:KF26)</f>
        <v>422424.04321465018</v>
      </c>
      <c r="JZ26" s="583">
        <v>108371.78</v>
      </c>
      <c r="KA26" s="583">
        <v>71969.567999999999</v>
      </c>
      <c r="KB26" s="583">
        <v>72902.399999999994</v>
      </c>
      <c r="KC26" s="583">
        <v>62486.74</v>
      </c>
      <c r="KD26" s="583">
        <v>50550.654000000002</v>
      </c>
      <c r="KE26" s="583">
        <v>56142.90121465017</v>
      </c>
      <c r="KF26" s="581">
        <v>0</v>
      </c>
      <c r="KG26" s="582">
        <f t="shared" ref="KG26:KG27" si="1003">SUM(KH26:KN26)</f>
        <v>461232.94952019729</v>
      </c>
      <c r="KH26" s="583">
        <v>158526</v>
      </c>
      <c r="KI26" s="583">
        <v>68807.664000000004</v>
      </c>
      <c r="KJ26" s="583">
        <v>67241.759999999995</v>
      </c>
      <c r="KK26" s="583">
        <v>56898.03</v>
      </c>
      <c r="KL26" s="583">
        <v>53821.796000000002</v>
      </c>
      <c r="KM26" s="583">
        <v>55937.699520197311</v>
      </c>
      <c r="KN26" s="581">
        <v>0</v>
      </c>
      <c r="KO26" s="582">
        <f t="shared" ref="KO26:KO27" si="1004">SUM(KP26:KV26)</f>
        <v>391010</v>
      </c>
      <c r="KP26" s="583">
        <v>94690</v>
      </c>
      <c r="KQ26" s="583">
        <v>67428</v>
      </c>
      <c r="KR26" s="583">
        <v>66269</v>
      </c>
      <c r="KS26" s="583">
        <v>56179</v>
      </c>
      <c r="KT26" s="583">
        <v>49120</v>
      </c>
      <c r="KU26" s="583">
        <v>57324</v>
      </c>
      <c r="KV26" s="581"/>
      <c r="KW26" s="582">
        <f t="shared" ref="KW26:KW27" si="1005">SUM(KX26:LD26)</f>
        <v>397891.43446301983</v>
      </c>
      <c r="KX26" s="583">
        <v>96356.700000000012</v>
      </c>
      <c r="KY26" s="583">
        <v>68614.080000000002</v>
      </c>
      <c r="KZ26" s="583">
        <v>67435</v>
      </c>
      <c r="LA26" s="583">
        <v>57168.147000000004</v>
      </c>
      <c r="LB26" s="583">
        <v>49984.69</v>
      </c>
      <c r="LC26" s="583">
        <v>58332.817463019819</v>
      </c>
      <c r="LD26" s="581"/>
      <c r="LE26" s="582">
        <f t="shared" ref="LE26:LE27" si="1006">SUM(LF26:LL26)</f>
        <v>400067.46945903474</v>
      </c>
      <c r="LF26" s="583">
        <v>102945.95000000001</v>
      </c>
      <c r="LG26" s="583">
        <v>67609.919999999998</v>
      </c>
      <c r="LH26" s="583">
        <v>66448</v>
      </c>
      <c r="LI26" s="583">
        <v>56331.455999999998</v>
      </c>
      <c r="LJ26" s="583">
        <v>49253.078000000001</v>
      </c>
      <c r="LK26" s="583">
        <v>57479.065459034748</v>
      </c>
      <c r="LL26" s="581"/>
      <c r="LM26" s="582">
        <f t="shared" ref="LM26:LM27" si="1007">SUM(LN26:LT26)</f>
        <v>415861.46618337149</v>
      </c>
      <c r="LN26" s="583">
        <v>103129.95000000001</v>
      </c>
      <c r="LO26" s="583">
        <v>73437.599999999991</v>
      </c>
      <c r="LP26" s="583">
        <f>72175.5-5000</f>
        <v>67175.5</v>
      </c>
      <c r="LQ26" s="583">
        <f>61186.71-5000</f>
        <v>56186.71</v>
      </c>
      <c r="LR26" s="583">
        <v>53498.62</v>
      </c>
      <c r="LS26" s="583">
        <v>62433.08618337151</v>
      </c>
      <c r="LT26" s="581"/>
      <c r="LU26" s="582">
        <f t="shared" ref="LU26:LU27" si="1008">SUM(LV26:MB26)</f>
        <v>413165.23446928803</v>
      </c>
      <c r="LV26" s="583">
        <v>102477.1</v>
      </c>
      <c r="LW26" s="583">
        <v>72972.479999999996</v>
      </c>
      <c r="LX26" s="583">
        <v>66718.5</v>
      </c>
      <c r="LY26" s="583">
        <v>55799.395000000004</v>
      </c>
      <c r="LZ26" s="583">
        <v>53160.016000000003</v>
      </c>
      <c r="MA26" s="583">
        <v>62037.743469288012</v>
      </c>
      <c r="MB26" s="581"/>
      <c r="MC26" s="582">
        <f t="shared" ref="MC26:MC27" si="1009">SUM(MD26:MJ26)</f>
        <v>404281.13023030822</v>
      </c>
      <c r="MD26" s="583">
        <v>99840.950000000012</v>
      </c>
      <c r="ME26" s="583">
        <v>71095.679999999993</v>
      </c>
      <c r="MF26" s="583">
        <v>64874</v>
      </c>
      <c r="MG26" s="583">
        <v>56235.639000000003</v>
      </c>
      <c r="MH26" s="583">
        <v>51792.608</v>
      </c>
      <c r="MI26" s="583">
        <v>60442.25323030819</v>
      </c>
      <c r="MJ26" s="581"/>
      <c r="MK26" s="582">
        <f t="shared" ref="MK26:MK27" si="1010">SUM(ML26:MR26)</f>
        <v>289590.66992616828</v>
      </c>
      <c r="ML26" s="903">
        <v>28201.200000000012</v>
      </c>
      <c r="MM26" s="583">
        <v>0</v>
      </c>
      <c r="MN26" s="583">
        <v>79715.5</v>
      </c>
      <c r="MO26" s="583">
        <v>62373.57</v>
      </c>
      <c r="MP26" s="583">
        <v>64728.986000000004</v>
      </c>
      <c r="MQ26" s="583">
        <v>54571.413926168272</v>
      </c>
      <c r="MR26" s="581"/>
      <c r="MS26" s="582">
        <f t="shared" ref="MS26:MS27" si="1011">SUM(MT26:MZ26)</f>
        <v>318333.10575916886</v>
      </c>
      <c r="MT26" s="583">
        <v>50846.350000000006</v>
      </c>
      <c r="MU26" s="583">
        <v>72584.160000000003</v>
      </c>
      <c r="MV26" s="583">
        <v>73808</v>
      </c>
      <c r="MW26" s="583">
        <v>66870.047999999995</v>
      </c>
      <c r="MX26" s="583">
        <v>0</v>
      </c>
      <c r="MY26" s="583">
        <v>54224.547759168825</v>
      </c>
      <c r="MZ26" s="581"/>
      <c r="NA26" s="582">
        <f t="shared" ref="NA26:NA27" si="1012">SUM(NB26:NH26)</f>
        <v>445312.55025961919</v>
      </c>
      <c r="NB26" s="583">
        <v>64337.55</v>
      </c>
      <c r="NC26" s="583">
        <v>72925.440000000002</v>
      </c>
      <c r="ND26" s="583">
        <v>89377.5</v>
      </c>
      <c r="NE26" s="583">
        <v>80469.157999999996</v>
      </c>
      <c r="NF26" s="892">
        <v>64551.784000000007</v>
      </c>
      <c r="NG26" s="583">
        <v>73651.118259619223</v>
      </c>
      <c r="NH26" s="581"/>
      <c r="NI26" s="582">
        <f t="shared" ref="NI26:NI27" si="1013">SUM(NJ26:NP26)</f>
        <v>385145.77750543179</v>
      </c>
      <c r="NJ26" s="583">
        <v>56956.62000000001</v>
      </c>
      <c r="NK26" s="583">
        <v>73439</v>
      </c>
      <c r="NL26" s="583">
        <v>73578.239999999991</v>
      </c>
      <c r="NM26" s="583">
        <v>62106.488999999994</v>
      </c>
      <c r="NN26" s="583">
        <v>54737.502</v>
      </c>
      <c r="NO26" s="583">
        <v>64327.926505431795</v>
      </c>
      <c r="NP26" s="581"/>
      <c r="NQ26" s="582">
        <f t="shared" ref="NQ26:NQ27" si="1014">SUM(NR26:NX26)</f>
        <v>408671.62932023383</v>
      </c>
      <c r="NR26" s="583">
        <v>60000</v>
      </c>
      <c r="NS26" s="583">
        <v>79465.919999999998</v>
      </c>
      <c r="NT26" s="583">
        <v>78236.160000000003</v>
      </c>
      <c r="NU26" s="583">
        <v>66038.128999999986</v>
      </c>
      <c r="NV26" s="583">
        <v>57431.396000000001</v>
      </c>
      <c r="NW26" s="583">
        <v>67500.024320233846</v>
      </c>
      <c r="NX26" s="581"/>
      <c r="NY26" s="582">
        <f t="shared" ref="NY26:NY27" si="1015">SUM(NZ26:OF26)</f>
        <v>354062.55653471791</v>
      </c>
      <c r="NZ26" s="583">
        <v>55000</v>
      </c>
      <c r="OA26" s="583">
        <v>68159.58</v>
      </c>
      <c r="OB26" s="583">
        <v>67104.479999999996</v>
      </c>
      <c r="OC26" s="583">
        <v>56642.028999999995</v>
      </c>
      <c r="OD26" s="583">
        <v>49260.162000000004</v>
      </c>
      <c r="OE26" s="583">
        <v>57896.305534717918</v>
      </c>
      <c r="OF26" s="581"/>
      <c r="OG26" s="582">
        <f t="shared" ref="OG26:OG27" si="1016">SUM(OH26:ON26)</f>
        <v>357814.73736515723</v>
      </c>
      <c r="OH26" s="583">
        <v>52000</v>
      </c>
      <c r="OI26" s="583">
        <v>69614.574999999997</v>
      </c>
      <c r="OJ26" s="583">
        <v>68447.115000000005</v>
      </c>
      <c r="OK26" s="583">
        <v>57965.375999999997</v>
      </c>
      <c r="OL26" s="583">
        <v>50616.626000000004</v>
      </c>
      <c r="OM26" s="583">
        <v>59171.045365157232</v>
      </c>
      <c r="ON26" s="581"/>
      <c r="OO26" s="582">
        <f t="shared" ref="OO26:OO27" si="1017">SUM(OP26:OV26)</f>
        <v>430121.11748837074</v>
      </c>
      <c r="OP26" s="583">
        <v>80000</v>
      </c>
      <c r="OQ26" s="583">
        <v>77948.45</v>
      </c>
      <c r="OR26" s="583">
        <v>76588.38</v>
      </c>
      <c r="OS26" s="583">
        <v>69316.351999999999</v>
      </c>
      <c r="OT26" s="583">
        <v>56404.259000000005</v>
      </c>
      <c r="OU26" s="583">
        <v>69863.676488370707</v>
      </c>
      <c r="OV26" s="581"/>
      <c r="OW26" s="582">
        <f t="shared" ref="OW26:OW27" si="1018">SUM(OX26:PD26)</f>
        <v>378675.95542604994</v>
      </c>
      <c r="OX26" s="583">
        <v>60000</v>
      </c>
      <c r="OY26" s="583">
        <v>71459.26999999999</v>
      </c>
      <c r="OZ26" s="583">
        <v>71916.319999999992</v>
      </c>
      <c r="PA26" s="583">
        <v>60346.34599999999</v>
      </c>
      <c r="PB26" s="583">
        <v>52203.887999999999</v>
      </c>
      <c r="PC26" s="583">
        <v>62750.131426049978</v>
      </c>
      <c r="PD26" s="581"/>
      <c r="PE26" s="582">
        <f t="shared" si="971"/>
        <v>349574.67942347628</v>
      </c>
      <c r="PF26" s="583">
        <v>52000</v>
      </c>
      <c r="PG26" s="583">
        <v>67765.539999999994</v>
      </c>
      <c r="PH26" s="583">
        <v>66657.64</v>
      </c>
      <c r="PI26" s="583">
        <v>56389.469999999994</v>
      </c>
      <c r="PJ26" s="583">
        <v>49175.28</v>
      </c>
      <c r="PK26" s="583">
        <v>57586.749423476278</v>
      </c>
      <c r="PL26" s="581"/>
    </row>
    <row r="27" spans="1:428" s="44" customFormat="1" x14ac:dyDescent="0.3">
      <c r="A27"/>
      <c r="B27" s="1000"/>
      <c r="C27" s="1001"/>
      <c r="D27" s="599" t="s">
        <v>308</v>
      </c>
      <c r="E27" s="582">
        <f t="shared" si="972"/>
        <v>332313.28210852342</v>
      </c>
      <c r="F27" s="583">
        <v>60969.286306877912</v>
      </c>
      <c r="G27" s="583">
        <v>68517.000793053478</v>
      </c>
      <c r="H27" s="583">
        <v>59891.490568967864</v>
      </c>
      <c r="I27" s="583">
        <v>54044.997867303784</v>
      </c>
      <c r="J27" s="583">
        <v>48691.064871575494</v>
      </c>
      <c r="K27" s="583">
        <v>40199.441700744937</v>
      </c>
      <c r="L27" s="581"/>
      <c r="M27" s="582">
        <f t="shared" si="973"/>
        <v>338982.51636945747</v>
      </c>
      <c r="N27" s="583">
        <v>62238.662836870972</v>
      </c>
      <c r="O27" s="583">
        <v>69274.246065275729</v>
      </c>
      <c r="P27" s="583">
        <v>61138.463129043055</v>
      </c>
      <c r="Q27" s="583">
        <v>54461.558612140798</v>
      </c>
      <c r="R27" s="583">
        <v>49704.594182227105</v>
      </c>
      <c r="S27" s="583">
        <v>42164.991543899829</v>
      </c>
      <c r="T27" s="581"/>
      <c r="U27" s="582">
        <f t="shared" si="974"/>
        <v>354327.83134853898</v>
      </c>
      <c r="V27" s="583">
        <v>63394.135324013827</v>
      </c>
      <c r="W27" s="583">
        <v>69873.170897382835</v>
      </c>
      <c r="X27" s="583">
        <v>65008.207708023707</v>
      </c>
      <c r="Y27" s="583">
        <v>61275.997123752626</v>
      </c>
      <c r="Z27" s="583">
        <v>52615.776535384284</v>
      </c>
      <c r="AA27" s="583">
        <v>42160.543759981701</v>
      </c>
      <c r="AB27" s="581"/>
      <c r="AC27" s="582">
        <f t="shared" si="975"/>
        <v>356346.30496253079</v>
      </c>
      <c r="AD27" s="583">
        <v>63755.267158230745</v>
      </c>
      <c r="AE27" s="583">
        <v>70271.525553156389</v>
      </c>
      <c r="AF27" s="583">
        <v>65378.52893266808</v>
      </c>
      <c r="AG27" s="583">
        <v>61624.899913218018</v>
      </c>
      <c r="AH27" s="583">
        <v>52915.359313696696</v>
      </c>
      <c r="AI27" s="583">
        <v>42400.724091560871</v>
      </c>
      <c r="AJ27" s="581"/>
      <c r="AK27" s="582">
        <f t="shared" si="976"/>
        <v>362565.61580275721</v>
      </c>
      <c r="AL27" s="583">
        <v>64868.165675259086</v>
      </c>
      <c r="AM27" s="583">
        <v>71497.696469121409</v>
      </c>
      <c r="AN27" s="583">
        <v>66519.567178784389</v>
      </c>
      <c r="AO27" s="583">
        <v>62700.351857425667</v>
      </c>
      <c r="AP27" s="583">
        <v>53838.925156896512</v>
      </c>
      <c r="AQ27" s="583">
        <v>43140.909465270161</v>
      </c>
      <c r="AR27" s="581"/>
      <c r="AS27" s="582">
        <f t="shared" si="977"/>
        <v>364663.79740633408</v>
      </c>
      <c r="AT27" s="583">
        <v>65243.488832847499</v>
      </c>
      <c r="AU27" s="583">
        <v>71911.372457809353</v>
      </c>
      <c r="AV27" s="583">
        <v>66904.701252414525</v>
      </c>
      <c r="AW27" s="583">
        <v>63063.405330367481</v>
      </c>
      <c r="AX27" s="583">
        <v>54150.473519549807</v>
      </c>
      <c r="AY27" s="583">
        <v>43390.356013345445</v>
      </c>
      <c r="AZ27" s="581"/>
      <c r="BA27" s="582">
        <f t="shared" si="978"/>
        <v>355005.90161912492</v>
      </c>
      <c r="BB27" s="583">
        <v>67739.7527781549</v>
      </c>
      <c r="BC27" s="583">
        <v>68393.501564107355</v>
      </c>
      <c r="BD27" s="583">
        <v>61388.037190742783</v>
      </c>
      <c r="BE27" s="583">
        <v>57124.098150000296</v>
      </c>
      <c r="BF27" s="583">
        <v>57354.147934372944</v>
      </c>
      <c r="BG27" s="583">
        <v>43006.364001746639</v>
      </c>
      <c r="BH27" s="581"/>
      <c r="BI27" s="582">
        <f t="shared" si="979"/>
        <v>346091</v>
      </c>
      <c r="BJ27" s="583">
        <v>65115</v>
      </c>
      <c r="BK27" s="583">
        <v>68419</v>
      </c>
      <c r="BL27" s="583">
        <v>59969</v>
      </c>
      <c r="BM27" s="583">
        <v>56004</v>
      </c>
      <c r="BN27" s="583">
        <v>52595</v>
      </c>
      <c r="BO27" s="583">
        <v>43989</v>
      </c>
      <c r="BP27" s="581"/>
      <c r="BQ27" s="582">
        <f t="shared" si="980"/>
        <v>346725.17515133601</v>
      </c>
      <c r="BR27" s="583">
        <v>62034.009015618787</v>
      </c>
      <c r="BS27" s="583">
        <v>68374.001685852709</v>
      </c>
      <c r="BT27" s="583">
        <v>63613.555532302467</v>
      </c>
      <c r="BU27" s="583">
        <v>59960.867978163158</v>
      </c>
      <c r="BV27" s="583">
        <v>51486.579909437489</v>
      </c>
      <c r="BW27" s="583">
        <v>41256.161029961346</v>
      </c>
      <c r="BX27" s="581"/>
      <c r="BY27" s="582">
        <f t="shared" si="981"/>
        <v>334212.91230968008</v>
      </c>
      <c r="BZ27" s="583">
        <v>65838.030590937808</v>
      </c>
      <c r="CA27" s="583">
        <v>67544.328294398889</v>
      </c>
      <c r="CB27" s="583">
        <v>56141.146530296792</v>
      </c>
      <c r="CC27" s="583">
        <v>50590.904472482238</v>
      </c>
      <c r="CD27" s="583">
        <v>50444.24456240968</v>
      </c>
      <c r="CE27" s="583">
        <v>43654.257859154663</v>
      </c>
      <c r="CF27" s="581"/>
      <c r="CG27" s="582">
        <f t="shared" si="982"/>
        <v>334862.0921236765</v>
      </c>
      <c r="CH27" s="583">
        <v>65965.752501281328</v>
      </c>
      <c r="CI27" s="583">
        <v>67675.720331210003</v>
      </c>
      <c r="CJ27" s="583">
        <v>56250.222963737499</v>
      </c>
      <c r="CK27" s="583">
        <v>50689.074839099878</v>
      </c>
      <c r="CL27" s="583">
        <v>50542.185086088735</v>
      </c>
      <c r="CM27" s="583">
        <v>43739.136402259035</v>
      </c>
      <c r="CN27" s="581"/>
      <c r="CO27" s="582">
        <f t="shared" si="983"/>
        <v>348870.73988124402</v>
      </c>
      <c r="CP27" s="583">
        <v>65404.821772228795</v>
      </c>
      <c r="CQ27" s="583">
        <v>68645.607132971039</v>
      </c>
      <c r="CR27" s="583">
        <v>60519.016716910672</v>
      </c>
      <c r="CS27" s="583">
        <v>56517.829804807567</v>
      </c>
      <c r="CT27" s="583">
        <v>51248.154562200689</v>
      </c>
      <c r="CU27" s="583">
        <v>46535.309892125246</v>
      </c>
      <c r="CV27" s="581"/>
      <c r="CW27" s="582">
        <f t="shared" si="984"/>
        <v>346900.04250653979</v>
      </c>
      <c r="CX27" s="583">
        <v>70328.09061450552</v>
      </c>
      <c r="CY27" s="583">
        <v>62900.571572898647</v>
      </c>
      <c r="CZ27" s="583">
        <v>58284.520891117194</v>
      </c>
      <c r="DA27" s="583">
        <v>52855.898246426164</v>
      </c>
      <c r="DB27" s="583">
        <v>54166.870801794721</v>
      </c>
      <c r="DC27" s="583">
        <v>48364.090379797555</v>
      </c>
      <c r="DD27" s="581"/>
      <c r="DE27" s="582">
        <f t="shared" si="969"/>
        <v>336305</v>
      </c>
      <c r="DF27" s="583">
        <v>63575</v>
      </c>
      <c r="DG27" s="583">
        <v>60493</v>
      </c>
      <c r="DH27" s="583">
        <v>56397</v>
      </c>
      <c r="DI27" s="583">
        <v>55385</v>
      </c>
      <c r="DJ27" s="583">
        <v>52768</v>
      </c>
      <c r="DK27" s="583">
        <v>47687</v>
      </c>
      <c r="DL27" s="581"/>
      <c r="DM27" s="582">
        <f t="shared" si="970"/>
        <v>339747.49980818829</v>
      </c>
      <c r="DN27" s="583">
        <v>66528.87921783315</v>
      </c>
      <c r="DO27" s="583">
        <v>59541.728925388677</v>
      </c>
      <c r="DP27" s="583">
        <v>55696.002800928538</v>
      </c>
      <c r="DQ27" s="583">
        <v>52676.395177096048</v>
      </c>
      <c r="DR27" s="583">
        <v>53458.701528273632</v>
      </c>
      <c r="DS27" s="583">
        <v>51845.792158668257</v>
      </c>
      <c r="DT27" s="581"/>
      <c r="DU27" s="582">
        <f t="shared" si="985"/>
        <v>265281.65313341812</v>
      </c>
      <c r="DV27" s="583">
        <v>0</v>
      </c>
      <c r="DW27" s="583">
        <v>71240.90328238206</v>
      </c>
      <c r="DX27" s="583">
        <v>47743.24876825064</v>
      </c>
      <c r="DY27" s="583">
        <v>47695.734881251876</v>
      </c>
      <c r="DZ27" s="583">
        <v>48241.281270668653</v>
      </c>
      <c r="EA27" s="583">
        <v>50360.484930864899</v>
      </c>
      <c r="EB27" s="581"/>
      <c r="EC27" s="582">
        <f t="shared" si="986"/>
        <v>301721.387295013</v>
      </c>
      <c r="ED27" s="583">
        <v>57073.43710357981</v>
      </c>
      <c r="EE27" s="583">
        <v>50768.287636097586</v>
      </c>
      <c r="EF27" s="583">
        <v>49850.90010282131</v>
      </c>
      <c r="EG27" s="583">
        <v>44965.569016272646</v>
      </c>
      <c r="EH27" s="583">
        <v>46304.856767363133</v>
      </c>
      <c r="EI27" s="583">
        <v>52758.336668878554</v>
      </c>
      <c r="EJ27" s="581"/>
      <c r="EK27" s="582">
        <f t="shared" si="987"/>
        <v>329631.81477469805</v>
      </c>
      <c r="EL27" s="583">
        <v>63553.075701652539</v>
      </c>
      <c r="EM27" s="583">
        <v>57589.868477551609</v>
      </c>
      <c r="EN27" s="583">
        <v>52836.473577321965</v>
      </c>
      <c r="EO27" s="583">
        <v>50805.951130251342</v>
      </c>
      <c r="EP27" s="583">
        <v>48603.730912240935</v>
      </c>
      <c r="EQ27" s="583">
        <v>56242.714975679657</v>
      </c>
      <c r="ER27" s="581"/>
      <c r="ES27" s="582">
        <f t="shared" si="988"/>
        <v>365931.92455843952</v>
      </c>
      <c r="ET27" s="583">
        <v>65332.864062471621</v>
      </c>
      <c r="EU27" s="583">
        <v>62627.490552972362</v>
      </c>
      <c r="EV27" s="583">
        <v>66120.839586393296</v>
      </c>
      <c r="EW27" s="583">
        <v>56955.186764741855</v>
      </c>
      <c r="EX27" s="583">
        <v>57733.058105167511</v>
      </c>
      <c r="EY27" s="583">
        <v>57162.485486692851</v>
      </c>
      <c r="EZ27" s="581"/>
      <c r="FA27" s="582">
        <f t="shared" si="989"/>
        <v>351165.76604242035</v>
      </c>
      <c r="FB27" s="583">
        <v>64137.294150466361</v>
      </c>
      <c r="FC27" s="583">
        <v>58560.866267816557</v>
      </c>
      <c r="FD27" s="583">
        <v>59736.652417713362</v>
      </c>
      <c r="FE27" s="583">
        <v>54186.456816306723</v>
      </c>
      <c r="FF27" s="583">
        <v>55659.909825662362</v>
      </c>
      <c r="FG27" s="583">
        <v>58884.586564455029</v>
      </c>
      <c r="FH27" s="581"/>
      <c r="FI27" s="582">
        <f t="shared" si="990"/>
        <v>280123.30825987633</v>
      </c>
      <c r="FJ27" s="583">
        <v>70562.666719783883</v>
      </c>
      <c r="FK27" s="583">
        <v>50068.465809014575</v>
      </c>
      <c r="FL27" s="583">
        <v>55220.681362752024</v>
      </c>
      <c r="FM27" s="583">
        <v>0</v>
      </c>
      <c r="FN27" s="583">
        <v>50477.925466480308</v>
      </c>
      <c r="FO27" s="583">
        <v>53793.56890184553</v>
      </c>
      <c r="FP27" s="581"/>
      <c r="FQ27" s="582">
        <f t="shared" si="991"/>
        <v>358001.1828341065</v>
      </c>
      <c r="FR27" s="583">
        <v>61973.865573700758</v>
      </c>
      <c r="FS27" s="583">
        <v>66156.472712431569</v>
      </c>
      <c r="FT27" s="583">
        <v>61853.040745876577</v>
      </c>
      <c r="FU27" s="583">
        <v>56914.126923171236</v>
      </c>
      <c r="FV27" s="583">
        <v>53555.296491038607</v>
      </c>
      <c r="FW27" s="583">
        <v>57548.38038788773</v>
      </c>
      <c r="FX27" s="581"/>
      <c r="FY27" s="582">
        <f t="shared" ref="FY27" si="1019">SUM(FZ27:GF27)</f>
        <v>302395.44559489534</v>
      </c>
      <c r="FZ27" s="583">
        <v>0</v>
      </c>
      <c r="GA27" s="583">
        <v>80922.088442386419</v>
      </c>
      <c r="GB27" s="583">
        <v>56648.230485430598</v>
      </c>
      <c r="GC27" s="583">
        <v>54974.805774462468</v>
      </c>
      <c r="GD27" s="583">
        <v>55137.855812567643</v>
      </c>
      <c r="GE27" s="583">
        <v>54712.46508004822</v>
      </c>
      <c r="GF27" s="581"/>
      <c r="GG27" s="582">
        <f t="shared" ref="GG27" si="1020">SUM(GH27:GN27)</f>
        <v>349636.90221243596</v>
      </c>
      <c r="GH27" s="583">
        <v>60861.411984219274</v>
      </c>
      <c r="GI27" s="583">
        <v>62790.780891633032</v>
      </c>
      <c r="GJ27" s="583">
        <v>60742.972136133067</v>
      </c>
      <c r="GK27" s="583">
        <v>55169.731969708213</v>
      </c>
      <c r="GL27" s="583">
        <v>55186.60448951197</v>
      </c>
      <c r="GM27" s="583">
        <v>54885.400741230427</v>
      </c>
      <c r="GN27" s="581"/>
      <c r="GO27" s="582">
        <f t="shared" si="992"/>
        <v>350120.08463091752</v>
      </c>
      <c r="GP27" s="583">
        <v>60945.558674377637</v>
      </c>
      <c r="GQ27" s="583">
        <v>62877.637454750409</v>
      </c>
      <c r="GR27" s="583">
        <v>60826.68368793081</v>
      </c>
      <c r="GS27" s="583">
        <v>55246.232937687142</v>
      </c>
      <c r="GT27" s="583">
        <v>55262.829693461288</v>
      </c>
      <c r="GU27" s="583">
        <v>54961.142182710231</v>
      </c>
      <c r="GV27" s="581"/>
      <c r="GW27" s="582">
        <f t="shared" ref="GW27" si="1021">SUM(GX27:HD27)</f>
        <v>336134.5314889279</v>
      </c>
      <c r="GX27" s="583">
        <v>58510.79995383606</v>
      </c>
      <c r="GY27" s="583">
        <v>60366.179932211337</v>
      </c>
      <c r="GZ27" s="583">
        <v>58396.82231473775</v>
      </c>
      <c r="HA27" s="583">
        <v>53039.374505481428</v>
      </c>
      <c r="HB27" s="583">
        <v>53055.400967464047</v>
      </c>
      <c r="HC27" s="583">
        <v>52765.953815197252</v>
      </c>
      <c r="HD27" s="581"/>
      <c r="HE27" s="582">
        <f t="shared" si="993"/>
        <v>292520.13460007193</v>
      </c>
      <c r="HF27" s="583">
        <v>53530.002808216923</v>
      </c>
      <c r="HG27" s="583">
        <v>55856.152892341292</v>
      </c>
      <c r="HH27" s="583">
        <v>49235.305409213237</v>
      </c>
      <c r="HI27" s="583">
        <v>43714.900589224868</v>
      </c>
      <c r="HJ27" s="583">
        <v>44596.619178042354</v>
      </c>
      <c r="HK27" s="583">
        <v>45587.153723033254</v>
      </c>
      <c r="HL27" s="581"/>
      <c r="HM27" s="582">
        <f t="shared" si="994"/>
        <v>274235.00700038346</v>
      </c>
      <c r="HN27" s="583">
        <v>49480.603577596703</v>
      </c>
      <c r="HO27" s="583">
        <v>47684.523536222245</v>
      </c>
      <c r="HP27" s="583">
        <v>42678.753245763583</v>
      </c>
      <c r="HQ27" s="583">
        <v>43673.840747654256</v>
      </c>
      <c r="HR27" s="583">
        <v>47268.842815366836</v>
      </c>
      <c r="HS27" s="583">
        <v>43448.44307777979</v>
      </c>
      <c r="HT27" s="581"/>
      <c r="HU27" s="582">
        <f t="shared" si="995"/>
        <v>228547.87781754104</v>
      </c>
      <c r="HV27" s="583">
        <v>47529.962546705683</v>
      </c>
      <c r="HW27" s="583">
        <v>47600.783885254801</v>
      </c>
      <c r="HX27" s="583">
        <v>40735.522516263722</v>
      </c>
      <c r="HY27" s="583">
        <v>0</v>
      </c>
      <c r="HZ27" s="583">
        <v>48344.845648401082</v>
      </c>
      <c r="IA27" s="583">
        <v>44336.763220915775</v>
      </c>
      <c r="IB27" s="581"/>
      <c r="IC27" s="582">
        <f t="shared" si="996"/>
        <v>267128.44110135396</v>
      </c>
      <c r="ID27" s="583">
        <v>49174.64733364377</v>
      </c>
      <c r="IE27" s="583">
        <v>49731.353910366772</v>
      </c>
      <c r="IF27" s="583">
        <v>40557.284350918097</v>
      </c>
      <c r="IG27" s="583">
        <v>40571.877769209212</v>
      </c>
      <c r="IH27" s="583">
        <v>44783.583152436127</v>
      </c>
      <c r="II27" s="583">
        <v>42309.694584779943</v>
      </c>
      <c r="IJ27" s="581"/>
      <c r="IK27" s="582">
        <f t="shared" si="997"/>
        <v>266632.29869440163</v>
      </c>
      <c r="IL27" s="583">
        <v>51237.15657638789</v>
      </c>
      <c r="IM27" s="583">
        <v>50358.349416517791</v>
      </c>
      <c r="IN27" s="583">
        <v>40796.537237693381</v>
      </c>
      <c r="IO27" s="583">
        <v>40852.80140911998</v>
      </c>
      <c r="IP27" s="583">
        <v>42878.041593399546</v>
      </c>
      <c r="IQ27" s="583">
        <v>40509.412461283056</v>
      </c>
      <c r="IR27" s="581">
        <v>0</v>
      </c>
      <c r="IS27" s="582">
        <f t="shared" si="998"/>
        <v>262279.67841318669</v>
      </c>
      <c r="IT27" s="583">
        <v>50400.696501301696</v>
      </c>
      <c r="IU27" s="583">
        <v>49536.161492611078</v>
      </c>
      <c r="IV27" s="583">
        <v>40130.545891320027</v>
      </c>
      <c r="IW27" s="583">
        <v>40185.989436455347</v>
      </c>
      <c r="IX27" s="583">
        <v>42177.968448912019</v>
      </c>
      <c r="IY27" s="583">
        <v>39848.316642586491</v>
      </c>
      <c r="IZ27" s="581">
        <v>0</v>
      </c>
      <c r="JA27" s="582">
        <f t="shared" si="999"/>
        <v>243804.15803900117</v>
      </c>
      <c r="JB27" s="583">
        <v>0</v>
      </c>
      <c r="JC27" s="583">
        <v>60307.440157039549</v>
      </c>
      <c r="JD27" s="583">
        <v>43190.618349407072</v>
      </c>
      <c r="JE27" s="583">
        <v>47282.286994219634</v>
      </c>
      <c r="JF27" s="583">
        <v>49878.773038274776</v>
      </c>
      <c r="JG27" s="583">
        <v>43145.039500060098</v>
      </c>
      <c r="JH27" s="581">
        <v>0</v>
      </c>
      <c r="JI27" s="582">
        <f t="shared" si="1000"/>
        <v>322404.01816053916</v>
      </c>
      <c r="JJ27" s="583">
        <v>56615.553625587207</v>
      </c>
      <c r="JK27" s="583">
        <v>59686.613369909559</v>
      </c>
      <c r="JL27" s="583">
        <v>46937.857689194796</v>
      </c>
      <c r="JM27" s="583">
        <v>52300.87662625112</v>
      </c>
      <c r="JN27" s="583">
        <v>55675.474575062224</v>
      </c>
      <c r="JO27" s="583">
        <v>51187.642274534257</v>
      </c>
      <c r="JP27" s="581">
        <v>0</v>
      </c>
      <c r="JQ27" s="582">
        <f t="shared" si="1001"/>
        <v>353082.83220733225</v>
      </c>
      <c r="JR27" s="583">
        <v>50759.298131289848</v>
      </c>
      <c r="JS27" s="583">
        <v>58164.192521103265</v>
      </c>
      <c r="JT27" s="583">
        <v>68837.828345991322</v>
      </c>
      <c r="JU27" s="583">
        <v>57649.008644227972</v>
      </c>
      <c r="JV27" s="583">
        <v>60507.417778487419</v>
      </c>
      <c r="JW27" s="583">
        <v>57165.086786232438</v>
      </c>
      <c r="JX27" s="581">
        <v>0</v>
      </c>
      <c r="JY27" s="582">
        <f t="shared" si="1002"/>
        <v>363640.94900781399</v>
      </c>
      <c r="JZ27" s="583">
        <v>57056.475102507611</v>
      </c>
      <c r="KA27" s="583">
        <v>65541.41246213761</v>
      </c>
      <c r="KB27" s="583">
        <v>63061.574617945676</v>
      </c>
      <c r="KC27" s="583">
        <v>66053.021297667874</v>
      </c>
      <c r="KD27" s="583">
        <v>59702.333662326768</v>
      </c>
      <c r="KE27" s="583">
        <v>52226.131865228468</v>
      </c>
      <c r="KF27" s="581">
        <v>0</v>
      </c>
      <c r="KG27" s="582">
        <f t="shared" si="1003"/>
        <v>358066.52097044804</v>
      </c>
      <c r="KH27" s="583">
        <v>57669.013209862533</v>
      </c>
      <c r="KI27" s="583">
        <v>62486.186811350286</v>
      </c>
      <c r="KJ27" s="583">
        <v>62165.043478431369</v>
      </c>
      <c r="KK27" s="583">
        <v>60145.349035416897</v>
      </c>
      <c r="KL27" s="583">
        <v>63565.68251515962</v>
      </c>
      <c r="KM27" s="583">
        <v>52035.245920227339</v>
      </c>
      <c r="KN27" s="581">
        <v>0</v>
      </c>
      <c r="KO27" s="582">
        <f t="shared" si="1004"/>
        <v>334286</v>
      </c>
      <c r="KP27" s="583">
        <v>58527</v>
      </c>
      <c r="KQ27" s="583">
        <v>58524</v>
      </c>
      <c r="KR27" s="583">
        <v>52379</v>
      </c>
      <c r="KS27" s="583">
        <v>53518</v>
      </c>
      <c r="KT27" s="583">
        <v>58013</v>
      </c>
      <c r="KU27" s="583">
        <v>53325</v>
      </c>
      <c r="KV27" s="581"/>
      <c r="KW27" s="582">
        <f t="shared" si="1005"/>
        <v>340169.67510054482</v>
      </c>
      <c r="KX27" s="583">
        <v>59557.442447877584</v>
      </c>
      <c r="KY27" s="583">
        <v>59553.473369115265</v>
      </c>
      <c r="KZ27" s="583">
        <v>53301.510776417796</v>
      </c>
      <c r="LA27" s="583">
        <v>54460.070674371993</v>
      </c>
      <c r="LB27" s="583">
        <v>59033.907659987293</v>
      </c>
      <c r="LC27" s="583">
        <v>54263.270172774915</v>
      </c>
      <c r="LD27" s="581"/>
      <c r="LE27" s="582">
        <f t="shared" si="1006"/>
        <v>335190.692947659</v>
      </c>
      <c r="LF27" s="583">
        <v>58685.467152611724</v>
      </c>
      <c r="LG27" s="583">
        <v>58681.91441476754</v>
      </c>
      <c r="LH27" s="583">
        <v>52521.372997277525</v>
      </c>
      <c r="LI27" s="583">
        <v>53663.014037349785</v>
      </c>
      <c r="LJ27" s="583">
        <v>58169.844778914347</v>
      </c>
      <c r="LK27" s="583">
        <v>53469.079566738103</v>
      </c>
      <c r="LL27" s="581"/>
      <c r="LM27" s="582">
        <f t="shared" si="1007"/>
        <v>374082.20556987397</v>
      </c>
      <c r="LN27" s="583">
        <v>63743.943719300194</v>
      </c>
      <c r="LO27" s="583">
        <v>63740.039302308491</v>
      </c>
      <c r="LP27" s="583">
        <f>57048.4643144264+5000</f>
        <v>62048.464314426397</v>
      </c>
      <c r="LQ27" s="583">
        <f>58288.2728546773+5000</f>
        <v>63288.2728546773</v>
      </c>
      <c r="LR27" s="583">
        <v>63183.998800767789</v>
      </c>
      <c r="LS27" s="583">
        <v>58077.486578393793</v>
      </c>
      <c r="LT27" s="581"/>
      <c r="LU27" s="582">
        <f t="shared" si="1008"/>
        <v>371777.12990782445</v>
      </c>
      <c r="LV27" s="583">
        <v>63340.421428664486</v>
      </c>
      <c r="LW27" s="583">
        <v>63336.339193913205</v>
      </c>
      <c r="LX27" s="583">
        <v>61687.24550483458</v>
      </c>
      <c r="LY27" s="583">
        <v>62919.305109872803</v>
      </c>
      <c r="LZ27" s="583">
        <v>62784.094004533137</v>
      </c>
      <c r="MA27" s="583">
        <v>57709.724666006296</v>
      </c>
      <c r="MB27" s="581"/>
      <c r="MC27" s="582">
        <f t="shared" si="1009"/>
        <v>360472.0349723305</v>
      </c>
      <c r="MD27" s="583">
        <v>61711.03445392404</v>
      </c>
      <c r="ME27" s="583">
        <v>61707.37384424801</v>
      </c>
      <c r="MF27" s="583">
        <v>60229.328449490873</v>
      </c>
      <c r="MG27" s="583">
        <v>59429.62481155085</v>
      </c>
      <c r="MH27" s="583">
        <v>61169.130750674252</v>
      </c>
      <c r="MI27" s="583">
        <v>56225.542662442473</v>
      </c>
      <c r="MJ27" s="581"/>
      <c r="MK27" s="582">
        <f t="shared" si="1010"/>
        <v>267072.03760593623</v>
      </c>
      <c r="ML27" s="583">
        <v>51735.161144147642</v>
      </c>
      <c r="MM27" s="583">
        <v>0</v>
      </c>
      <c r="MN27" s="583">
        <v>53008.179466116009</v>
      </c>
      <c r="MO27" s="583">
        <v>50116.910856300608</v>
      </c>
      <c r="MP27" s="583">
        <v>61447.507875883806</v>
      </c>
      <c r="MQ27" s="583">
        <v>50764.278263488173</v>
      </c>
      <c r="MR27" s="581"/>
      <c r="MS27" s="582">
        <f t="shared" si="1011"/>
        <v>284336.18939766957</v>
      </c>
      <c r="MT27" s="583">
        <v>53854.078109212773</v>
      </c>
      <c r="MU27" s="583">
        <v>62999.297514148719</v>
      </c>
      <c r="MV27" s="583">
        <v>58338.813781950688</v>
      </c>
      <c r="MW27" s="583">
        <v>58702.389025809207</v>
      </c>
      <c r="MX27" s="583">
        <v>0</v>
      </c>
      <c r="MY27" s="583">
        <v>50441.610966548193</v>
      </c>
      <c r="MZ27" s="581"/>
      <c r="NA27" s="582">
        <f t="shared" si="1012"/>
        <v>368035.33074190968</v>
      </c>
      <c r="NB27" s="583">
        <v>62149.877</v>
      </c>
      <c r="NC27" s="583">
        <v>63295.51090637684</v>
      </c>
      <c r="ND27" s="583">
        <v>57836.888320470462</v>
      </c>
      <c r="NE27" s="583">
        <v>60932.923999999999</v>
      </c>
      <c r="NF27" s="892">
        <v>64629.08400000001</v>
      </c>
      <c r="NG27" s="583">
        <v>59191.046515062349</v>
      </c>
      <c r="NH27" s="581"/>
      <c r="NI27" s="582">
        <f t="shared" si="1013"/>
        <v>405586.8902542229</v>
      </c>
      <c r="NJ27" s="583">
        <v>70740.978000000003</v>
      </c>
      <c r="NK27" s="583">
        <v>69705.613318170872</v>
      </c>
      <c r="NL27" s="583">
        <v>63646.18547561008</v>
      </c>
      <c r="NM27" s="583">
        <v>65118.582000000002</v>
      </c>
      <c r="NN27" s="583">
        <v>71045.307000000001</v>
      </c>
      <c r="NO27" s="583">
        <v>65330.224460441939</v>
      </c>
      <c r="NP27" s="581"/>
      <c r="NQ27" s="582">
        <f t="shared" si="1014"/>
        <v>431021.04142731137</v>
      </c>
      <c r="NR27" s="583">
        <v>75585.111000000004</v>
      </c>
      <c r="NS27" s="583">
        <v>75426.145392675564</v>
      </c>
      <c r="NT27" s="583">
        <v>67675.350079853859</v>
      </c>
      <c r="NU27" s="583">
        <v>69240.902000000002</v>
      </c>
      <c r="NV27" s="583">
        <v>74541.786000000007</v>
      </c>
      <c r="NW27" s="583">
        <v>68551.746954781906</v>
      </c>
      <c r="NX27" s="581"/>
      <c r="NY27" s="582">
        <f t="shared" si="1015"/>
        <v>369695.32925766904</v>
      </c>
      <c r="NZ27" s="583">
        <v>64830.843000000008</v>
      </c>
      <c r="OA27" s="583">
        <v>64694.580909447737</v>
      </c>
      <c r="OB27" s="583">
        <v>58046.294397968304</v>
      </c>
      <c r="OC27" s="583">
        <v>59389.102000000006</v>
      </c>
      <c r="OD27" s="583">
        <v>63936.116999999998</v>
      </c>
      <c r="OE27" s="583">
        <v>58798.391950253019</v>
      </c>
      <c r="OF27" s="581"/>
      <c r="OG27" s="582">
        <f t="shared" si="1016"/>
        <v>352957.55194918951</v>
      </c>
      <c r="OH27" s="583">
        <v>61429.698000000004</v>
      </c>
      <c r="OI27" s="583">
        <v>61790.655780276647</v>
      </c>
      <c r="OJ27" s="583">
        <v>55339.364577598601</v>
      </c>
      <c r="OK27" s="583">
        <v>56800.893000000004</v>
      </c>
      <c r="OL27" s="583">
        <v>61345.83600000001</v>
      </c>
      <c r="OM27" s="583">
        <v>56251.104591314222</v>
      </c>
      <c r="ON27" s="581"/>
      <c r="OO27" s="582">
        <f t="shared" si="1017"/>
        <v>393139.46574377833</v>
      </c>
      <c r="OP27" s="583">
        <v>59329.817999999999</v>
      </c>
      <c r="OQ27" s="583">
        <v>69187.894094822899</v>
      </c>
      <c r="OR27" s="583">
        <v>61921.562117375754</v>
      </c>
      <c r="OS27" s="583">
        <v>67923.835999999996</v>
      </c>
      <c r="OT27" s="583">
        <v>68360.274000000005</v>
      </c>
      <c r="OU27" s="583">
        <v>66416.08153157965</v>
      </c>
      <c r="OV27" s="581"/>
      <c r="OW27" s="582">
        <f t="shared" si="1018"/>
        <v>370334.65382688318</v>
      </c>
      <c r="OX27" s="583">
        <v>59808</v>
      </c>
      <c r="OY27" s="583">
        <v>64862.998421597353</v>
      </c>
      <c r="OZ27" s="583">
        <v>59471.358606311915</v>
      </c>
      <c r="PA27" s="583">
        <v>60482.567999999999</v>
      </c>
      <c r="PB27" s="583">
        <v>64727.54800000001</v>
      </c>
      <c r="PC27" s="583">
        <v>60982.180798973859</v>
      </c>
      <c r="PD27" s="581"/>
      <c r="PE27" s="582">
        <f t="shared" si="971"/>
        <v>350769.5256330361</v>
      </c>
      <c r="PF27" s="583">
        <v>60683.199999999997</v>
      </c>
      <c r="PG27" s="583">
        <v>61510.229730288207</v>
      </c>
      <c r="PH27" s="583">
        <v>55122.681642921125</v>
      </c>
      <c r="PI27" s="583">
        <v>56516.76</v>
      </c>
      <c r="PJ27" s="583">
        <v>60972.380000000005</v>
      </c>
      <c r="PK27" s="583">
        <v>55964.27425982675</v>
      </c>
      <c r="PL27" s="581"/>
    </row>
    <row r="28" spans="1:428" s="44" customFormat="1" x14ac:dyDescent="0.3">
      <c r="A28"/>
      <c r="B28" s="1000"/>
      <c r="C28" s="1001"/>
      <c r="D28" s="600" t="s">
        <v>309</v>
      </c>
      <c r="E28" s="582">
        <f>SUM(F28:L28)</f>
        <v>37898.857235609277</v>
      </c>
      <c r="F28" s="657">
        <v>9955.053738034765</v>
      </c>
      <c r="G28" s="657">
        <v>6447.0457431537743</v>
      </c>
      <c r="H28" s="657">
        <v>5828.8849496261964</v>
      </c>
      <c r="I28" s="657">
        <v>5339.1618050718389</v>
      </c>
      <c r="J28" s="657">
        <v>4799.8110519346319</v>
      </c>
      <c r="K28" s="657">
        <v>5528.8999477880679</v>
      </c>
      <c r="L28" s="584"/>
      <c r="M28" s="582">
        <f>SUM(N28:T28)</f>
        <v>38710.131876506326</v>
      </c>
      <c r="N28" s="657">
        <v>10162.317301959009</v>
      </c>
      <c r="O28" s="657">
        <v>6518.2980579412997</v>
      </c>
      <c r="P28" s="657">
        <v>5950.2454220233421</v>
      </c>
      <c r="Q28" s="657">
        <v>5380.3142762734624</v>
      </c>
      <c r="R28" s="657">
        <v>4899.7215632277466</v>
      </c>
      <c r="S28" s="657">
        <v>5799.2352550814667</v>
      </c>
      <c r="T28" s="584"/>
      <c r="U28" s="582">
        <f>SUM(V28:AB28)</f>
        <v>40291.340790687507</v>
      </c>
      <c r="V28" s="657">
        <v>10350.982634933885</v>
      </c>
      <c r="W28" s="657">
        <v>6574.6533528989376</v>
      </c>
      <c r="X28" s="657">
        <v>6326.8648001859747</v>
      </c>
      <c r="Y28" s="657">
        <v>6053.5197765038502</v>
      </c>
      <c r="Z28" s="657">
        <v>5186.6967047600901</v>
      </c>
      <c r="AA28" s="657">
        <v>5798.6235214047701</v>
      </c>
      <c r="AB28" s="584"/>
      <c r="AC28" s="582">
        <f>SUM(AD28:AJ28)</f>
        <v>40520.864342216257</v>
      </c>
      <c r="AD28" s="657">
        <v>10409.948173714334</v>
      </c>
      <c r="AE28" s="657">
        <v>6612.1361769870409</v>
      </c>
      <c r="AF28" s="657">
        <v>6362.9059771937664</v>
      </c>
      <c r="AG28" s="657">
        <v>6087.9882476058474</v>
      </c>
      <c r="AH28" s="657">
        <v>5216.2286267688987</v>
      </c>
      <c r="AI28" s="657">
        <v>5831.6571399463737</v>
      </c>
      <c r="AJ28" s="584"/>
      <c r="AK28" s="582">
        <f>SUM(AL28:AR28)</f>
        <v>41228.094067412218</v>
      </c>
      <c r="AL28" s="657">
        <v>10591.662036760596</v>
      </c>
      <c r="AM28" s="657">
        <v>6727.5116296871347</v>
      </c>
      <c r="AN28" s="657">
        <v>6473.9564886529251</v>
      </c>
      <c r="AO28" s="657">
        <v>6194.2332687973012</v>
      </c>
      <c r="AP28" s="657">
        <v>5307.2708242043382</v>
      </c>
      <c r="AQ28" s="657">
        <v>5933.4598193099255</v>
      </c>
      <c r="AR28" s="584"/>
      <c r="AS28" s="582">
        <f>SUM(AT28:AZ28)</f>
        <v>41466.670005138752</v>
      </c>
      <c r="AT28" s="657">
        <v>10652.944732183916</v>
      </c>
      <c r="AU28" s="657">
        <v>6766.4361008555497</v>
      </c>
      <c r="AV28" s="657">
        <v>6511.4393127410285</v>
      </c>
      <c r="AW28" s="657">
        <v>6230.0997007044489</v>
      </c>
      <c r="AX28" s="657">
        <v>5337.9822756424928</v>
      </c>
      <c r="AY28" s="657">
        <v>5967.7678830113127</v>
      </c>
      <c r="AZ28" s="584"/>
      <c r="BA28" s="582">
        <f>SUM(BB28:BH28)</f>
        <v>40482.873361304024</v>
      </c>
      <c r="BB28" s="657">
        <v>10860.818602941699</v>
      </c>
      <c r="BC28" s="657">
        <v>6435.4251939609594</v>
      </c>
      <c r="BD28" s="657">
        <v>5974.5349910128352</v>
      </c>
      <c r="BE28" s="657">
        <v>5643.3493390176009</v>
      </c>
      <c r="BF28" s="657">
        <v>5653.7903587810697</v>
      </c>
      <c r="BG28" s="657">
        <v>5914.9548755898604</v>
      </c>
      <c r="BH28" s="584"/>
      <c r="BI28" s="582">
        <f>SUM(BJ28:BP28)</f>
        <v>39674</v>
      </c>
      <c r="BJ28" s="657">
        <v>10632</v>
      </c>
      <c r="BK28" s="657">
        <v>6438</v>
      </c>
      <c r="BL28" s="657">
        <v>5836</v>
      </c>
      <c r="BM28" s="657">
        <v>5533</v>
      </c>
      <c r="BN28" s="657">
        <v>5185</v>
      </c>
      <c r="BO28" s="657">
        <v>6050</v>
      </c>
      <c r="BP28" s="584"/>
      <c r="BQ28" s="582">
        <f>SUM(BR28:BX28)</f>
        <v>39426.841921356579</v>
      </c>
      <c r="BR28" s="657">
        <v>10128.901464056542</v>
      </c>
      <c r="BS28" s="657">
        <v>6433.5903704041984</v>
      </c>
      <c r="BT28" s="657">
        <v>6191.1315432608735</v>
      </c>
      <c r="BU28" s="657">
        <v>5923.5967941751569</v>
      </c>
      <c r="BV28" s="657">
        <v>5075.3840756499649</v>
      </c>
      <c r="BW28" s="657">
        <v>5674.2376738098437</v>
      </c>
      <c r="BX28" s="584"/>
      <c r="BY28" s="582">
        <f>SUM(BZ28:CF28)</f>
        <v>38544.056864729842</v>
      </c>
      <c r="BZ28" s="657">
        <v>10750.021399958965</v>
      </c>
      <c r="CA28" s="657">
        <v>6355.522996691564</v>
      </c>
      <c r="CB28" s="657">
        <v>5463.8861206563788</v>
      </c>
      <c r="CC28" s="657">
        <v>4997.9283097895832</v>
      </c>
      <c r="CD28" s="657">
        <v>4972.633956471388</v>
      </c>
      <c r="CE28" s="657">
        <v>6004.0640811619633</v>
      </c>
      <c r="CF28" s="584"/>
      <c r="CG28" s="582">
        <f>SUM(CH28:CN28)</f>
        <v>38618.917192810281</v>
      </c>
      <c r="CH28" s="657">
        <v>10770.875809744812</v>
      </c>
      <c r="CI28" s="657">
        <v>6367.8862125621154</v>
      </c>
      <c r="CJ28" s="657">
        <v>5474.5018855204917</v>
      </c>
      <c r="CK28" s="657">
        <v>5007.6266628753165</v>
      </c>
      <c r="CL28" s="657">
        <v>4982.2886232819601</v>
      </c>
      <c r="CM28" s="657">
        <v>6015.7379988255852</v>
      </c>
      <c r="CN28" s="584"/>
      <c r="CO28" s="582">
        <f>SUM(CP28:CV28)</f>
        <v>40064.043233846889</v>
      </c>
      <c r="CP28" s="657">
        <v>10679.287144544985</v>
      </c>
      <c r="CQ28" s="657">
        <v>6459.1468413733601</v>
      </c>
      <c r="CR28" s="657">
        <v>5889.9583623012177</v>
      </c>
      <c r="CS28" s="657">
        <v>5583.4554557719248</v>
      </c>
      <c r="CT28" s="657">
        <v>5051.8808596133686</v>
      </c>
      <c r="CU28" s="657">
        <v>6400.3145702420288</v>
      </c>
      <c r="CV28" s="584"/>
      <c r="CW28" s="582">
        <f>SUM(CX28:DD28)</f>
        <v>40287.345669248411</v>
      </c>
      <c r="CX28" s="657">
        <v>11483.157566202324</v>
      </c>
      <c r="CY28" s="657">
        <v>5918.5728725316458</v>
      </c>
      <c r="CZ28" s="657">
        <v>5672.4880845499611</v>
      </c>
      <c r="DA28" s="657">
        <v>5221.6894111640186</v>
      </c>
      <c r="DB28" s="657">
        <v>5339.5986678234485</v>
      </c>
      <c r="DC28" s="657">
        <v>6651.8390669770142</v>
      </c>
      <c r="DD28" s="584"/>
      <c r="DE28" s="582">
        <f t="shared" si="969"/>
        <v>38794</v>
      </c>
      <c r="DF28" s="657">
        <v>10380</v>
      </c>
      <c r="DG28" s="657">
        <v>5692</v>
      </c>
      <c r="DH28" s="657">
        <v>5489</v>
      </c>
      <c r="DI28" s="657">
        <v>5472</v>
      </c>
      <c r="DJ28" s="657">
        <v>5202</v>
      </c>
      <c r="DK28" s="657">
        <v>6559</v>
      </c>
      <c r="DL28" s="584"/>
      <c r="DM28" s="582">
        <f t="shared" si="970"/>
        <v>41505.461725213274</v>
      </c>
      <c r="DN28" s="657">
        <v>11477.486630207928</v>
      </c>
      <c r="DO28" s="657">
        <v>6130.7134247132662</v>
      </c>
      <c r="DP28" s="657">
        <v>6100.0456595502719</v>
      </c>
      <c r="DQ28" s="657">
        <v>5867.3725580430018</v>
      </c>
      <c r="DR28" s="657">
        <v>5792.6253412425995</v>
      </c>
      <c r="DS28" s="657">
        <v>6137.2181114562036</v>
      </c>
      <c r="DT28" s="584"/>
      <c r="DU28" s="582">
        <f>SUM(DV28:EB28)</f>
        <v>29065.624942763614</v>
      </c>
      <c r="DV28" s="657">
        <v>0</v>
      </c>
      <c r="DW28" s="657">
        <v>7335.3187760015662</v>
      </c>
      <c r="DX28" s="657">
        <v>5229.0287053910597</v>
      </c>
      <c r="DY28" s="657">
        <v>5312.6005497739752</v>
      </c>
      <c r="DZ28" s="657">
        <v>5227.2812543846212</v>
      </c>
      <c r="EA28" s="657">
        <v>5961.3956572123925</v>
      </c>
      <c r="EB28" s="584"/>
      <c r="EC28" s="582">
        <f>SUM(ED28:EJ28)</f>
        <v>35217.524118584304</v>
      </c>
      <c r="ED28" s="657">
        <v>10132.925999278372</v>
      </c>
      <c r="EE28" s="657">
        <v>5353.5345895997943</v>
      </c>
      <c r="EF28" s="657">
        <v>5459.8669833415706</v>
      </c>
      <c r="EG28" s="657">
        <v>5008.5003883785357</v>
      </c>
      <c r="EH28" s="657">
        <v>5017.4560747865326</v>
      </c>
      <c r="EI28" s="657">
        <v>4245.2400831995001</v>
      </c>
      <c r="EJ28" s="584"/>
      <c r="EK28" s="582">
        <f>SUM(EL28:ER28)</f>
        <v>40726.354286246067</v>
      </c>
      <c r="EL28" s="657">
        <v>11283.333294657827</v>
      </c>
      <c r="EM28" s="657">
        <v>6072.8727964001555</v>
      </c>
      <c r="EN28" s="657">
        <v>5786.8587529213528</v>
      </c>
      <c r="EO28" s="657">
        <v>5659.0327118003852</v>
      </c>
      <c r="EP28" s="657">
        <v>5266.5552157543243</v>
      </c>
      <c r="EQ28" s="657">
        <v>6657.701514712021</v>
      </c>
      <c r="ER28" s="584"/>
      <c r="ES28" s="582">
        <f>SUM(ET28:EZ28)</f>
        <v>40708.488752580321</v>
      </c>
      <c r="ET28" s="657">
        <v>11599.320287377872</v>
      </c>
      <c r="EU28" s="657">
        <v>6299.9540546868238</v>
      </c>
      <c r="EV28" s="657">
        <v>5821.8500004516454</v>
      </c>
      <c r="EW28" s="657">
        <v>5756.8462818857734</v>
      </c>
      <c r="EX28" s="657">
        <v>5691.1421240436903</v>
      </c>
      <c r="EY28" s="657">
        <v>5539.3760041345167</v>
      </c>
      <c r="EZ28" s="584"/>
      <c r="FA28" s="582">
        <f>SUM(FB28:FH28)</f>
        <v>39325.81404147276</v>
      </c>
      <c r="FB28" s="657">
        <v>11387.056543329536</v>
      </c>
      <c r="FC28" s="657">
        <v>5890.8757740795982</v>
      </c>
      <c r="FD28" s="657">
        <v>5377.8544167688569</v>
      </c>
      <c r="FE28" s="657">
        <v>5476.9920032046666</v>
      </c>
      <c r="FF28" s="657">
        <v>5486.7777288407215</v>
      </c>
      <c r="FG28" s="657">
        <v>5706.2575752493822</v>
      </c>
      <c r="FH28" s="584"/>
      <c r="FI28" s="582">
        <f>SUM(FJ28:FP28)</f>
        <v>32724.58200593288</v>
      </c>
      <c r="FJ28" s="657">
        <v>12527.829345299157</v>
      </c>
      <c r="FK28" s="657">
        <v>5036.5906633070326</v>
      </c>
      <c r="FL28" s="657">
        <v>4971.2994140864048</v>
      </c>
      <c r="FM28" s="657">
        <v>0</v>
      </c>
      <c r="FN28" s="657">
        <v>4975.954113383621</v>
      </c>
      <c r="FO28" s="657">
        <v>5212.9084698566658</v>
      </c>
      <c r="FP28" s="584"/>
      <c r="FQ28" s="582">
        <f>SUM(FR28:FX28)</f>
        <v>39835.069699643122</v>
      </c>
      <c r="FR28" s="657">
        <v>11002.95734087034</v>
      </c>
      <c r="FS28" s="657">
        <v>6654.9487266447813</v>
      </c>
      <c r="FT28" s="657">
        <v>5568.384482608898</v>
      </c>
      <c r="FU28" s="657">
        <v>5752.6960857454824</v>
      </c>
      <c r="FV28" s="657">
        <v>5279.3116081013241</v>
      </c>
      <c r="FW28" s="657">
        <v>5576.7714556722985</v>
      </c>
      <c r="FX28" s="584"/>
      <c r="FY28" s="582">
        <f>SUM(FZ28:GF28)</f>
        <v>29066.635594484014</v>
      </c>
      <c r="FZ28" s="657">
        <v>0</v>
      </c>
      <c r="GA28" s="657">
        <v>8140.2820821174073</v>
      </c>
      <c r="GB28" s="657">
        <v>5099.8160122524414</v>
      </c>
      <c r="GC28" s="657">
        <v>5556.6757690982568</v>
      </c>
      <c r="GD28" s="657">
        <v>5435.315296701111</v>
      </c>
      <c r="GE28" s="657">
        <v>4834.5464343147987</v>
      </c>
      <c r="GF28" s="584"/>
      <c r="GG28" s="582">
        <f>SUM(GH28:GN28)</f>
        <v>38456.606297916733</v>
      </c>
      <c r="GH28" s="657">
        <v>10805.450225968714</v>
      </c>
      <c r="GI28" s="657">
        <v>6316.3800941473446</v>
      </c>
      <c r="GJ28" s="657">
        <v>5468.4493986326252</v>
      </c>
      <c r="GK28" s="657">
        <v>5576.3782791958492</v>
      </c>
      <c r="GL28" s="657">
        <v>5440.1207869688169</v>
      </c>
      <c r="GM28" s="657">
        <v>4849.827513003378</v>
      </c>
      <c r="GN28" s="584"/>
      <c r="GO28" s="582">
        <f>SUM(GP28:GV28)</f>
        <v>38509.758570879087</v>
      </c>
      <c r="GP28" s="657">
        <v>10820.3897885346</v>
      </c>
      <c r="GQ28" s="657">
        <v>6325.1173491795362</v>
      </c>
      <c r="GR28" s="657">
        <v>5475.9856183628854</v>
      </c>
      <c r="GS28" s="657">
        <v>5584.1107498993397</v>
      </c>
      <c r="GT28" s="657">
        <v>5447.6348262965012</v>
      </c>
      <c r="GU28" s="657">
        <v>4856.5202386062247</v>
      </c>
      <c r="GV28" s="584"/>
      <c r="GW28" s="582">
        <f>SUM(GX28:HD28)</f>
        <v>36971.461927355878</v>
      </c>
      <c r="GX28" s="657">
        <v>10388.118119026225</v>
      </c>
      <c r="GY28" s="657">
        <v>6072.4796199237071</v>
      </c>
      <c r="GZ28" s="657">
        <v>5257.2348148095289</v>
      </c>
      <c r="HA28" s="657">
        <v>5361.0486289274795</v>
      </c>
      <c r="HB28" s="657">
        <v>5230.0334897197617</v>
      </c>
      <c r="HC28" s="657">
        <v>4662.5472549491724</v>
      </c>
      <c r="HD28" s="584"/>
      <c r="HE28" s="582">
        <f>SUM(HF28:HL28)</f>
        <v>32398.038211950989</v>
      </c>
      <c r="HF28" s="657">
        <v>9503.8179707386789</v>
      </c>
      <c r="HG28" s="657">
        <v>5618.7976523771413</v>
      </c>
      <c r="HH28" s="657">
        <v>4432.459703372786</v>
      </c>
      <c r="HI28" s="657">
        <v>4418.5609286049375</v>
      </c>
      <c r="HJ28" s="657">
        <v>4396.1935557225261</v>
      </c>
      <c r="HK28" s="657">
        <v>4028.2084011349184</v>
      </c>
      <c r="HL28" s="584"/>
      <c r="HM28" s="582">
        <f>SUM(HN28:HT28)</f>
        <v>30622.462935535652</v>
      </c>
      <c r="HN28" s="657">
        <v>8733.119999999999</v>
      </c>
      <c r="HO28" s="657">
        <v>5000.1999960979538</v>
      </c>
      <c r="HP28" s="657">
        <v>4328.9569409071883</v>
      </c>
      <c r="HQ28" s="657">
        <v>4414.4107324646457</v>
      </c>
      <c r="HR28" s="657">
        <v>4306.5493190922371</v>
      </c>
      <c r="HS28" s="657">
        <v>3839.2259469736305</v>
      </c>
      <c r="HT28" s="584"/>
      <c r="HU28" s="582">
        <f>SUM(HV28:IB28)</f>
        <v>25834.413500559996</v>
      </c>
      <c r="HV28" s="657">
        <v>8388.84</v>
      </c>
      <c r="HW28" s="657">
        <v>4991.4190547906001</v>
      </c>
      <c r="HX28" s="657">
        <v>4131.8527259407492</v>
      </c>
      <c r="HY28" s="657">
        <v>0</v>
      </c>
      <c r="HZ28" s="657">
        <v>4404.5813205534305</v>
      </c>
      <c r="IA28" s="657">
        <v>3917.7203992752175</v>
      </c>
      <c r="IB28" s="584"/>
      <c r="IC28" s="582">
        <f>SUM(ID28:IJ28)</f>
        <v>29927.325117654302</v>
      </c>
      <c r="ID28" s="657">
        <v>8679.119999999999</v>
      </c>
      <c r="IE28" s="657">
        <v>5214.8306659637483</v>
      </c>
      <c r="IF28" s="657">
        <v>4113.7738158431566</v>
      </c>
      <c r="IG28" s="657">
        <v>4100.8743356344394</v>
      </c>
      <c r="IH28" s="657">
        <v>4080.1233549329831</v>
      </c>
      <c r="II28" s="657">
        <v>3738.6029452799748</v>
      </c>
      <c r="IJ28" s="584"/>
      <c r="IK28" s="582">
        <f>SUM(IL28:IR28)</f>
        <v>28653.915558539487</v>
      </c>
      <c r="IL28" s="657">
        <v>8309.82</v>
      </c>
      <c r="IM28" s="657">
        <v>4992.9480744212342</v>
      </c>
      <c r="IN28" s="657">
        <v>3938.717052215246</v>
      </c>
      <c r="IO28" s="657">
        <v>3926.3913526415699</v>
      </c>
      <c r="IP28" s="657">
        <v>3906.5140974433298</v>
      </c>
      <c r="IQ28" s="657">
        <v>3579.5249818181087</v>
      </c>
      <c r="IR28" s="584">
        <v>0</v>
      </c>
      <c r="IS28" s="582">
        <f>SUM(IT28:IZ28)</f>
        <v>28186.152580841772</v>
      </c>
      <c r="IT28" s="657">
        <v>8174.16</v>
      </c>
      <c r="IU28" s="657">
        <v>4911.4294849708831</v>
      </c>
      <c r="IV28" s="657">
        <v>3874.4186668570669</v>
      </c>
      <c r="IW28" s="657">
        <v>3862.3035869804385</v>
      </c>
      <c r="IX28" s="657">
        <v>3842.7321357083288</v>
      </c>
      <c r="IY28" s="657">
        <v>3521.1087063250598</v>
      </c>
      <c r="IZ28" s="584">
        <v>0</v>
      </c>
      <c r="JA28" s="582">
        <f>SUM(JB28:JH28)</f>
        <v>23050.322470222807</v>
      </c>
      <c r="JB28" s="657">
        <v>0</v>
      </c>
      <c r="JC28" s="657">
        <v>5979.3841675557014</v>
      </c>
      <c r="JD28" s="657">
        <v>4169.8545147933391</v>
      </c>
      <c r="JE28" s="657">
        <v>4544.3337147933398</v>
      </c>
      <c r="JF28" s="657">
        <v>4544.3337147933398</v>
      </c>
      <c r="JG28" s="657">
        <v>3812.4163582870856</v>
      </c>
      <c r="JH28" s="584">
        <v>0</v>
      </c>
      <c r="JI28" s="582">
        <f>SUM(JJ28:JP28)</f>
        <v>40655.177561028504</v>
      </c>
      <c r="JJ28" s="657">
        <v>15583.5</v>
      </c>
      <c r="JK28" s="657">
        <v>5917.8302058539102</v>
      </c>
      <c r="JL28" s="657">
        <v>4531.633148121</v>
      </c>
      <c r="JM28" s="657">
        <v>5026.673878845495</v>
      </c>
      <c r="JN28" s="657">
        <v>5072.4570952141803</v>
      </c>
      <c r="JO28" s="657">
        <v>4523.083232993913</v>
      </c>
      <c r="JP28" s="584">
        <v>0</v>
      </c>
      <c r="JQ28" s="582">
        <f>SUM(JR28:JX28)</f>
        <v>46254.307917836129</v>
      </c>
      <c r="JR28" s="657">
        <v>17726.400000000001</v>
      </c>
      <c r="JS28" s="657">
        <v>6163.4781310839853</v>
      </c>
      <c r="JT28" s="657">
        <v>6259.7925565851292</v>
      </c>
      <c r="JU28" s="657">
        <v>5540.6865923893456</v>
      </c>
      <c r="JV28" s="657">
        <v>5512.6836900111703</v>
      </c>
      <c r="JW28" s="657">
        <v>5051.2669477664949</v>
      </c>
      <c r="JX28" s="584">
        <v>0</v>
      </c>
      <c r="JY28" s="582">
        <f>SUM(JZ28:KF28)</f>
        <v>37066.944553082431</v>
      </c>
      <c r="JZ28" s="657">
        <v>7681.1399999999994</v>
      </c>
      <c r="KA28" s="657">
        <v>6894.9174361039322</v>
      </c>
      <c r="KB28" s="657">
        <v>6088.3034714465439</v>
      </c>
      <c r="KC28" s="657">
        <v>6348.4021338403272</v>
      </c>
      <c r="KD28" s="657">
        <v>5439.3344340159192</v>
      </c>
      <c r="KE28" s="657">
        <v>4614.8470776757094</v>
      </c>
      <c r="KF28" s="584">
        <v>0</v>
      </c>
      <c r="KG28" s="582">
        <f>SUM(KH28:KN28)</f>
        <v>42750.949062877815</v>
      </c>
      <c r="KH28" s="657">
        <v>14373.48</v>
      </c>
      <c r="KI28" s="657">
        <v>6591.9968041378388</v>
      </c>
      <c r="KJ28" s="657">
        <v>5615.5660284733467</v>
      </c>
      <c r="KK28" s="657">
        <v>5780.6116155733353</v>
      </c>
      <c r="KL28" s="657">
        <v>5791.3147529877706</v>
      </c>
      <c r="KM28" s="657">
        <v>4597.9798617055312</v>
      </c>
      <c r="KN28" s="584">
        <v>0</v>
      </c>
      <c r="KO28" s="582">
        <f>SUM(KP28:KV28)</f>
        <v>37195</v>
      </c>
      <c r="KP28">
        <v>10330</v>
      </c>
      <c r="KQ28">
        <v>6137</v>
      </c>
      <c r="KR28">
        <v>5313</v>
      </c>
      <c r="KS28">
        <v>5418</v>
      </c>
      <c r="KT28">
        <v>5285</v>
      </c>
      <c r="KU28">
        <v>4712</v>
      </c>
      <c r="KV28" s="584"/>
      <c r="KW28" s="582">
        <f>SUM(KX28:LD28)</f>
        <v>37849.308541596292</v>
      </c>
      <c r="KX28" s="583">
        <v>10511.64</v>
      </c>
      <c r="KY28" s="583">
        <v>6244.7782891585312</v>
      </c>
      <c r="KZ28" s="583">
        <v>5406.4359309586207</v>
      </c>
      <c r="LA28" s="583">
        <v>5513.1642390379411</v>
      </c>
      <c r="LB28" s="583">
        <v>5378.435766441542</v>
      </c>
      <c r="LC28" s="583">
        <v>4794.8543159996543</v>
      </c>
      <c r="LD28" s="584"/>
      <c r="LE28" s="582">
        <f>SUM(LF28:LL28)</f>
        <v>38295.298425587498</v>
      </c>
      <c r="LF28" s="657">
        <v>11357.74</v>
      </c>
      <c r="LG28" s="657">
        <v>6153.3866015218036</v>
      </c>
      <c r="LH28" s="657">
        <v>5327.3056237908868</v>
      </c>
      <c r="LI28" s="657">
        <v>5432.4756888156489</v>
      </c>
      <c r="LJ28" s="657">
        <v>5299.7130986014927</v>
      </c>
      <c r="LK28" s="657">
        <v>4724.6774128576735</v>
      </c>
      <c r="LL28" s="584"/>
      <c r="LM28" s="582">
        <f>SUM(LN28:LT28)</f>
        <v>40509.950383163086</v>
      </c>
      <c r="LN28" s="657">
        <v>11250.539999999999</v>
      </c>
      <c r="LO28" s="657">
        <v>6683.7816682510147</v>
      </c>
      <c r="LP28" s="657">
        <v>5786.4939057596785</v>
      </c>
      <c r="LQ28" s="657">
        <v>5900.7051859908133</v>
      </c>
      <c r="LR28" s="657">
        <v>5756.5404779596465</v>
      </c>
      <c r="LS28" s="657">
        <v>5131.8891452019343</v>
      </c>
      <c r="LT28" s="584"/>
      <c r="LU28" s="582">
        <f>SUM(LV28:MB28)</f>
        <v>40253.476937152933</v>
      </c>
      <c r="LV28" s="657">
        <v>11179.32</v>
      </c>
      <c r="LW28" s="657">
        <v>6641.4496676200442</v>
      </c>
      <c r="LX28" s="657">
        <v>5749.8550502625621</v>
      </c>
      <c r="LY28" s="657">
        <v>5863.3534207281928</v>
      </c>
      <c r="LZ28" s="657">
        <v>5720.1061244754064</v>
      </c>
      <c r="MA28" s="657">
        <v>5099.3926740667284</v>
      </c>
      <c r="MB28" s="584"/>
      <c r="MC28" s="582">
        <f>SUM(MD28:MJ28)</f>
        <v>39218.118462811406</v>
      </c>
      <c r="MD28" s="657">
        <v>10891.74</v>
      </c>
      <c r="ME28" s="657">
        <v>6470.6363317406922</v>
      </c>
      <c r="MF28" s="657">
        <v>5601.9767811937818</v>
      </c>
      <c r="MG28" s="657">
        <v>5712.5483988725609</v>
      </c>
      <c r="MH28" s="657">
        <v>5572.9707497332947</v>
      </c>
      <c r="MI28" s="657">
        <v>4968.2462012710757</v>
      </c>
      <c r="MJ28" s="584"/>
      <c r="MK28" s="582">
        <f>SUM(ML28:MR28)</f>
        <v>30887.818302199696</v>
      </c>
      <c r="ML28" s="657">
        <v>7031.0399999999991</v>
      </c>
      <c r="MM28" s="657">
        <v>0</v>
      </c>
      <c r="MN28" s="657">
        <v>6390.99493518695</v>
      </c>
      <c r="MO28" s="657">
        <v>6015.1632269125275</v>
      </c>
      <c r="MP28" s="657">
        <v>6964.9465351869503</v>
      </c>
      <c r="MQ28" s="657">
        <v>4485.6736049132651</v>
      </c>
      <c r="MR28" s="584"/>
      <c r="MS28" s="582">
        <f>SUM(MT28:MZ28)</f>
        <v>30507.458079454897</v>
      </c>
      <c r="MT28" s="657">
        <v>7078.02</v>
      </c>
      <c r="MU28" s="657">
        <v>6606.1074710148287</v>
      </c>
      <c r="MV28" s="657">
        <v>5917.3755941602121</v>
      </c>
      <c r="MW28" s="657">
        <v>6448.7931941602128</v>
      </c>
      <c r="MX28" s="657">
        <v>0</v>
      </c>
      <c r="MY28" s="657">
        <v>4457.1618201196379</v>
      </c>
      <c r="MZ28" s="584"/>
      <c r="NA28" s="582">
        <f>SUM(NB28:NH28)</f>
        <v>35957.977549794748</v>
      </c>
      <c r="NB28" s="657">
        <v>6825.26</v>
      </c>
      <c r="NC28" s="657">
        <v>6637.1684126542705</v>
      </c>
      <c r="ND28" s="657">
        <v>5562.1711099589493</v>
      </c>
      <c r="NE28" s="657">
        <v>5831.5061261358533</v>
      </c>
      <c r="NF28" s="657">
        <v>5869.8626757271759</v>
      </c>
      <c r="NG28" s="657">
        <v>5232.0092253184985</v>
      </c>
      <c r="NH28" s="584"/>
      <c r="NI28" s="582">
        <f>SUM(NJ28:NP28)</f>
        <v>37364.882937358831</v>
      </c>
      <c r="NJ28" s="657">
        <v>6262.24</v>
      </c>
      <c r="NK28" s="657">
        <v>6974.5138294472008</v>
      </c>
      <c r="NL28" s="657">
        <v>6144.7449468731747</v>
      </c>
      <c r="NM28" s="657">
        <v>6266.053505161919</v>
      </c>
      <c r="NN28" s="657">
        <v>6195.0196217501989</v>
      </c>
      <c r="NO28" s="657">
        <v>5522.3110341263391</v>
      </c>
      <c r="NP28" s="584"/>
      <c r="NQ28" s="582">
        <f>SUM(NR28:NX28)</f>
        <v>41241.268312347514</v>
      </c>
      <c r="NR28" s="657">
        <v>8203.3799999999992</v>
      </c>
      <c r="NS28" s="657">
        <v>7546.8914066060934</v>
      </c>
      <c r="NT28" s="657">
        <v>6533.7421610351266</v>
      </c>
      <c r="NU28" s="657">
        <v>6662.7248836234321</v>
      </c>
      <c r="NV28" s="657">
        <v>6499.9061360985352</v>
      </c>
      <c r="NW28" s="657">
        <v>5794.6237249843334</v>
      </c>
      <c r="NX28" s="584"/>
      <c r="NY28" s="582">
        <f>SUM(NZ28:OF28)</f>
        <v>35808.192408078095</v>
      </c>
      <c r="NZ28" s="657">
        <v>7470.9399999999987</v>
      </c>
      <c r="OA28" s="657">
        <v>6473.1264494248671</v>
      </c>
      <c r="OB28" s="657">
        <v>5604.1013537773124</v>
      </c>
      <c r="OC28" s="657">
        <v>5714.7327126306081</v>
      </c>
      <c r="OD28" s="657">
        <v>5575.1113772161816</v>
      </c>
      <c r="OE28" s="657">
        <v>4970.1805150291239</v>
      </c>
      <c r="OF28" s="584"/>
      <c r="OG28" s="582">
        <f>SUM(OH28:ON28)</f>
        <v>34805.440195443749</v>
      </c>
      <c r="OH28" s="657">
        <v>6777.1399999999994</v>
      </c>
      <c r="OI28" s="657">
        <v>6402.5294287647566</v>
      </c>
      <c r="OJ28" s="657">
        <v>5543.0098704320098</v>
      </c>
      <c r="OK28" s="657">
        <v>5652.4360842510805</v>
      </c>
      <c r="OL28" s="657">
        <v>5514.3437684672872</v>
      </c>
      <c r="OM28" s="657">
        <v>4915.981043528619</v>
      </c>
      <c r="ON28" s="584"/>
      <c r="OO28" s="582">
        <f>SUM(OP28:OV28)</f>
        <v>42488.570960387573</v>
      </c>
      <c r="OP28" s="657">
        <v>10408.74</v>
      </c>
      <c r="OQ28" s="657">
        <v>7169.0051264637932</v>
      </c>
      <c r="OR28" s="657">
        <v>6202.3088380043127</v>
      </c>
      <c r="OS28" s="657">
        <v>6759.3152380043139</v>
      </c>
      <c r="OT28" s="657">
        <v>6144.8677778654164</v>
      </c>
      <c r="OU28" s="657">
        <v>5804.3339800497342</v>
      </c>
      <c r="OV28" s="584"/>
      <c r="OW28" s="582">
        <f>SUM(OX28:PD28)</f>
        <v>36005.515226442636</v>
      </c>
      <c r="OX28" s="657">
        <v>6500</v>
      </c>
      <c r="OY28" s="657">
        <v>6642.1049617474591</v>
      </c>
      <c r="OZ28" s="657">
        <v>5883.3824328237179</v>
      </c>
      <c r="PA28" s="657">
        <v>5951.0317749762389</v>
      </c>
      <c r="PB28" s="657">
        <v>5759.0742819189827</v>
      </c>
      <c r="PC28" s="657">
        <v>5269.9217749762383</v>
      </c>
      <c r="PD28" s="584"/>
      <c r="PE28" s="582">
        <f t="shared" si="971"/>
        <v>33574.025984477332</v>
      </c>
      <c r="PF28" s="657">
        <v>6000</v>
      </c>
      <c r="PG28" s="657">
        <v>6298.7745252574778</v>
      </c>
      <c r="PH28" s="657">
        <v>5453.1765277962995</v>
      </c>
      <c r="PI28" s="657">
        <v>5560.8259652385477</v>
      </c>
      <c r="PJ28" s="657">
        <v>5424.9616494879638</v>
      </c>
      <c r="PK28" s="657">
        <v>4836.2873166970421</v>
      </c>
      <c r="PL28" s="584"/>
    </row>
    <row r="29" spans="1:428" s="44" customFormat="1" x14ac:dyDescent="0.3">
      <c r="A29"/>
      <c r="B29" s="1000"/>
      <c r="C29" s="1001"/>
      <c r="D29" s="600" t="s">
        <v>310</v>
      </c>
      <c r="E29" s="582">
        <f>SUM(F29:L29)</f>
        <v>44682.948875697999</v>
      </c>
      <c r="F29" s="759">
        <v>6538.2172010847999</v>
      </c>
      <c r="G29" s="657">
        <v>7288.0143523809411</v>
      </c>
      <c r="H29" s="657">
        <v>8645.1275179482418</v>
      </c>
      <c r="I29" s="759">
        <v>8733.4060128285691</v>
      </c>
      <c r="J29" s="657">
        <v>7745.5983665450649</v>
      </c>
      <c r="K29" s="657">
        <v>5732.5854249103895</v>
      </c>
      <c r="L29" s="584"/>
      <c r="M29" s="582">
        <f>SUM(N29:T29)</f>
        <v>45588.454147885299</v>
      </c>
      <c r="N29" s="759">
        <v>6674.3424530892298</v>
      </c>
      <c r="O29" s="657">
        <v>7368.560995525716</v>
      </c>
      <c r="P29" s="657">
        <v>8825.1236524712003</v>
      </c>
      <c r="Q29" s="759">
        <v>8800.7201817105852</v>
      </c>
      <c r="R29" s="657">
        <v>7906.8269408991982</v>
      </c>
      <c r="S29" s="657">
        <v>6012.8799241893648</v>
      </c>
      <c r="T29" s="584"/>
      <c r="U29" s="582">
        <f>SUM(V29:AB29)</f>
        <v>47898.30095815059</v>
      </c>
      <c r="V29" s="759">
        <v>6798.252876655486</v>
      </c>
      <c r="W29" s="657">
        <v>7432.2674146898853</v>
      </c>
      <c r="X29" s="657">
        <v>9383.7077690019487</v>
      </c>
      <c r="Y29" s="759">
        <v>9901.8999507890057</v>
      </c>
      <c r="Z29" s="657">
        <v>8369.9272928591017</v>
      </c>
      <c r="AA29" s="657">
        <v>6012.2456541551674</v>
      </c>
      <c r="AB29" s="584"/>
      <c r="AC29" s="582">
        <f>SUM(AD29:AJ29)</f>
        <v>48171.142825399773</v>
      </c>
      <c r="AD29" s="759">
        <v>6836.97989009717</v>
      </c>
      <c r="AE29" s="657">
        <v>7474.6395911572163</v>
      </c>
      <c r="AF29" s="657">
        <v>9437.1623445892219</v>
      </c>
      <c r="AG29" s="759">
        <v>9958.2809266360437</v>
      </c>
      <c r="AH29" s="657">
        <v>8417.583836918302</v>
      </c>
      <c r="AI29" s="657">
        <v>6046.4962360018162</v>
      </c>
      <c r="AJ29" s="584"/>
      <c r="AK29" s="582">
        <f>SUM(AL29:AR29)</f>
        <v>49011.876269716304</v>
      </c>
      <c r="AL29" s="759">
        <v>6956.3247712307984</v>
      </c>
      <c r="AM29" s="657">
        <v>7605.0649035700617</v>
      </c>
      <c r="AN29" s="657">
        <v>9601.8672308229725</v>
      </c>
      <c r="AO29" s="759">
        <v>10132.068674747577</v>
      </c>
      <c r="AP29" s="657">
        <v>8564.5013484854262</v>
      </c>
      <c r="AQ29" s="657">
        <v>6152.0493408594648</v>
      </c>
      <c r="AR29" s="584"/>
      <c r="AS29" s="582">
        <f>SUM(AT29:AZ29)</f>
        <v>49295.519385210711</v>
      </c>
      <c r="AT29" s="759">
        <v>6996.5736321500253</v>
      </c>
      <c r="AU29" s="657">
        <v>7649.0667791322903</v>
      </c>
      <c r="AV29" s="657">
        <v>9657.4599894337352</v>
      </c>
      <c r="AW29" s="759">
        <v>10190.736331490822</v>
      </c>
      <c r="AX29" s="657">
        <v>8614.0613343931454</v>
      </c>
      <c r="AY29" s="657">
        <v>6187.6213186106907</v>
      </c>
      <c r="AZ29" s="584"/>
      <c r="BA29" s="582">
        <f>SUM(BB29:BH29)</f>
        <v>46989.683411312006</v>
      </c>
      <c r="BB29" s="759">
        <v>6366.1302033021602</v>
      </c>
      <c r="BC29" s="657">
        <v>7274.8779899796473</v>
      </c>
      <c r="BD29" s="657">
        <v>8861.1487967457724</v>
      </c>
      <c r="BE29" s="759">
        <v>9230.9734840870406</v>
      </c>
      <c r="BF29" s="657">
        <v>9123.6902648723881</v>
      </c>
      <c r="BG29" s="657">
        <v>6132.8626723249999</v>
      </c>
      <c r="BH29" s="584"/>
      <c r="BI29" s="582">
        <f>SUM(BJ29:BP29)</f>
        <v>46607</v>
      </c>
      <c r="BJ29" s="759">
        <v>6983</v>
      </c>
      <c r="BK29" s="657">
        <v>7278</v>
      </c>
      <c r="BL29" s="657">
        <v>8656</v>
      </c>
      <c r="BM29" s="759">
        <v>9050</v>
      </c>
      <c r="BN29" s="657">
        <v>8367</v>
      </c>
      <c r="BO29" s="657">
        <v>6273</v>
      </c>
      <c r="BP29" s="584"/>
      <c r="BQ29" s="582">
        <f>SUM(BR29:BX29)</f>
        <v>46870.551975184993</v>
      </c>
      <c r="BR29" s="759">
        <v>6652.3958105183474</v>
      </c>
      <c r="BS29" s="657">
        <v>7272.8038274952323</v>
      </c>
      <c r="BT29" s="657">
        <v>9182.3945976690375</v>
      </c>
      <c r="BU29" s="759">
        <v>9689.3815449980102</v>
      </c>
      <c r="BV29" s="657">
        <v>8190.298780635957</v>
      </c>
      <c r="BW29" s="657">
        <v>5883.2774138684053</v>
      </c>
      <c r="BX29" s="584"/>
      <c r="BY29" s="582">
        <f>SUM(BZ29:CF29)</f>
        <v>44773.646654526201</v>
      </c>
      <c r="BZ29" s="759">
        <v>7060.3310317355072</v>
      </c>
      <c r="CA29" s="657">
        <v>7184.5531522654883</v>
      </c>
      <c r="CB29" s="657">
        <v>8103.7784524553281</v>
      </c>
      <c r="CC29" s="759">
        <v>8175.2414978206816</v>
      </c>
      <c r="CD29" s="657">
        <v>8024.4878462761317</v>
      </c>
      <c r="CE29" s="657">
        <v>6225.2546739730578</v>
      </c>
      <c r="CF29" s="584"/>
      <c r="CG29" s="582">
        <f>SUM(CH29:CN29)</f>
        <v>44860.611847669941</v>
      </c>
      <c r="CH29" s="759">
        <v>7074.0276590333933</v>
      </c>
      <c r="CI29" s="657">
        <v>7198.5290566247595</v>
      </c>
      <c r="CJ29" s="657">
        <v>8119.5232547192154</v>
      </c>
      <c r="CK29" s="759">
        <v>8191.1053465380992</v>
      </c>
      <c r="CL29" s="657">
        <v>8040.0678702954865</v>
      </c>
      <c r="CM29" s="657">
        <v>6237.3586604589873</v>
      </c>
      <c r="CN29" s="584"/>
      <c r="CO29" s="582">
        <f>SUM(CP29:CV29)</f>
        <v>46972.754836323438</v>
      </c>
      <c r="CP29" s="759">
        <v>7013.874635052618</v>
      </c>
      <c r="CQ29" s="657">
        <v>7301.6939478138675</v>
      </c>
      <c r="CR29" s="657">
        <v>8735.7087260343087</v>
      </c>
      <c r="CS29" s="759">
        <v>9133.0034994402831</v>
      </c>
      <c r="CT29" s="657">
        <v>8152.3709393580721</v>
      </c>
      <c r="CU29" s="657">
        <v>6636.1030886242879</v>
      </c>
      <c r="CV29" s="584"/>
      <c r="CW29" s="582">
        <f>SUM(CX29:DD29)</f>
        <v>46700.425690392069</v>
      </c>
      <c r="CX29" s="759">
        <v>7541.8355639065167</v>
      </c>
      <c r="CY29" s="657">
        <v>6690.6061720484195</v>
      </c>
      <c r="CZ29" s="657">
        <v>8413.167056611961</v>
      </c>
      <c r="DA29" s="759">
        <v>8541.2533587693943</v>
      </c>
      <c r="DB29" s="657">
        <v>8616.6697547040785</v>
      </c>
      <c r="DC29" s="657">
        <v>6896.8937843516987</v>
      </c>
      <c r="DD29" s="584"/>
      <c r="DE29" s="582">
        <f t="shared" si="969"/>
        <v>45538</v>
      </c>
      <c r="DF29" s="759">
        <v>6818</v>
      </c>
      <c r="DG29" s="657">
        <v>6435</v>
      </c>
      <c r="DH29" s="657">
        <v>8141</v>
      </c>
      <c r="DI29" s="759">
        <v>8950</v>
      </c>
      <c r="DJ29" s="657">
        <v>8394</v>
      </c>
      <c r="DK29" s="657">
        <v>6800</v>
      </c>
      <c r="DL29" s="584"/>
      <c r="DM29" s="582">
        <f t="shared" si="970"/>
        <v>48824.290848206052</v>
      </c>
      <c r="DN29" s="759">
        <v>7538.1110424483195</v>
      </c>
      <c r="DO29" s="657">
        <v>6930.4188631036168</v>
      </c>
      <c r="DP29" s="657">
        <v>9047.3003066393867</v>
      </c>
      <c r="DQ29" s="759">
        <v>9597.4140977037914</v>
      </c>
      <c r="DR29" s="657">
        <v>9347.7324202276286</v>
      </c>
      <c r="DS29" s="657">
        <v>6363.3141180833127</v>
      </c>
      <c r="DT29" s="584"/>
      <c r="DU29" s="582">
        <f>SUM(DV29:EB29)</f>
        <v>39353.998125750048</v>
      </c>
      <c r="DV29" s="759">
        <v>0</v>
      </c>
      <c r="DW29" s="657">
        <v>8292.1559189429954</v>
      </c>
      <c r="DX29" s="657">
        <v>7755.4489999011794</v>
      </c>
      <c r="DY29" s="759">
        <v>8689.9590758006852</v>
      </c>
      <c r="DZ29" s="657">
        <v>8435.4197920173829</v>
      </c>
      <c r="EA29" s="657">
        <v>6181.0143390878038</v>
      </c>
      <c r="EB29" s="584"/>
      <c r="EC29" s="582">
        <f>SUM(ED29:EJ29)</f>
        <v>46456.578166718798</v>
      </c>
      <c r="ED29" s="759">
        <v>8316.7790192951325</v>
      </c>
      <c r="EE29" s="657">
        <v>7277.3128964907737</v>
      </c>
      <c r="EF29" s="657">
        <v>8097.8174573595352</v>
      </c>
      <c r="EG29" s="759">
        <v>8192.5345220982272</v>
      </c>
      <c r="EH29" s="657">
        <v>8096.8186365198308</v>
      </c>
      <c r="EI29" s="657">
        <v>6475.3156349553001</v>
      </c>
      <c r="EJ29" s="584"/>
      <c r="EK29" s="582">
        <f>SUM(EL29:ER29)</f>
        <v>50757.332593135601</v>
      </c>
      <c r="EL29" s="759">
        <v>9260.9962432773555</v>
      </c>
      <c r="EM29" s="657">
        <v>8255.1433600234941</v>
      </c>
      <c r="EN29" s="657">
        <v>8582.7962431422347</v>
      </c>
      <c r="EO29" s="759">
        <v>9256.6271853913331</v>
      </c>
      <c r="EP29" s="657">
        <v>8498.7973557884216</v>
      </c>
      <c r="EQ29" s="657">
        <v>6902.972205512755</v>
      </c>
      <c r="ER29" s="584"/>
      <c r="ES29" s="582">
        <f>SUM(ET29:EZ29)</f>
        <v>52796.973812073687</v>
      </c>
      <c r="ET29" s="759">
        <v>9520.348180872812</v>
      </c>
      <c r="EU29" s="657">
        <v>8563.8256598803546</v>
      </c>
      <c r="EV29" s="657">
        <v>9410.143486383291</v>
      </c>
      <c r="EW29" s="759">
        <v>9416.6233893476328</v>
      </c>
      <c r="EX29" s="657">
        <v>9183.9659234088031</v>
      </c>
      <c r="EY29" s="657">
        <v>6702.0671721807958</v>
      </c>
      <c r="EZ29" s="584"/>
      <c r="FA29" s="582">
        <f>SUM(FB29:FH29)</f>
        <v>50763.378571824484</v>
      </c>
      <c r="FB29" s="759">
        <v>9346.1289422063146</v>
      </c>
      <c r="FC29" s="657">
        <v>8007.7461954979672</v>
      </c>
      <c r="FD29" s="657">
        <v>8692.4915115898129</v>
      </c>
      <c r="FE29" s="759">
        <v>8958.8584574387187</v>
      </c>
      <c r="FF29" s="657">
        <v>8854.1769986914296</v>
      </c>
      <c r="FG29" s="657">
        <v>6903.9764664002341</v>
      </c>
      <c r="FH29" s="584"/>
      <c r="FI29" s="582">
        <f>SUM(FJ29:FP29)</f>
        <v>39501.192290968618</v>
      </c>
      <c r="FJ29" s="759">
        <v>10282.438484571387</v>
      </c>
      <c r="FK29" s="657">
        <v>6846.4760197186451</v>
      </c>
      <c r="FL29" s="657">
        <v>8035.3565957036199</v>
      </c>
      <c r="FM29" s="759">
        <v>0</v>
      </c>
      <c r="FN29" s="657">
        <v>8029.8456825904796</v>
      </c>
      <c r="FO29" s="657">
        <v>6307.0755083844952</v>
      </c>
      <c r="FP29" s="584"/>
      <c r="FQ29" s="582">
        <f>SUM(FR29:FX29)</f>
        <v>51754.243374967147</v>
      </c>
      <c r="FR29" s="759">
        <v>9030.8726984946625</v>
      </c>
      <c r="FS29" s="657">
        <v>9046.386715793562</v>
      </c>
      <c r="FT29" s="657">
        <v>9000.4546603974504</v>
      </c>
      <c r="FU29" s="759">
        <v>9409.8348054370254</v>
      </c>
      <c r="FV29" s="657">
        <v>8519.3827268909154</v>
      </c>
      <c r="FW29" s="657">
        <v>6747.311767953528</v>
      </c>
      <c r="FX29" s="584"/>
      <c r="FY29" s="582">
        <f>SUM(FZ29:GF29)</f>
        <v>43774.172888326357</v>
      </c>
      <c r="FZ29" s="759">
        <v>0</v>
      </c>
      <c r="GA29" s="657">
        <v>11065.470631748405</v>
      </c>
      <c r="GB29" s="657">
        <v>8243.0843161070043</v>
      </c>
      <c r="GC29" s="759">
        <v>9089.1992685223686</v>
      </c>
      <c r="GD29" s="657">
        <v>8771.1305358190348</v>
      </c>
      <c r="GE29" s="657">
        <v>6605.2881361295404</v>
      </c>
      <c r="GF29" s="584"/>
      <c r="GG29" s="582">
        <f>SUM(GH29:GN29)</f>
        <v>50820.322897658181</v>
      </c>
      <c r="GH29" s="759">
        <v>8868.765225343046</v>
      </c>
      <c r="GI29" s="657">
        <v>8586.1543525979723</v>
      </c>
      <c r="GJ29" s="657">
        <v>8838.9246519864591</v>
      </c>
      <c r="GK29" s="759">
        <v>9121.4271774032495</v>
      </c>
      <c r="GL29" s="657">
        <v>8778.8852989055922</v>
      </c>
      <c r="GM29" s="657">
        <v>6626.1661914218648</v>
      </c>
      <c r="GN29" s="584"/>
      <c r="GO29" s="582">
        <f>SUM(GP29:GV29)</f>
        <v>50890.560830049784</v>
      </c>
      <c r="GP29" s="759">
        <v>8881.0271367114146</v>
      </c>
      <c r="GQ29" s="657">
        <v>8598.0313168094726</v>
      </c>
      <c r="GR29" s="657">
        <v>8851.1058158778615</v>
      </c>
      <c r="GS29" s="759">
        <v>9134.0753811103787</v>
      </c>
      <c r="GT29" s="657">
        <v>8791.0109284591163</v>
      </c>
      <c r="GU29" s="657">
        <v>6635.3102510815406</v>
      </c>
      <c r="GV29" s="584"/>
      <c r="GW29" s="582">
        <f>SUM(GX29:HD29)</f>
        <v>48857.728582850235</v>
      </c>
      <c r="GX29" s="759">
        <v>8526.2324849140023</v>
      </c>
      <c r="GY29" s="657">
        <v>8254.6088966339757</v>
      </c>
      <c r="GZ29" s="657">
        <v>8497.5280959024185</v>
      </c>
      <c r="HA29" s="759">
        <v>8769.2068606097691</v>
      </c>
      <c r="HB29" s="657">
        <v>8439.8611563305913</v>
      </c>
      <c r="HC29" s="657">
        <v>6370.2910884594812</v>
      </c>
      <c r="HD29" s="584"/>
      <c r="HE29" s="582">
        <f>SUM(HF29:HL29)</f>
        <v>42428.166228148213</v>
      </c>
      <c r="HF29" s="759">
        <v>7800.4274291422325</v>
      </c>
      <c r="HG29" s="657">
        <v>7637.8975299518861</v>
      </c>
      <c r="HH29" s="657">
        <v>7164.4033774683412</v>
      </c>
      <c r="HI29" s="759">
        <v>7227.55518389998</v>
      </c>
      <c r="HJ29" s="657">
        <v>7094.2687651205651</v>
      </c>
      <c r="HK29" s="657">
        <v>5503.6139425652045</v>
      </c>
      <c r="HL29" s="584"/>
      <c r="HM29" s="582">
        <f>SUM(HN29:HT29)</f>
        <v>40494.578607850766</v>
      </c>
      <c r="HN29" s="759">
        <v>7284.6764224032941</v>
      </c>
      <c r="HO29" s="657">
        <v>6797.0084637777509</v>
      </c>
      <c r="HP29" s="657">
        <v>6997.1067542364199</v>
      </c>
      <c r="HQ29" s="759">
        <v>7220.7665999893725</v>
      </c>
      <c r="HR29" s="657">
        <v>6949.6071846331661</v>
      </c>
      <c r="HS29" s="657">
        <v>5245.4131828107647</v>
      </c>
      <c r="HT29" s="584"/>
      <c r="HU29" s="582">
        <f>SUM(HV29:IB29)</f>
        <v>32921.549077800984</v>
      </c>
      <c r="HV29" s="759">
        <v>6997.4974532943152</v>
      </c>
      <c r="HW29" s="657">
        <v>6785.072114745195</v>
      </c>
      <c r="HX29" s="657">
        <v>6678.5174837362811</v>
      </c>
      <c r="HY29" s="759">
        <v>0</v>
      </c>
      <c r="HZ29" s="657">
        <v>7107.8043515989175</v>
      </c>
      <c r="IA29" s="657">
        <v>5352.6576744262729</v>
      </c>
      <c r="IB29" s="584"/>
      <c r="IC29" s="582">
        <f>SUM(ID29:IJ29)</f>
        <v>39377.753355771289</v>
      </c>
      <c r="ID29" s="759">
        <v>7239.6326663562259</v>
      </c>
      <c r="IE29" s="657">
        <v>7088.7660896332263</v>
      </c>
      <c r="IF29" s="657">
        <v>6649.295649081906</v>
      </c>
      <c r="IG29" s="759">
        <v>6707.9069502375351</v>
      </c>
      <c r="IH29" s="657">
        <v>6584.2168475638746</v>
      </c>
      <c r="II29" s="657">
        <v>5107.9351528985235</v>
      </c>
      <c r="IJ29" s="584"/>
      <c r="IK29" s="582">
        <f>SUM(IL29:IR29)</f>
        <v>37702.227721395036</v>
      </c>
      <c r="IL29" s="759">
        <v>6931.5834236121045</v>
      </c>
      <c r="IM29" s="657">
        <v>6787.1505834822074</v>
      </c>
      <c r="IN29" s="657">
        <v>6366.3427623066154</v>
      </c>
      <c r="IO29" s="759">
        <v>6422.5005908800258</v>
      </c>
      <c r="IP29" s="657">
        <v>6304.0584066004621</v>
      </c>
      <c r="IQ29" s="657">
        <v>4890.5919545136194</v>
      </c>
      <c r="IR29" s="584">
        <v>0</v>
      </c>
      <c r="IS29" s="582">
        <f>SUM(IT29:IZ29)</f>
        <v>37086.757871276975</v>
      </c>
      <c r="IT29" s="759">
        <v>6818.423498698302</v>
      </c>
      <c r="IU29" s="657">
        <v>6676.3385073889203</v>
      </c>
      <c r="IV29" s="657">
        <v>6262.4141086799682</v>
      </c>
      <c r="IW29" s="759">
        <v>6317.6705635446569</v>
      </c>
      <c r="IX29" s="657">
        <v>6201.1315510879858</v>
      </c>
      <c r="IY29" s="657">
        <v>4810.7796418771395</v>
      </c>
      <c r="IZ29" s="584">
        <v>0</v>
      </c>
      <c r="JA29" s="582">
        <f>SUM(JB29:JH29)</f>
        <v>34843.397549394853</v>
      </c>
      <c r="JB29" s="759">
        <v>0</v>
      </c>
      <c r="JC29" s="657">
        <v>8128.0598429604534</v>
      </c>
      <c r="JD29" s="657">
        <v>6739.9416505929275</v>
      </c>
      <c r="JE29" s="759">
        <v>7433.2850057803671</v>
      </c>
      <c r="JF29" s="657">
        <v>7333.3269617252281</v>
      </c>
      <c r="JG29" s="657">
        <v>5208.7840883358767</v>
      </c>
      <c r="JH29" s="584">
        <v>0</v>
      </c>
      <c r="JI29" s="582">
        <f>SUM(JJ29:JP29)</f>
        <v>45453.117913014517</v>
      </c>
      <c r="JJ29" s="759">
        <v>7496.4463744127997</v>
      </c>
      <c r="JK29" s="657">
        <v>8044.3866300904419</v>
      </c>
      <c r="JL29" s="657">
        <v>7324.7023108052017</v>
      </c>
      <c r="JM29" s="759">
        <v>8222.2613737488846</v>
      </c>
      <c r="JN29" s="657">
        <v>8185.5754249377815</v>
      </c>
      <c r="JO29" s="657">
        <v>6179.7457990194089</v>
      </c>
      <c r="JP29" s="584">
        <v>0</v>
      </c>
      <c r="JQ29" s="582">
        <f>SUM(JR29:JX29)</f>
        <v>51138.235109327448</v>
      </c>
      <c r="JR29" s="759">
        <v>7781.501868710151</v>
      </c>
      <c r="JS29" s="657">
        <v>8378.3074788967388</v>
      </c>
      <c r="JT29" s="657">
        <v>10118.011654008675</v>
      </c>
      <c r="JU29" s="759">
        <v>9063.0453557720302</v>
      </c>
      <c r="JV29" s="657">
        <v>8895.9822215125932</v>
      </c>
      <c r="JW29" s="657">
        <v>6901.3865304272622</v>
      </c>
      <c r="JX29" s="584">
        <v>0</v>
      </c>
      <c r="JY29" s="582">
        <f>SUM(JZ29:KF29)</f>
        <v>53590.000699860168</v>
      </c>
      <c r="JZ29" s="759">
        <v>8909.6048974923888</v>
      </c>
      <c r="KA29" s="657">
        <v>9372.5875378623841</v>
      </c>
      <c r="KB29" s="657">
        <v>9840.8253820543141</v>
      </c>
      <c r="KC29" s="759">
        <v>10384.246702332117</v>
      </c>
      <c r="KD29" s="657">
        <v>8777.6163376732457</v>
      </c>
      <c r="KE29" s="657">
        <v>6305.1198424457207</v>
      </c>
      <c r="KF29" s="584">
        <v>0</v>
      </c>
      <c r="KG29" s="582">
        <f>SUM(KH29:KN29)</f>
        <v>52110.265647649176</v>
      </c>
      <c r="KH29" s="759">
        <v>8989.546790137465</v>
      </c>
      <c r="KI29" s="657">
        <v>8960.8131886497104</v>
      </c>
      <c r="KJ29" s="657">
        <v>9076.7165215686255</v>
      </c>
      <c r="KK29" s="759">
        <v>9455.4969645831079</v>
      </c>
      <c r="KL29" s="657">
        <v>9345.6174848403843</v>
      </c>
      <c r="KM29" s="657">
        <v>6282.074697869889</v>
      </c>
      <c r="KN29" s="584">
        <v>0</v>
      </c>
      <c r="KO29" s="582">
        <f>SUM(KP29:KV29)</f>
        <v>49376</v>
      </c>
      <c r="KP29">
        <v>8617</v>
      </c>
      <c r="KQ29">
        <v>8342</v>
      </c>
      <c r="KR29">
        <v>8588</v>
      </c>
      <c r="KS29">
        <v>8862</v>
      </c>
      <c r="KT29">
        <v>8529</v>
      </c>
      <c r="KU29">
        <v>6438</v>
      </c>
      <c r="KV29" s="584"/>
      <c r="KW29" s="582">
        <f>SUM(KX29:LD29)</f>
        <v>50244.156120435757</v>
      </c>
      <c r="KX29" s="583">
        <v>8768.2175521224217</v>
      </c>
      <c r="KY29" s="583">
        <v>8488.822630884737</v>
      </c>
      <c r="KZ29" s="583">
        <v>8738.6892235822052</v>
      </c>
      <c r="LA29" s="583">
        <v>9018.0263256280068</v>
      </c>
      <c r="LB29" s="583">
        <v>8679.3423400127031</v>
      </c>
      <c r="LC29" s="583">
        <v>6551.0580482056812</v>
      </c>
      <c r="LD29" s="584"/>
      <c r="LE29" s="582">
        <f>SUM(LF29:LL29)</f>
        <v>49508.74418044863</v>
      </c>
      <c r="LF29" s="759">
        <v>8639.8428473882759</v>
      </c>
      <c r="LG29" s="657">
        <v>8364.5895852324575</v>
      </c>
      <c r="LH29" s="657">
        <v>8610.7870027224799</v>
      </c>
      <c r="LI29" s="759">
        <v>8886.0419626502098</v>
      </c>
      <c r="LJ29" s="657">
        <v>8552.3052210856604</v>
      </c>
      <c r="LK29" s="657">
        <v>6455.177561369539</v>
      </c>
      <c r="LL29" s="584"/>
      <c r="LM29" s="582">
        <f>SUM(LN29:LT29)</f>
        <v>53776.119101552657</v>
      </c>
      <c r="LN29" s="759">
        <v>9384.5662806998134</v>
      </c>
      <c r="LO29" s="657">
        <v>9085.5806976915082</v>
      </c>
      <c r="LP29" s="657">
        <v>9352.9956855736255</v>
      </c>
      <c r="LQ29" s="759">
        <v>9651.9371453226649</v>
      </c>
      <c r="LR29" s="657">
        <v>9289.5011992322125</v>
      </c>
      <c r="LS29" s="657">
        <v>7011.5380930328411</v>
      </c>
      <c r="LT29" s="584"/>
      <c r="LU29" s="582">
        <f>SUM(LV29:MB29)</f>
        <v>53435.65494882084</v>
      </c>
      <c r="LV29" s="759">
        <v>9325.1585713355125</v>
      </c>
      <c r="LW29" s="657">
        <v>9028.0368060867968</v>
      </c>
      <c r="LX29" s="657">
        <v>9293.774495165424</v>
      </c>
      <c r="LY29" s="759">
        <v>9590.839890127203</v>
      </c>
      <c r="LZ29" s="657">
        <v>9230.7059954668675</v>
      </c>
      <c r="MA29" s="657">
        <v>6967.1391906390381</v>
      </c>
      <c r="MB29" s="584"/>
      <c r="MC29" s="582">
        <f>SUM(MD29:MJ29)</f>
        <v>52061.260596090317</v>
      </c>
      <c r="MD29" s="759">
        <v>9085.2755460759563</v>
      </c>
      <c r="ME29" s="657">
        <v>8795.8421557519887</v>
      </c>
      <c r="MF29" s="657">
        <v>9054.7515505091287</v>
      </c>
      <c r="MG29" s="759">
        <v>9344.1641884491564</v>
      </c>
      <c r="MH29" s="657">
        <v>8993.2692493257564</v>
      </c>
      <c r="MI29" s="657">
        <v>6787.9579059783318</v>
      </c>
      <c r="MJ29" s="584"/>
      <c r="MK29" s="582">
        <f>SUM(ML29:MR29)</f>
        <v>45154.014862982302</v>
      </c>
      <c r="ML29" s="759">
        <v>7616.5988558523613</v>
      </c>
      <c r="MM29" s="657">
        <v>0</v>
      </c>
      <c r="MN29" s="657">
        <v>10330.080533883996</v>
      </c>
      <c r="MO29" s="759">
        <v>9839.1591436993986</v>
      </c>
      <c r="MP29" s="657">
        <v>11239.542124116195</v>
      </c>
      <c r="MQ29" s="657">
        <v>6128.6342054303523</v>
      </c>
      <c r="MR29" s="584"/>
      <c r="MS29" s="582">
        <f>SUM(MT29:MZ29)</f>
        <v>43111.231023042026</v>
      </c>
      <c r="MT29" s="759">
        <v>7928.5518907872283</v>
      </c>
      <c r="MU29" s="657">
        <v>8979.9944858512827</v>
      </c>
      <c r="MV29" s="657">
        <v>9564.5462180493123</v>
      </c>
      <c r="MW29" s="759">
        <v>10548.458974190793</v>
      </c>
      <c r="MX29" s="657">
        <v>0</v>
      </c>
      <c r="MY29" s="657">
        <v>6089.6794541634081</v>
      </c>
      <c r="MZ29" s="584"/>
      <c r="NA29" s="582">
        <f>SUM(NB29:NH29)</f>
        <v>53436.417773152702</v>
      </c>
      <c r="NB29" s="759">
        <v>9774.3130000000001</v>
      </c>
      <c r="NC29" s="657">
        <v>9022.2170936231614</v>
      </c>
      <c r="ND29" s="657">
        <v>8990.4116795295395</v>
      </c>
      <c r="NE29" s="759">
        <v>9210.5340000000015</v>
      </c>
      <c r="NF29" s="657">
        <v>9271.116</v>
      </c>
      <c r="NG29" s="657">
        <v>7167.826</v>
      </c>
      <c r="NH29" s="584"/>
      <c r="NI29" s="582">
        <f>SUM(NJ29:NP29)</f>
        <v>57162.101206219071</v>
      </c>
      <c r="NJ29" s="759">
        <v>10502.162</v>
      </c>
      <c r="NK29" s="657">
        <v>9480.7866818291404</v>
      </c>
      <c r="NL29" s="657">
        <v>9932.0545243899251</v>
      </c>
      <c r="NM29" s="759">
        <v>9896.8770000000004</v>
      </c>
      <c r="NN29" s="657">
        <v>9784.6830000000009</v>
      </c>
      <c r="NO29" s="657">
        <v>7565.5379999999996</v>
      </c>
      <c r="NP29" s="584"/>
      <c r="NQ29" s="582">
        <f>SUM(NR29:NX29)</f>
        <v>60769.211527470587</v>
      </c>
      <c r="NR29" s="759">
        <v>11221.319</v>
      </c>
      <c r="NS29" s="657">
        <v>10258.846607324445</v>
      </c>
      <c r="NT29" s="657">
        <v>10560.809920146146</v>
      </c>
      <c r="NU29" s="759">
        <v>10523.397000000001</v>
      </c>
      <c r="NV29" s="657">
        <v>10266.234</v>
      </c>
      <c r="NW29" s="657">
        <v>7938.6049999999996</v>
      </c>
      <c r="NX29" s="584"/>
      <c r="NY29" s="582">
        <f>SUM(NZ29:OF29)</f>
        <v>52122.951692583971</v>
      </c>
      <c r="NZ29" s="759">
        <v>9624.7469999999994</v>
      </c>
      <c r="OA29" s="657">
        <v>8799.2270905522655</v>
      </c>
      <c r="OB29" s="657">
        <v>9058.1856020317045</v>
      </c>
      <c r="OC29" s="759">
        <v>9026.0970000000016</v>
      </c>
      <c r="OD29" s="657">
        <v>8805.5730000000003</v>
      </c>
      <c r="OE29" s="657">
        <v>6809.1219999999994</v>
      </c>
      <c r="OF29" s="584"/>
      <c r="OG29" s="582">
        <f>SUM(OH29:ON29)</f>
        <v>51554.674642124759</v>
      </c>
      <c r="OH29" s="759">
        <v>9519.8069999999989</v>
      </c>
      <c r="OI29" s="657">
        <v>8703.2612197233539</v>
      </c>
      <c r="OJ29" s="657">
        <v>8959.4404224013979</v>
      </c>
      <c r="OK29" s="759">
        <v>8927.7030000000013</v>
      </c>
      <c r="OL29" s="657">
        <v>8709.594000000001</v>
      </c>
      <c r="OM29" s="657">
        <v>6734.8689999999997</v>
      </c>
      <c r="ON29" s="584"/>
      <c r="OO29" s="582">
        <f>SUM(OP29:OV29)</f>
        <v>57297.987787801365</v>
      </c>
      <c r="OP29" s="759">
        <v>9194.3870000000006</v>
      </c>
      <c r="OQ29" s="657">
        <v>9745.1679051771098</v>
      </c>
      <c r="OR29" s="657">
        <v>10025.097882624254</v>
      </c>
      <c r="OS29" s="759">
        <v>10675.956</v>
      </c>
      <c r="OT29" s="657">
        <v>9705.4710000000014</v>
      </c>
      <c r="OU29" s="657">
        <v>7951.9079999999994</v>
      </c>
      <c r="OV29" s="584"/>
      <c r="OW29" s="582">
        <f>SUM(OX29:PD29)</f>
        <v>54753.744972090761</v>
      </c>
      <c r="OX29" s="759">
        <v>10500</v>
      </c>
      <c r="OY29" s="657">
        <v>9028.9275784026577</v>
      </c>
      <c r="OZ29" s="657">
        <v>9509.6013936880936</v>
      </c>
      <c r="PA29" s="759">
        <v>9399.3180000000011</v>
      </c>
      <c r="PB29" s="657">
        <v>9096.1320000000014</v>
      </c>
      <c r="PC29" s="657">
        <v>7219.7659999999996</v>
      </c>
      <c r="PD29" s="584"/>
      <c r="PE29" s="582">
        <f t="shared" si="971"/>
        <v>51353.579626790684</v>
      </c>
      <c r="PF29" s="759">
        <v>10000</v>
      </c>
      <c r="PG29" s="657">
        <v>8562.2222697118013</v>
      </c>
      <c r="PH29" s="657">
        <v>8814.2383570788825</v>
      </c>
      <c r="PI29" s="759">
        <v>8783.01</v>
      </c>
      <c r="PJ29" s="657">
        <v>8568.42</v>
      </c>
      <c r="PK29" s="657">
        <v>6625.6889999999994</v>
      </c>
      <c r="PL29" s="584"/>
    </row>
    <row r="30" spans="1:428" s="898" customFormat="1" x14ac:dyDescent="0.3">
      <c r="A30" s="894"/>
      <c r="B30" s="1000"/>
      <c r="C30" s="1001"/>
      <c r="D30" s="828" t="s">
        <v>311</v>
      </c>
      <c r="E30" s="829"/>
      <c r="F30" s="895"/>
      <c r="G30" s="896"/>
      <c r="H30" s="896"/>
      <c r="I30" s="895"/>
      <c r="J30" s="896"/>
      <c r="K30" s="896"/>
      <c r="L30" s="897"/>
      <c r="M30" s="829"/>
      <c r="N30" s="895"/>
      <c r="O30" s="896"/>
      <c r="P30" s="896"/>
      <c r="Q30" s="895"/>
      <c r="R30" s="896"/>
      <c r="S30" s="896"/>
      <c r="T30" s="897"/>
      <c r="U30" s="829"/>
      <c r="V30" s="895"/>
      <c r="W30" s="896"/>
      <c r="X30" s="896"/>
      <c r="Y30" s="895"/>
      <c r="Z30" s="896"/>
      <c r="AA30" s="896"/>
      <c r="AB30" s="897"/>
      <c r="AC30" s="829"/>
      <c r="AD30" s="895"/>
      <c r="AE30" s="896"/>
      <c r="AF30" s="896"/>
      <c r="AG30" s="895"/>
      <c r="AH30" s="896"/>
      <c r="AI30" s="896"/>
      <c r="AJ30" s="897"/>
      <c r="AK30" s="829"/>
      <c r="AL30" s="895"/>
      <c r="AM30" s="896"/>
      <c r="AN30" s="896"/>
      <c r="AO30" s="895"/>
      <c r="AP30" s="896"/>
      <c r="AQ30" s="896"/>
      <c r="AR30" s="897"/>
      <c r="AS30" s="829"/>
      <c r="AT30" s="895"/>
      <c r="AU30" s="896"/>
      <c r="AV30" s="896"/>
      <c r="AW30" s="895"/>
      <c r="AX30" s="896"/>
      <c r="AY30" s="896"/>
      <c r="AZ30" s="897"/>
      <c r="BA30" s="829"/>
      <c r="BB30" s="895"/>
      <c r="BC30" s="896"/>
      <c r="BD30" s="896"/>
      <c r="BE30" s="895"/>
      <c r="BF30" s="896"/>
      <c r="BG30" s="896"/>
      <c r="BH30" s="897"/>
      <c r="BI30" s="829"/>
      <c r="BJ30" s="895"/>
      <c r="BK30" s="896"/>
      <c r="BL30" s="896"/>
      <c r="BM30" s="895"/>
      <c r="BN30" s="896"/>
      <c r="BO30" s="896"/>
      <c r="BP30" s="897"/>
      <c r="BQ30" s="829"/>
      <c r="BR30" s="895"/>
      <c r="BS30" s="896"/>
      <c r="BT30" s="896"/>
      <c r="BU30" s="895"/>
      <c r="BV30" s="896"/>
      <c r="BW30" s="896"/>
      <c r="BX30" s="897"/>
      <c r="BY30" s="829"/>
      <c r="BZ30" s="895"/>
      <c r="CA30" s="896"/>
      <c r="CB30" s="896"/>
      <c r="CC30" s="895"/>
      <c r="CD30" s="896"/>
      <c r="CE30" s="896"/>
      <c r="CF30" s="897"/>
      <c r="CG30" s="829"/>
      <c r="CH30" s="895"/>
      <c r="CI30" s="896"/>
      <c r="CJ30" s="896"/>
      <c r="CK30" s="895"/>
      <c r="CL30" s="896"/>
      <c r="CM30" s="896"/>
      <c r="CN30" s="897"/>
      <c r="CO30" s="829"/>
      <c r="CP30" s="895"/>
      <c r="CQ30" s="896"/>
      <c r="CR30" s="896"/>
      <c r="CS30" s="895"/>
      <c r="CT30" s="896"/>
      <c r="CU30" s="896"/>
      <c r="CV30" s="897"/>
      <c r="CW30" s="829"/>
      <c r="CX30" s="895"/>
      <c r="CY30" s="896"/>
      <c r="CZ30" s="896"/>
      <c r="DA30" s="895"/>
      <c r="DB30" s="896"/>
      <c r="DC30" s="896"/>
      <c r="DD30" s="897"/>
      <c r="DE30" s="829"/>
      <c r="DF30" s="895"/>
      <c r="DG30" s="896"/>
      <c r="DH30" s="896"/>
      <c r="DI30" s="895"/>
      <c r="DJ30" s="896"/>
      <c r="DK30" s="896"/>
      <c r="DL30" s="897"/>
      <c r="DM30" s="829"/>
      <c r="DN30" s="895"/>
      <c r="DO30" s="896"/>
      <c r="DP30" s="896"/>
      <c r="DQ30" s="895"/>
      <c r="DR30" s="896"/>
      <c r="DS30" s="896"/>
      <c r="DT30" s="897"/>
      <c r="DU30" s="829"/>
      <c r="DV30" s="895"/>
      <c r="DW30" s="896"/>
      <c r="DX30" s="896"/>
      <c r="DY30" s="895"/>
      <c r="DZ30" s="896"/>
      <c r="EA30" s="896"/>
      <c r="EB30" s="897"/>
      <c r="EC30" s="829"/>
      <c r="ED30" s="895"/>
      <c r="EE30" s="896"/>
      <c r="EF30" s="896"/>
      <c r="EG30" s="895"/>
      <c r="EH30" s="896"/>
      <c r="EI30" s="896"/>
      <c r="EJ30" s="897"/>
      <c r="EK30" s="829"/>
      <c r="EL30" s="895"/>
      <c r="EM30" s="896"/>
      <c r="EN30" s="896"/>
      <c r="EO30" s="895"/>
      <c r="EP30" s="896"/>
      <c r="EQ30" s="896"/>
      <c r="ER30" s="897"/>
      <c r="ES30" s="829"/>
      <c r="ET30" s="895"/>
      <c r="EU30" s="896"/>
      <c r="EV30" s="896"/>
      <c r="EW30" s="895"/>
      <c r="EX30" s="896"/>
      <c r="EY30" s="896"/>
      <c r="EZ30" s="897"/>
      <c r="FA30" s="829"/>
      <c r="FB30" s="895"/>
      <c r="FC30" s="896"/>
      <c r="FD30" s="896"/>
      <c r="FE30" s="895"/>
      <c r="FF30" s="896"/>
      <c r="FG30" s="896"/>
      <c r="FH30" s="897"/>
      <c r="FI30" s="829"/>
      <c r="FJ30" s="895"/>
      <c r="FK30" s="896"/>
      <c r="FL30" s="896"/>
      <c r="FM30" s="895"/>
      <c r="FN30" s="896"/>
      <c r="FO30" s="896"/>
      <c r="FP30" s="897"/>
      <c r="FQ30" s="829"/>
      <c r="FR30" s="895"/>
      <c r="FS30" s="896"/>
      <c r="FT30" s="896"/>
      <c r="FU30" s="895"/>
      <c r="FV30" s="896"/>
      <c r="FW30" s="896"/>
      <c r="FX30" s="897"/>
      <c r="FY30" s="829"/>
      <c r="FZ30" s="895"/>
      <c r="GA30" s="895"/>
      <c r="GB30" s="896"/>
      <c r="GC30" s="895"/>
      <c r="GD30" s="896"/>
      <c r="GE30" s="896"/>
      <c r="GF30" s="897"/>
      <c r="GG30" s="829"/>
      <c r="GH30" s="895"/>
      <c r="GI30" s="896"/>
      <c r="GJ30" s="896"/>
      <c r="GK30" s="895"/>
      <c r="GL30" s="896"/>
      <c r="GM30" s="896"/>
      <c r="GN30" s="897"/>
      <c r="GO30" s="829"/>
      <c r="GP30" s="895"/>
      <c r="GQ30" s="896"/>
      <c r="GR30" s="896"/>
      <c r="GS30" s="895"/>
      <c r="GT30" s="896"/>
      <c r="GU30" s="896"/>
      <c r="GV30" s="897"/>
      <c r="GW30" s="829"/>
      <c r="GX30" s="895"/>
      <c r="GY30" s="896"/>
      <c r="GZ30" s="896"/>
      <c r="HA30" s="895"/>
      <c r="HB30" s="896"/>
      <c r="HC30" s="896"/>
      <c r="HD30" s="897"/>
      <c r="HE30" s="829"/>
      <c r="HF30" s="895"/>
      <c r="HG30" s="896"/>
      <c r="HH30" s="896"/>
      <c r="HI30" s="895"/>
      <c r="HJ30" s="896"/>
      <c r="HK30" s="896"/>
      <c r="HL30" s="897"/>
      <c r="HM30" s="829"/>
      <c r="HN30" s="895"/>
      <c r="HO30" s="896"/>
      <c r="HP30" s="896"/>
      <c r="HQ30" s="895"/>
      <c r="HR30" s="896"/>
      <c r="HS30" s="896"/>
      <c r="HT30" s="897"/>
      <c r="HU30" s="829"/>
      <c r="HV30" s="895"/>
      <c r="HW30" s="896"/>
      <c r="HX30" s="896"/>
      <c r="HY30" s="895"/>
      <c r="HZ30" s="896"/>
      <c r="IA30" s="896"/>
      <c r="IB30" s="897"/>
      <c r="IC30" s="829"/>
      <c r="ID30" s="895"/>
      <c r="IE30" s="896"/>
      <c r="IF30" s="896"/>
      <c r="IG30" s="895"/>
      <c r="IH30" s="896"/>
      <c r="II30" s="896"/>
      <c r="IJ30" s="897"/>
      <c r="IK30" s="829"/>
      <c r="IL30" s="895"/>
      <c r="IM30" s="896"/>
      <c r="IN30" s="896"/>
      <c r="IO30" s="895"/>
      <c r="IP30" s="896"/>
      <c r="IQ30" s="896"/>
      <c r="IR30" s="897"/>
      <c r="IS30" s="829"/>
      <c r="IT30" s="895"/>
      <c r="IU30" s="896"/>
      <c r="IV30" s="896"/>
      <c r="IW30" s="895"/>
      <c r="IX30" s="896"/>
      <c r="IY30" s="896"/>
      <c r="IZ30" s="897"/>
      <c r="JA30" s="829"/>
      <c r="JB30" s="895"/>
      <c r="JC30" s="896"/>
      <c r="JD30" s="896"/>
      <c r="JE30" s="895"/>
      <c r="JF30" s="896"/>
      <c r="JG30" s="896"/>
      <c r="JH30" s="897"/>
      <c r="JI30" s="829"/>
      <c r="JJ30" s="895"/>
      <c r="JK30" s="896"/>
      <c r="JL30" s="896"/>
      <c r="JM30" s="895"/>
      <c r="JN30" s="896"/>
      <c r="JO30" s="896"/>
      <c r="JP30" s="897"/>
      <c r="JQ30" s="829"/>
      <c r="JR30" s="895"/>
      <c r="JS30" s="896"/>
      <c r="JT30" s="896"/>
      <c r="JU30" s="895"/>
      <c r="JV30" s="896"/>
      <c r="JW30" s="896"/>
      <c r="JX30" s="897"/>
      <c r="JY30" s="829"/>
      <c r="JZ30" s="895"/>
      <c r="KA30" s="896"/>
      <c r="KB30" s="896"/>
      <c r="KC30" s="895"/>
      <c r="KD30" s="896"/>
      <c r="KE30" s="896"/>
      <c r="KF30" s="897"/>
      <c r="KG30" s="829"/>
      <c r="KH30" s="895"/>
      <c r="KI30" s="896"/>
      <c r="KJ30" s="896"/>
      <c r="KK30" s="895"/>
      <c r="KL30" s="896"/>
      <c r="KM30" s="896"/>
      <c r="KN30" s="897"/>
      <c r="KO30" s="829"/>
      <c r="KP30" s="894"/>
      <c r="KQ30" s="894"/>
      <c r="KR30" s="894"/>
      <c r="KS30" s="894"/>
      <c r="KT30" s="894"/>
      <c r="KU30" s="894"/>
      <c r="KV30" s="897"/>
      <c r="KW30" s="829"/>
      <c r="KX30" s="833"/>
      <c r="KY30" s="833"/>
      <c r="KZ30" s="833"/>
      <c r="LA30" s="833"/>
      <c r="LB30" s="833"/>
      <c r="LC30" s="833"/>
      <c r="LD30" s="897"/>
      <c r="LE30" s="829"/>
      <c r="LF30" s="895"/>
      <c r="LG30" s="896"/>
      <c r="LH30" s="896"/>
      <c r="LI30" s="895"/>
      <c r="LJ30" s="896"/>
      <c r="LK30" s="896"/>
      <c r="LL30" s="897"/>
      <c r="LM30" s="829"/>
      <c r="LN30" s="895"/>
      <c r="LO30" s="896"/>
      <c r="LP30" s="896"/>
      <c r="LQ30" s="895"/>
      <c r="LR30" s="896"/>
      <c r="LS30" s="896"/>
      <c r="LT30" s="897"/>
      <c r="LU30" s="829"/>
      <c r="LV30" s="895"/>
      <c r="LW30" s="896"/>
      <c r="LX30" s="896"/>
      <c r="LY30" s="895"/>
      <c r="LZ30" s="896"/>
      <c r="MA30" s="896"/>
      <c r="MB30" s="897"/>
      <c r="MC30" s="829"/>
      <c r="MD30" s="895"/>
      <c r="ME30" s="896"/>
      <c r="MF30" s="896"/>
      <c r="MG30" s="895"/>
      <c r="MH30" s="896"/>
      <c r="MI30" s="896"/>
      <c r="MJ30" s="897"/>
      <c r="MK30" s="829">
        <f>SUM(ML30:MQ30)</f>
        <v>126821</v>
      </c>
      <c r="ML30" s="904">
        <v>55499</v>
      </c>
      <c r="MM30" s="896"/>
      <c r="MN30" s="896">
        <v>42654</v>
      </c>
      <c r="MO30" s="895"/>
      <c r="MP30" s="896">
        <v>28668</v>
      </c>
      <c r="MQ30" s="896"/>
      <c r="MR30" s="897"/>
      <c r="MS30" s="829">
        <f>SUM(MT30:MZ30)</f>
        <v>134407</v>
      </c>
      <c r="MT30" s="895">
        <v>36283</v>
      </c>
      <c r="MU30" s="896">
        <v>57983</v>
      </c>
      <c r="MV30" s="896"/>
      <c r="MW30" s="895">
        <v>40141</v>
      </c>
      <c r="MX30" s="896"/>
      <c r="MY30" s="896"/>
      <c r="MZ30" s="897"/>
      <c r="NA30" s="829">
        <f>SUM(NB30:NH30)</f>
        <v>50778</v>
      </c>
      <c r="NB30" s="895">
        <v>37094</v>
      </c>
      <c r="NC30" s="896"/>
      <c r="ND30" s="896"/>
      <c r="NE30" s="895">
        <v>13684</v>
      </c>
      <c r="NF30" s="896"/>
      <c r="NG30" s="896"/>
      <c r="NH30" s="897"/>
      <c r="NI30" s="829">
        <f>SUM(NJ30:NP30)</f>
        <v>66065</v>
      </c>
      <c r="NJ30" s="895">
        <v>66065</v>
      </c>
      <c r="NK30" s="896"/>
      <c r="NL30" s="896"/>
      <c r="NM30" s="895"/>
      <c r="NN30" s="896"/>
      <c r="NO30" s="896"/>
      <c r="NP30" s="897"/>
      <c r="NQ30" s="829"/>
      <c r="NR30" s="895">
        <v>101687</v>
      </c>
      <c r="NS30" s="896"/>
      <c r="NT30" s="896"/>
      <c r="NU30" s="895"/>
      <c r="NV30" s="896"/>
      <c r="NW30" s="896"/>
      <c r="NX30" s="897"/>
      <c r="NY30" s="582">
        <f>SUM(NZ30:OF30)</f>
        <v>47602</v>
      </c>
      <c r="NZ30" s="895">
        <v>47602</v>
      </c>
      <c r="OA30" s="896"/>
      <c r="OB30" s="896"/>
      <c r="OC30" s="895"/>
      <c r="OD30" s="896"/>
      <c r="OE30" s="896"/>
      <c r="OF30" s="897"/>
      <c r="OG30" s="582">
        <f>SUM(OH30:ON30)</f>
        <v>75238</v>
      </c>
      <c r="OH30" s="895">
        <v>75238</v>
      </c>
      <c r="OI30" s="896"/>
      <c r="OJ30" s="896"/>
      <c r="OK30" s="895"/>
      <c r="OL30" s="896"/>
      <c r="OM30" s="896"/>
      <c r="ON30" s="897"/>
      <c r="OO30" s="582">
        <f>SUM(OP30:OV30)</f>
        <v>0</v>
      </c>
      <c r="OP30" s="895"/>
      <c r="OQ30" s="896"/>
      <c r="OR30" s="896"/>
      <c r="OS30" s="895"/>
      <c r="OT30" s="896"/>
      <c r="OU30" s="896"/>
      <c r="OV30" s="897"/>
      <c r="OW30" s="582">
        <f>SUM(OX30:PD30)</f>
        <v>35488</v>
      </c>
      <c r="OX30" s="895">
        <v>35488</v>
      </c>
      <c r="OY30" s="896"/>
      <c r="OZ30" s="896"/>
      <c r="PA30" s="895"/>
      <c r="PB30" s="896"/>
      <c r="PC30" s="896"/>
      <c r="PD30" s="897"/>
      <c r="PE30" s="582">
        <f t="shared" si="971"/>
        <v>47638</v>
      </c>
      <c r="PF30" s="895">
        <v>47638</v>
      </c>
      <c r="PG30" s="896"/>
      <c r="PH30" s="896"/>
      <c r="PI30" s="895"/>
      <c r="PJ30" s="896"/>
      <c r="PK30" s="896"/>
      <c r="PL30" s="897"/>
    </row>
    <row r="31" spans="1:428" s="898" customFormat="1" x14ac:dyDescent="0.3">
      <c r="A31" s="894"/>
      <c r="B31" s="1000"/>
      <c r="C31" s="1001"/>
      <c r="D31" s="828" t="s">
        <v>312</v>
      </c>
      <c r="E31" s="829"/>
      <c r="F31" s="895"/>
      <c r="G31" s="896"/>
      <c r="H31" s="896"/>
      <c r="I31" s="895"/>
      <c r="J31" s="896"/>
      <c r="K31" s="896"/>
      <c r="L31" s="897"/>
      <c r="M31" s="829"/>
      <c r="N31" s="895"/>
      <c r="O31" s="896"/>
      <c r="P31" s="896"/>
      <c r="Q31" s="895"/>
      <c r="R31" s="896"/>
      <c r="S31" s="896"/>
      <c r="T31" s="897"/>
      <c r="U31" s="829"/>
      <c r="V31" s="895"/>
      <c r="W31" s="896"/>
      <c r="X31" s="896"/>
      <c r="Y31" s="895"/>
      <c r="Z31" s="896"/>
      <c r="AA31" s="896"/>
      <c r="AB31" s="897"/>
      <c r="AC31" s="829"/>
      <c r="AD31" s="895"/>
      <c r="AE31" s="896"/>
      <c r="AF31" s="896"/>
      <c r="AG31" s="895"/>
      <c r="AH31" s="896"/>
      <c r="AI31" s="896"/>
      <c r="AJ31" s="897"/>
      <c r="AK31" s="829"/>
      <c r="AL31" s="895"/>
      <c r="AM31" s="896"/>
      <c r="AN31" s="896"/>
      <c r="AO31" s="895"/>
      <c r="AP31" s="896"/>
      <c r="AQ31" s="896"/>
      <c r="AR31" s="897"/>
      <c r="AS31" s="829"/>
      <c r="AT31" s="895"/>
      <c r="AU31" s="896"/>
      <c r="AV31" s="896"/>
      <c r="AW31" s="895"/>
      <c r="AX31" s="896"/>
      <c r="AY31" s="896"/>
      <c r="AZ31" s="897"/>
      <c r="BA31" s="829"/>
      <c r="BB31" s="895"/>
      <c r="BC31" s="896"/>
      <c r="BD31" s="896"/>
      <c r="BE31" s="895"/>
      <c r="BF31" s="896"/>
      <c r="BG31" s="896"/>
      <c r="BH31" s="897"/>
      <c r="BI31" s="829"/>
      <c r="BJ31" s="895"/>
      <c r="BK31" s="896"/>
      <c r="BL31" s="896"/>
      <c r="BM31" s="895"/>
      <c r="BN31" s="896"/>
      <c r="BO31" s="896"/>
      <c r="BP31" s="897"/>
      <c r="BQ31" s="829"/>
      <c r="BR31" s="895"/>
      <c r="BS31" s="896"/>
      <c r="BT31" s="896"/>
      <c r="BU31" s="895"/>
      <c r="BV31" s="896"/>
      <c r="BW31" s="896"/>
      <c r="BX31" s="897"/>
      <c r="BY31" s="829"/>
      <c r="BZ31" s="895"/>
      <c r="CA31" s="896"/>
      <c r="CB31" s="896"/>
      <c r="CC31" s="895"/>
      <c r="CD31" s="896"/>
      <c r="CE31" s="896"/>
      <c r="CF31" s="897"/>
      <c r="CG31" s="829"/>
      <c r="CH31" s="895"/>
      <c r="CI31" s="896"/>
      <c r="CJ31" s="896"/>
      <c r="CK31" s="895"/>
      <c r="CL31" s="896"/>
      <c r="CM31" s="896"/>
      <c r="CN31" s="897"/>
      <c r="CO31" s="829"/>
      <c r="CP31" s="895"/>
      <c r="CQ31" s="896"/>
      <c r="CR31" s="896"/>
      <c r="CS31" s="895"/>
      <c r="CT31" s="896"/>
      <c r="CU31" s="896"/>
      <c r="CV31" s="897"/>
      <c r="CW31" s="829"/>
      <c r="CX31" s="895"/>
      <c r="CY31" s="896"/>
      <c r="CZ31" s="896"/>
      <c r="DA31" s="895"/>
      <c r="DB31" s="896"/>
      <c r="DC31" s="896"/>
      <c r="DD31" s="897"/>
      <c r="DE31" s="829"/>
      <c r="DF31" s="895"/>
      <c r="DG31" s="896"/>
      <c r="DH31" s="896"/>
      <c r="DI31" s="895"/>
      <c r="DJ31" s="896"/>
      <c r="DK31" s="896"/>
      <c r="DL31" s="897"/>
      <c r="DM31" s="829"/>
      <c r="DN31" s="895"/>
      <c r="DO31" s="896"/>
      <c r="DP31" s="896"/>
      <c r="DQ31" s="895"/>
      <c r="DR31" s="896"/>
      <c r="DS31" s="896"/>
      <c r="DT31" s="897"/>
      <c r="DU31" s="829"/>
      <c r="DV31" s="895"/>
      <c r="DW31" s="896"/>
      <c r="DX31" s="896"/>
      <c r="DY31" s="895"/>
      <c r="DZ31" s="896"/>
      <c r="EA31" s="896"/>
      <c r="EB31" s="897"/>
      <c r="EC31" s="829"/>
      <c r="ED31" s="895"/>
      <c r="EE31" s="896"/>
      <c r="EF31" s="896"/>
      <c r="EG31" s="895"/>
      <c r="EH31" s="896"/>
      <c r="EI31" s="896"/>
      <c r="EJ31" s="897"/>
      <c r="EK31" s="829"/>
      <c r="EL31" s="895"/>
      <c r="EM31" s="896"/>
      <c r="EN31" s="896"/>
      <c r="EO31" s="895"/>
      <c r="EP31" s="896"/>
      <c r="EQ31" s="896"/>
      <c r="ER31" s="897"/>
      <c r="ES31" s="829"/>
      <c r="ET31" s="895"/>
      <c r="EU31" s="896"/>
      <c r="EV31" s="896"/>
      <c r="EW31" s="895"/>
      <c r="EX31" s="896"/>
      <c r="EY31" s="896"/>
      <c r="EZ31" s="897"/>
      <c r="FA31" s="829"/>
      <c r="FB31" s="895"/>
      <c r="FC31" s="896"/>
      <c r="FD31" s="896"/>
      <c r="FE31" s="895"/>
      <c r="FF31" s="896"/>
      <c r="FG31" s="896"/>
      <c r="FH31" s="897"/>
      <c r="FI31" s="829"/>
      <c r="FJ31" s="895"/>
      <c r="FK31" s="896"/>
      <c r="FL31" s="896"/>
      <c r="FM31" s="895"/>
      <c r="FN31" s="896"/>
      <c r="FO31" s="896"/>
      <c r="FP31" s="897"/>
      <c r="FQ31" s="829"/>
      <c r="FR31" s="895"/>
      <c r="FS31" s="896"/>
      <c r="FT31" s="896"/>
      <c r="FU31" s="895"/>
      <c r="FV31" s="896"/>
      <c r="FW31" s="896"/>
      <c r="FX31" s="897"/>
      <c r="FY31" s="829"/>
      <c r="FZ31" s="895"/>
      <c r="GA31" s="895"/>
      <c r="GB31" s="896"/>
      <c r="GC31" s="895"/>
      <c r="GD31" s="896"/>
      <c r="GE31" s="896"/>
      <c r="GF31" s="897"/>
      <c r="GG31" s="829"/>
      <c r="GH31" s="895"/>
      <c r="GI31" s="896"/>
      <c r="GJ31" s="896"/>
      <c r="GK31" s="895"/>
      <c r="GL31" s="896"/>
      <c r="GM31" s="896"/>
      <c r="GN31" s="897"/>
      <c r="GO31" s="829"/>
      <c r="GP31" s="895"/>
      <c r="GQ31" s="896"/>
      <c r="GR31" s="896"/>
      <c r="GS31" s="895"/>
      <c r="GT31" s="896"/>
      <c r="GU31" s="896"/>
      <c r="GV31" s="897"/>
      <c r="GW31" s="829"/>
      <c r="GX31" s="895"/>
      <c r="GY31" s="896"/>
      <c r="GZ31" s="896"/>
      <c r="HA31" s="895"/>
      <c r="HB31" s="896"/>
      <c r="HC31" s="896"/>
      <c r="HD31" s="897"/>
      <c r="HE31" s="829"/>
      <c r="HF31" s="895"/>
      <c r="HG31" s="896"/>
      <c r="HH31" s="896"/>
      <c r="HI31" s="895"/>
      <c r="HJ31" s="896"/>
      <c r="HK31" s="896"/>
      <c r="HL31" s="897"/>
      <c r="HM31" s="829"/>
      <c r="HN31" s="895"/>
      <c r="HO31" s="896"/>
      <c r="HP31" s="896"/>
      <c r="HQ31" s="895"/>
      <c r="HR31" s="896"/>
      <c r="HS31" s="896"/>
      <c r="HT31" s="897"/>
      <c r="HU31" s="829"/>
      <c r="HV31" s="895"/>
      <c r="HW31" s="896"/>
      <c r="HX31" s="896"/>
      <c r="HY31" s="895"/>
      <c r="HZ31" s="896"/>
      <c r="IA31" s="896"/>
      <c r="IB31" s="897"/>
      <c r="IC31" s="829"/>
      <c r="ID31" s="895"/>
      <c r="IE31" s="896"/>
      <c r="IF31" s="896"/>
      <c r="IG31" s="895"/>
      <c r="IH31" s="896"/>
      <c r="II31" s="896"/>
      <c r="IJ31" s="897"/>
      <c r="IK31" s="829"/>
      <c r="IL31" s="895"/>
      <c r="IM31" s="896"/>
      <c r="IN31" s="896"/>
      <c r="IO31" s="895"/>
      <c r="IP31" s="896"/>
      <c r="IQ31" s="896"/>
      <c r="IR31" s="897"/>
      <c r="IS31" s="829"/>
      <c r="IT31" s="895"/>
      <c r="IU31" s="896"/>
      <c r="IV31" s="896"/>
      <c r="IW31" s="895"/>
      <c r="IX31" s="896"/>
      <c r="IY31" s="896"/>
      <c r="IZ31" s="897"/>
      <c r="JA31" s="829"/>
      <c r="JB31" s="895"/>
      <c r="JC31" s="896"/>
      <c r="JD31" s="896"/>
      <c r="JE31" s="895"/>
      <c r="JF31" s="896"/>
      <c r="JG31" s="896"/>
      <c r="JH31" s="897"/>
      <c r="JI31" s="829"/>
      <c r="JJ31" s="895"/>
      <c r="JK31" s="896"/>
      <c r="JL31" s="896"/>
      <c r="JM31" s="895"/>
      <c r="JN31" s="896"/>
      <c r="JO31" s="896"/>
      <c r="JP31" s="897"/>
      <c r="JQ31" s="829"/>
      <c r="JR31" s="895"/>
      <c r="JS31" s="896"/>
      <c r="JT31" s="896"/>
      <c r="JU31" s="895"/>
      <c r="JV31" s="896"/>
      <c r="JW31" s="896"/>
      <c r="JX31" s="897"/>
      <c r="JY31" s="829"/>
      <c r="JZ31" s="895"/>
      <c r="KA31" s="896"/>
      <c r="KB31" s="896"/>
      <c r="KC31" s="895"/>
      <c r="KD31" s="896"/>
      <c r="KE31" s="896"/>
      <c r="KF31" s="897"/>
      <c r="KG31" s="829"/>
      <c r="KH31" s="895"/>
      <c r="KI31" s="896"/>
      <c r="KJ31" s="896"/>
      <c r="KK31" s="895"/>
      <c r="KL31" s="896"/>
      <c r="KM31" s="896"/>
      <c r="KN31" s="897"/>
      <c r="KO31" s="829"/>
      <c r="KP31" s="894"/>
      <c r="KQ31" s="894"/>
      <c r="KR31" s="894"/>
      <c r="KS31" s="894"/>
      <c r="KT31" s="894"/>
      <c r="KU31" s="894"/>
      <c r="KV31" s="897"/>
      <c r="KW31" s="829"/>
      <c r="KX31" s="833"/>
      <c r="KY31" s="833"/>
      <c r="KZ31" s="833"/>
      <c r="LA31" s="833"/>
      <c r="LB31" s="833"/>
      <c r="LC31" s="833"/>
      <c r="LD31" s="897"/>
      <c r="LE31" s="829"/>
      <c r="LF31" s="895"/>
      <c r="LG31" s="896"/>
      <c r="LH31" s="896"/>
      <c r="LI31" s="895"/>
      <c r="LJ31" s="896"/>
      <c r="LK31" s="896"/>
      <c r="LL31" s="897"/>
      <c r="LM31" s="829"/>
      <c r="LN31" s="895"/>
      <c r="LO31" s="896"/>
      <c r="LP31" s="896"/>
      <c r="LQ31" s="895"/>
      <c r="LR31" s="896"/>
      <c r="LS31" s="896"/>
      <c r="LT31" s="897"/>
      <c r="LU31" s="829"/>
      <c r="LV31" s="895"/>
      <c r="LW31" s="896"/>
      <c r="LX31" s="896"/>
      <c r="LY31" s="895"/>
      <c r="LZ31" s="896"/>
      <c r="MA31" s="896"/>
      <c r="MB31" s="897"/>
      <c r="MC31" s="829"/>
      <c r="MD31" s="895"/>
      <c r="ME31" s="896"/>
      <c r="MF31" s="896"/>
      <c r="MG31" s="895"/>
      <c r="MH31" s="896"/>
      <c r="MI31" s="896"/>
      <c r="MJ31" s="897"/>
      <c r="MK31" s="829">
        <f>SUM(ML31:MQ31)</f>
        <v>19198</v>
      </c>
      <c r="ML31" s="895"/>
      <c r="MM31" s="896"/>
      <c r="MN31" s="896">
        <v>9764</v>
      </c>
      <c r="MO31" s="895">
        <v>9302</v>
      </c>
      <c r="MP31" s="896">
        <v>132</v>
      </c>
      <c r="MQ31" s="896"/>
      <c r="MR31" s="897"/>
      <c r="MS31" s="829">
        <f>SUM(MT31:MZ31)</f>
        <v>29990</v>
      </c>
      <c r="MT31" s="895"/>
      <c r="MU31" s="896">
        <v>84</v>
      </c>
      <c r="MV31" s="896">
        <v>11589</v>
      </c>
      <c r="MW31" s="895">
        <v>18317</v>
      </c>
      <c r="MX31" s="896"/>
      <c r="MY31" s="896"/>
      <c r="MZ31" s="897"/>
      <c r="NA31" s="829">
        <f>SUM(NB31:NH31)</f>
        <v>17408</v>
      </c>
      <c r="NB31" s="895"/>
      <c r="NC31" s="896"/>
      <c r="ND31" s="896">
        <v>6853</v>
      </c>
      <c r="NE31" s="895">
        <v>10555</v>
      </c>
      <c r="NF31" s="896"/>
      <c r="NG31" s="896"/>
      <c r="NH31" s="897"/>
      <c r="NI31" s="829">
        <f>SUM(NJ31:NP31)</f>
        <v>11599</v>
      </c>
      <c r="NJ31" s="895"/>
      <c r="NK31" s="896"/>
      <c r="NL31" s="896">
        <v>5171</v>
      </c>
      <c r="NM31" s="895">
        <v>6288</v>
      </c>
      <c r="NN31" s="896">
        <v>140</v>
      </c>
      <c r="NO31" s="896"/>
      <c r="NP31" s="897"/>
      <c r="NQ31" s="829"/>
      <c r="NR31" s="895"/>
      <c r="NS31" s="896">
        <v>6827</v>
      </c>
      <c r="NT31" s="896">
        <v>2983</v>
      </c>
      <c r="NU31" s="895">
        <v>2138</v>
      </c>
      <c r="NV31" s="896">
        <v>4245</v>
      </c>
      <c r="NW31" s="896"/>
      <c r="NX31" s="897"/>
      <c r="NY31" s="582">
        <f>SUM(NZ31:OF31)</f>
        <v>11832</v>
      </c>
      <c r="NZ31" s="895"/>
      <c r="OA31" s="896">
        <v>420</v>
      </c>
      <c r="OB31" s="896">
        <v>1426</v>
      </c>
      <c r="OC31" s="895">
        <v>9866</v>
      </c>
      <c r="OD31" s="896">
        <v>120</v>
      </c>
      <c r="OE31" s="896"/>
      <c r="OF31" s="897"/>
      <c r="OG31" s="582">
        <f>SUM(OH31:ON31)</f>
        <v>24483</v>
      </c>
      <c r="OH31" s="895"/>
      <c r="OI31" s="896"/>
      <c r="OJ31" s="896">
        <v>20490</v>
      </c>
      <c r="OK31" s="895">
        <v>1034</v>
      </c>
      <c r="OL31" s="896">
        <v>2959</v>
      </c>
      <c r="OM31" s="896"/>
      <c r="ON31" s="897"/>
      <c r="OO31" s="582">
        <f>SUM(OP31:OV31)</f>
        <v>20471</v>
      </c>
      <c r="OP31" s="895"/>
      <c r="OQ31" s="896">
        <v>6355</v>
      </c>
      <c r="OR31" s="896">
        <v>5015</v>
      </c>
      <c r="OS31" s="895">
        <v>7949</v>
      </c>
      <c r="OT31" s="896">
        <v>1152</v>
      </c>
      <c r="OU31" s="896"/>
      <c r="OV31" s="897"/>
      <c r="OW31" s="582">
        <f>SUM(OX31:PD31)</f>
        <v>21538</v>
      </c>
      <c r="OX31" s="895"/>
      <c r="OY31" s="896">
        <v>2187</v>
      </c>
      <c r="OZ31" s="896">
        <v>2935</v>
      </c>
      <c r="PA31" s="895">
        <v>16137</v>
      </c>
      <c r="PB31" s="896">
        <v>279</v>
      </c>
      <c r="PC31" s="896"/>
      <c r="PD31" s="897"/>
      <c r="PE31" s="582">
        <f t="shared" si="971"/>
        <v>10662</v>
      </c>
      <c r="PF31" s="895"/>
      <c r="PG31" s="896">
        <v>534</v>
      </c>
      <c r="PH31" s="896">
        <v>5477</v>
      </c>
      <c r="PI31" s="895">
        <v>4651</v>
      </c>
      <c r="PJ31" s="896"/>
      <c r="PK31" s="896"/>
      <c r="PL31" s="897"/>
    </row>
    <row r="32" spans="1:428" s="835" customFormat="1" ht="15" outlineLevel="1" thickBot="1" x14ac:dyDescent="0.35">
      <c r="A32" s="827"/>
      <c r="B32" s="1002"/>
      <c r="C32" s="1003"/>
      <c r="D32" s="828" t="s">
        <v>313</v>
      </c>
      <c r="E32" s="829">
        <f t="shared" ref="E32" si="1022">SUM(F32:L32)</f>
        <v>58030</v>
      </c>
      <c r="F32" s="830">
        <v>39318</v>
      </c>
      <c r="G32" s="831"/>
      <c r="H32" s="831">
        <v>8924</v>
      </c>
      <c r="I32" s="832">
        <v>6545</v>
      </c>
      <c r="J32" s="833">
        <v>2523</v>
      </c>
      <c r="K32" s="833">
        <v>720</v>
      </c>
      <c r="L32" s="834"/>
      <c r="M32" s="829">
        <f t="shared" ref="M32" si="1023">SUM(N32:T32)</f>
        <v>46204</v>
      </c>
      <c r="N32" s="830">
        <v>27388</v>
      </c>
      <c r="O32" s="831"/>
      <c r="P32" s="831">
        <v>5999</v>
      </c>
      <c r="Q32" s="832">
        <v>6218</v>
      </c>
      <c r="R32" s="833">
        <v>5325</v>
      </c>
      <c r="S32" s="833">
        <v>1274</v>
      </c>
      <c r="T32" s="834"/>
      <c r="U32" s="829">
        <f t="shared" ref="U32" si="1024">SUM(V32:AB32)</f>
        <v>45812</v>
      </c>
      <c r="V32" s="830">
        <v>31064</v>
      </c>
      <c r="W32" s="831"/>
      <c r="X32" s="831">
        <v>11687</v>
      </c>
      <c r="Y32" s="832">
        <v>3061</v>
      </c>
      <c r="Z32" s="833"/>
      <c r="AA32" s="833"/>
      <c r="AB32" s="834"/>
      <c r="AC32" s="829">
        <f t="shared" ref="AC32" si="1025">SUM(AD32:AJ32)</f>
        <v>69568</v>
      </c>
      <c r="AD32" s="830">
        <v>53608</v>
      </c>
      <c r="AE32" s="831"/>
      <c r="AF32" s="831">
        <v>9530</v>
      </c>
      <c r="AG32" s="832">
        <v>4390</v>
      </c>
      <c r="AH32" s="833">
        <v>2040</v>
      </c>
      <c r="AI32" s="833"/>
      <c r="AJ32" s="834"/>
      <c r="AK32" s="829">
        <f t="shared" ref="AK32" si="1026">SUM(AL32:AR32)</f>
        <v>63217</v>
      </c>
      <c r="AL32" s="830">
        <v>36168</v>
      </c>
      <c r="AM32" s="831"/>
      <c r="AN32" s="831">
        <v>13896</v>
      </c>
      <c r="AO32" s="832">
        <v>9992</v>
      </c>
      <c r="AP32" s="833">
        <v>3161</v>
      </c>
      <c r="AQ32" s="833"/>
      <c r="AR32" s="834"/>
      <c r="AS32" s="829">
        <f t="shared" ref="AS32" si="1027">SUM(AT32:AZ32)</f>
        <v>50198</v>
      </c>
      <c r="AT32" s="830">
        <v>36800</v>
      </c>
      <c r="AU32" s="831"/>
      <c r="AV32" s="831">
        <v>7329</v>
      </c>
      <c r="AW32" s="832">
        <v>4845</v>
      </c>
      <c r="AX32" s="833">
        <v>1224</v>
      </c>
      <c r="AY32" s="833"/>
      <c r="AZ32" s="834"/>
      <c r="BA32" s="829">
        <f t="shared" ref="BA32" si="1028">SUM(BB32:BH32)</f>
        <v>129972</v>
      </c>
      <c r="BB32" s="843">
        <v>110119</v>
      </c>
      <c r="BC32" s="831"/>
      <c r="BD32" s="831">
        <v>14544</v>
      </c>
      <c r="BE32" s="832">
        <v>5309</v>
      </c>
      <c r="BF32" s="833"/>
      <c r="BG32" s="833"/>
      <c r="BH32" s="834"/>
      <c r="BI32" s="829">
        <f t="shared" ref="BI32" si="1029">SUM(BJ32:BP32)</f>
        <v>69970</v>
      </c>
      <c r="BJ32" s="830">
        <v>45878</v>
      </c>
      <c r="BK32" s="831"/>
      <c r="BL32" s="831">
        <v>17060</v>
      </c>
      <c r="BM32" s="832">
        <v>4650</v>
      </c>
      <c r="BN32" s="833">
        <v>2382</v>
      </c>
      <c r="BO32" s="833"/>
      <c r="BP32" s="834"/>
      <c r="BQ32" s="829">
        <f t="shared" ref="BQ32" si="1030">SUM(BR32:BX32)</f>
        <v>51787</v>
      </c>
      <c r="BR32" s="830">
        <v>36016</v>
      </c>
      <c r="BS32" s="831"/>
      <c r="BT32" s="831">
        <v>8114</v>
      </c>
      <c r="BU32" s="832">
        <v>7577</v>
      </c>
      <c r="BV32" s="833">
        <v>80</v>
      </c>
      <c r="BW32" s="833"/>
      <c r="BX32" s="834"/>
      <c r="BY32" s="829">
        <f t="shared" ref="BY32" si="1031">SUM(BZ32:CF32)</f>
        <v>62956</v>
      </c>
      <c r="BZ32" s="830">
        <v>46354</v>
      </c>
      <c r="CA32" s="831">
        <v>2496</v>
      </c>
      <c r="CB32" s="831">
        <v>10258</v>
      </c>
      <c r="CC32" s="832">
        <v>3848</v>
      </c>
      <c r="CD32" s="833"/>
      <c r="CE32" s="833"/>
      <c r="CF32" s="834"/>
      <c r="CG32" s="829">
        <f t="shared" ref="CG32" si="1032">SUM(CH32:CN32)</f>
        <v>76327</v>
      </c>
      <c r="CH32" s="830">
        <v>48957</v>
      </c>
      <c r="CI32" s="831"/>
      <c r="CJ32" s="831">
        <v>16644</v>
      </c>
      <c r="CK32" s="832">
        <v>10726</v>
      </c>
      <c r="CL32" s="833"/>
      <c r="CM32" s="833"/>
      <c r="CN32" s="834"/>
      <c r="CO32" s="829">
        <f t="shared" ref="CO32" si="1033">SUM(CP32:CV32)</f>
        <v>72728</v>
      </c>
      <c r="CP32" s="830">
        <v>44987</v>
      </c>
      <c r="CQ32" s="831"/>
      <c r="CR32" s="831">
        <v>19699</v>
      </c>
      <c r="CS32" s="832">
        <v>8042</v>
      </c>
      <c r="CT32" s="833"/>
      <c r="CU32" s="833"/>
      <c r="CV32" s="834"/>
      <c r="CW32" s="829">
        <f t="shared" ref="CW32" si="1034">SUM(CX32:DD32)</f>
        <v>89623</v>
      </c>
      <c r="CX32" s="830">
        <v>67871</v>
      </c>
      <c r="CY32" s="831"/>
      <c r="CZ32" s="831">
        <v>8277</v>
      </c>
      <c r="DA32" s="832">
        <v>13475</v>
      </c>
      <c r="DB32" s="833"/>
      <c r="DC32" s="833"/>
      <c r="DD32" s="834"/>
      <c r="DE32" s="829">
        <f t="shared" si="969"/>
        <v>64970</v>
      </c>
      <c r="DF32" s="830">
        <v>48839</v>
      </c>
      <c r="DG32" s="831"/>
      <c r="DH32" s="831">
        <v>9113</v>
      </c>
      <c r="DI32" s="832">
        <v>7018</v>
      </c>
      <c r="DJ32" s="833"/>
      <c r="DK32" s="833"/>
      <c r="DL32" s="834"/>
      <c r="DM32" s="829">
        <f t="shared" si="970"/>
        <v>73919</v>
      </c>
      <c r="DN32" s="830">
        <v>52942</v>
      </c>
      <c r="DO32" s="831"/>
      <c r="DP32" s="831">
        <v>12509</v>
      </c>
      <c r="DQ32" s="832">
        <v>8468</v>
      </c>
      <c r="DR32" s="833"/>
      <c r="DS32" s="833"/>
      <c r="DT32" s="834"/>
      <c r="DU32" s="829">
        <f t="shared" ref="DU32" si="1035">SUM(DV32:EB32)</f>
        <v>57516</v>
      </c>
      <c r="DV32" s="830"/>
      <c r="DW32" s="831">
        <v>44292</v>
      </c>
      <c r="DX32" s="831">
        <v>7541</v>
      </c>
      <c r="DY32" s="832">
        <v>5683</v>
      </c>
      <c r="DZ32" s="833"/>
      <c r="EA32" s="833"/>
      <c r="EB32" s="834"/>
      <c r="EC32" s="829">
        <f t="shared" ref="EC32" si="1036">SUM(ED32:EJ32)</f>
        <v>65712</v>
      </c>
      <c r="ED32" s="830">
        <v>48288</v>
      </c>
      <c r="EE32" s="831"/>
      <c r="EF32" s="831">
        <v>15032</v>
      </c>
      <c r="EG32" s="832">
        <v>2392</v>
      </c>
      <c r="EH32" s="833"/>
      <c r="EI32" s="833"/>
      <c r="EJ32" s="834"/>
      <c r="EK32" s="829">
        <f t="shared" ref="EK32" si="1037">SUM(EL32:ER32)</f>
        <v>64679</v>
      </c>
      <c r="EL32" s="830">
        <v>51302</v>
      </c>
      <c r="EM32" s="831"/>
      <c r="EN32" s="831">
        <v>10447</v>
      </c>
      <c r="EO32" s="832">
        <v>2930</v>
      </c>
      <c r="EP32" s="833"/>
      <c r="EQ32" s="833"/>
      <c r="ER32" s="834"/>
      <c r="ES32" s="829">
        <f t="shared" ref="ES32" si="1038">SUM(ET32:EZ32)</f>
        <v>85285</v>
      </c>
      <c r="ET32" s="830">
        <v>52762</v>
      </c>
      <c r="EU32" s="831"/>
      <c r="EV32" s="831">
        <v>21907</v>
      </c>
      <c r="EW32" s="832">
        <v>10616</v>
      </c>
      <c r="EX32" s="833"/>
      <c r="EY32" s="833"/>
      <c r="EZ32" s="834"/>
      <c r="FA32" s="829">
        <f t="shared" ref="FA32" si="1039">SUM(FB32:FH32)</f>
        <v>70814</v>
      </c>
      <c r="FB32" s="830">
        <v>50292</v>
      </c>
      <c r="FC32" s="831"/>
      <c r="FD32" s="831">
        <v>15862</v>
      </c>
      <c r="FE32" s="832">
        <v>4660</v>
      </c>
      <c r="FF32" s="833"/>
      <c r="FG32" s="833"/>
      <c r="FH32" s="834"/>
      <c r="FI32" s="829">
        <f t="shared" ref="FI32" si="1040">SUM(FJ32:FP32)</f>
        <v>110098</v>
      </c>
      <c r="FJ32" s="830">
        <v>85065</v>
      </c>
      <c r="FK32" s="831">
        <v>6503</v>
      </c>
      <c r="FL32" s="831">
        <v>18530</v>
      </c>
      <c r="FM32" s="832"/>
      <c r="FN32" s="833"/>
      <c r="FO32" s="833"/>
      <c r="FP32" s="834"/>
      <c r="FQ32" s="829">
        <f t="shared" ref="FQ32" si="1041">SUM(FR32:FX32)</f>
        <v>65591</v>
      </c>
      <c r="FR32" s="830">
        <v>48507</v>
      </c>
      <c r="FS32" s="831"/>
      <c r="FT32" s="831">
        <v>5883</v>
      </c>
      <c r="FU32" s="832">
        <v>11201</v>
      </c>
      <c r="FV32" s="833"/>
      <c r="FW32" s="833"/>
      <c r="FX32" s="834"/>
      <c r="FY32" s="829">
        <f t="shared" ref="FY32" si="1042">SUM(FZ32:GF32)</f>
        <v>81285</v>
      </c>
      <c r="FZ32" s="830"/>
      <c r="GA32" s="830">
        <v>62375</v>
      </c>
      <c r="GB32" s="831">
        <v>10266</v>
      </c>
      <c r="GC32" s="832">
        <v>7084</v>
      </c>
      <c r="GD32" s="833">
        <v>1560</v>
      </c>
      <c r="GE32" s="833"/>
      <c r="GF32" s="834"/>
      <c r="GG32" s="829">
        <f t="shared" ref="GG32" si="1043">SUM(GH32:GN32)</f>
        <v>78334</v>
      </c>
      <c r="GH32" s="830">
        <v>55602</v>
      </c>
      <c r="GI32" s="831"/>
      <c r="GJ32" s="831">
        <v>9862</v>
      </c>
      <c r="GK32" s="832">
        <v>12870</v>
      </c>
      <c r="GL32" s="833"/>
      <c r="GM32" s="833"/>
      <c r="GN32" s="834"/>
      <c r="GO32" s="829">
        <f t="shared" ref="GO32" si="1044">SUM(GP32:GV32)</f>
        <v>69267</v>
      </c>
      <c r="GP32" s="830">
        <v>51017</v>
      </c>
      <c r="GQ32" s="831"/>
      <c r="GR32" s="831">
        <v>14866</v>
      </c>
      <c r="GS32" s="832">
        <v>3384</v>
      </c>
      <c r="GT32" s="833"/>
      <c r="GU32" s="833"/>
      <c r="GV32" s="834"/>
      <c r="GW32" s="829">
        <f t="shared" ref="GW32" si="1045">SUM(GX32:HD32)</f>
        <v>53340</v>
      </c>
      <c r="GX32" s="830">
        <v>42021</v>
      </c>
      <c r="GY32" s="831"/>
      <c r="GZ32" s="831">
        <v>7465</v>
      </c>
      <c r="HA32" s="832">
        <v>3854</v>
      </c>
      <c r="HB32" s="833"/>
      <c r="HC32" s="833"/>
      <c r="HD32" s="834"/>
      <c r="HE32" s="829">
        <f t="shared" ref="HE32" si="1046">SUM(HF32:HL32)</f>
        <v>56613</v>
      </c>
      <c r="HF32" s="830">
        <v>43027</v>
      </c>
      <c r="HG32" s="831"/>
      <c r="HH32" s="831">
        <v>10108</v>
      </c>
      <c r="HI32" s="832">
        <v>3478</v>
      </c>
      <c r="HJ32" s="833"/>
      <c r="HK32" s="833"/>
      <c r="HL32" s="834"/>
      <c r="HM32" s="829">
        <f t="shared" ref="HM32" si="1047">SUM(HN32:HT32)</f>
        <v>35794</v>
      </c>
      <c r="HN32" s="830">
        <v>25692</v>
      </c>
      <c r="HO32" s="831"/>
      <c r="HP32" s="831">
        <v>6490</v>
      </c>
      <c r="HQ32" s="832">
        <v>3612</v>
      </c>
      <c r="HR32" s="833"/>
      <c r="HS32" s="833"/>
      <c r="HT32" s="834"/>
      <c r="HU32" s="829">
        <f t="shared" ref="HU32" si="1048">SUM(HV32:IB32)</f>
        <v>32709</v>
      </c>
      <c r="HV32" s="830">
        <v>25880</v>
      </c>
      <c r="HW32" s="831">
        <v>5061</v>
      </c>
      <c r="HX32" s="831">
        <v>1768</v>
      </c>
      <c r="HY32" s="832"/>
      <c r="HZ32" s="833"/>
      <c r="IA32" s="833"/>
      <c r="IB32" s="834"/>
      <c r="IC32" s="829">
        <f t="shared" ref="IC32" si="1049">SUM(ID32:IJ32)</f>
        <v>29694</v>
      </c>
      <c r="ID32" s="830">
        <v>20211</v>
      </c>
      <c r="IE32" s="831"/>
      <c r="IF32" s="831">
        <v>8527</v>
      </c>
      <c r="IG32" s="832">
        <v>956</v>
      </c>
      <c r="IH32" s="833"/>
      <c r="II32" s="833"/>
      <c r="IJ32" s="834"/>
      <c r="IK32" s="829">
        <f t="shared" ref="IK32" si="1050">SUM(IL32:IR32)</f>
        <v>45658</v>
      </c>
      <c r="IL32" s="830">
        <v>38526</v>
      </c>
      <c r="IM32" s="831"/>
      <c r="IN32" s="831">
        <v>4790</v>
      </c>
      <c r="IO32" s="832">
        <v>2300</v>
      </c>
      <c r="IP32" s="833">
        <v>42</v>
      </c>
      <c r="IQ32" s="833"/>
      <c r="IR32" s="834">
        <v>0</v>
      </c>
      <c r="IS32" s="829">
        <f t="shared" ref="IS32" si="1051">SUM(IT32:IZ32)</f>
        <v>52793</v>
      </c>
      <c r="IT32" s="830">
        <v>42542</v>
      </c>
      <c r="IU32" s="831"/>
      <c r="IV32" s="831">
        <v>4769</v>
      </c>
      <c r="IW32" s="832">
        <v>5482</v>
      </c>
      <c r="IX32" s="833"/>
      <c r="IY32" s="833"/>
      <c r="IZ32" s="834">
        <v>0</v>
      </c>
      <c r="JA32" s="829">
        <f t="shared" ref="JA32" si="1052">SUM(JB32:JH32)</f>
        <v>42496</v>
      </c>
      <c r="JB32" s="830"/>
      <c r="JC32" s="831">
        <v>35026</v>
      </c>
      <c r="JD32" s="831">
        <v>4560</v>
      </c>
      <c r="JE32" s="832">
        <v>2910</v>
      </c>
      <c r="JF32" s="833"/>
      <c r="JG32" s="833"/>
      <c r="JH32" s="834">
        <v>0</v>
      </c>
      <c r="JI32" s="829">
        <f t="shared" ref="JI32" si="1053">SUM(JJ32:JP32)</f>
        <v>119941</v>
      </c>
      <c r="JJ32" s="830">
        <v>108707</v>
      </c>
      <c r="JK32" s="831"/>
      <c r="JL32" s="831">
        <v>4543</v>
      </c>
      <c r="JM32" s="832">
        <v>6691</v>
      </c>
      <c r="JN32" s="833"/>
      <c r="JO32" s="833"/>
      <c r="JP32" s="834">
        <v>0</v>
      </c>
      <c r="JQ32" s="829">
        <f t="shared" ref="JQ32" si="1054">SUM(JR32:JX32)</f>
        <v>118463</v>
      </c>
      <c r="JR32" s="830">
        <v>90299</v>
      </c>
      <c r="JS32" s="831"/>
      <c r="JT32" s="831">
        <v>19478</v>
      </c>
      <c r="JU32" s="832">
        <v>8686</v>
      </c>
      <c r="JV32" s="833"/>
      <c r="JW32" s="833"/>
      <c r="JX32" s="834">
        <v>0</v>
      </c>
      <c r="JY32" s="829">
        <f t="shared" ref="JY32" si="1055">SUM(JZ32:KF32)</f>
        <v>42826</v>
      </c>
      <c r="JZ32" s="830">
        <v>35491</v>
      </c>
      <c r="KA32" s="831"/>
      <c r="KB32" s="831">
        <v>5017</v>
      </c>
      <c r="KC32" s="832">
        <v>2318</v>
      </c>
      <c r="KD32" s="833"/>
      <c r="KE32" s="833"/>
      <c r="KF32" s="834">
        <v>0</v>
      </c>
      <c r="KG32" s="829">
        <f t="shared" ref="KG32" si="1056">SUM(KH32:KN32)</f>
        <v>146187</v>
      </c>
      <c r="KH32" s="830">
        <v>131265</v>
      </c>
      <c r="KI32" s="831"/>
      <c r="KJ32" s="831">
        <v>9647</v>
      </c>
      <c r="KK32" s="832">
        <v>5275</v>
      </c>
      <c r="KL32" s="833"/>
      <c r="KM32" s="833"/>
      <c r="KN32" s="834">
        <v>0</v>
      </c>
      <c r="KO32" s="829">
        <f t="shared" ref="KO32" si="1057">SUM(KP32:KV32)</f>
        <v>53513</v>
      </c>
      <c r="KP32" s="894">
        <v>39446</v>
      </c>
      <c r="KQ32" s="894"/>
      <c r="KR32" s="894">
        <v>7135</v>
      </c>
      <c r="KS32" s="894">
        <v>6932</v>
      </c>
      <c r="KT32" s="894"/>
      <c r="KU32" s="894"/>
      <c r="KV32" s="834"/>
      <c r="KW32" s="829">
        <f t="shared" ref="KW32" si="1058">SUM(KX32:LD32)</f>
        <v>49312</v>
      </c>
      <c r="KX32" s="833">
        <v>39549</v>
      </c>
      <c r="KY32" s="833"/>
      <c r="KZ32" s="833">
        <v>5403</v>
      </c>
      <c r="LA32" s="833">
        <v>4360</v>
      </c>
      <c r="LB32" s="833"/>
      <c r="LC32" s="833"/>
      <c r="LD32" s="834"/>
      <c r="LE32" s="829">
        <f t="shared" ref="LE32" si="1059">SUM(LF32:LL32)</f>
        <v>67198</v>
      </c>
      <c r="LF32" s="830">
        <v>49008</v>
      </c>
      <c r="LG32" s="831">
        <v>3164</v>
      </c>
      <c r="LH32" s="831">
        <v>8895</v>
      </c>
      <c r="LI32" s="832">
        <v>2863</v>
      </c>
      <c r="LJ32" s="833">
        <v>1018</v>
      </c>
      <c r="LK32" s="833">
        <v>2250</v>
      </c>
      <c r="LL32" s="834"/>
      <c r="LM32" s="829">
        <f t="shared" ref="LM32" si="1060">SUM(LN32:LT32)</f>
        <v>67688</v>
      </c>
      <c r="LN32" s="830">
        <v>53724</v>
      </c>
      <c r="LO32" s="831"/>
      <c r="LP32" s="831">
        <v>1824</v>
      </c>
      <c r="LQ32" s="832">
        <v>12140</v>
      </c>
      <c r="LR32" s="833"/>
      <c r="LS32" s="833"/>
      <c r="LT32" s="834"/>
      <c r="LU32" s="829">
        <f t="shared" ref="LU32" si="1061">SUM(LV32:MB32)</f>
        <v>79222</v>
      </c>
      <c r="LV32" s="830">
        <v>59501</v>
      </c>
      <c r="LW32" s="831"/>
      <c r="LX32" s="831">
        <v>14510</v>
      </c>
      <c r="LY32" s="832">
        <v>5211</v>
      </c>
      <c r="LZ32" s="833"/>
      <c r="MA32" s="833"/>
      <c r="MB32" s="834"/>
      <c r="MC32" s="829">
        <f t="shared" ref="MC32" si="1062">SUM(MD32:MJ32)</f>
        <v>41230</v>
      </c>
      <c r="MD32" s="830">
        <v>30924</v>
      </c>
      <c r="ME32" s="831"/>
      <c r="MF32" s="831">
        <v>6793</v>
      </c>
      <c r="MG32" s="832">
        <v>3449</v>
      </c>
      <c r="MH32" s="833">
        <v>64</v>
      </c>
      <c r="MI32" s="833"/>
      <c r="MJ32" s="834"/>
      <c r="MK32" s="829">
        <f t="shared" ref="MK32" si="1063">SUM(ML32:MR32)</f>
        <v>2118</v>
      </c>
      <c r="ML32" s="830">
        <v>2118</v>
      </c>
      <c r="MM32" s="831"/>
      <c r="MN32" s="831"/>
      <c r="MO32" s="832"/>
      <c r="MP32" s="833"/>
      <c r="MQ32" s="833"/>
      <c r="MR32" s="834"/>
      <c r="MS32" s="829">
        <f t="shared" ref="MS32" si="1064">SUM(MT32:MZ32)</f>
        <v>2427</v>
      </c>
      <c r="MT32" s="830">
        <v>2427</v>
      </c>
      <c r="MU32" s="831"/>
      <c r="MV32" s="831"/>
      <c r="MW32" s="832"/>
      <c r="MX32" s="833"/>
      <c r="MY32" s="833"/>
      <c r="MZ32" s="834"/>
      <c r="NA32" s="829">
        <f t="shared" ref="NA32" si="1065">SUM(NB32:NH32)</f>
        <v>5240</v>
      </c>
      <c r="NB32" s="830">
        <v>5240</v>
      </c>
      <c r="NC32" s="831"/>
      <c r="ND32" s="831"/>
      <c r="NE32" s="832"/>
      <c r="NF32" s="891"/>
      <c r="NG32" s="833"/>
      <c r="NH32" s="834"/>
      <c r="NI32" s="829">
        <f t="shared" ref="NI32" si="1066">SUM(NJ32:NP32)</f>
        <v>6627</v>
      </c>
      <c r="NJ32" s="830">
        <v>6627</v>
      </c>
      <c r="NK32" s="831"/>
      <c r="NL32" s="831"/>
      <c r="NM32" s="832"/>
      <c r="NN32" s="833"/>
      <c r="NO32" s="833"/>
      <c r="NP32" s="834"/>
      <c r="NQ32" s="829">
        <f t="shared" ref="NQ32" si="1067">SUM(NR32:NX32)</f>
        <v>6648</v>
      </c>
      <c r="NR32" s="830">
        <v>3000</v>
      </c>
      <c r="NS32" s="831"/>
      <c r="NT32" s="831"/>
      <c r="NU32" s="832">
        <v>3648</v>
      </c>
      <c r="NV32" s="833"/>
      <c r="NW32" s="833"/>
      <c r="NX32" s="834"/>
      <c r="NY32" s="582">
        <f>SUM(NZ32:OF32)</f>
        <v>6425</v>
      </c>
      <c r="NZ32" s="830">
        <v>6425</v>
      </c>
      <c r="OA32" s="831"/>
      <c r="OB32" s="831"/>
      <c r="OC32" s="832"/>
      <c r="OD32" s="833"/>
      <c r="OE32" s="833"/>
      <c r="OF32" s="834"/>
      <c r="OG32" s="582">
        <f>SUM(OH32:ON32)</f>
        <v>10176</v>
      </c>
      <c r="OH32" s="830">
        <v>10176</v>
      </c>
      <c r="OI32" s="831"/>
      <c r="OJ32" s="831"/>
      <c r="OK32" s="832"/>
      <c r="OL32" s="833"/>
      <c r="OM32" s="833"/>
      <c r="ON32" s="834"/>
      <c r="OO32" s="582">
        <f>SUM(OP32:OV32)</f>
        <v>0</v>
      </c>
      <c r="OP32" s="830"/>
      <c r="OQ32" s="831"/>
      <c r="OR32" s="831"/>
      <c r="OS32" s="832"/>
      <c r="OT32" s="833"/>
      <c r="OU32" s="833"/>
      <c r="OV32" s="834"/>
      <c r="OW32" s="582">
        <f>SUM(OX32:PD32)</f>
        <v>4662</v>
      </c>
      <c r="OX32" s="830">
        <v>4662</v>
      </c>
      <c r="OY32" s="831"/>
      <c r="OZ32" s="831"/>
      <c r="PA32" s="832"/>
      <c r="PB32" s="833"/>
      <c r="PC32" s="833"/>
      <c r="PD32" s="834"/>
      <c r="PE32" s="582">
        <f t="shared" si="971"/>
        <v>5540</v>
      </c>
      <c r="PF32" s="830">
        <v>5540</v>
      </c>
      <c r="PG32" s="831"/>
      <c r="PH32" s="831"/>
      <c r="PI32" s="832"/>
      <c r="PJ32" s="833"/>
      <c r="PK32" s="833"/>
      <c r="PL32" s="834"/>
    </row>
    <row r="33" spans="1:428" s="44" customFormat="1" ht="15" thickBot="1" x14ac:dyDescent="0.35">
      <c r="A33"/>
      <c r="B33" s="264"/>
      <c r="C33" s="265"/>
      <c r="D33" s="601"/>
      <c r="E33" s="578"/>
      <c r="F33" s="576"/>
      <c r="G33" s="576"/>
      <c r="H33" s="576"/>
      <c r="I33" s="576"/>
      <c r="J33" s="576"/>
      <c r="K33" s="576"/>
      <c r="L33" s="577"/>
      <c r="M33" s="578"/>
      <c r="N33" s="576"/>
      <c r="O33" s="576"/>
      <c r="P33" s="576"/>
      <c r="Q33" s="576"/>
      <c r="R33" s="576"/>
      <c r="S33" s="576"/>
      <c r="T33" s="577"/>
      <c r="U33" s="578"/>
      <c r="V33" s="576"/>
      <c r="W33" s="576"/>
      <c r="X33" s="576"/>
      <c r="Y33" s="576"/>
      <c r="Z33" s="576"/>
      <c r="AA33" s="576"/>
      <c r="AB33" s="577"/>
      <c r="AC33" s="578"/>
      <c r="AD33" s="576"/>
      <c r="AE33" s="576"/>
      <c r="AF33" s="576"/>
      <c r="AG33" s="576"/>
      <c r="AH33" s="576"/>
      <c r="AI33" s="576"/>
      <c r="AJ33" s="577"/>
      <c r="AK33" s="578"/>
      <c r="AL33" s="576"/>
      <c r="AM33" s="576"/>
      <c r="AN33" s="576"/>
      <c r="AO33" s="576"/>
      <c r="AP33" s="576"/>
      <c r="AQ33" s="576"/>
      <c r="AR33" s="577"/>
      <c r="AS33" s="738"/>
      <c r="AT33" s="576"/>
      <c r="AU33" s="576"/>
      <c r="AV33" s="576"/>
      <c r="AW33" s="576"/>
      <c r="AX33" s="576"/>
      <c r="AY33" s="576"/>
      <c r="AZ33" s="577"/>
      <c r="BA33" s="738"/>
      <c r="BB33" s="576"/>
      <c r="BC33" s="576"/>
      <c r="BD33" s="576"/>
      <c r="BE33" s="576"/>
      <c r="BF33" s="576"/>
      <c r="BG33" s="576"/>
      <c r="BH33" s="577"/>
      <c r="BI33" s="578"/>
      <c r="BJ33" s="576"/>
      <c r="BK33" s="576"/>
      <c r="BL33" s="576"/>
      <c r="BM33" s="576"/>
      <c r="BN33" s="576"/>
      <c r="BO33" s="576"/>
      <c r="BP33" s="577"/>
      <c r="BQ33" s="578"/>
      <c r="BR33" s="576"/>
      <c r="BS33" s="576"/>
      <c r="BT33" s="576"/>
      <c r="BU33" s="576"/>
      <c r="BV33" s="576"/>
      <c r="BW33" s="576"/>
      <c r="BX33" s="577"/>
      <c r="BY33" s="578"/>
      <c r="BZ33" s="576"/>
      <c r="CA33" s="576"/>
      <c r="CB33" s="576"/>
      <c r="CC33" s="576"/>
      <c r="CD33" s="576"/>
      <c r="CE33" s="576"/>
      <c r="CF33" s="577"/>
      <c r="CG33" s="578"/>
      <c r="CH33" s="576"/>
      <c r="CI33" s="576"/>
      <c r="CJ33" s="576"/>
      <c r="CK33" s="576"/>
      <c r="CL33" s="576"/>
      <c r="CM33" s="576"/>
      <c r="CN33" s="577"/>
      <c r="CO33" s="578"/>
      <c r="CP33" s="576"/>
      <c r="CQ33" s="576"/>
      <c r="CR33" s="576"/>
      <c r="CS33" s="576"/>
      <c r="CT33" s="576"/>
      <c r="CU33" s="576"/>
      <c r="CV33" s="577"/>
      <c r="CW33" s="578"/>
      <c r="CX33" s="576"/>
      <c r="CY33" s="576"/>
      <c r="CZ33" s="576"/>
      <c r="DA33" s="576"/>
      <c r="DB33" s="576"/>
      <c r="DC33" s="576"/>
      <c r="DD33" s="577"/>
      <c r="DE33" s="578"/>
      <c r="DF33" s="576"/>
      <c r="DG33" s="576"/>
      <c r="DH33" s="576"/>
      <c r="DI33" s="576"/>
      <c r="DJ33" s="576"/>
      <c r="DK33" s="576"/>
      <c r="DL33" s="577"/>
      <c r="DM33" s="578"/>
      <c r="DN33" s="576"/>
      <c r="DO33" s="576"/>
      <c r="DP33" s="576"/>
      <c r="DQ33" s="576"/>
      <c r="DR33" s="576"/>
      <c r="DS33" s="576"/>
      <c r="DT33" s="577"/>
      <c r="DU33" s="578"/>
      <c r="DV33" s="576"/>
      <c r="DW33" s="576"/>
      <c r="DX33" s="576"/>
      <c r="DY33" s="576"/>
      <c r="DZ33" s="576"/>
      <c r="EA33" s="576"/>
      <c r="EB33" s="577"/>
      <c r="EC33" s="578"/>
      <c r="ED33" s="747"/>
      <c r="EE33" s="747"/>
      <c r="EF33" s="747"/>
      <c r="EG33" s="747"/>
      <c r="EH33" s="747"/>
      <c r="EI33" s="747"/>
      <c r="EJ33" s="748"/>
      <c r="EK33" s="578"/>
      <c r="EL33" s="576"/>
      <c r="EM33" s="576"/>
      <c r="EN33" s="576"/>
      <c r="EO33" s="576"/>
      <c r="EP33" s="576"/>
      <c r="EQ33" s="576"/>
      <c r="ER33" s="577"/>
      <c r="ES33" s="578"/>
      <c r="ET33" s="576"/>
      <c r="EU33" s="576"/>
      <c r="EV33" s="576"/>
      <c r="EW33" s="576"/>
      <c r="EX33" s="576"/>
      <c r="EY33" s="576"/>
      <c r="EZ33" s="577"/>
      <c r="FA33" s="578"/>
      <c r="FB33" s="576"/>
      <c r="FC33" s="576"/>
      <c r="FD33" s="576"/>
      <c r="FE33" s="576"/>
      <c r="FF33" s="576"/>
      <c r="FG33" s="576"/>
      <c r="FH33" s="577"/>
      <c r="FI33" s="738"/>
      <c r="FJ33" s="576"/>
      <c r="FK33" s="576"/>
      <c r="FL33" s="576"/>
      <c r="FM33" s="576"/>
      <c r="FN33" s="576"/>
      <c r="FO33" s="576"/>
      <c r="FP33" s="577"/>
      <c r="FQ33" s="578"/>
      <c r="FR33" s="576"/>
      <c r="FS33" s="576"/>
      <c r="FT33" s="576"/>
      <c r="FU33" s="576"/>
      <c r="FV33" s="576"/>
      <c r="FW33" s="576"/>
      <c r="FX33" s="577"/>
      <c r="FY33" s="578"/>
      <c r="FZ33" s="576"/>
      <c r="GA33" s="576"/>
      <c r="GB33" s="576"/>
      <c r="GC33" s="576"/>
      <c r="GD33" s="576"/>
      <c r="GE33" s="576"/>
      <c r="GF33" s="577"/>
      <c r="GG33" s="578"/>
      <c r="GH33" s="576"/>
      <c r="GI33" s="576"/>
      <c r="GJ33" s="576"/>
      <c r="GK33" s="576"/>
      <c r="GL33" s="576"/>
      <c r="GM33" s="576"/>
      <c r="GN33" s="577"/>
      <c r="GO33" s="578"/>
      <c r="GP33" s="576"/>
      <c r="GQ33" s="576"/>
      <c r="GR33" s="576"/>
      <c r="GS33" s="576"/>
      <c r="GT33" s="576"/>
      <c r="GU33" s="576"/>
      <c r="GV33" s="577"/>
      <c r="GW33" s="578"/>
      <c r="GX33" s="576"/>
      <c r="GY33" s="576"/>
      <c r="GZ33" s="576"/>
      <c r="HA33" s="576"/>
      <c r="HB33" s="576"/>
      <c r="HC33" s="576"/>
      <c r="HD33" s="577"/>
      <c r="HE33" s="578"/>
      <c r="HF33" s="576"/>
      <c r="HG33" s="576"/>
      <c r="HH33" s="576"/>
      <c r="HI33" s="576"/>
      <c r="HJ33" s="576"/>
      <c r="HK33" s="576"/>
      <c r="HL33" s="577"/>
      <c r="HM33" s="578"/>
      <c r="HN33" s="576"/>
      <c r="HO33" s="576"/>
      <c r="HP33" s="576"/>
      <c r="HQ33" s="576"/>
      <c r="HR33" s="576"/>
      <c r="HS33" s="576"/>
      <c r="HT33" s="577"/>
      <c r="HU33" s="578"/>
      <c r="HV33" s="576"/>
      <c r="HW33" s="576"/>
      <c r="HX33" s="576"/>
      <c r="HY33" s="576"/>
      <c r="HZ33" s="576"/>
      <c r="IA33" s="576"/>
      <c r="IB33" s="577"/>
      <c r="IC33" s="578"/>
      <c r="ID33" s="576"/>
      <c r="IE33" s="576"/>
      <c r="IF33" s="576"/>
      <c r="IG33" s="576"/>
      <c r="IH33" s="576"/>
      <c r="II33" s="576"/>
      <c r="IJ33" s="577"/>
      <c r="IK33" s="578"/>
      <c r="IL33" s="576"/>
      <c r="IM33" s="576"/>
      <c r="IN33" s="576"/>
      <c r="IO33" s="576"/>
      <c r="IP33" s="576"/>
      <c r="IQ33" s="576"/>
      <c r="IR33" s="577"/>
      <c r="IS33" s="578"/>
      <c r="IT33" s="576"/>
      <c r="IU33" s="576"/>
      <c r="IV33" s="576"/>
      <c r="IW33" s="576"/>
      <c r="IX33" s="576"/>
      <c r="IY33" s="576"/>
      <c r="IZ33" s="577"/>
      <c r="JA33" s="578"/>
      <c r="JB33" s="576"/>
      <c r="JC33" s="576"/>
      <c r="JD33" s="576"/>
      <c r="JE33" s="576"/>
      <c r="JF33" s="576"/>
      <c r="JG33" s="576"/>
      <c r="JH33" s="577"/>
      <c r="JI33" s="754"/>
      <c r="JJ33" s="576"/>
      <c r="JK33" s="576"/>
      <c r="JL33" s="576"/>
      <c r="JM33" s="576"/>
      <c r="JN33" s="576"/>
      <c r="JO33" s="576"/>
      <c r="JP33" s="577"/>
      <c r="JQ33" s="578"/>
      <c r="JR33" s="576"/>
      <c r="JS33" s="576"/>
      <c r="JT33" s="576"/>
      <c r="JU33" s="576"/>
      <c r="JV33" s="576"/>
      <c r="JW33" s="576"/>
      <c r="JX33" s="577"/>
      <c r="JY33" s="754"/>
      <c r="JZ33" s="576"/>
      <c r="KA33" s="576"/>
      <c r="KB33" s="576"/>
      <c r="KC33" s="576"/>
      <c r="KD33" s="576"/>
      <c r="KE33" s="576"/>
      <c r="KF33" s="577"/>
      <c r="KG33" s="754"/>
      <c r="KH33" s="576"/>
      <c r="KI33" s="576"/>
      <c r="KJ33" s="576"/>
      <c r="KK33" s="576"/>
      <c r="KL33" s="576"/>
      <c r="KM33" s="576"/>
      <c r="KN33" s="577"/>
      <c r="KO33" s="754"/>
      <c r="KP33" s="576"/>
      <c r="KQ33" s="576"/>
      <c r="KR33" s="576"/>
      <c r="KS33" s="576"/>
      <c r="KT33" s="576"/>
      <c r="KU33" s="576"/>
      <c r="KV33" s="577"/>
      <c r="KW33" s="578"/>
      <c r="KX33" s="576"/>
      <c r="KY33" s="576"/>
      <c r="KZ33" s="576"/>
      <c r="LA33" s="576"/>
      <c r="LB33" s="576"/>
      <c r="LC33" s="576"/>
      <c r="LD33" s="577"/>
      <c r="LE33" s="578"/>
      <c r="LF33" s="576"/>
      <c r="LG33" s="576"/>
      <c r="LH33" s="576"/>
      <c r="LI33" s="576"/>
      <c r="LJ33" s="576"/>
      <c r="LK33" s="576"/>
      <c r="LL33" s="577"/>
      <c r="LM33" s="578"/>
      <c r="LN33" s="576"/>
      <c r="LO33" s="576"/>
      <c r="LP33" s="576"/>
      <c r="LQ33" s="576"/>
      <c r="LR33" s="576"/>
      <c r="LS33" s="576"/>
      <c r="LT33" s="577"/>
      <c r="LU33" s="578"/>
      <c r="LV33" s="576"/>
      <c r="LW33" s="576"/>
      <c r="LX33" s="576"/>
      <c r="LY33" s="576"/>
      <c r="LZ33" s="576"/>
      <c r="MA33" s="576"/>
      <c r="MB33" s="577"/>
      <c r="MC33" s="578"/>
      <c r="MD33" s="576"/>
      <c r="ME33" s="576"/>
      <c r="MF33" s="576"/>
      <c r="MG33" s="576"/>
      <c r="MH33" s="576"/>
      <c r="MI33" s="576"/>
      <c r="MJ33" s="577"/>
      <c r="MK33" s="578"/>
      <c r="ML33" s="576"/>
      <c r="MM33" s="576"/>
      <c r="MN33" s="576"/>
      <c r="MO33" s="576"/>
      <c r="MP33" s="576"/>
      <c r="MQ33" s="576"/>
      <c r="MR33" s="577"/>
      <c r="MS33" s="578"/>
      <c r="MT33" s="576"/>
      <c r="MU33" s="576"/>
      <c r="MV33" s="576"/>
      <c r="MW33" s="576"/>
      <c r="MX33" s="576"/>
      <c r="MY33" s="576"/>
      <c r="MZ33" s="577"/>
      <c r="NA33" s="578"/>
      <c r="NB33" s="576"/>
      <c r="NC33" s="576"/>
      <c r="ND33" s="576"/>
      <c r="NE33" s="576"/>
      <c r="NF33" s="576"/>
      <c r="NG33" s="576"/>
      <c r="NH33" s="577"/>
      <c r="NI33" s="578"/>
      <c r="NJ33" s="576"/>
      <c r="NK33" s="576"/>
      <c r="NL33" s="576"/>
      <c r="NM33" s="576"/>
      <c r="NN33" s="576"/>
      <c r="NO33" s="576"/>
      <c r="NP33" s="577"/>
      <c r="NQ33" s="738"/>
      <c r="NR33" s="576"/>
      <c r="NS33" s="576"/>
      <c r="NT33" s="576"/>
      <c r="NU33" s="576"/>
      <c r="NV33" s="576"/>
      <c r="NW33" s="576"/>
      <c r="NX33" s="577"/>
      <c r="NY33" s="578"/>
      <c r="NZ33" s="576"/>
      <c r="OA33" s="576"/>
      <c r="OB33" s="576"/>
      <c r="OC33" s="576"/>
      <c r="OD33" s="576"/>
      <c r="OE33" s="576"/>
      <c r="OF33" s="577"/>
      <c r="OG33" s="578"/>
      <c r="OH33" s="576"/>
      <c r="OI33" s="576"/>
      <c r="OJ33" s="576"/>
      <c r="OK33" s="576"/>
      <c r="OL33" s="576"/>
      <c r="OM33" s="576"/>
      <c r="ON33" s="577"/>
      <c r="OO33" s="578"/>
      <c r="OP33" s="576"/>
      <c r="OQ33" s="576"/>
      <c r="OR33" s="576"/>
      <c r="OS33" s="576"/>
      <c r="OT33" s="576"/>
      <c r="OU33" s="576"/>
      <c r="OV33" s="577"/>
      <c r="OW33" s="578"/>
      <c r="OX33" s="576"/>
      <c r="OY33" s="576"/>
      <c r="OZ33" s="576"/>
      <c r="PA33" s="576"/>
      <c r="PB33" s="576"/>
      <c r="PC33" s="576"/>
      <c r="PD33" s="577"/>
      <c r="PE33" s="578"/>
      <c r="PF33" s="576"/>
      <c r="PG33" s="576"/>
      <c r="PH33" s="576"/>
      <c r="PI33" s="576"/>
      <c r="PJ33" s="576"/>
      <c r="PK33" s="576"/>
      <c r="PL33" s="577"/>
    </row>
    <row r="34" spans="1:428" s="44" customFormat="1" ht="14.85" customHeight="1" x14ac:dyDescent="0.3">
      <c r="A34"/>
      <c r="B34" s="998" t="s">
        <v>228</v>
      </c>
      <c r="C34" s="999"/>
      <c r="D34" s="356" t="s">
        <v>167</v>
      </c>
      <c r="E34" s="591">
        <f>SUM(F34:L34)</f>
        <v>36</v>
      </c>
      <c r="F34" s="592">
        <v>4</v>
      </c>
      <c r="G34" s="593">
        <v>6</v>
      </c>
      <c r="H34" s="588">
        <v>6</v>
      </c>
      <c r="I34" s="588">
        <v>6</v>
      </c>
      <c r="J34" s="588">
        <v>6</v>
      </c>
      <c r="K34" s="589">
        <v>6</v>
      </c>
      <c r="L34" s="590">
        <v>2</v>
      </c>
      <c r="M34" s="591">
        <f>SUM(N34:T34)</f>
        <v>36</v>
      </c>
      <c r="N34" s="592">
        <v>4</v>
      </c>
      <c r="O34" s="593">
        <v>6</v>
      </c>
      <c r="P34" s="588">
        <v>6</v>
      </c>
      <c r="Q34" s="588">
        <v>6</v>
      </c>
      <c r="R34" s="588">
        <v>6</v>
      </c>
      <c r="S34" s="589">
        <v>6</v>
      </c>
      <c r="T34" s="590">
        <v>2</v>
      </c>
      <c r="U34" s="591">
        <f>SUM(V34:AB34)</f>
        <v>36</v>
      </c>
      <c r="V34" s="592">
        <v>4</v>
      </c>
      <c r="W34" s="593">
        <v>6</v>
      </c>
      <c r="X34" s="588">
        <v>6</v>
      </c>
      <c r="Y34" s="588">
        <v>6</v>
      </c>
      <c r="Z34" s="588">
        <v>6</v>
      </c>
      <c r="AA34" s="589">
        <v>6</v>
      </c>
      <c r="AB34" s="590">
        <v>2</v>
      </c>
      <c r="AC34" s="591">
        <f>SUM(AD34:AJ34)</f>
        <v>36</v>
      </c>
      <c r="AD34" s="592">
        <v>4</v>
      </c>
      <c r="AE34" s="593">
        <v>6</v>
      </c>
      <c r="AF34" s="588">
        <v>6</v>
      </c>
      <c r="AG34" s="588">
        <v>6</v>
      </c>
      <c r="AH34" s="588">
        <v>6</v>
      </c>
      <c r="AI34" s="589">
        <v>6</v>
      </c>
      <c r="AJ34" s="590">
        <v>2</v>
      </c>
      <c r="AK34" s="591">
        <f>SUM(AL34:AR34)</f>
        <v>36</v>
      </c>
      <c r="AL34" s="592">
        <v>4</v>
      </c>
      <c r="AM34" s="593">
        <v>6</v>
      </c>
      <c r="AN34" s="588">
        <v>6</v>
      </c>
      <c r="AO34" s="588">
        <v>6</v>
      </c>
      <c r="AP34" s="588">
        <v>6</v>
      </c>
      <c r="AQ34" s="589">
        <v>6</v>
      </c>
      <c r="AR34" s="590">
        <v>2</v>
      </c>
      <c r="AS34" s="741">
        <f>SUM(AT34:AZ34)</f>
        <v>36</v>
      </c>
      <c r="AT34" s="592">
        <v>4</v>
      </c>
      <c r="AU34" s="593">
        <v>6</v>
      </c>
      <c r="AV34" s="588">
        <v>6</v>
      </c>
      <c r="AW34" s="588">
        <v>6</v>
      </c>
      <c r="AX34" s="588">
        <v>6</v>
      </c>
      <c r="AY34" s="589">
        <v>6</v>
      </c>
      <c r="AZ34" s="590">
        <v>2</v>
      </c>
      <c r="BA34" s="741">
        <f>SUM(BB34:BH34)</f>
        <v>36</v>
      </c>
      <c r="BB34" s="592">
        <v>4</v>
      </c>
      <c r="BC34" s="593">
        <v>6</v>
      </c>
      <c r="BD34" s="588">
        <v>6</v>
      </c>
      <c r="BE34" s="588">
        <v>6</v>
      </c>
      <c r="BF34" s="588">
        <v>6</v>
      </c>
      <c r="BG34" s="589">
        <v>6</v>
      </c>
      <c r="BH34" s="590">
        <v>2</v>
      </c>
      <c r="BI34" s="591">
        <f>SUM(BJ34:BP34)</f>
        <v>36</v>
      </c>
      <c r="BJ34" s="592">
        <v>4</v>
      </c>
      <c r="BK34" s="593">
        <v>6</v>
      </c>
      <c r="BL34" s="588">
        <v>6</v>
      </c>
      <c r="BM34" s="588">
        <v>6</v>
      </c>
      <c r="BN34" s="588">
        <v>6</v>
      </c>
      <c r="BO34" s="589">
        <v>6</v>
      </c>
      <c r="BP34" s="590">
        <v>2</v>
      </c>
      <c r="BQ34" s="591">
        <f>SUM(BR34:BX34)</f>
        <v>36</v>
      </c>
      <c r="BR34" s="592">
        <v>4</v>
      </c>
      <c r="BS34" s="593">
        <v>6</v>
      </c>
      <c r="BT34" s="588">
        <v>6</v>
      </c>
      <c r="BU34" s="588">
        <v>6</v>
      </c>
      <c r="BV34" s="588">
        <v>6</v>
      </c>
      <c r="BW34" s="589">
        <v>6</v>
      </c>
      <c r="BX34" s="590">
        <v>2</v>
      </c>
      <c r="BY34" s="591">
        <f>SUM(BZ34:CF34)</f>
        <v>36</v>
      </c>
      <c r="BZ34" s="592">
        <v>4</v>
      </c>
      <c r="CA34" s="593">
        <v>6</v>
      </c>
      <c r="CB34" s="588">
        <v>6</v>
      </c>
      <c r="CC34" s="588">
        <v>6</v>
      </c>
      <c r="CD34" s="588">
        <v>6</v>
      </c>
      <c r="CE34" s="589">
        <v>6</v>
      </c>
      <c r="CF34" s="590">
        <v>2</v>
      </c>
      <c r="CG34" s="591">
        <f>SUM(CH34:CN34)</f>
        <v>36</v>
      </c>
      <c r="CH34" s="592">
        <v>4</v>
      </c>
      <c r="CI34" s="593">
        <v>6</v>
      </c>
      <c r="CJ34" s="588">
        <v>6</v>
      </c>
      <c r="CK34" s="588">
        <v>6</v>
      </c>
      <c r="CL34" s="588">
        <v>6</v>
      </c>
      <c r="CM34" s="589">
        <v>6</v>
      </c>
      <c r="CN34" s="590">
        <v>2</v>
      </c>
      <c r="CO34" s="591">
        <f>SUM(CP34:CV34)</f>
        <v>36</v>
      </c>
      <c r="CP34" s="592">
        <v>4</v>
      </c>
      <c r="CQ34" s="593">
        <v>6</v>
      </c>
      <c r="CR34" s="588">
        <v>6</v>
      </c>
      <c r="CS34" s="588">
        <v>6</v>
      </c>
      <c r="CT34" s="588">
        <v>6</v>
      </c>
      <c r="CU34" s="589">
        <v>6</v>
      </c>
      <c r="CV34" s="590">
        <v>2</v>
      </c>
      <c r="CW34" s="591">
        <f>SUM(CX34:DD34)</f>
        <v>36</v>
      </c>
      <c r="CX34" s="592">
        <v>4</v>
      </c>
      <c r="CY34" s="593">
        <v>6</v>
      </c>
      <c r="CZ34" s="588">
        <v>6</v>
      </c>
      <c r="DA34" s="588">
        <v>6</v>
      </c>
      <c r="DB34" s="588">
        <v>6</v>
      </c>
      <c r="DC34" s="589">
        <v>6</v>
      </c>
      <c r="DD34" s="590">
        <v>2</v>
      </c>
      <c r="DE34" s="591">
        <f>SUM(DF34:DL34)</f>
        <v>32</v>
      </c>
      <c r="DF34" s="592">
        <v>0</v>
      </c>
      <c r="DG34" s="593">
        <v>6</v>
      </c>
      <c r="DH34" s="588">
        <v>6</v>
      </c>
      <c r="DI34" s="588">
        <v>6</v>
      </c>
      <c r="DJ34" s="588">
        <v>6</v>
      </c>
      <c r="DK34" s="589">
        <v>6</v>
      </c>
      <c r="DL34" s="590">
        <v>2</v>
      </c>
      <c r="DM34" s="591">
        <f>SUM(DN34:DT34)</f>
        <v>36</v>
      </c>
      <c r="DN34" s="592">
        <v>4</v>
      </c>
      <c r="DO34" s="593">
        <v>6</v>
      </c>
      <c r="DP34" s="588">
        <v>6</v>
      </c>
      <c r="DQ34" s="588">
        <v>6</v>
      </c>
      <c r="DR34" s="588">
        <v>6</v>
      </c>
      <c r="DS34" s="589">
        <v>6</v>
      </c>
      <c r="DT34" s="590">
        <v>2</v>
      </c>
      <c r="DU34" s="591">
        <f>SUM(DV34:EB34)</f>
        <v>36</v>
      </c>
      <c r="DV34" s="592">
        <v>4</v>
      </c>
      <c r="DW34" s="593">
        <v>6</v>
      </c>
      <c r="DX34" s="588">
        <v>6</v>
      </c>
      <c r="DY34" s="588">
        <v>6</v>
      </c>
      <c r="DZ34" s="588">
        <v>6</v>
      </c>
      <c r="EA34" s="589">
        <v>6</v>
      </c>
      <c r="EB34" s="590">
        <v>2</v>
      </c>
      <c r="EC34" s="591">
        <f>SUM(ED34:EJ34)</f>
        <v>36</v>
      </c>
      <c r="ED34" s="592">
        <v>4</v>
      </c>
      <c r="EE34" s="593">
        <v>6</v>
      </c>
      <c r="EF34" s="588">
        <v>6</v>
      </c>
      <c r="EG34" s="588">
        <v>6</v>
      </c>
      <c r="EH34" s="588">
        <v>6</v>
      </c>
      <c r="EI34" s="589">
        <v>6</v>
      </c>
      <c r="EJ34" s="590">
        <v>2</v>
      </c>
      <c r="EK34" s="591">
        <f>SUM(EL34:ER34)</f>
        <v>36</v>
      </c>
      <c r="EL34" s="592">
        <v>4</v>
      </c>
      <c r="EM34" s="593">
        <v>6</v>
      </c>
      <c r="EN34" s="588">
        <v>6</v>
      </c>
      <c r="EO34" s="588">
        <v>6</v>
      </c>
      <c r="EP34" s="588">
        <v>6</v>
      </c>
      <c r="EQ34" s="589">
        <v>6</v>
      </c>
      <c r="ER34" s="590">
        <v>2</v>
      </c>
      <c r="ES34" s="591">
        <f>SUM(ET34:EZ34)</f>
        <v>36</v>
      </c>
      <c r="ET34" s="592">
        <v>4</v>
      </c>
      <c r="EU34" s="593">
        <v>6</v>
      </c>
      <c r="EV34" s="588">
        <v>6</v>
      </c>
      <c r="EW34" s="588">
        <v>6</v>
      </c>
      <c r="EX34" s="588">
        <v>6</v>
      </c>
      <c r="EY34" s="589">
        <v>6</v>
      </c>
      <c r="EZ34" s="590">
        <v>2</v>
      </c>
      <c r="FA34" s="591">
        <f>SUM(FB34:FH34)</f>
        <v>36</v>
      </c>
      <c r="FB34" s="592">
        <v>4</v>
      </c>
      <c r="FC34" s="593">
        <v>6</v>
      </c>
      <c r="FD34" s="588">
        <v>6</v>
      </c>
      <c r="FE34" s="588">
        <v>6</v>
      </c>
      <c r="FF34" s="588">
        <v>6</v>
      </c>
      <c r="FG34" s="589">
        <v>6</v>
      </c>
      <c r="FH34" s="590">
        <v>2</v>
      </c>
      <c r="FI34" s="741">
        <f>SUM(FJ34:FP34)</f>
        <v>36</v>
      </c>
      <c r="FJ34" s="592">
        <v>4</v>
      </c>
      <c r="FK34" s="593">
        <v>6</v>
      </c>
      <c r="FL34" s="588">
        <v>6</v>
      </c>
      <c r="FM34" s="588">
        <v>6</v>
      </c>
      <c r="FN34" s="588">
        <v>6</v>
      </c>
      <c r="FO34" s="589">
        <v>6</v>
      </c>
      <c r="FP34" s="590">
        <v>2</v>
      </c>
      <c r="FQ34" s="751">
        <f>SUM(FR34:FX34)</f>
        <v>36</v>
      </c>
      <c r="FR34" s="592">
        <v>4</v>
      </c>
      <c r="FS34" s="593">
        <v>6</v>
      </c>
      <c r="FT34" s="588">
        <v>6</v>
      </c>
      <c r="FU34" s="588">
        <v>6</v>
      </c>
      <c r="FV34" s="588">
        <v>6</v>
      </c>
      <c r="FW34" s="589">
        <v>6</v>
      </c>
      <c r="FX34" s="590">
        <v>2</v>
      </c>
      <c r="FY34" s="591">
        <f>SUM(FZ34:GF34)</f>
        <v>36</v>
      </c>
      <c r="FZ34" s="592">
        <v>4</v>
      </c>
      <c r="GA34" s="593">
        <v>6</v>
      </c>
      <c r="GB34" s="588">
        <v>6</v>
      </c>
      <c r="GC34" s="588">
        <v>6</v>
      </c>
      <c r="GD34" s="588">
        <v>6</v>
      </c>
      <c r="GE34" s="589">
        <v>6</v>
      </c>
      <c r="GF34" s="590">
        <v>2</v>
      </c>
      <c r="GG34" s="591">
        <f>SUM(GH34:GN34)</f>
        <v>36</v>
      </c>
      <c r="GH34" s="592">
        <v>4</v>
      </c>
      <c r="GI34" s="593">
        <v>6</v>
      </c>
      <c r="GJ34" s="588">
        <v>6</v>
      </c>
      <c r="GK34" s="588">
        <v>6</v>
      </c>
      <c r="GL34" s="588">
        <v>6</v>
      </c>
      <c r="GM34" s="589">
        <v>6</v>
      </c>
      <c r="GN34" s="590">
        <v>2</v>
      </c>
      <c r="GO34" s="591">
        <f>SUM(GP34:GV34)</f>
        <v>36</v>
      </c>
      <c r="GP34" s="592">
        <v>4</v>
      </c>
      <c r="GQ34" s="593">
        <v>6</v>
      </c>
      <c r="GR34" s="588">
        <v>6</v>
      </c>
      <c r="GS34" s="588">
        <v>6</v>
      </c>
      <c r="GT34" s="588">
        <v>6</v>
      </c>
      <c r="GU34" s="589">
        <v>6</v>
      </c>
      <c r="GV34" s="590">
        <v>2</v>
      </c>
      <c r="GW34" s="591">
        <f>SUM(GX34:HD34)</f>
        <v>36</v>
      </c>
      <c r="GX34" s="592">
        <v>4</v>
      </c>
      <c r="GY34" s="593">
        <v>6</v>
      </c>
      <c r="GZ34" s="588">
        <v>6</v>
      </c>
      <c r="HA34" s="588">
        <v>6</v>
      </c>
      <c r="HB34" s="588">
        <v>6</v>
      </c>
      <c r="HC34" s="589">
        <v>6</v>
      </c>
      <c r="HD34" s="590">
        <v>2</v>
      </c>
      <c r="HE34" s="591">
        <f>SUM(HF34:HL34)</f>
        <v>36</v>
      </c>
      <c r="HF34" s="592">
        <v>4</v>
      </c>
      <c r="HG34" s="593">
        <v>6</v>
      </c>
      <c r="HH34" s="588">
        <v>6</v>
      </c>
      <c r="HI34" s="588">
        <v>6</v>
      </c>
      <c r="HJ34" s="588">
        <v>6</v>
      </c>
      <c r="HK34" s="589">
        <v>6</v>
      </c>
      <c r="HL34" s="590">
        <v>2</v>
      </c>
      <c r="HM34" s="591">
        <f>SUM(HN34:HT34)</f>
        <v>35</v>
      </c>
      <c r="HN34" s="592">
        <v>4</v>
      </c>
      <c r="HO34" s="593">
        <v>6</v>
      </c>
      <c r="HP34" s="588">
        <v>6</v>
      </c>
      <c r="HQ34" s="588">
        <v>6</v>
      </c>
      <c r="HR34" s="588">
        <v>6</v>
      </c>
      <c r="HS34" s="589">
        <v>6</v>
      </c>
      <c r="HT34" s="590">
        <v>1</v>
      </c>
      <c r="HU34" s="591">
        <f>SUM(HV34:IB34)</f>
        <v>34</v>
      </c>
      <c r="HV34" s="592">
        <v>4</v>
      </c>
      <c r="HW34" s="593">
        <v>6</v>
      </c>
      <c r="HX34" s="588">
        <v>6</v>
      </c>
      <c r="HY34" s="588">
        <v>6</v>
      </c>
      <c r="HZ34" s="588">
        <v>6</v>
      </c>
      <c r="IA34" s="589">
        <v>6</v>
      </c>
      <c r="IB34" s="590">
        <v>0</v>
      </c>
      <c r="IC34" s="591">
        <f>SUM(ID34:IJ34)</f>
        <v>34</v>
      </c>
      <c r="ID34" s="592">
        <v>4</v>
      </c>
      <c r="IE34" s="593">
        <v>6</v>
      </c>
      <c r="IF34" s="588">
        <v>6</v>
      </c>
      <c r="IG34" s="588">
        <v>6</v>
      </c>
      <c r="IH34" s="588">
        <v>6</v>
      </c>
      <c r="II34" s="589">
        <v>6</v>
      </c>
      <c r="IJ34" s="590">
        <v>0</v>
      </c>
      <c r="IK34" s="591">
        <f>SUM(IL34:IR34)</f>
        <v>34</v>
      </c>
      <c r="IL34" s="592">
        <v>4</v>
      </c>
      <c r="IM34" s="593">
        <v>6</v>
      </c>
      <c r="IN34" s="588">
        <v>6</v>
      </c>
      <c r="IO34" s="588">
        <v>6</v>
      </c>
      <c r="IP34" s="588">
        <v>6</v>
      </c>
      <c r="IQ34" s="589">
        <v>6</v>
      </c>
      <c r="IR34" s="590">
        <v>0</v>
      </c>
      <c r="IS34" s="591">
        <f>SUM(IT34:IZ34)</f>
        <v>36</v>
      </c>
      <c r="IT34" s="592">
        <v>4</v>
      </c>
      <c r="IU34" s="593">
        <v>6</v>
      </c>
      <c r="IV34" s="588">
        <v>6</v>
      </c>
      <c r="IW34" s="588">
        <v>6</v>
      </c>
      <c r="IX34" s="588">
        <v>6</v>
      </c>
      <c r="IY34" s="589">
        <v>6</v>
      </c>
      <c r="IZ34" s="590">
        <v>2</v>
      </c>
      <c r="JA34" s="591">
        <f>SUM(JB34:JH34)</f>
        <v>35</v>
      </c>
      <c r="JB34" s="592">
        <v>4</v>
      </c>
      <c r="JC34" s="593">
        <v>6</v>
      </c>
      <c r="JD34" s="588">
        <v>6</v>
      </c>
      <c r="JE34" s="588">
        <v>6</v>
      </c>
      <c r="JF34" s="588">
        <v>6</v>
      </c>
      <c r="JG34" s="589">
        <v>6</v>
      </c>
      <c r="JH34" s="590">
        <v>1</v>
      </c>
      <c r="JI34" s="591">
        <f>SUM(JJ34:JP34)</f>
        <v>35</v>
      </c>
      <c r="JJ34" s="592">
        <v>4</v>
      </c>
      <c r="JK34" s="593">
        <v>6</v>
      </c>
      <c r="JL34" s="588">
        <v>6</v>
      </c>
      <c r="JM34" s="588">
        <v>6</v>
      </c>
      <c r="JN34" s="588">
        <v>6</v>
      </c>
      <c r="JO34" s="589">
        <v>6</v>
      </c>
      <c r="JP34" s="590">
        <v>1</v>
      </c>
      <c r="JQ34" s="591">
        <f>SUM(JR34:JX34)</f>
        <v>36</v>
      </c>
      <c r="JR34" s="592">
        <v>4</v>
      </c>
      <c r="JS34" s="593">
        <v>6</v>
      </c>
      <c r="JT34" s="588">
        <v>6</v>
      </c>
      <c r="JU34" s="588">
        <v>6</v>
      </c>
      <c r="JV34" s="588">
        <v>6</v>
      </c>
      <c r="JW34" s="589">
        <v>6</v>
      </c>
      <c r="JX34" s="590">
        <v>2</v>
      </c>
      <c r="JY34" s="591">
        <f>SUM(JZ34:KF34)</f>
        <v>36</v>
      </c>
      <c r="JZ34" s="592">
        <v>4</v>
      </c>
      <c r="KA34" s="593">
        <v>6</v>
      </c>
      <c r="KB34" s="588">
        <v>6</v>
      </c>
      <c r="KC34" s="588">
        <v>6</v>
      </c>
      <c r="KD34" s="588">
        <v>6</v>
      </c>
      <c r="KE34" s="589">
        <v>6</v>
      </c>
      <c r="KF34" s="590">
        <v>2</v>
      </c>
      <c r="KG34" s="591">
        <f>SUM(KH34:KN34)</f>
        <v>34</v>
      </c>
      <c r="KH34" s="592">
        <v>4</v>
      </c>
      <c r="KI34" s="593">
        <v>6</v>
      </c>
      <c r="KJ34" s="588">
        <v>6</v>
      </c>
      <c r="KK34" s="588">
        <v>6</v>
      </c>
      <c r="KL34" s="588">
        <v>6</v>
      </c>
      <c r="KM34" s="589">
        <v>6</v>
      </c>
      <c r="KN34" s="590">
        <v>0</v>
      </c>
      <c r="KO34" s="591">
        <f>SUM(KP34:KV34)</f>
        <v>35</v>
      </c>
      <c r="KP34" s="592">
        <v>4</v>
      </c>
      <c r="KQ34" s="593">
        <v>6</v>
      </c>
      <c r="KR34" s="588">
        <v>6</v>
      </c>
      <c r="KS34" s="588">
        <v>6</v>
      </c>
      <c r="KT34" s="588">
        <v>6</v>
      </c>
      <c r="KU34" s="589">
        <v>6</v>
      </c>
      <c r="KV34" s="590">
        <v>1</v>
      </c>
      <c r="KW34" s="591">
        <f>SUM(KX34:LD34)</f>
        <v>35</v>
      </c>
      <c r="KX34" s="592">
        <v>4</v>
      </c>
      <c r="KY34" s="593">
        <v>6</v>
      </c>
      <c r="KZ34" s="588">
        <v>6</v>
      </c>
      <c r="LA34" s="588">
        <v>6</v>
      </c>
      <c r="LB34" s="588">
        <v>6</v>
      </c>
      <c r="LC34" s="589">
        <v>6</v>
      </c>
      <c r="LD34" s="590">
        <v>1</v>
      </c>
      <c r="LE34" s="591">
        <f>SUM(LF34:LL34)</f>
        <v>36</v>
      </c>
      <c r="LF34" s="592">
        <v>4</v>
      </c>
      <c r="LG34" s="593">
        <v>6</v>
      </c>
      <c r="LH34" s="588">
        <v>6</v>
      </c>
      <c r="LI34" s="588">
        <v>6</v>
      </c>
      <c r="LJ34" s="588">
        <v>6</v>
      </c>
      <c r="LK34" s="589">
        <v>6</v>
      </c>
      <c r="LL34" s="590">
        <v>2</v>
      </c>
      <c r="LM34" s="591">
        <f>SUM(LN34:LT34)</f>
        <v>36</v>
      </c>
      <c r="LN34" s="592">
        <v>4</v>
      </c>
      <c r="LO34" s="593">
        <v>6</v>
      </c>
      <c r="LP34" s="588">
        <v>6</v>
      </c>
      <c r="LQ34" s="588">
        <v>6</v>
      </c>
      <c r="LR34" s="588">
        <v>6</v>
      </c>
      <c r="LS34" s="589">
        <v>6</v>
      </c>
      <c r="LT34" s="590">
        <v>2</v>
      </c>
      <c r="LU34" s="591">
        <f>SUM(LV34:MB34)</f>
        <v>36</v>
      </c>
      <c r="LV34" s="592">
        <v>4</v>
      </c>
      <c r="LW34" s="593">
        <v>6</v>
      </c>
      <c r="LX34" s="588">
        <v>6</v>
      </c>
      <c r="LY34" s="588">
        <v>6</v>
      </c>
      <c r="LZ34" s="588">
        <v>6</v>
      </c>
      <c r="MA34" s="589">
        <v>6</v>
      </c>
      <c r="MB34" s="590">
        <v>2</v>
      </c>
      <c r="MC34" s="591">
        <f>SUM(MD34:MJ34)</f>
        <v>36</v>
      </c>
      <c r="MD34" s="592">
        <v>4</v>
      </c>
      <c r="ME34" s="593">
        <v>6</v>
      </c>
      <c r="MF34" s="588">
        <v>6</v>
      </c>
      <c r="MG34" s="588">
        <v>6</v>
      </c>
      <c r="MH34" s="588">
        <v>6</v>
      </c>
      <c r="MI34" s="589">
        <v>6</v>
      </c>
      <c r="MJ34" s="590">
        <v>2</v>
      </c>
      <c r="MK34" s="591">
        <f>SUM(ML34:MR34)</f>
        <v>36</v>
      </c>
      <c r="ML34" s="592">
        <v>4</v>
      </c>
      <c r="MM34" s="593">
        <v>6</v>
      </c>
      <c r="MN34" s="588">
        <v>6</v>
      </c>
      <c r="MO34" s="588">
        <v>6</v>
      </c>
      <c r="MP34" s="588">
        <v>6</v>
      </c>
      <c r="MQ34" s="589">
        <v>6</v>
      </c>
      <c r="MR34" s="590">
        <v>2</v>
      </c>
      <c r="MS34" s="591">
        <f>SUM(MT34:MZ34)</f>
        <v>36</v>
      </c>
      <c r="MT34" s="592">
        <v>4</v>
      </c>
      <c r="MU34" s="593">
        <v>6</v>
      </c>
      <c r="MV34" s="588">
        <v>6</v>
      </c>
      <c r="MW34" s="588">
        <v>6</v>
      </c>
      <c r="MX34" s="588">
        <v>6</v>
      </c>
      <c r="MY34" s="589">
        <v>6</v>
      </c>
      <c r="MZ34" s="590">
        <v>2</v>
      </c>
      <c r="NA34" s="591">
        <f>SUM(NB34:NH34)</f>
        <v>36</v>
      </c>
      <c r="NB34" s="592">
        <v>4</v>
      </c>
      <c r="NC34" s="593">
        <v>6</v>
      </c>
      <c r="ND34" s="588">
        <v>6</v>
      </c>
      <c r="NE34" s="588">
        <v>6</v>
      </c>
      <c r="NF34" s="588">
        <v>6</v>
      </c>
      <c r="NG34" s="589">
        <v>6</v>
      </c>
      <c r="NH34" s="590">
        <v>2</v>
      </c>
      <c r="NI34" s="591">
        <f>SUM(NJ34:NP34)</f>
        <v>36</v>
      </c>
      <c r="NJ34" s="592">
        <v>4</v>
      </c>
      <c r="NK34" s="593">
        <v>6</v>
      </c>
      <c r="NL34" s="588">
        <v>6</v>
      </c>
      <c r="NM34" s="588">
        <v>6</v>
      </c>
      <c r="NN34" s="588">
        <v>6</v>
      </c>
      <c r="NO34" s="589">
        <v>6</v>
      </c>
      <c r="NP34" s="590">
        <v>2</v>
      </c>
      <c r="NQ34" s="741">
        <f>SUM(NR34:NX34)</f>
        <v>36</v>
      </c>
      <c r="NR34" s="592">
        <v>4</v>
      </c>
      <c r="NS34" s="593">
        <v>6</v>
      </c>
      <c r="NT34" s="588">
        <v>6</v>
      </c>
      <c r="NU34" s="588">
        <v>6</v>
      </c>
      <c r="NV34" s="588">
        <v>6</v>
      </c>
      <c r="NW34" s="589">
        <v>6</v>
      </c>
      <c r="NX34" s="590">
        <v>2</v>
      </c>
      <c r="NY34" s="591">
        <f>SUM(NZ34:OF34)</f>
        <v>36</v>
      </c>
      <c r="NZ34" s="592">
        <v>4</v>
      </c>
      <c r="OA34" s="593">
        <v>6</v>
      </c>
      <c r="OB34" s="588">
        <v>6</v>
      </c>
      <c r="OC34" s="588">
        <v>6</v>
      </c>
      <c r="OD34" s="588">
        <v>6</v>
      </c>
      <c r="OE34" s="589">
        <v>6</v>
      </c>
      <c r="OF34" s="590">
        <v>2</v>
      </c>
      <c r="OG34" s="591">
        <f>SUM(OH34:ON34)</f>
        <v>36</v>
      </c>
      <c r="OH34" s="592">
        <v>4</v>
      </c>
      <c r="OI34" s="593">
        <v>6</v>
      </c>
      <c r="OJ34" s="588">
        <v>6</v>
      </c>
      <c r="OK34" s="588">
        <v>6</v>
      </c>
      <c r="OL34" s="588">
        <v>6</v>
      </c>
      <c r="OM34" s="589">
        <v>6</v>
      </c>
      <c r="ON34" s="590">
        <v>2</v>
      </c>
      <c r="OO34" s="591">
        <f>SUM(OP34:OV34)</f>
        <v>36</v>
      </c>
      <c r="OP34" s="592">
        <v>4</v>
      </c>
      <c r="OQ34" s="593">
        <v>6</v>
      </c>
      <c r="OR34" s="588">
        <v>6</v>
      </c>
      <c r="OS34" s="588">
        <v>6</v>
      </c>
      <c r="OT34" s="588">
        <v>6</v>
      </c>
      <c r="OU34" s="589">
        <v>6</v>
      </c>
      <c r="OV34" s="590">
        <v>2</v>
      </c>
      <c r="OW34" s="591">
        <f>SUM(OX34:PD34)</f>
        <v>36</v>
      </c>
      <c r="OX34" s="592">
        <v>4</v>
      </c>
      <c r="OY34" s="593">
        <v>6</v>
      </c>
      <c r="OZ34" s="588">
        <v>6</v>
      </c>
      <c r="PA34" s="588">
        <v>6</v>
      </c>
      <c r="PB34" s="588">
        <v>6</v>
      </c>
      <c r="PC34" s="589">
        <v>6</v>
      </c>
      <c r="PD34" s="590">
        <v>2</v>
      </c>
      <c r="PE34" s="591">
        <f>SUM(PF34:PL34)</f>
        <v>36</v>
      </c>
      <c r="PF34" s="592">
        <v>4</v>
      </c>
      <c r="PG34" s="593">
        <v>6</v>
      </c>
      <c r="PH34" s="588">
        <v>6</v>
      </c>
      <c r="PI34" s="588">
        <v>6</v>
      </c>
      <c r="PJ34" s="588">
        <v>6</v>
      </c>
      <c r="PK34" s="589">
        <v>6</v>
      </c>
      <c r="PL34" s="590">
        <v>2</v>
      </c>
    </row>
    <row r="35" spans="1:428" s="44" customFormat="1" x14ac:dyDescent="0.3">
      <c r="A35"/>
      <c r="B35" s="1000"/>
      <c r="C35" s="1001"/>
      <c r="D35" s="274" t="s">
        <v>314</v>
      </c>
      <c r="E35" s="582">
        <f t="shared" ref="E35:E36" si="1068">SUM(F35:L35)</f>
        <v>398.57142857142861</v>
      </c>
      <c r="F35" s="594">
        <f t="shared" ref="F35:L36" si="1069">F15/14</f>
        <v>14.285714285714286</v>
      </c>
      <c r="G35" s="583">
        <f t="shared" si="1069"/>
        <v>78.571428571428569</v>
      </c>
      <c r="H35" s="583">
        <f t="shared" si="1069"/>
        <v>78.571428571428569</v>
      </c>
      <c r="I35" s="583">
        <f t="shared" si="1069"/>
        <v>71.428571428571431</v>
      </c>
      <c r="J35" s="583">
        <f t="shared" si="1069"/>
        <v>71.428571428571431</v>
      </c>
      <c r="K35" s="583">
        <f t="shared" si="1069"/>
        <v>71.428571428571431</v>
      </c>
      <c r="L35" s="581">
        <f t="shared" si="1069"/>
        <v>12.857142857142858</v>
      </c>
      <c r="M35" s="582">
        <f t="shared" ref="M35:M36" si="1070">SUM(N35:T35)</f>
        <v>417.14285714285722</v>
      </c>
      <c r="N35" s="594">
        <f t="shared" ref="N35:T36" si="1071">N15/14</f>
        <v>50</v>
      </c>
      <c r="O35" s="583">
        <f t="shared" si="1071"/>
        <v>75</v>
      </c>
      <c r="P35" s="583">
        <f t="shared" si="1071"/>
        <v>71.428571428571431</v>
      </c>
      <c r="Q35" s="583">
        <f t="shared" si="1071"/>
        <v>71.428571428571431</v>
      </c>
      <c r="R35" s="583">
        <f t="shared" si="1071"/>
        <v>75</v>
      </c>
      <c r="S35" s="583">
        <f t="shared" si="1071"/>
        <v>67.857142857142861</v>
      </c>
      <c r="T35" s="581">
        <f t="shared" si="1071"/>
        <v>6.4285714285714288</v>
      </c>
      <c r="U35" s="582" t="e" vm="1">
        <f t="shared" ref="U35:U36" ca="1" si="1072">SUM(V35:AB35)</f>
        <v>#VALUE!</v>
      </c>
      <c r="V35" s="594">
        <f>V15/14</f>
        <v>50</v>
      </c>
      <c r="W35" s="583">
        <f>W15/14</f>
        <v>75</v>
      </c>
      <c r="X35" s="583" t="e" cm="1" vm="2">
        <f t="array" aca="1" ref="X35" ca="1">X15/Y18:Y20</f>
        <v>#VALUE!</v>
      </c>
      <c r="Y35" s="583">
        <f t="shared" ref="Y35:AB36" si="1073">Y15/14</f>
        <v>71.428571428571431</v>
      </c>
      <c r="Z35" s="583">
        <f t="shared" si="1073"/>
        <v>75</v>
      </c>
      <c r="AA35" s="583">
        <f t="shared" si="1073"/>
        <v>67.857142857142861</v>
      </c>
      <c r="AB35" s="581">
        <f t="shared" si="1073"/>
        <v>6.4285714285714288</v>
      </c>
      <c r="AC35" s="582">
        <f t="shared" ref="AC35:AC36" si="1074">SUM(AD35:AJ35)</f>
        <v>445.71428571428572</v>
      </c>
      <c r="AD35" s="594">
        <f t="shared" ref="AD35:AJ36" si="1075">AD15/14</f>
        <v>50</v>
      </c>
      <c r="AE35" s="583">
        <f t="shared" si="1075"/>
        <v>75</v>
      </c>
      <c r="AF35" s="583">
        <f t="shared" si="1075"/>
        <v>82.142857142857139</v>
      </c>
      <c r="AG35" s="583">
        <f t="shared" si="1075"/>
        <v>82.142857142857139</v>
      </c>
      <c r="AH35" s="583">
        <f t="shared" si="1075"/>
        <v>78.571428571428569</v>
      </c>
      <c r="AI35" s="583">
        <f t="shared" si="1075"/>
        <v>71.428571428571431</v>
      </c>
      <c r="AJ35" s="581">
        <f t="shared" si="1075"/>
        <v>6.4285714285714288</v>
      </c>
      <c r="AK35" s="582">
        <f t="shared" ref="AK35:AK36" si="1076">SUM(AL35:AR35)</f>
        <v>455.71428571428567</v>
      </c>
      <c r="AL35" s="594">
        <f t="shared" ref="AL35:AR36" si="1077">AL15/14</f>
        <v>50</v>
      </c>
      <c r="AM35" s="583">
        <f t="shared" si="1077"/>
        <v>78.571428571428569</v>
      </c>
      <c r="AN35" s="583">
        <f t="shared" si="1077"/>
        <v>82.142857142857139</v>
      </c>
      <c r="AO35" s="583">
        <f t="shared" si="1077"/>
        <v>78.571428571428569</v>
      </c>
      <c r="AP35" s="583">
        <f t="shared" si="1077"/>
        <v>78.571428571428569</v>
      </c>
      <c r="AQ35" s="583">
        <f t="shared" si="1077"/>
        <v>75</v>
      </c>
      <c r="AR35" s="581">
        <f t="shared" si="1077"/>
        <v>12.857142857142858</v>
      </c>
      <c r="AS35" s="739">
        <f t="shared" ref="AS35:AS36" si="1078">SUM(AT35:AZ35)</f>
        <v>460.71428571428572</v>
      </c>
      <c r="AT35" s="594">
        <f t="shared" ref="AT35:AZ36" si="1079">AT15/14</f>
        <v>50</v>
      </c>
      <c r="AU35" s="583">
        <f t="shared" si="1079"/>
        <v>82.142857142857139</v>
      </c>
      <c r="AV35" s="583">
        <f t="shared" si="1079"/>
        <v>82.142857142857139</v>
      </c>
      <c r="AW35" s="583">
        <f t="shared" si="1079"/>
        <v>82.142857142857139</v>
      </c>
      <c r="AX35" s="583">
        <f t="shared" si="1079"/>
        <v>78.571428571428569</v>
      </c>
      <c r="AY35" s="583">
        <f t="shared" si="1079"/>
        <v>71.428571428571431</v>
      </c>
      <c r="AZ35" s="581">
        <f t="shared" si="1079"/>
        <v>14.285714285714286</v>
      </c>
      <c r="BA35" s="739">
        <f t="shared" ref="BA35:BA36" si="1080">SUM(BB35:BH35)</f>
        <v>439.28571428571428</v>
      </c>
      <c r="BB35" s="594">
        <f t="shared" ref="BB35:BH36" si="1081">BB15/14</f>
        <v>46.428571428571431</v>
      </c>
      <c r="BC35" s="583">
        <f t="shared" si="1081"/>
        <v>78.571428571428569</v>
      </c>
      <c r="BD35" s="583">
        <f t="shared" si="1081"/>
        <v>78.571428571428569</v>
      </c>
      <c r="BE35" s="583">
        <f t="shared" si="1081"/>
        <v>75</v>
      </c>
      <c r="BF35" s="583">
        <f t="shared" si="1081"/>
        <v>75</v>
      </c>
      <c r="BG35" s="583">
        <f t="shared" si="1081"/>
        <v>71.428571428571431</v>
      </c>
      <c r="BH35" s="581">
        <f t="shared" si="1081"/>
        <v>14.285714285714286</v>
      </c>
      <c r="BI35" s="582">
        <f t="shared" ref="BI35:BI36" si="1082">SUM(BJ35:BP35)</f>
        <v>432.14285714285717</v>
      </c>
      <c r="BJ35" s="594">
        <f t="shared" ref="BJ35:BP36" si="1083">BJ15/14</f>
        <v>50</v>
      </c>
      <c r="BK35" s="583">
        <f t="shared" si="1083"/>
        <v>75</v>
      </c>
      <c r="BL35" s="583">
        <f t="shared" si="1083"/>
        <v>75</v>
      </c>
      <c r="BM35" s="583">
        <f t="shared" si="1083"/>
        <v>75</v>
      </c>
      <c r="BN35" s="583">
        <f t="shared" si="1083"/>
        <v>75</v>
      </c>
      <c r="BO35" s="583">
        <f t="shared" si="1083"/>
        <v>75</v>
      </c>
      <c r="BP35" s="581">
        <f t="shared" si="1083"/>
        <v>7.1428571428571432</v>
      </c>
      <c r="BQ35" s="582">
        <f t="shared" ref="BQ35:BQ36" si="1084">SUM(BR35:BX35)</f>
        <v>396.4285714285715</v>
      </c>
      <c r="BR35" s="594">
        <f t="shared" ref="BR35:BX36" si="1085">BR15/14</f>
        <v>50</v>
      </c>
      <c r="BS35" s="583">
        <f t="shared" si="1085"/>
        <v>67.857142857142861</v>
      </c>
      <c r="BT35" s="583">
        <f t="shared" si="1085"/>
        <v>67.857142857142861</v>
      </c>
      <c r="BU35" s="583">
        <f t="shared" si="1085"/>
        <v>67.857142857142861</v>
      </c>
      <c r="BV35" s="583">
        <f t="shared" si="1085"/>
        <v>67.857142857142861</v>
      </c>
      <c r="BW35" s="583">
        <f t="shared" si="1085"/>
        <v>67.857142857142861</v>
      </c>
      <c r="BX35" s="581">
        <f t="shared" si="1085"/>
        <v>7.1428571428571432</v>
      </c>
      <c r="BY35" s="582">
        <f t="shared" ref="BY35:BY36" si="1086">SUM(BZ35:CF35)</f>
        <v>385.71428571428584</v>
      </c>
      <c r="BZ35" s="594">
        <f t="shared" ref="BZ35:CF36" si="1087">BZ15/14</f>
        <v>50</v>
      </c>
      <c r="CA35" s="583">
        <f t="shared" si="1087"/>
        <v>67.857142857142861</v>
      </c>
      <c r="CB35" s="583">
        <f t="shared" si="1087"/>
        <v>64.285714285714292</v>
      </c>
      <c r="CC35" s="583">
        <f t="shared" si="1087"/>
        <v>60.714285714285715</v>
      </c>
      <c r="CD35" s="583">
        <f t="shared" si="1087"/>
        <v>67.857142857142861</v>
      </c>
      <c r="CE35" s="583">
        <f t="shared" si="1087"/>
        <v>67.857142857142861</v>
      </c>
      <c r="CF35" s="581">
        <f t="shared" si="1087"/>
        <v>7.1428571428571432</v>
      </c>
      <c r="CG35" s="582">
        <f t="shared" ref="CG35:CG36" si="1088">SUM(CH35:CN35)</f>
        <v>403.57142857142867</v>
      </c>
      <c r="CH35" s="594">
        <f t="shared" ref="CH35:CN36" si="1089">CH15/14</f>
        <v>57.142857142857146</v>
      </c>
      <c r="CI35" s="583">
        <f t="shared" si="1089"/>
        <v>64.285714285714292</v>
      </c>
      <c r="CJ35" s="583">
        <f t="shared" si="1089"/>
        <v>67.857142857142861</v>
      </c>
      <c r="CK35" s="583">
        <f t="shared" si="1089"/>
        <v>64.285714285714292</v>
      </c>
      <c r="CL35" s="583">
        <f t="shared" si="1089"/>
        <v>71.428571428571431</v>
      </c>
      <c r="CM35" s="583">
        <f t="shared" si="1089"/>
        <v>71.428571428571431</v>
      </c>
      <c r="CN35" s="581">
        <f t="shared" si="1089"/>
        <v>7.1428571428571432</v>
      </c>
      <c r="CO35" s="582">
        <f t="shared" ref="CO35:CO36" si="1090">SUM(CP35:CV35)</f>
        <v>392.85714285714295</v>
      </c>
      <c r="CP35" s="594">
        <f t="shared" ref="CP35:CV36" si="1091">CP15/14</f>
        <v>50</v>
      </c>
      <c r="CQ35" s="583">
        <f t="shared" si="1091"/>
        <v>60.714285714285715</v>
      </c>
      <c r="CR35" s="583">
        <f t="shared" si="1091"/>
        <v>67.857142857142861</v>
      </c>
      <c r="CS35" s="583">
        <f t="shared" si="1091"/>
        <v>64.285714285714292</v>
      </c>
      <c r="CT35" s="583">
        <f t="shared" si="1091"/>
        <v>75</v>
      </c>
      <c r="CU35" s="583">
        <f t="shared" si="1091"/>
        <v>67.857142857142861</v>
      </c>
      <c r="CV35" s="581">
        <f t="shared" si="1091"/>
        <v>7.1428571428571432</v>
      </c>
      <c r="CW35" s="582">
        <f>SUM(CX35:DD35)</f>
        <v>410.71428571428578</v>
      </c>
      <c r="CX35" s="594">
        <f t="shared" ref="CX35:DD36" si="1092">CX15/14</f>
        <v>50</v>
      </c>
      <c r="CY35" s="583">
        <f t="shared" si="1092"/>
        <v>71.428571428571431</v>
      </c>
      <c r="CZ35" s="583">
        <f t="shared" si="1092"/>
        <v>71.428571428571431</v>
      </c>
      <c r="DA35" s="583">
        <f t="shared" si="1092"/>
        <v>64.285714285714292</v>
      </c>
      <c r="DB35" s="583">
        <f t="shared" si="1092"/>
        <v>71.428571428571431</v>
      </c>
      <c r="DC35" s="583">
        <f t="shared" si="1092"/>
        <v>75</v>
      </c>
      <c r="DD35" s="581">
        <f t="shared" si="1092"/>
        <v>7.1428571428571432</v>
      </c>
      <c r="DE35" s="582">
        <f>SUM(DF35:DL35)</f>
        <v>400.00000000000006</v>
      </c>
      <c r="DF35" s="594">
        <f t="shared" ref="DF35:DL36" si="1093">DF15/14</f>
        <v>50</v>
      </c>
      <c r="DG35" s="583">
        <f t="shared" si="1093"/>
        <v>67.857142857142861</v>
      </c>
      <c r="DH35" s="583">
        <f t="shared" si="1093"/>
        <v>67.857142857142861</v>
      </c>
      <c r="DI35" s="583">
        <f t="shared" si="1093"/>
        <v>67.857142857142861</v>
      </c>
      <c r="DJ35" s="583">
        <f t="shared" si="1093"/>
        <v>71.428571428571431</v>
      </c>
      <c r="DK35" s="583">
        <f t="shared" si="1093"/>
        <v>67.857142857142861</v>
      </c>
      <c r="DL35" s="581">
        <f t="shared" si="1093"/>
        <v>7.1428571428571432</v>
      </c>
      <c r="DM35" s="582">
        <f>SUM(DN35:DT35)</f>
        <v>428.28185328185333</v>
      </c>
      <c r="DN35" s="594">
        <f t="shared" ref="DN35:DQ36" si="1094">DN15/14</f>
        <v>50</v>
      </c>
      <c r="DO35" s="583">
        <f t="shared" si="1094"/>
        <v>67.857142857142861</v>
      </c>
      <c r="DP35" s="583">
        <f t="shared" si="1094"/>
        <v>67.857142857142861</v>
      </c>
      <c r="DQ35" s="583">
        <f t="shared" si="1094"/>
        <v>67.857142857142861</v>
      </c>
      <c r="DR35" s="583">
        <f>DR15/14.8</f>
        <v>67.567567567567565</v>
      </c>
      <c r="DS35" s="583">
        <f>DS15/14</f>
        <v>71.428571428571431</v>
      </c>
      <c r="DT35" s="581">
        <f>DT15/14</f>
        <v>35.714285714285715</v>
      </c>
      <c r="DU35" s="582">
        <f>SUM(DV35:EB35)</f>
        <v>307.14285714285722</v>
      </c>
      <c r="DV35" s="594">
        <f t="shared" ref="DV35:EB36" si="1095">DV15/14</f>
        <v>0</v>
      </c>
      <c r="DW35" s="583">
        <f t="shared" si="1095"/>
        <v>14.285714285714286</v>
      </c>
      <c r="DX35" s="583">
        <f t="shared" si="1095"/>
        <v>75</v>
      </c>
      <c r="DY35" s="583">
        <f t="shared" si="1095"/>
        <v>67.857142857142861</v>
      </c>
      <c r="DZ35" s="583">
        <f t="shared" si="1095"/>
        <v>71.428571428571431</v>
      </c>
      <c r="EA35" s="583">
        <f t="shared" si="1095"/>
        <v>71.428571428571431</v>
      </c>
      <c r="EB35" s="581">
        <f t="shared" si="1095"/>
        <v>7.1428571428571432</v>
      </c>
      <c r="EC35" s="582">
        <f>SUM(ED35:EJ35)</f>
        <v>385.41666666666669</v>
      </c>
      <c r="ED35" s="594">
        <f t="shared" ref="ED35:EJ36" si="1096">ED15/14.4</f>
        <v>45.138888888888886</v>
      </c>
      <c r="EE35" s="583">
        <f t="shared" si="1096"/>
        <v>65.972222222222214</v>
      </c>
      <c r="EF35" s="583">
        <f t="shared" si="1096"/>
        <v>65.972222222222214</v>
      </c>
      <c r="EG35" s="583">
        <f t="shared" si="1096"/>
        <v>62.5</v>
      </c>
      <c r="EH35" s="583">
        <f t="shared" si="1096"/>
        <v>72.916666666666671</v>
      </c>
      <c r="EI35" s="583">
        <f t="shared" si="1096"/>
        <v>72.916666666666671</v>
      </c>
      <c r="EJ35" s="581">
        <f t="shared" si="1096"/>
        <v>0</v>
      </c>
      <c r="EK35" s="582">
        <f>SUM(EL35:ER35)</f>
        <v>413.19444444444446</v>
      </c>
      <c r="EL35" s="594">
        <f t="shared" ref="EL35:ER36" si="1097">EL15/14.4</f>
        <v>52.083333333333329</v>
      </c>
      <c r="EM35" s="583">
        <f t="shared" si="1097"/>
        <v>69.444444444444443</v>
      </c>
      <c r="EN35" s="583">
        <f t="shared" si="1097"/>
        <v>65.972222222222214</v>
      </c>
      <c r="EO35" s="583">
        <f t="shared" si="1097"/>
        <v>65.972222222222214</v>
      </c>
      <c r="EP35" s="583">
        <f t="shared" si="1097"/>
        <v>76.388888888888886</v>
      </c>
      <c r="EQ35" s="583">
        <f t="shared" si="1097"/>
        <v>76.388888888888886</v>
      </c>
      <c r="ER35" s="581">
        <f t="shared" si="1097"/>
        <v>6.9444444444444446</v>
      </c>
      <c r="ES35" s="582">
        <f>SUM(ET35:EZ35)</f>
        <v>435.71428571428572</v>
      </c>
      <c r="ET35" s="594">
        <f t="shared" ref="ET35:EZ36" si="1098">ET15/14</f>
        <v>53.571428571428569</v>
      </c>
      <c r="EU35" s="583">
        <f t="shared" si="1098"/>
        <v>75</v>
      </c>
      <c r="EV35" s="583">
        <f t="shared" si="1098"/>
        <v>75</v>
      </c>
      <c r="EW35" s="583">
        <f t="shared" si="1098"/>
        <v>71.428571428571431</v>
      </c>
      <c r="EX35" s="583">
        <f t="shared" si="1098"/>
        <v>78.571428571428569</v>
      </c>
      <c r="EY35" s="583">
        <f t="shared" si="1098"/>
        <v>75</v>
      </c>
      <c r="EZ35" s="581">
        <f t="shared" si="1098"/>
        <v>7.1428571428571432</v>
      </c>
      <c r="FA35" s="582">
        <f>SUM(FB35:FH35)</f>
        <v>385.71428571428578</v>
      </c>
      <c r="FB35" s="594">
        <f t="shared" ref="FB35:FH36" si="1099">FB15/14</f>
        <v>50</v>
      </c>
      <c r="FC35" s="583">
        <f t="shared" si="1099"/>
        <v>64.285714285714292</v>
      </c>
      <c r="FD35" s="583">
        <f t="shared" si="1099"/>
        <v>67.857142857142861</v>
      </c>
      <c r="FE35" s="583">
        <f t="shared" si="1099"/>
        <v>64.285714285714292</v>
      </c>
      <c r="FF35" s="583">
        <f t="shared" si="1099"/>
        <v>67.857142857142861</v>
      </c>
      <c r="FG35" s="583">
        <f t="shared" si="1099"/>
        <v>64.285714285714292</v>
      </c>
      <c r="FH35" s="581">
        <f t="shared" si="1099"/>
        <v>7.1428571428571432</v>
      </c>
      <c r="FI35" s="739">
        <f>SUM(FJ35:FP35)</f>
        <v>310.71428571428572</v>
      </c>
      <c r="FJ35" s="594">
        <f t="shared" ref="FJ35:FP36" si="1100">FJ15/14</f>
        <v>46.428571428571431</v>
      </c>
      <c r="FK35" s="583">
        <f t="shared" si="1100"/>
        <v>60.714285714285715</v>
      </c>
      <c r="FL35" s="583">
        <f t="shared" si="1100"/>
        <v>60.714285714285715</v>
      </c>
      <c r="FM35" s="583">
        <f t="shared" si="1100"/>
        <v>0</v>
      </c>
      <c r="FN35" s="583">
        <f t="shared" si="1100"/>
        <v>57.142857142857146</v>
      </c>
      <c r="FO35" s="583">
        <f t="shared" si="1100"/>
        <v>78.571428571428569</v>
      </c>
      <c r="FP35" s="581">
        <f t="shared" si="1100"/>
        <v>7.1428571428571432</v>
      </c>
      <c r="FQ35" s="749">
        <f>SUM(FR35:FX35)</f>
        <v>421.42857142857139</v>
      </c>
      <c r="FR35" s="594">
        <f t="shared" ref="FR35:FX36" si="1101">FR15/14</f>
        <v>53.571428571428569</v>
      </c>
      <c r="FS35" s="583">
        <f t="shared" si="1101"/>
        <v>67.857142857142861</v>
      </c>
      <c r="FT35" s="583">
        <f t="shared" si="1101"/>
        <v>67.857142857142861</v>
      </c>
      <c r="FU35" s="583">
        <f t="shared" si="1101"/>
        <v>67.857142857142861</v>
      </c>
      <c r="FV35" s="583">
        <f t="shared" si="1101"/>
        <v>75</v>
      </c>
      <c r="FW35" s="583">
        <f t="shared" si="1101"/>
        <v>75</v>
      </c>
      <c r="FX35" s="581">
        <f t="shared" si="1101"/>
        <v>14.285714285714286</v>
      </c>
      <c r="FY35" s="582">
        <f>SUM(FZ35:GF35)</f>
        <v>317.85714285714289</v>
      </c>
      <c r="FZ35" s="594">
        <f t="shared" ref="FZ35:GF36" si="1102">FZ15/14</f>
        <v>0</v>
      </c>
      <c r="GA35" s="583">
        <f t="shared" si="1102"/>
        <v>14.285714285714286</v>
      </c>
      <c r="GB35" s="583">
        <f t="shared" si="1102"/>
        <v>78.571428571428569</v>
      </c>
      <c r="GC35" s="583">
        <f t="shared" si="1102"/>
        <v>71.428571428571431</v>
      </c>
      <c r="GD35" s="583">
        <f t="shared" si="1102"/>
        <v>71.428571428571431</v>
      </c>
      <c r="GE35" s="583">
        <f t="shared" si="1102"/>
        <v>75</v>
      </c>
      <c r="GF35" s="581">
        <f t="shared" si="1102"/>
        <v>7.1428571428571432</v>
      </c>
      <c r="GG35" s="582">
        <f>SUM(GH35:GN35)</f>
        <v>421.4285714285715</v>
      </c>
      <c r="GH35" s="594">
        <f t="shared" ref="GH35:GN36" si="1103">GH15/14</f>
        <v>53.571428571428569</v>
      </c>
      <c r="GI35" s="583">
        <f t="shared" si="1103"/>
        <v>71.428571428571431</v>
      </c>
      <c r="GJ35" s="583">
        <f t="shared" si="1103"/>
        <v>71.428571428571431</v>
      </c>
      <c r="GK35" s="583">
        <f t="shared" si="1103"/>
        <v>67.857142857142861</v>
      </c>
      <c r="GL35" s="583">
        <f t="shared" si="1103"/>
        <v>75</v>
      </c>
      <c r="GM35" s="583">
        <f t="shared" si="1103"/>
        <v>75</v>
      </c>
      <c r="GN35" s="581">
        <f t="shared" si="1103"/>
        <v>7.1428571428571432</v>
      </c>
      <c r="GO35" s="582">
        <f>SUM(GP35:GV35)</f>
        <v>425</v>
      </c>
      <c r="GP35" s="594">
        <f t="shared" ref="GP35:GV36" si="1104">GP15/14</f>
        <v>53.571428571428569</v>
      </c>
      <c r="GQ35" s="583">
        <f t="shared" si="1104"/>
        <v>75</v>
      </c>
      <c r="GR35" s="583">
        <f t="shared" si="1104"/>
        <v>71.428571428571431</v>
      </c>
      <c r="GS35" s="583">
        <f t="shared" si="1104"/>
        <v>69.642857142857139</v>
      </c>
      <c r="GT35" s="583">
        <f t="shared" si="1104"/>
        <v>75</v>
      </c>
      <c r="GU35" s="583">
        <f t="shared" si="1104"/>
        <v>73.214285714285708</v>
      </c>
      <c r="GV35" s="581">
        <f t="shared" si="1104"/>
        <v>7.1428571428571432</v>
      </c>
      <c r="GW35" s="582">
        <f>SUM(GX35:HD35)</f>
        <v>403.57142857142861</v>
      </c>
      <c r="GX35" s="594">
        <f t="shared" ref="GX35:HD36" si="1105">GX15/14</f>
        <v>50</v>
      </c>
      <c r="GY35" s="583">
        <f t="shared" si="1105"/>
        <v>71.428571428571431</v>
      </c>
      <c r="GZ35" s="583">
        <f t="shared" si="1105"/>
        <v>71.428571428571431</v>
      </c>
      <c r="HA35" s="583">
        <f t="shared" si="1105"/>
        <v>64.285714285714292</v>
      </c>
      <c r="HB35" s="583">
        <f t="shared" si="1105"/>
        <v>67.857142857142861</v>
      </c>
      <c r="HC35" s="583">
        <f t="shared" si="1105"/>
        <v>71.428571428571431</v>
      </c>
      <c r="HD35" s="581">
        <f t="shared" si="1105"/>
        <v>7.1428571428571432</v>
      </c>
      <c r="HE35" s="582">
        <f>SUM(HF35:HL35)</f>
        <v>369.64285714285711</v>
      </c>
      <c r="HF35" s="594">
        <f t="shared" ref="HF35:HL36" si="1106">HF15/14</f>
        <v>46.428571428571431</v>
      </c>
      <c r="HG35" s="583">
        <f t="shared" si="1106"/>
        <v>67.857142857142861</v>
      </c>
      <c r="HH35" s="583">
        <f t="shared" si="1106"/>
        <v>66.071428571428569</v>
      </c>
      <c r="HI35" s="583">
        <f t="shared" si="1106"/>
        <v>57.142857142857146</v>
      </c>
      <c r="HJ35" s="583">
        <f t="shared" si="1106"/>
        <v>64.285714285714292</v>
      </c>
      <c r="HK35" s="583">
        <f t="shared" si="1106"/>
        <v>67.857142857142861</v>
      </c>
      <c r="HL35" s="581">
        <f t="shared" si="1106"/>
        <v>0</v>
      </c>
      <c r="HM35" s="582">
        <f>SUM(HN35:HT35)</f>
        <v>355.35714285714283</v>
      </c>
      <c r="HN35" s="594">
        <f t="shared" ref="HN35:HT36" si="1107">HN15/14</f>
        <v>46.428571428571431</v>
      </c>
      <c r="HO35" s="583">
        <f t="shared" si="1107"/>
        <v>60.714285714285715</v>
      </c>
      <c r="HP35" s="583">
        <f t="shared" si="1107"/>
        <v>60.714285714285715</v>
      </c>
      <c r="HQ35" s="583">
        <f t="shared" si="1107"/>
        <v>58.928571428571431</v>
      </c>
      <c r="HR35" s="583">
        <f t="shared" si="1107"/>
        <v>64.285714285714292</v>
      </c>
      <c r="HS35" s="583">
        <f t="shared" si="1107"/>
        <v>64.285714285714292</v>
      </c>
      <c r="HT35" s="581">
        <f t="shared" si="1107"/>
        <v>0</v>
      </c>
      <c r="HU35" s="582">
        <f>SUM(HV35:IB35)</f>
        <v>289.28571428571428</v>
      </c>
      <c r="HV35" s="594">
        <f t="shared" ref="HV35:IB36" si="1108">HV15/14</f>
        <v>46.428571428571431</v>
      </c>
      <c r="HW35" s="583">
        <f t="shared" si="1108"/>
        <v>60.714285714285715</v>
      </c>
      <c r="HX35" s="583">
        <f t="shared" si="1108"/>
        <v>57.142857142857146</v>
      </c>
      <c r="HY35" s="583">
        <f t="shared" si="1108"/>
        <v>0</v>
      </c>
      <c r="HZ35" s="583">
        <f t="shared" si="1108"/>
        <v>57.142857142857146</v>
      </c>
      <c r="IA35" s="583">
        <f t="shared" si="1108"/>
        <v>67.857142857142861</v>
      </c>
      <c r="IB35" s="581">
        <f t="shared" si="1108"/>
        <v>0</v>
      </c>
      <c r="IC35" s="582">
        <f>SUM(ID35:IJ35)</f>
        <v>357.14285714285717</v>
      </c>
      <c r="ID35" s="594">
        <f t="shared" ref="ID35:IJ36" si="1109">ID15/14</f>
        <v>46.428571428571431</v>
      </c>
      <c r="IE35" s="583">
        <f t="shared" si="1109"/>
        <v>64.285714285714292</v>
      </c>
      <c r="IF35" s="583">
        <f t="shared" si="1109"/>
        <v>60.714285714285715</v>
      </c>
      <c r="IG35" s="583">
        <f t="shared" si="1109"/>
        <v>60.714285714285715</v>
      </c>
      <c r="IH35" s="583">
        <f t="shared" si="1109"/>
        <v>64.285714285714292</v>
      </c>
      <c r="II35" s="583">
        <f t="shared" si="1109"/>
        <v>60.714285714285715</v>
      </c>
      <c r="IJ35" s="581">
        <f t="shared" si="1109"/>
        <v>0</v>
      </c>
      <c r="IK35" s="582">
        <f>SUM(IL35:IR35)</f>
        <v>337.5</v>
      </c>
      <c r="IL35" s="594">
        <f t="shared" ref="IL35:IR36" si="1110">IL15/14</f>
        <v>46.428571428571431</v>
      </c>
      <c r="IM35" s="583">
        <f t="shared" si="1110"/>
        <v>60.714285714285715</v>
      </c>
      <c r="IN35" s="583">
        <f t="shared" si="1110"/>
        <v>60.714285714285715</v>
      </c>
      <c r="IO35" s="583">
        <f t="shared" si="1110"/>
        <v>53.571428571428569</v>
      </c>
      <c r="IP35" s="583">
        <f t="shared" si="1110"/>
        <v>55.357142857142854</v>
      </c>
      <c r="IQ35" s="583">
        <f t="shared" si="1110"/>
        <v>60.714285714285715</v>
      </c>
      <c r="IR35" s="581">
        <f t="shared" si="1110"/>
        <v>0</v>
      </c>
      <c r="IS35" s="582">
        <f>SUM(IT35:IZ35)</f>
        <v>333.92857142857144</v>
      </c>
      <c r="IT35" s="594">
        <f t="shared" ref="IT35:IZ36" si="1111">IT15/14</f>
        <v>46.428571428571431</v>
      </c>
      <c r="IU35" s="583">
        <f t="shared" si="1111"/>
        <v>57.142857142857146</v>
      </c>
      <c r="IV35" s="583">
        <f t="shared" si="1111"/>
        <v>57.142857142857146</v>
      </c>
      <c r="IW35" s="583">
        <f t="shared" si="1111"/>
        <v>57.142857142857146</v>
      </c>
      <c r="IX35" s="583">
        <f t="shared" si="1111"/>
        <v>55.357142857142854</v>
      </c>
      <c r="IY35" s="583">
        <f t="shared" si="1111"/>
        <v>60.714285714285715</v>
      </c>
      <c r="IZ35" s="581">
        <f t="shared" si="1111"/>
        <v>0</v>
      </c>
      <c r="JA35" s="582">
        <f>SUM(JB35:JH35)</f>
        <v>273.21428571428572</v>
      </c>
      <c r="JB35" s="594">
        <f t="shared" ref="JB35:JH36" si="1112">JB15/14</f>
        <v>0</v>
      </c>
      <c r="JC35" s="583">
        <f t="shared" si="1112"/>
        <v>14.285714285714286</v>
      </c>
      <c r="JD35" s="583">
        <f t="shared" si="1112"/>
        <v>67.857142857142861</v>
      </c>
      <c r="JE35" s="583">
        <f t="shared" si="1112"/>
        <v>62.5</v>
      </c>
      <c r="JF35" s="583">
        <f t="shared" si="1112"/>
        <v>64.285714285714292</v>
      </c>
      <c r="JG35" s="583">
        <f t="shared" si="1112"/>
        <v>64.285714285714292</v>
      </c>
      <c r="JH35" s="581">
        <f t="shared" si="1112"/>
        <v>0</v>
      </c>
      <c r="JI35" s="582">
        <f>SUM(JJ35:JP35)</f>
        <v>401.78571428571428</v>
      </c>
      <c r="JJ35" s="594">
        <f t="shared" ref="JJ35:JP36" si="1113">JJ15/14</f>
        <v>46.428571428571431</v>
      </c>
      <c r="JK35" s="583">
        <f t="shared" si="1113"/>
        <v>67.857142857142861</v>
      </c>
      <c r="JL35" s="583">
        <f t="shared" si="1113"/>
        <v>67.857142857142861</v>
      </c>
      <c r="JM35" s="583">
        <f t="shared" si="1113"/>
        <v>66.071428571428569</v>
      </c>
      <c r="JN35" s="583">
        <f t="shared" si="1113"/>
        <v>78.571428571428569</v>
      </c>
      <c r="JO35" s="583">
        <f t="shared" si="1113"/>
        <v>75</v>
      </c>
      <c r="JP35" s="581">
        <f t="shared" si="1113"/>
        <v>0</v>
      </c>
      <c r="JQ35" s="582">
        <f>SUM(JR35:JX35)</f>
        <v>428.57142857142856</v>
      </c>
      <c r="JR35" s="594">
        <f t="shared" ref="JR35:JX36" si="1114">JR15/14</f>
        <v>53.571428571428569</v>
      </c>
      <c r="JS35" s="583">
        <f t="shared" si="1114"/>
        <v>75</v>
      </c>
      <c r="JT35" s="583">
        <f t="shared" si="1114"/>
        <v>75</v>
      </c>
      <c r="JU35" s="583">
        <f t="shared" si="1114"/>
        <v>75</v>
      </c>
      <c r="JV35" s="583">
        <f t="shared" si="1114"/>
        <v>78.571428571428569</v>
      </c>
      <c r="JW35" s="583">
        <f t="shared" si="1114"/>
        <v>71.428571428571431</v>
      </c>
      <c r="JX35" s="581">
        <f t="shared" si="1114"/>
        <v>0</v>
      </c>
      <c r="JY35" s="582">
        <f>SUM(JZ35:KF35)</f>
        <v>446.42857142857144</v>
      </c>
      <c r="JZ35" s="594">
        <f t="shared" ref="JZ35:KF36" si="1115">JZ15/14</f>
        <v>53.571428571428569</v>
      </c>
      <c r="KA35" s="583">
        <f t="shared" si="1115"/>
        <v>78.571428571428569</v>
      </c>
      <c r="KB35" s="583">
        <f t="shared" si="1115"/>
        <v>78.571428571428569</v>
      </c>
      <c r="KC35" s="583">
        <f t="shared" si="1115"/>
        <v>78.571428571428569</v>
      </c>
      <c r="KD35" s="583">
        <f t="shared" si="1115"/>
        <v>82.142857142857139</v>
      </c>
      <c r="KE35" s="583">
        <f t="shared" si="1115"/>
        <v>75</v>
      </c>
      <c r="KF35" s="581">
        <f t="shared" si="1115"/>
        <v>0</v>
      </c>
      <c r="KG35" s="582">
        <f>SUM(KH35:KN35)</f>
        <v>450</v>
      </c>
      <c r="KH35" s="594">
        <f t="shared" ref="KH35:KN36" si="1116">KH15/14</f>
        <v>57.142857142857146</v>
      </c>
      <c r="KI35" s="583">
        <f t="shared" si="1116"/>
        <v>78.571428571428569</v>
      </c>
      <c r="KJ35" s="583">
        <f t="shared" si="1116"/>
        <v>78.571428571428569</v>
      </c>
      <c r="KK35" s="583">
        <f t="shared" si="1116"/>
        <v>78.571428571428569</v>
      </c>
      <c r="KL35" s="583">
        <f t="shared" si="1116"/>
        <v>82.142857142857139</v>
      </c>
      <c r="KM35" s="583">
        <f t="shared" si="1116"/>
        <v>75</v>
      </c>
      <c r="KN35" s="581">
        <f t="shared" si="1116"/>
        <v>0</v>
      </c>
      <c r="KO35" s="582">
        <f>SUM(KP35:KV35)</f>
        <v>442.85714285714283</v>
      </c>
      <c r="KP35" s="594">
        <f t="shared" ref="KP35:KV36" si="1117">KP15/14</f>
        <v>57.142857142857146</v>
      </c>
      <c r="KQ35" s="583">
        <f t="shared" si="1117"/>
        <v>78.571428571428569</v>
      </c>
      <c r="KR35" s="583">
        <f t="shared" si="1117"/>
        <v>75</v>
      </c>
      <c r="KS35" s="583">
        <f t="shared" si="1117"/>
        <v>78.571428571428569</v>
      </c>
      <c r="KT35" s="583">
        <f t="shared" si="1117"/>
        <v>78.571428571428569</v>
      </c>
      <c r="KU35" s="583">
        <f t="shared" si="1117"/>
        <v>75</v>
      </c>
      <c r="KV35" s="581">
        <f t="shared" si="1117"/>
        <v>0</v>
      </c>
      <c r="KW35" s="582">
        <f>SUM(KX35:LD35)</f>
        <v>425</v>
      </c>
      <c r="KX35" s="594">
        <f t="shared" ref="KX35:LD36" si="1118">KX15/14</f>
        <v>57.142857142857146</v>
      </c>
      <c r="KY35" s="583">
        <f t="shared" si="1118"/>
        <v>75</v>
      </c>
      <c r="KZ35" s="583">
        <f t="shared" si="1118"/>
        <v>75</v>
      </c>
      <c r="LA35" s="583">
        <f t="shared" si="1118"/>
        <v>71.428571428571431</v>
      </c>
      <c r="LB35" s="583">
        <f t="shared" si="1118"/>
        <v>71.428571428571431</v>
      </c>
      <c r="LC35" s="583">
        <f t="shared" si="1118"/>
        <v>75</v>
      </c>
      <c r="LD35" s="581">
        <f t="shared" si="1118"/>
        <v>0</v>
      </c>
      <c r="LE35" s="582">
        <f>SUM(LF35:LL35)</f>
        <v>425</v>
      </c>
      <c r="LF35" s="594">
        <f t="shared" ref="LF35:LL36" si="1119">LF15/14</f>
        <v>53.571428571428569</v>
      </c>
      <c r="LG35" s="583">
        <f t="shared" si="1119"/>
        <v>75</v>
      </c>
      <c r="LH35" s="583">
        <f t="shared" si="1119"/>
        <v>75</v>
      </c>
      <c r="LI35" s="583">
        <f t="shared" si="1119"/>
        <v>71.428571428571431</v>
      </c>
      <c r="LJ35" s="583">
        <f t="shared" si="1119"/>
        <v>75</v>
      </c>
      <c r="LK35" s="583">
        <f t="shared" si="1119"/>
        <v>75</v>
      </c>
      <c r="LL35" s="581">
        <f t="shared" si="1119"/>
        <v>0</v>
      </c>
      <c r="LM35" s="582">
        <f>SUM(LN35:LT35)</f>
        <v>446.42857142857144</v>
      </c>
      <c r="LN35" s="594">
        <f t="shared" ref="LN35:LT36" si="1120">LN15/14</f>
        <v>57.142857142857146</v>
      </c>
      <c r="LO35" s="583">
        <f t="shared" si="1120"/>
        <v>75</v>
      </c>
      <c r="LP35" s="583">
        <f t="shared" si="1120"/>
        <v>78.571428571428569</v>
      </c>
      <c r="LQ35" s="583">
        <f t="shared" si="1120"/>
        <v>75</v>
      </c>
      <c r="LR35" s="583">
        <f t="shared" si="1120"/>
        <v>78.571428571428569</v>
      </c>
      <c r="LS35" s="583">
        <f t="shared" si="1120"/>
        <v>82.142857142857139</v>
      </c>
      <c r="LT35" s="581">
        <f t="shared" si="1120"/>
        <v>0</v>
      </c>
      <c r="LU35" s="582">
        <f>SUM(LV35:MB35)</f>
        <v>442.85714285714289</v>
      </c>
      <c r="LV35" s="594">
        <f t="shared" ref="LV35:MB36" si="1121">LV15/14</f>
        <v>57.142857142857146</v>
      </c>
      <c r="LW35" s="583">
        <f t="shared" si="1121"/>
        <v>78.571428571428569</v>
      </c>
      <c r="LX35" s="583">
        <f t="shared" si="1121"/>
        <v>75</v>
      </c>
      <c r="LY35" s="583">
        <f t="shared" si="1121"/>
        <v>71.428571428571431</v>
      </c>
      <c r="LZ35" s="583">
        <f t="shared" si="1121"/>
        <v>82.142857142857139</v>
      </c>
      <c r="MA35" s="583">
        <f t="shared" si="1121"/>
        <v>78.571428571428569</v>
      </c>
      <c r="MB35" s="581">
        <f t="shared" si="1121"/>
        <v>0</v>
      </c>
      <c r="MC35" s="582">
        <f>SUM(MD35:MJ35)</f>
        <v>457.14285714285711</v>
      </c>
      <c r="MD35" s="594">
        <f t="shared" ref="MD35:MJ36" si="1122">MD15/14</f>
        <v>64.285714285714292</v>
      </c>
      <c r="ME35" s="583">
        <f t="shared" si="1122"/>
        <v>78.571428571428569</v>
      </c>
      <c r="MF35" s="583">
        <f t="shared" si="1122"/>
        <v>78.571428571428569</v>
      </c>
      <c r="MG35" s="583">
        <f t="shared" si="1122"/>
        <v>75</v>
      </c>
      <c r="MH35" s="583">
        <f t="shared" si="1122"/>
        <v>82.142857142857139</v>
      </c>
      <c r="MI35" s="583">
        <f t="shared" si="1122"/>
        <v>78.571428571428569</v>
      </c>
      <c r="MJ35" s="581">
        <f t="shared" si="1122"/>
        <v>0</v>
      </c>
      <c r="MK35" s="582">
        <f>SUM(ML35:MR35)</f>
        <v>367.85714285714278</v>
      </c>
      <c r="ML35" s="594">
        <f t="shared" ref="ML35:MR36" si="1123">ML15/14</f>
        <v>60.714285714285715</v>
      </c>
      <c r="MM35" s="583">
        <f t="shared" si="1123"/>
        <v>0</v>
      </c>
      <c r="MN35" s="583">
        <f t="shared" si="1123"/>
        <v>60.714285714285715</v>
      </c>
      <c r="MO35" s="583">
        <f t="shared" si="1123"/>
        <v>82.142857142857139</v>
      </c>
      <c r="MP35" s="583">
        <f t="shared" si="1123"/>
        <v>82.142857142857139</v>
      </c>
      <c r="MQ35" s="583">
        <f t="shared" si="1123"/>
        <v>82.142857142857139</v>
      </c>
      <c r="MR35" s="581">
        <f t="shared" si="1123"/>
        <v>0</v>
      </c>
      <c r="MS35" s="582">
        <f>SUM(MT35:MZ35)</f>
        <v>389.28571428571428</v>
      </c>
      <c r="MT35" s="594">
        <f t="shared" ref="MT35:MZ36" si="1124">MT15/14</f>
        <v>60.714285714285715</v>
      </c>
      <c r="MU35" s="583">
        <f t="shared" si="1124"/>
        <v>85.714285714285708</v>
      </c>
      <c r="MV35" s="583">
        <f t="shared" si="1124"/>
        <v>85.714285714285708</v>
      </c>
      <c r="MW35" s="583">
        <f t="shared" si="1124"/>
        <v>85.714285714285708</v>
      </c>
      <c r="MX35" s="583">
        <f t="shared" si="1124"/>
        <v>0</v>
      </c>
      <c r="MY35" s="583">
        <f t="shared" si="1124"/>
        <v>71.428571428571431</v>
      </c>
      <c r="MZ35" s="581">
        <f t="shared" si="1124"/>
        <v>0</v>
      </c>
      <c r="NA35" s="582">
        <f>SUM(NB35:NH35)</f>
        <v>471.42857142857133</v>
      </c>
      <c r="NB35" s="594">
        <f t="shared" ref="NB35:NH36" si="1125">NB15/14</f>
        <v>60.714285714285715</v>
      </c>
      <c r="NC35" s="583">
        <f t="shared" si="1125"/>
        <v>85.714285714285708</v>
      </c>
      <c r="ND35" s="583">
        <f t="shared" si="1125"/>
        <v>82.142857142857139</v>
      </c>
      <c r="NE35" s="583">
        <f t="shared" si="1125"/>
        <v>78.571428571428569</v>
      </c>
      <c r="NF35" s="583">
        <f t="shared" si="1125"/>
        <v>82.142857142857139</v>
      </c>
      <c r="NG35" s="583">
        <f t="shared" si="1125"/>
        <v>82.142857142857139</v>
      </c>
      <c r="NH35" s="581">
        <f t="shared" si="1125"/>
        <v>0</v>
      </c>
      <c r="NI35" s="582">
        <f>SUM(NJ35:NP35)</f>
        <v>533.92857142857133</v>
      </c>
      <c r="NJ35" s="594">
        <f t="shared" ref="NJ35:NP36" si="1126">NJ15/14</f>
        <v>60.714285714285715</v>
      </c>
      <c r="NK35" s="583">
        <f t="shared" si="1126"/>
        <v>94.642857142857139</v>
      </c>
      <c r="NL35" s="583">
        <f t="shared" si="1126"/>
        <v>94.642857142857139</v>
      </c>
      <c r="NM35" s="583">
        <f t="shared" si="1126"/>
        <v>94.642857142857139</v>
      </c>
      <c r="NN35" s="583">
        <f t="shared" si="1126"/>
        <v>94.642857142857139</v>
      </c>
      <c r="NO35" s="583">
        <f t="shared" si="1126"/>
        <v>94.642857142857139</v>
      </c>
      <c r="NP35" s="581">
        <f t="shared" si="1126"/>
        <v>0</v>
      </c>
      <c r="NQ35" s="739">
        <f>SUM(NR35:NX35)</f>
        <v>530.35714285714278</v>
      </c>
      <c r="NR35" s="594">
        <f t="shared" ref="NR35:NX36" si="1127">NR15/14</f>
        <v>73.214285714285708</v>
      </c>
      <c r="NS35" s="583">
        <f t="shared" si="1127"/>
        <v>98.214285714285708</v>
      </c>
      <c r="NT35" s="583">
        <f t="shared" si="1127"/>
        <v>98.214285714285708</v>
      </c>
      <c r="NU35" s="583">
        <f t="shared" si="1127"/>
        <v>85.714285714285708</v>
      </c>
      <c r="NV35" s="583">
        <f t="shared" si="1127"/>
        <v>89.285714285714292</v>
      </c>
      <c r="NW35" s="583">
        <f t="shared" si="1127"/>
        <v>85.714285714285708</v>
      </c>
      <c r="NX35" s="581">
        <f t="shared" si="1127"/>
        <v>0</v>
      </c>
      <c r="NY35" s="582">
        <f>SUM(NZ35:OF35)</f>
        <v>496.42857142857144</v>
      </c>
      <c r="NZ35" s="594">
        <f t="shared" ref="NZ35:OF36" si="1128">NZ15/14</f>
        <v>64.285714285714292</v>
      </c>
      <c r="OA35" s="583">
        <f t="shared" si="1128"/>
        <v>91.071428571428569</v>
      </c>
      <c r="OB35" s="583">
        <f t="shared" si="1128"/>
        <v>91.071428571428569</v>
      </c>
      <c r="OC35" s="583">
        <f t="shared" si="1128"/>
        <v>82.142857142857139</v>
      </c>
      <c r="OD35" s="583">
        <f t="shared" si="1128"/>
        <v>85.714285714285708</v>
      </c>
      <c r="OE35" s="583">
        <f t="shared" si="1128"/>
        <v>82.142857142857139</v>
      </c>
      <c r="OF35" s="581">
        <f t="shared" si="1128"/>
        <v>0</v>
      </c>
      <c r="OG35" s="582">
        <f>SUM(OH35:ON35)</f>
        <v>464.28571428571428</v>
      </c>
      <c r="OH35" s="594">
        <f t="shared" ref="OH35:ON36" si="1129">OH15/14</f>
        <v>60.714285714285715</v>
      </c>
      <c r="OI35" s="583">
        <f t="shared" si="1129"/>
        <v>82.142857142857139</v>
      </c>
      <c r="OJ35" s="583">
        <f t="shared" si="1129"/>
        <v>82.142857142857139</v>
      </c>
      <c r="OK35" s="583">
        <f t="shared" si="1129"/>
        <v>82.142857142857139</v>
      </c>
      <c r="OL35" s="583">
        <f t="shared" si="1129"/>
        <v>85.714285714285708</v>
      </c>
      <c r="OM35" s="583">
        <f t="shared" si="1129"/>
        <v>71.428571428571431</v>
      </c>
      <c r="ON35" s="581">
        <f t="shared" si="1129"/>
        <v>0</v>
      </c>
      <c r="OO35" s="582">
        <f>SUM(OP35:OV35)</f>
        <v>519.64285714285711</v>
      </c>
      <c r="OP35" s="594">
        <f t="shared" ref="OP35:OV36" si="1130">OP15/14</f>
        <v>57.142857142857146</v>
      </c>
      <c r="OQ35" s="583">
        <f t="shared" si="1130"/>
        <v>92.857142857142861</v>
      </c>
      <c r="OR35" s="583">
        <f t="shared" si="1130"/>
        <v>92.857142857142861</v>
      </c>
      <c r="OS35" s="583">
        <f t="shared" si="1130"/>
        <v>92.857142857142861</v>
      </c>
      <c r="OT35" s="583">
        <f t="shared" si="1130"/>
        <v>91.071428571428569</v>
      </c>
      <c r="OU35" s="583">
        <f t="shared" si="1130"/>
        <v>92.857142857142861</v>
      </c>
      <c r="OV35" s="581">
        <f t="shared" si="1130"/>
        <v>0</v>
      </c>
      <c r="OW35" s="582">
        <f>SUM(OX35:PD35)</f>
        <v>512.5</v>
      </c>
      <c r="OX35" s="594">
        <f t="shared" ref="OX35:PD36" si="1131">OX15/14</f>
        <v>28.571428571428573</v>
      </c>
      <c r="OY35" s="583">
        <f t="shared" si="1131"/>
        <v>96.428571428571431</v>
      </c>
      <c r="OZ35" s="583">
        <f t="shared" si="1131"/>
        <v>98.214285714285708</v>
      </c>
      <c r="PA35" s="583">
        <f t="shared" si="1131"/>
        <v>98.214285714285708</v>
      </c>
      <c r="PB35" s="583">
        <f t="shared" si="1131"/>
        <v>98.214285714285708</v>
      </c>
      <c r="PC35" s="583">
        <f t="shared" si="1131"/>
        <v>92.857142857142861</v>
      </c>
      <c r="PD35" s="581">
        <f t="shared" si="1131"/>
        <v>0</v>
      </c>
      <c r="PE35" s="582">
        <f>SUM(PF35:PL35)</f>
        <v>460.71428571428578</v>
      </c>
      <c r="PF35" s="594">
        <f t="shared" ref="PF35:PL36" si="1132">PF15/14</f>
        <v>28.571428571428573</v>
      </c>
      <c r="PG35" s="583">
        <f t="shared" si="1132"/>
        <v>89.285714285714292</v>
      </c>
      <c r="PH35" s="583">
        <f t="shared" si="1132"/>
        <v>89.285714285714292</v>
      </c>
      <c r="PI35" s="583">
        <f t="shared" si="1132"/>
        <v>85.714285714285708</v>
      </c>
      <c r="PJ35" s="583">
        <f t="shared" si="1132"/>
        <v>85.714285714285708</v>
      </c>
      <c r="PK35" s="583">
        <f t="shared" si="1132"/>
        <v>82.142857142857139</v>
      </c>
      <c r="PL35" s="581">
        <f t="shared" si="1132"/>
        <v>0</v>
      </c>
    </row>
    <row r="36" spans="1:428" s="44" customFormat="1" ht="15" thickBot="1" x14ac:dyDescent="0.35">
      <c r="A36"/>
      <c r="B36" s="1002"/>
      <c r="C36" s="1003"/>
      <c r="D36" s="275" t="s">
        <v>315</v>
      </c>
      <c r="E36" s="587">
        <f t="shared" si="1068"/>
        <v>375.00000000000006</v>
      </c>
      <c r="F36" s="595">
        <f t="shared" si="1069"/>
        <v>50</v>
      </c>
      <c r="G36" s="586">
        <f t="shared" si="1069"/>
        <v>71.428571428571431</v>
      </c>
      <c r="H36" s="586">
        <f t="shared" si="1069"/>
        <v>71.428571428571431</v>
      </c>
      <c r="I36" s="586">
        <f t="shared" si="1069"/>
        <v>64.285714285714292</v>
      </c>
      <c r="J36" s="586">
        <f t="shared" si="1069"/>
        <v>60.714285714285715</v>
      </c>
      <c r="K36" s="586">
        <f t="shared" si="1069"/>
        <v>57.142857142857146</v>
      </c>
      <c r="L36" s="585">
        <f t="shared" si="1069"/>
        <v>0</v>
      </c>
      <c r="M36" s="587">
        <f t="shared" si="1070"/>
        <v>382.14285714285717</v>
      </c>
      <c r="N36" s="595">
        <f t="shared" si="1071"/>
        <v>57.142857142857146</v>
      </c>
      <c r="O36" s="586">
        <f t="shared" si="1071"/>
        <v>71.428571428571431</v>
      </c>
      <c r="P36" s="586">
        <f t="shared" si="1071"/>
        <v>64.285714285714292</v>
      </c>
      <c r="Q36" s="586">
        <f t="shared" si="1071"/>
        <v>64.285714285714292</v>
      </c>
      <c r="R36" s="586">
        <f t="shared" si="1071"/>
        <v>60.714285714285715</v>
      </c>
      <c r="S36" s="586">
        <f t="shared" si="1071"/>
        <v>64.285714285714292</v>
      </c>
      <c r="T36" s="585">
        <f t="shared" si="1071"/>
        <v>0</v>
      </c>
      <c r="U36" s="587">
        <f t="shared" si="1072"/>
        <v>396.4285714285715</v>
      </c>
      <c r="V36" s="595">
        <f>V16/14</f>
        <v>60.714285714285715</v>
      </c>
      <c r="W36" s="586">
        <f>W16/14</f>
        <v>67.857142857142861</v>
      </c>
      <c r="X36" s="586">
        <f>X16/14</f>
        <v>67.857142857142861</v>
      </c>
      <c r="Y36" s="586">
        <f t="shared" si="1073"/>
        <v>67.857142857142861</v>
      </c>
      <c r="Z36" s="586">
        <f t="shared" si="1073"/>
        <v>67.857142857142861</v>
      </c>
      <c r="AA36" s="586">
        <f t="shared" si="1073"/>
        <v>64.285714285714292</v>
      </c>
      <c r="AB36" s="585">
        <f t="shared" si="1073"/>
        <v>0</v>
      </c>
      <c r="AC36" s="587">
        <f t="shared" si="1074"/>
        <v>414.28571428571433</v>
      </c>
      <c r="AD36" s="595">
        <f t="shared" si="1075"/>
        <v>64.285714285714292</v>
      </c>
      <c r="AE36" s="586">
        <f t="shared" si="1075"/>
        <v>71.428571428571431</v>
      </c>
      <c r="AF36" s="586">
        <f t="shared" si="1075"/>
        <v>71.428571428571431</v>
      </c>
      <c r="AG36" s="586">
        <f t="shared" si="1075"/>
        <v>71.428571428571431</v>
      </c>
      <c r="AH36" s="586">
        <f t="shared" si="1075"/>
        <v>71.428571428571431</v>
      </c>
      <c r="AI36" s="586">
        <f t="shared" si="1075"/>
        <v>64.285714285714292</v>
      </c>
      <c r="AJ36" s="585">
        <f t="shared" si="1075"/>
        <v>0</v>
      </c>
      <c r="AK36" s="587">
        <f t="shared" si="1076"/>
        <v>425</v>
      </c>
      <c r="AL36" s="595">
        <f t="shared" si="1077"/>
        <v>64.285714285714292</v>
      </c>
      <c r="AM36" s="586">
        <f t="shared" si="1077"/>
        <v>71.428571428571431</v>
      </c>
      <c r="AN36" s="586">
        <f t="shared" si="1077"/>
        <v>75</v>
      </c>
      <c r="AO36" s="586">
        <f t="shared" si="1077"/>
        <v>75</v>
      </c>
      <c r="AP36" s="586">
        <f t="shared" si="1077"/>
        <v>71.428571428571431</v>
      </c>
      <c r="AQ36" s="586">
        <f t="shared" si="1077"/>
        <v>67.857142857142861</v>
      </c>
      <c r="AR36" s="585">
        <f t="shared" si="1077"/>
        <v>0</v>
      </c>
      <c r="AS36" s="740">
        <f t="shared" si="1078"/>
        <v>425</v>
      </c>
      <c r="AT36" s="595">
        <f t="shared" si="1079"/>
        <v>67.857142857142861</v>
      </c>
      <c r="AU36" s="586">
        <f t="shared" si="1079"/>
        <v>71.428571428571431</v>
      </c>
      <c r="AV36" s="586">
        <f t="shared" si="1079"/>
        <v>75</v>
      </c>
      <c r="AW36" s="586">
        <f t="shared" si="1079"/>
        <v>71.428571428571431</v>
      </c>
      <c r="AX36" s="586">
        <f t="shared" si="1079"/>
        <v>71.428571428571431</v>
      </c>
      <c r="AY36" s="586">
        <f t="shared" si="1079"/>
        <v>67.857142857142861</v>
      </c>
      <c r="AZ36" s="585">
        <f t="shared" si="1079"/>
        <v>0</v>
      </c>
      <c r="BA36" s="740">
        <f t="shared" si="1080"/>
        <v>410.71428571428572</v>
      </c>
      <c r="BB36" s="595">
        <f t="shared" si="1081"/>
        <v>64.285714285714292</v>
      </c>
      <c r="BC36" s="586">
        <f t="shared" si="1081"/>
        <v>71.428571428571431</v>
      </c>
      <c r="BD36" s="586">
        <f t="shared" si="1081"/>
        <v>71.428571428571431</v>
      </c>
      <c r="BE36" s="586">
        <f t="shared" si="1081"/>
        <v>67.857142857142861</v>
      </c>
      <c r="BF36" s="586">
        <f t="shared" si="1081"/>
        <v>71.428571428571431</v>
      </c>
      <c r="BG36" s="586">
        <f t="shared" si="1081"/>
        <v>64.285714285714292</v>
      </c>
      <c r="BH36" s="585">
        <f t="shared" si="1081"/>
        <v>0</v>
      </c>
      <c r="BI36" s="587">
        <f t="shared" si="1082"/>
        <v>407.14285714285722</v>
      </c>
      <c r="BJ36" s="595">
        <f t="shared" si="1083"/>
        <v>64.285714285714292</v>
      </c>
      <c r="BK36" s="586">
        <f t="shared" si="1083"/>
        <v>67.857142857142861</v>
      </c>
      <c r="BL36" s="586">
        <f t="shared" si="1083"/>
        <v>67.857142857142861</v>
      </c>
      <c r="BM36" s="586">
        <f t="shared" si="1083"/>
        <v>67.857142857142861</v>
      </c>
      <c r="BN36" s="586">
        <f t="shared" si="1083"/>
        <v>71.428571428571431</v>
      </c>
      <c r="BO36" s="586">
        <f t="shared" si="1083"/>
        <v>67.857142857142861</v>
      </c>
      <c r="BP36" s="585">
        <f t="shared" si="1083"/>
        <v>0</v>
      </c>
      <c r="BQ36" s="587">
        <f t="shared" si="1084"/>
        <v>425.00000000000006</v>
      </c>
      <c r="BR36" s="595">
        <f t="shared" si="1085"/>
        <v>67.857142857142861</v>
      </c>
      <c r="BS36" s="586">
        <f t="shared" si="1085"/>
        <v>71.428571428571431</v>
      </c>
      <c r="BT36" s="586">
        <f t="shared" si="1085"/>
        <v>71.428571428571431</v>
      </c>
      <c r="BU36" s="586">
        <f t="shared" si="1085"/>
        <v>71.428571428571431</v>
      </c>
      <c r="BV36" s="586">
        <f t="shared" si="1085"/>
        <v>71.428571428571431</v>
      </c>
      <c r="BW36" s="586">
        <f t="shared" si="1085"/>
        <v>71.428571428571431</v>
      </c>
      <c r="BX36" s="585">
        <f t="shared" si="1085"/>
        <v>0</v>
      </c>
      <c r="BY36" s="587">
        <f t="shared" si="1086"/>
        <v>403.57142857142856</v>
      </c>
      <c r="BZ36" s="595">
        <f t="shared" si="1087"/>
        <v>60.714285714285715</v>
      </c>
      <c r="CA36" s="586">
        <f t="shared" si="1087"/>
        <v>67.857142857142861</v>
      </c>
      <c r="CB36" s="586">
        <f t="shared" si="1087"/>
        <v>67.857142857142861</v>
      </c>
      <c r="CC36" s="586">
        <f t="shared" si="1087"/>
        <v>64.285714285714292</v>
      </c>
      <c r="CD36" s="586">
        <f t="shared" si="1087"/>
        <v>75</v>
      </c>
      <c r="CE36" s="586">
        <f t="shared" si="1087"/>
        <v>67.857142857142861</v>
      </c>
      <c r="CF36" s="585">
        <f t="shared" si="1087"/>
        <v>0</v>
      </c>
      <c r="CG36" s="587">
        <f t="shared" si="1088"/>
        <v>389.28571428571428</v>
      </c>
      <c r="CH36" s="595">
        <f t="shared" si="1089"/>
        <v>57.142857142857146</v>
      </c>
      <c r="CI36" s="586">
        <f t="shared" si="1089"/>
        <v>71.428571428571431</v>
      </c>
      <c r="CJ36" s="586">
        <f t="shared" si="1089"/>
        <v>67.857142857142861</v>
      </c>
      <c r="CK36" s="586">
        <f t="shared" si="1089"/>
        <v>60.714285714285715</v>
      </c>
      <c r="CL36" s="586">
        <f t="shared" si="1089"/>
        <v>67.857142857142861</v>
      </c>
      <c r="CM36" s="586">
        <f t="shared" si="1089"/>
        <v>64.285714285714292</v>
      </c>
      <c r="CN36" s="585">
        <f t="shared" si="1089"/>
        <v>0</v>
      </c>
      <c r="CO36" s="587">
        <f t="shared" si="1090"/>
        <v>410.71428571428572</v>
      </c>
      <c r="CP36" s="595">
        <f t="shared" si="1091"/>
        <v>64.285714285714292</v>
      </c>
      <c r="CQ36" s="586">
        <f t="shared" si="1091"/>
        <v>71.428571428571431</v>
      </c>
      <c r="CR36" s="586">
        <f t="shared" si="1091"/>
        <v>67.857142857142861</v>
      </c>
      <c r="CS36" s="586">
        <f t="shared" si="1091"/>
        <v>64.285714285714292</v>
      </c>
      <c r="CT36" s="586">
        <f t="shared" si="1091"/>
        <v>78.571428571428569</v>
      </c>
      <c r="CU36" s="586">
        <f t="shared" si="1091"/>
        <v>64.285714285714292</v>
      </c>
      <c r="CV36" s="585">
        <f t="shared" si="1091"/>
        <v>0</v>
      </c>
      <c r="CW36" s="587">
        <f>SUM(CX36:DD36)</f>
        <v>414.28571428571428</v>
      </c>
      <c r="CX36" s="595">
        <f t="shared" si="1092"/>
        <v>64.285714285714292</v>
      </c>
      <c r="CY36" s="586">
        <f t="shared" si="1092"/>
        <v>71.428571428571431</v>
      </c>
      <c r="CZ36" s="586">
        <f t="shared" si="1092"/>
        <v>71.428571428571431</v>
      </c>
      <c r="DA36" s="586">
        <f t="shared" si="1092"/>
        <v>67.857142857142861</v>
      </c>
      <c r="DB36" s="586">
        <f t="shared" si="1092"/>
        <v>78.571428571428569</v>
      </c>
      <c r="DC36" s="586">
        <f t="shared" si="1092"/>
        <v>60.714285714285715</v>
      </c>
      <c r="DD36" s="585">
        <f t="shared" si="1092"/>
        <v>0</v>
      </c>
      <c r="DE36" s="587">
        <f>SUM(DF36:DL36)</f>
        <v>414.28571428571433</v>
      </c>
      <c r="DF36" s="595">
        <f t="shared" si="1093"/>
        <v>64.285714285714292</v>
      </c>
      <c r="DG36" s="586">
        <f t="shared" si="1093"/>
        <v>71.428571428571431</v>
      </c>
      <c r="DH36" s="586">
        <f t="shared" si="1093"/>
        <v>71.428571428571431</v>
      </c>
      <c r="DI36" s="586">
        <f t="shared" si="1093"/>
        <v>71.428571428571431</v>
      </c>
      <c r="DJ36" s="586">
        <f t="shared" si="1093"/>
        <v>75</v>
      </c>
      <c r="DK36" s="586">
        <f t="shared" si="1093"/>
        <v>60.714285714285715</v>
      </c>
      <c r="DL36" s="585">
        <f t="shared" si="1093"/>
        <v>0</v>
      </c>
      <c r="DM36" s="587">
        <f>SUM(DN36:DT36)</f>
        <v>412.20238095238102</v>
      </c>
      <c r="DN36" s="595">
        <f t="shared" si="1094"/>
        <v>64.285714285714292</v>
      </c>
      <c r="DO36" s="586">
        <f t="shared" si="1094"/>
        <v>71.428571428571431</v>
      </c>
      <c r="DP36" s="586">
        <f t="shared" si="1094"/>
        <v>71.428571428571431</v>
      </c>
      <c r="DQ36" s="586">
        <f t="shared" si="1094"/>
        <v>71.428571428571431</v>
      </c>
      <c r="DR36" s="586">
        <f>DR16/14.4</f>
        <v>72.916666666666671</v>
      </c>
      <c r="DS36" s="586">
        <f>DS16/14</f>
        <v>60.714285714285715</v>
      </c>
      <c r="DT36" s="585">
        <f>DT16/14</f>
        <v>0</v>
      </c>
      <c r="DU36" s="587">
        <f>SUM(DV36:EB36)</f>
        <v>300</v>
      </c>
      <c r="DV36" s="595">
        <f t="shared" si="1095"/>
        <v>0</v>
      </c>
      <c r="DW36" s="586">
        <f t="shared" si="1095"/>
        <v>28.571428571428573</v>
      </c>
      <c r="DX36" s="586">
        <f t="shared" si="1095"/>
        <v>75</v>
      </c>
      <c r="DY36" s="586">
        <f t="shared" si="1095"/>
        <v>64.285714285714292</v>
      </c>
      <c r="DZ36" s="586">
        <f t="shared" si="1095"/>
        <v>71.428571428571431</v>
      </c>
      <c r="EA36" s="586">
        <f t="shared" si="1095"/>
        <v>60.714285714285715</v>
      </c>
      <c r="EB36" s="585">
        <f t="shared" si="1095"/>
        <v>0</v>
      </c>
      <c r="EC36" s="587">
        <f>SUM(ED36:EJ36)</f>
        <v>383.68055555555554</v>
      </c>
      <c r="ED36" s="595">
        <f t="shared" si="1096"/>
        <v>62.5</v>
      </c>
      <c r="EE36" s="586">
        <f t="shared" si="1096"/>
        <v>62.5</v>
      </c>
      <c r="EF36" s="586">
        <f t="shared" si="1096"/>
        <v>62.5</v>
      </c>
      <c r="EG36" s="586">
        <f t="shared" si="1096"/>
        <v>62.5</v>
      </c>
      <c r="EH36" s="586">
        <f t="shared" si="1096"/>
        <v>71.180555555555557</v>
      </c>
      <c r="EI36" s="586">
        <f t="shared" si="1096"/>
        <v>62.5</v>
      </c>
      <c r="EJ36" s="585">
        <f t="shared" si="1096"/>
        <v>0</v>
      </c>
      <c r="EK36" s="587">
        <f>SUM(EL36:ER36)</f>
        <v>406.25</v>
      </c>
      <c r="EL36" s="595">
        <f t="shared" si="1097"/>
        <v>65.972222222222214</v>
      </c>
      <c r="EM36" s="586">
        <f t="shared" si="1097"/>
        <v>69.444444444444443</v>
      </c>
      <c r="EN36" s="586">
        <f t="shared" si="1097"/>
        <v>65.972222222222214</v>
      </c>
      <c r="EO36" s="586">
        <f t="shared" si="1097"/>
        <v>62.5</v>
      </c>
      <c r="EP36" s="586">
        <f t="shared" si="1097"/>
        <v>72.916666666666671</v>
      </c>
      <c r="EQ36" s="586">
        <f t="shared" si="1097"/>
        <v>69.444444444444443</v>
      </c>
      <c r="ER36" s="585">
        <f t="shared" si="1097"/>
        <v>0</v>
      </c>
      <c r="ES36" s="587">
        <f>SUM(ET36:EZ36)</f>
        <v>425</v>
      </c>
      <c r="ET36" s="595">
        <f t="shared" si="1098"/>
        <v>67.857142857142861</v>
      </c>
      <c r="EU36" s="586">
        <f t="shared" si="1098"/>
        <v>71.428571428571431</v>
      </c>
      <c r="EV36" s="586">
        <f t="shared" si="1098"/>
        <v>71.428571428571431</v>
      </c>
      <c r="EW36" s="586">
        <f t="shared" si="1098"/>
        <v>71.428571428571431</v>
      </c>
      <c r="EX36" s="586">
        <f t="shared" si="1098"/>
        <v>75</v>
      </c>
      <c r="EY36" s="586">
        <f t="shared" si="1098"/>
        <v>67.857142857142861</v>
      </c>
      <c r="EZ36" s="585">
        <f t="shared" si="1098"/>
        <v>0</v>
      </c>
      <c r="FA36" s="587">
        <f>SUM(FB36:FH36)</f>
        <v>425</v>
      </c>
      <c r="FB36" s="595">
        <f t="shared" si="1099"/>
        <v>67.857142857142861</v>
      </c>
      <c r="FC36" s="586">
        <f t="shared" si="1099"/>
        <v>71.428571428571431</v>
      </c>
      <c r="FD36" s="586">
        <f t="shared" si="1099"/>
        <v>71.428571428571431</v>
      </c>
      <c r="FE36" s="586">
        <f t="shared" si="1099"/>
        <v>71.428571428571431</v>
      </c>
      <c r="FF36" s="586">
        <f t="shared" si="1099"/>
        <v>75</v>
      </c>
      <c r="FG36" s="586">
        <f t="shared" si="1099"/>
        <v>67.857142857142861</v>
      </c>
      <c r="FH36" s="585">
        <f t="shared" si="1099"/>
        <v>0</v>
      </c>
      <c r="FI36" s="740">
        <f>SUM(FJ36:FP36)</f>
        <v>353.57142857142861</v>
      </c>
      <c r="FJ36" s="595">
        <f t="shared" si="1100"/>
        <v>64.285714285714292</v>
      </c>
      <c r="FK36" s="586">
        <f t="shared" si="1100"/>
        <v>71.428571428571431</v>
      </c>
      <c r="FL36" s="586">
        <f t="shared" si="1100"/>
        <v>71.428571428571431</v>
      </c>
      <c r="FM36" s="586">
        <f t="shared" si="1100"/>
        <v>0</v>
      </c>
      <c r="FN36" s="586">
        <f t="shared" si="1100"/>
        <v>71.428571428571431</v>
      </c>
      <c r="FO36" s="586">
        <f t="shared" si="1100"/>
        <v>75</v>
      </c>
      <c r="FP36" s="585">
        <f t="shared" si="1100"/>
        <v>0</v>
      </c>
      <c r="FQ36" s="750">
        <f>SUM(FR36:FX36)</f>
        <v>416.07142857142861</v>
      </c>
      <c r="FR36" s="595">
        <f t="shared" si="1101"/>
        <v>64.285714285714292</v>
      </c>
      <c r="FS36" s="586">
        <f t="shared" si="1101"/>
        <v>71.428571428571431</v>
      </c>
      <c r="FT36" s="586">
        <f t="shared" si="1101"/>
        <v>71.428571428571431</v>
      </c>
      <c r="FU36" s="586">
        <f t="shared" si="1101"/>
        <v>71.428571428571431</v>
      </c>
      <c r="FV36" s="586">
        <f t="shared" si="1101"/>
        <v>73.214285714285708</v>
      </c>
      <c r="FW36" s="586">
        <f t="shared" si="1101"/>
        <v>64.285714285714292</v>
      </c>
      <c r="FX36" s="585">
        <f t="shared" si="1101"/>
        <v>0</v>
      </c>
      <c r="FY36" s="587">
        <f>SUM(FZ36:GF36)</f>
        <v>335.71428571428572</v>
      </c>
      <c r="FZ36" s="595">
        <f t="shared" si="1102"/>
        <v>0</v>
      </c>
      <c r="GA36" s="586">
        <f t="shared" si="1102"/>
        <v>57.142857142857146</v>
      </c>
      <c r="GB36" s="586">
        <f t="shared" si="1102"/>
        <v>75</v>
      </c>
      <c r="GC36" s="586">
        <f t="shared" si="1102"/>
        <v>67.857142857142861</v>
      </c>
      <c r="GD36" s="586">
        <f t="shared" si="1102"/>
        <v>75</v>
      </c>
      <c r="GE36" s="586">
        <f t="shared" si="1102"/>
        <v>60.714285714285715</v>
      </c>
      <c r="GF36" s="585">
        <f t="shared" si="1102"/>
        <v>0</v>
      </c>
      <c r="GG36" s="587">
        <f>SUM(GH36:GN36)</f>
        <v>407.14285714285717</v>
      </c>
      <c r="GH36" s="595">
        <f t="shared" si="1103"/>
        <v>64.285714285714292</v>
      </c>
      <c r="GI36" s="586">
        <f t="shared" si="1103"/>
        <v>67.857142857142861</v>
      </c>
      <c r="GJ36" s="586">
        <f t="shared" si="1103"/>
        <v>67.857142857142861</v>
      </c>
      <c r="GK36" s="586">
        <f t="shared" si="1103"/>
        <v>67.857142857142861</v>
      </c>
      <c r="GL36" s="586">
        <f t="shared" si="1103"/>
        <v>75</v>
      </c>
      <c r="GM36" s="586">
        <f t="shared" si="1103"/>
        <v>64.285714285714292</v>
      </c>
      <c r="GN36" s="585">
        <f t="shared" si="1103"/>
        <v>0</v>
      </c>
      <c r="GO36" s="587">
        <f>SUM(GP36:GV36)</f>
        <v>417.85714285714289</v>
      </c>
      <c r="GP36" s="595">
        <f t="shared" si="1104"/>
        <v>64.285714285714292</v>
      </c>
      <c r="GQ36" s="586">
        <f t="shared" si="1104"/>
        <v>71.428571428571431</v>
      </c>
      <c r="GR36" s="586">
        <f t="shared" si="1104"/>
        <v>71.428571428571431</v>
      </c>
      <c r="GS36" s="586">
        <f t="shared" si="1104"/>
        <v>69.642857142857139</v>
      </c>
      <c r="GT36" s="586">
        <f t="shared" si="1104"/>
        <v>75</v>
      </c>
      <c r="GU36" s="586">
        <f t="shared" si="1104"/>
        <v>66.071428571428569</v>
      </c>
      <c r="GV36" s="585">
        <f t="shared" si="1104"/>
        <v>0</v>
      </c>
      <c r="GW36" s="587">
        <f>SUM(GX36:HD36)</f>
        <v>410.71428571428572</v>
      </c>
      <c r="GX36" s="595">
        <f t="shared" si="1105"/>
        <v>67.857142857142861</v>
      </c>
      <c r="GY36" s="586">
        <f t="shared" si="1105"/>
        <v>71.428571428571431</v>
      </c>
      <c r="GZ36" s="586">
        <f t="shared" si="1105"/>
        <v>71.428571428571431</v>
      </c>
      <c r="HA36" s="586">
        <f t="shared" si="1105"/>
        <v>67.857142857142861</v>
      </c>
      <c r="HB36" s="586">
        <f t="shared" si="1105"/>
        <v>71.428571428571431</v>
      </c>
      <c r="HC36" s="586">
        <f t="shared" si="1105"/>
        <v>60.714285714285715</v>
      </c>
      <c r="HD36" s="585">
        <f t="shared" si="1105"/>
        <v>0</v>
      </c>
      <c r="HE36" s="587">
        <f>SUM(HF36:HL36)</f>
        <v>380.35714285714289</v>
      </c>
      <c r="HF36" s="595">
        <f t="shared" si="1106"/>
        <v>64.285714285714292</v>
      </c>
      <c r="HG36" s="586">
        <f t="shared" si="1106"/>
        <v>67.857142857142861</v>
      </c>
      <c r="HH36" s="586">
        <f t="shared" si="1106"/>
        <v>66.071428571428569</v>
      </c>
      <c r="HI36" s="586">
        <f t="shared" si="1106"/>
        <v>60.714285714285715</v>
      </c>
      <c r="HJ36" s="586">
        <f t="shared" si="1106"/>
        <v>67.857142857142861</v>
      </c>
      <c r="HK36" s="586">
        <f t="shared" si="1106"/>
        <v>53.571428571428569</v>
      </c>
      <c r="HL36" s="585">
        <f t="shared" si="1106"/>
        <v>0</v>
      </c>
      <c r="HM36" s="587">
        <f>SUM(HN36:HT36)</f>
        <v>355.35714285714283</v>
      </c>
      <c r="HN36" s="595">
        <f t="shared" si="1107"/>
        <v>60.714285714285715</v>
      </c>
      <c r="HO36" s="586">
        <f t="shared" si="1107"/>
        <v>60.714285714285715</v>
      </c>
      <c r="HP36" s="586">
        <f t="shared" si="1107"/>
        <v>60.714285714285715</v>
      </c>
      <c r="HQ36" s="586">
        <f t="shared" si="1107"/>
        <v>58.928571428571431</v>
      </c>
      <c r="HR36" s="586">
        <f t="shared" si="1107"/>
        <v>64.285714285714292</v>
      </c>
      <c r="HS36" s="586">
        <f t="shared" si="1107"/>
        <v>50</v>
      </c>
      <c r="HT36" s="585">
        <f t="shared" si="1107"/>
        <v>0</v>
      </c>
      <c r="HU36" s="587">
        <f>SUM(HV36:IB36)</f>
        <v>303.57142857142861</v>
      </c>
      <c r="HV36" s="595">
        <f t="shared" si="1108"/>
        <v>57.142857142857146</v>
      </c>
      <c r="HW36" s="586">
        <f t="shared" si="1108"/>
        <v>64.285714285714292</v>
      </c>
      <c r="HX36" s="586">
        <f t="shared" si="1108"/>
        <v>60.714285714285715</v>
      </c>
      <c r="HY36" s="586">
        <f t="shared" si="1108"/>
        <v>0</v>
      </c>
      <c r="HZ36" s="586">
        <f t="shared" si="1108"/>
        <v>71.428571428571431</v>
      </c>
      <c r="IA36" s="586">
        <f t="shared" si="1108"/>
        <v>50</v>
      </c>
      <c r="IB36" s="585">
        <f t="shared" si="1108"/>
        <v>0</v>
      </c>
      <c r="IC36" s="587">
        <f>SUM(ID36:IJ36)</f>
        <v>351.78571428571428</v>
      </c>
      <c r="ID36" s="595">
        <f t="shared" si="1109"/>
        <v>57.142857142857146</v>
      </c>
      <c r="IE36" s="586">
        <f t="shared" si="1109"/>
        <v>62.5</v>
      </c>
      <c r="IF36" s="586">
        <f t="shared" si="1109"/>
        <v>64.285714285714292</v>
      </c>
      <c r="IG36" s="586">
        <f t="shared" si="1109"/>
        <v>57.142857142857146</v>
      </c>
      <c r="IH36" s="586">
        <f t="shared" si="1109"/>
        <v>60.714285714285715</v>
      </c>
      <c r="II36" s="586">
        <f t="shared" si="1109"/>
        <v>50</v>
      </c>
      <c r="IJ36" s="585">
        <f t="shared" si="1109"/>
        <v>0</v>
      </c>
      <c r="IK36" s="587">
        <f>SUM(IL36:IR36)</f>
        <v>350</v>
      </c>
      <c r="IL36" s="595">
        <f t="shared" si="1110"/>
        <v>57.142857142857146</v>
      </c>
      <c r="IM36" s="586">
        <f t="shared" si="1110"/>
        <v>64.285714285714292</v>
      </c>
      <c r="IN36" s="586">
        <f t="shared" si="1110"/>
        <v>64.285714285714292</v>
      </c>
      <c r="IO36" s="586">
        <f t="shared" si="1110"/>
        <v>57.142857142857146</v>
      </c>
      <c r="IP36" s="586">
        <f t="shared" si="1110"/>
        <v>60.714285714285715</v>
      </c>
      <c r="IQ36" s="586">
        <f t="shared" si="1110"/>
        <v>46.428571428571431</v>
      </c>
      <c r="IR36" s="585">
        <f t="shared" si="1110"/>
        <v>0</v>
      </c>
      <c r="IS36" s="587">
        <f>SUM(IT36:IZ36)</f>
        <v>351.78571428571433</v>
      </c>
      <c r="IT36" s="595">
        <f t="shared" si="1111"/>
        <v>57.142857142857146</v>
      </c>
      <c r="IU36" s="586">
        <f t="shared" si="1111"/>
        <v>60.714285714285715</v>
      </c>
      <c r="IV36" s="586">
        <f t="shared" si="1111"/>
        <v>60.714285714285715</v>
      </c>
      <c r="IW36" s="586">
        <f t="shared" si="1111"/>
        <v>60.714285714285715</v>
      </c>
      <c r="IX36" s="586">
        <f t="shared" si="1111"/>
        <v>62.5</v>
      </c>
      <c r="IY36" s="586">
        <f t="shared" si="1111"/>
        <v>50</v>
      </c>
      <c r="IZ36" s="585">
        <f t="shared" si="1111"/>
        <v>0</v>
      </c>
      <c r="JA36" s="587">
        <f>SUM(JB36:JH36)</f>
        <v>298.21428571428572</v>
      </c>
      <c r="JB36" s="595">
        <f t="shared" si="1112"/>
        <v>0</v>
      </c>
      <c r="JC36" s="586">
        <f t="shared" si="1112"/>
        <v>57.142857142857146</v>
      </c>
      <c r="JD36" s="586">
        <f t="shared" si="1112"/>
        <v>64.285714285714292</v>
      </c>
      <c r="JE36" s="586">
        <f t="shared" si="1112"/>
        <v>62.5</v>
      </c>
      <c r="JF36" s="586">
        <f t="shared" si="1112"/>
        <v>64.285714285714292</v>
      </c>
      <c r="JG36" s="586">
        <f t="shared" si="1112"/>
        <v>50</v>
      </c>
      <c r="JH36" s="585">
        <f t="shared" si="1112"/>
        <v>0</v>
      </c>
      <c r="JI36" s="587">
        <f>SUM(JJ36:JP36)</f>
        <v>385.71428571428578</v>
      </c>
      <c r="JJ36" s="595">
        <f t="shared" si="1113"/>
        <v>64.285714285714292</v>
      </c>
      <c r="JK36" s="586">
        <f t="shared" si="1113"/>
        <v>64.285714285714292</v>
      </c>
      <c r="JL36" s="586">
        <f t="shared" si="1113"/>
        <v>64.285714285714292</v>
      </c>
      <c r="JM36" s="586">
        <f t="shared" si="1113"/>
        <v>64.285714285714292</v>
      </c>
      <c r="JN36" s="586">
        <f t="shared" si="1113"/>
        <v>71.428571428571431</v>
      </c>
      <c r="JO36" s="586">
        <f t="shared" si="1113"/>
        <v>57.142857142857146</v>
      </c>
      <c r="JP36" s="585">
        <f t="shared" si="1113"/>
        <v>0</v>
      </c>
      <c r="JQ36" s="587">
        <f>SUM(JR36:JX36)</f>
        <v>414.28571428571428</v>
      </c>
      <c r="JR36" s="595">
        <f t="shared" si="1114"/>
        <v>67.857142857142861</v>
      </c>
      <c r="JS36" s="586">
        <f t="shared" si="1114"/>
        <v>71.428571428571431</v>
      </c>
      <c r="JT36" s="586">
        <f t="shared" si="1114"/>
        <v>71.428571428571431</v>
      </c>
      <c r="JU36" s="586">
        <f t="shared" si="1114"/>
        <v>67.857142857142861</v>
      </c>
      <c r="JV36" s="586">
        <f t="shared" si="1114"/>
        <v>71.428571428571431</v>
      </c>
      <c r="JW36" s="586">
        <f t="shared" si="1114"/>
        <v>64.285714285714292</v>
      </c>
      <c r="JX36" s="585">
        <f t="shared" si="1114"/>
        <v>0</v>
      </c>
      <c r="JY36" s="587">
        <f>SUM(JZ36:KF36)</f>
        <v>410.71428571428572</v>
      </c>
      <c r="JZ36" s="595">
        <f t="shared" si="1115"/>
        <v>67.857142857142861</v>
      </c>
      <c r="KA36" s="586">
        <f t="shared" si="1115"/>
        <v>75</v>
      </c>
      <c r="KB36" s="586">
        <f t="shared" si="1115"/>
        <v>67.857142857142861</v>
      </c>
      <c r="KC36" s="586">
        <f t="shared" si="1115"/>
        <v>71.428571428571431</v>
      </c>
      <c r="KD36" s="586">
        <f t="shared" si="1115"/>
        <v>67.857142857142861</v>
      </c>
      <c r="KE36" s="586">
        <f t="shared" si="1115"/>
        <v>60.714285714285715</v>
      </c>
      <c r="KF36" s="585">
        <f t="shared" si="1115"/>
        <v>0</v>
      </c>
      <c r="KG36" s="587">
        <f>SUM(KH36:KN36)</f>
        <v>403.57142857142861</v>
      </c>
      <c r="KH36" s="595">
        <f t="shared" si="1116"/>
        <v>67.857142857142861</v>
      </c>
      <c r="KI36" s="586">
        <f t="shared" si="1116"/>
        <v>67.857142857142861</v>
      </c>
      <c r="KJ36" s="586">
        <f t="shared" si="1116"/>
        <v>67.857142857142861</v>
      </c>
      <c r="KK36" s="586">
        <f t="shared" si="1116"/>
        <v>67.857142857142861</v>
      </c>
      <c r="KL36" s="586">
        <f t="shared" si="1116"/>
        <v>71.428571428571431</v>
      </c>
      <c r="KM36" s="586">
        <f t="shared" si="1116"/>
        <v>60.714285714285715</v>
      </c>
      <c r="KN36" s="585">
        <f t="shared" si="1116"/>
        <v>0</v>
      </c>
      <c r="KO36" s="587">
        <f>SUM(KP36:KV36)</f>
        <v>378.57142857142861</v>
      </c>
      <c r="KP36" s="595">
        <f t="shared" si="1117"/>
        <v>67.857142857142861</v>
      </c>
      <c r="KQ36" s="586">
        <f t="shared" si="1117"/>
        <v>57.142857142857146</v>
      </c>
      <c r="KR36" s="586">
        <f t="shared" si="1117"/>
        <v>60.714285714285715</v>
      </c>
      <c r="KS36" s="586">
        <f t="shared" si="1117"/>
        <v>64.285714285714292</v>
      </c>
      <c r="KT36" s="586">
        <f t="shared" si="1117"/>
        <v>67.857142857142861</v>
      </c>
      <c r="KU36" s="586">
        <f t="shared" si="1117"/>
        <v>60.714285714285715</v>
      </c>
      <c r="KV36" s="585">
        <f t="shared" si="1117"/>
        <v>0</v>
      </c>
      <c r="KW36" s="587">
        <f>SUM(KX36:LD36)</f>
        <v>400.00000000000006</v>
      </c>
      <c r="KX36" s="595">
        <f t="shared" si="1118"/>
        <v>67.857142857142861</v>
      </c>
      <c r="KY36" s="586">
        <f t="shared" si="1118"/>
        <v>67.857142857142861</v>
      </c>
      <c r="KZ36" s="586">
        <f t="shared" si="1118"/>
        <v>67.857142857142861</v>
      </c>
      <c r="LA36" s="586">
        <f t="shared" si="1118"/>
        <v>64.285714285714292</v>
      </c>
      <c r="LB36" s="586">
        <f t="shared" si="1118"/>
        <v>71.428571428571431</v>
      </c>
      <c r="LC36" s="586">
        <f t="shared" si="1118"/>
        <v>60.714285714285715</v>
      </c>
      <c r="LD36" s="585">
        <f t="shared" si="1118"/>
        <v>0</v>
      </c>
      <c r="LE36" s="587">
        <f>SUM(LF36:LL36)</f>
        <v>405.35714285714283</v>
      </c>
      <c r="LF36" s="595">
        <f t="shared" si="1119"/>
        <v>71.428571428571431</v>
      </c>
      <c r="LG36" s="586">
        <f t="shared" si="1119"/>
        <v>67.857142857142861</v>
      </c>
      <c r="LH36" s="586">
        <f t="shared" si="1119"/>
        <v>71.428571428571431</v>
      </c>
      <c r="LI36" s="586">
        <f t="shared" si="1119"/>
        <v>67.857142857142861</v>
      </c>
      <c r="LJ36" s="586">
        <f t="shared" si="1119"/>
        <v>69.642857142857139</v>
      </c>
      <c r="LK36" s="586">
        <f t="shared" si="1119"/>
        <v>57.142857142857146</v>
      </c>
      <c r="LL36" s="585">
        <f t="shared" si="1119"/>
        <v>0</v>
      </c>
      <c r="LM36" s="587">
        <f>SUM(LN36:LT36)</f>
        <v>417.85714285714295</v>
      </c>
      <c r="LN36" s="595">
        <f t="shared" si="1120"/>
        <v>75</v>
      </c>
      <c r="LO36" s="586">
        <f t="shared" si="1120"/>
        <v>71.428571428571431</v>
      </c>
      <c r="LP36" s="586">
        <f t="shared" si="1120"/>
        <v>71.428571428571431</v>
      </c>
      <c r="LQ36" s="586">
        <f t="shared" si="1120"/>
        <v>67.857142857142861</v>
      </c>
      <c r="LR36" s="586">
        <f t="shared" si="1120"/>
        <v>71.428571428571431</v>
      </c>
      <c r="LS36" s="586">
        <f t="shared" si="1120"/>
        <v>60.714285714285715</v>
      </c>
      <c r="LT36" s="585">
        <f t="shared" si="1120"/>
        <v>0</v>
      </c>
      <c r="LU36" s="587">
        <f>SUM(LV36:MB36)</f>
        <v>425.00000000000006</v>
      </c>
      <c r="LV36" s="595">
        <f t="shared" si="1121"/>
        <v>75</v>
      </c>
      <c r="LW36" s="586">
        <f t="shared" si="1121"/>
        <v>71.428571428571431</v>
      </c>
      <c r="LX36" s="586">
        <f t="shared" si="1121"/>
        <v>71.428571428571431</v>
      </c>
      <c r="LY36" s="586">
        <f t="shared" si="1121"/>
        <v>67.857142857142861</v>
      </c>
      <c r="LZ36" s="586">
        <f t="shared" si="1121"/>
        <v>75</v>
      </c>
      <c r="MA36" s="586">
        <f t="shared" si="1121"/>
        <v>64.285714285714292</v>
      </c>
      <c r="MB36" s="585">
        <f t="shared" si="1121"/>
        <v>0</v>
      </c>
      <c r="MC36" s="587">
        <f>SUM(MD36:MJ36)</f>
        <v>437.5</v>
      </c>
      <c r="MD36" s="595">
        <f t="shared" si="1122"/>
        <v>76.785714285714292</v>
      </c>
      <c r="ME36" s="586">
        <f t="shared" si="1122"/>
        <v>75</v>
      </c>
      <c r="MF36" s="586">
        <f t="shared" si="1122"/>
        <v>75</v>
      </c>
      <c r="MG36" s="586">
        <f t="shared" si="1122"/>
        <v>71.428571428571431</v>
      </c>
      <c r="MH36" s="586">
        <f t="shared" si="1122"/>
        <v>75</v>
      </c>
      <c r="MI36" s="586">
        <f t="shared" si="1122"/>
        <v>64.285714285714292</v>
      </c>
      <c r="MJ36" s="585">
        <f t="shared" si="1122"/>
        <v>0</v>
      </c>
      <c r="MK36" s="587">
        <f>SUM(ML36:MR36)</f>
        <v>367.85714285714289</v>
      </c>
      <c r="ML36" s="595">
        <f t="shared" si="1123"/>
        <v>75</v>
      </c>
      <c r="MM36" s="586">
        <f t="shared" si="1123"/>
        <v>0</v>
      </c>
      <c r="MN36" s="586">
        <f t="shared" si="1123"/>
        <v>78.571428571428569</v>
      </c>
      <c r="MO36" s="586">
        <f t="shared" si="1123"/>
        <v>71.428571428571431</v>
      </c>
      <c r="MP36" s="586">
        <f t="shared" si="1123"/>
        <v>75</v>
      </c>
      <c r="MQ36" s="586">
        <f t="shared" si="1123"/>
        <v>67.857142857142861</v>
      </c>
      <c r="MR36" s="585">
        <f t="shared" si="1123"/>
        <v>0</v>
      </c>
      <c r="MS36" s="587">
        <f>SUM(MT36:MZ36)</f>
        <v>364.28571428571422</v>
      </c>
      <c r="MT36" s="595">
        <f t="shared" si="1124"/>
        <v>78.571428571428569</v>
      </c>
      <c r="MU36" s="586">
        <f t="shared" si="1124"/>
        <v>75</v>
      </c>
      <c r="MV36" s="586">
        <f t="shared" si="1124"/>
        <v>78.571428571428569</v>
      </c>
      <c r="MW36" s="586">
        <f t="shared" si="1124"/>
        <v>78.571428571428569</v>
      </c>
      <c r="MX36" s="586">
        <f t="shared" si="1124"/>
        <v>0</v>
      </c>
      <c r="MY36" s="586">
        <f t="shared" si="1124"/>
        <v>53.571428571428569</v>
      </c>
      <c r="MZ36" s="585">
        <f t="shared" si="1124"/>
        <v>0</v>
      </c>
      <c r="NA36" s="587">
        <f>SUM(NB36:NH36)</f>
        <v>435.71428571428572</v>
      </c>
      <c r="NB36" s="595">
        <f t="shared" si="1125"/>
        <v>75</v>
      </c>
      <c r="NC36" s="586">
        <f t="shared" si="1125"/>
        <v>78.571428571428569</v>
      </c>
      <c r="ND36" s="586">
        <f t="shared" si="1125"/>
        <v>75</v>
      </c>
      <c r="NE36" s="586">
        <f t="shared" si="1125"/>
        <v>71.428571428571431</v>
      </c>
      <c r="NF36" s="586">
        <f t="shared" si="1125"/>
        <v>75</v>
      </c>
      <c r="NG36" s="586">
        <f t="shared" si="1125"/>
        <v>60.714285714285715</v>
      </c>
      <c r="NH36" s="585">
        <f t="shared" si="1125"/>
        <v>0</v>
      </c>
      <c r="NI36" s="587">
        <f>SUM(NJ36:NP36)</f>
        <v>469.64285714285717</v>
      </c>
      <c r="NJ36" s="595">
        <f t="shared" si="1126"/>
        <v>75</v>
      </c>
      <c r="NK36" s="586">
        <f t="shared" si="1126"/>
        <v>80.357142857142861</v>
      </c>
      <c r="NL36" s="586">
        <f t="shared" si="1126"/>
        <v>80.357142857142861</v>
      </c>
      <c r="NM36" s="586">
        <f t="shared" si="1126"/>
        <v>80.357142857142861</v>
      </c>
      <c r="NN36" s="586">
        <f t="shared" si="1126"/>
        <v>80.357142857142861</v>
      </c>
      <c r="NO36" s="586">
        <f t="shared" si="1126"/>
        <v>73.214285714285708</v>
      </c>
      <c r="NP36" s="585">
        <f t="shared" si="1126"/>
        <v>0</v>
      </c>
      <c r="NQ36" s="740">
        <f>SUM(NR36:NX36)</f>
        <v>476.78571428571428</v>
      </c>
      <c r="NR36" s="595">
        <f t="shared" si="1127"/>
        <v>80.357142857142861</v>
      </c>
      <c r="NS36" s="586">
        <f t="shared" si="1127"/>
        <v>80.357142857142861</v>
      </c>
      <c r="NT36" s="586">
        <f t="shared" si="1127"/>
        <v>80.357142857142861</v>
      </c>
      <c r="NU36" s="586">
        <f t="shared" si="1127"/>
        <v>82.142857142857139</v>
      </c>
      <c r="NV36" s="586">
        <f t="shared" si="1127"/>
        <v>78.571428571428569</v>
      </c>
      <c r="NW36" s="586">
        <f t="shared" si="1127"/>
        <v>75</v>
      </c>
      <c r="NX36" s="585">
        <f t="shared" si="1127"/>
        <v>0</v>
      </c>
      <c r="NY36" s="587">
        <f>SUM(NZ36:OF36)</f>
        <v>460.71428571428578</v>
      </c>
      <c r="NZ36" s="595">
        <f t="shared" si="1128"/>
        <v>78.571428571428569</v>
      </c>
      <c r="OA36" s="586">
        <f t="shared" si="1128"/>
        <v>80.357142857142861</v>
      </c>
      <c r="OB36" s="586">
        <f t="shared" si="1128"/>
        <v>80.357142857142861</v>
      </c>
      <c r="OC36" s="586">
        <f t="shared" si="1128"/>
        <v>75</v>
      </c>
      <c r="OD36" s="586">
        <f t="shared" si="1128"/>
        <v>78.571428571428569</v>
      </c>
      <c r="OE36" s="586">
        <f t="shared" si="1128"/>
        <v>67.857142857142861</v>
      </c>
      <c r="OF36" s="585">
        <f t="shared" si="1128"/>
        <v>0</v>
      </c>
      <c r="OG36" s="587">
        <f>SUM(OH36:ON36)</f>
        <v>432.14285714285717</v>
      </c>
      <c r="OH36" s="595">
        <f t="shared" si="1129"/>
        <v>78.571428571428569</v>
      </c>
      <c r="OI36" s="586">
        <f t="shared" si="1129"/>
        <v>78.571428571428569</v>
      </c>
      <c r="OJ36" s="586">
        <f t="shared" si="1129"/>
        <v>71.428571428571431</v>
      </c>
      <c r="OK36" s="586">
        <f t="shared" si="1129"/>
        <v>71.428571428571431</v>
      </c>
      <c r="OL36" s="586">
        <f t="shared" si="1129"/>
        <v>71.428571428571431</v>
      </c>
      <c r="OM36" s="586">
        <f t="shared" si="1129"/>
        <v>60.714285714285715</v>
      </c>
      <c r="ON36" s="585">
        <f t="shared" si="1129"/>
        <v>0</v>
      </c>
      <c r="OO36" s="587">
        <f>SUM(OP36:OV36)</f>
        <v>419.64285714285717</v>
      </c>
      <c r="OP36" s="595">
        <f t="shared" si="1130"/>
        <v>78.571428571428569</v>
      </c>
      <c r="OQ36" s="586">
        <f t="shared" si="1130"/>
        <v>85.714285714285708</v>
      </c>
      <c r="OR36" s="586">
        <f t="shared" si="1130"/>
        <v>85.714285714285708</v>
      </c>
      <c r="OS36" s="586">
        <f t="shared" si="1130"/>
        <v>85.714285714285708</v>
      </c>
      <c r="OT36" s="586">
        <f t="shared" si="1130"/>
        <v>83.928571428571431</v>
      </c>
      <c r="OU36" s="586">
        <f t="shared" si="1130"/>
        <v>0</v>
      </c>
      <c r="OV36" s="585">
        <f t="shared" si="1130"/>
        <v>0</v>
      </c>
      <c r="OW36" s="587">
        <f>SUM(OX36:PD36)</f>
        <v>441.07142857142856</v>
      </c>
      <c r="OX36" s="595">
        <f t="shared" si="1131"/>
        <v>83.928571428571431</v>
      </c>
      <c r="OY36" s="586">
        <f t="shared" si="1131"/>
        <v>89.285714285714292</v>
      </c>
      <c r="OZ36" s="586">
        <f t="shared" si="1131"/>
        <v>89.285714285714292</v>
      </c>
      <c r="PA36" s="586">
        <f t="shared" si="1131"/>
        <v>89.285714285714292</v>
      </c>
      <c r="PB36" s="586">
        <f t="shared" si="1131"/>
        <v>89.285714285714292</v>
      </c>
      <c r="PC36" s="586">
        <f t="shared" si="1131"/>
        <v>0</v>
      </c>
      <c r="PD36" s="585">
        <f t="shared" si="1131"/>
        <v>0</v>
      </c>
      <c r="PE36" s="587">
        <f>SUM(PF36:PL36)</f>
        <v>473.21428571428567</v>
      </c>
      <c r="PF36" s="595">
        <f t="shared" si="1132"/>
        <v>83.928571428571431</v>
      </c>
      <c r="PG36" s="586">
        <f t="shared" si="1132"/>
        <v>82.142857142857139</v>
      </c>
      <c r="PH36" s="586">
        <f t="shared" si="1132"/>
        <v>82.142857142857139</v>
      </c>
      <c r="PI36" s="586">
        <f t="shared" si="1132"/>
        <v>75</v>
      </c>
      <c r="PJ36" s="586">
        <f t="shared" si="1132"/>
        <v>78.571428571428569</v>
      </c>
      <c r="PK36" s="586">
        <f t="shared" si="1132"/>
        <v>71.428571428571431</v>
      </c>
      <c r="PL36" s="585">
        <f t="shared" si="1132"/>
        <v>0</v>
      </c>
    </row>
    <row r="37" spans="1:428" x14ac:dyDescent="0.3">
      <c r="AD37" s="33"/>
      <c r="AE37" s="33"/>
      <c r="AF37" s="33"/>
      <c r="AG37" s="33"/>
      <c r="AH37" s="33"/>
      <c r="AI37" s="33"/>
      <c r="OH37" s="44"/>
      <c r="OI37" s="44"/>
      <c r="OJ37" s="44"/>
      <c r="OK37" s="44"/>
      <c r="OL37" s="44"/>
      <c r="OM37" s="44"/>
      <c r="OP37" s="44"/>
      <c r="OQ37" s="44"/>
      <c r="OR37" s="44"/>
      <c r="OS37" s="44"/>
      <c r="OT37" s="44"/>
    </row>
    <row r="38" spans="1:428" x14ac:dyDescent="0.3">
      <c r="B38" s="818"/>
      <c r="C38" s="819"/>
      <c r="D38" s="819"/>
      <c r="F38" s="1"/>
      <c r="G38" s="1"/>
      <c r="H38" s="1"/>
      <c r="I38" s="1"/>
      <c r="J38" s="1"/>
      <c r="K38" s="1"/>
      <c r="N38" s="1"/>
      <c r="O38" s="1"/>
      <c r="P38" s="1"/>
      <c r="Q38" s="1"/>
      <c r="R38" s="1"/>
      <c r="S38" s="1"/>
      <c r="U38" s="824"/>
      <c r="V38" s="1"/>
      <c r="W38" s="1"/>
      <c r="X38" s="1"/>
      <c r="Y38" s="1"/>
      <c r="Z38" s="1"/>
      <c r="AA38" s="1"/>
      <c r="AC38" s="824"/>
      <c r="AD38" s="406"/>
      <c r="AE38" s="406"/>
      <c r="AF38" s="406"/>
      <c r="AG38" s="406"/>
      <c r="AH38" s="406"/>
      <c r="AI38" s="406"/>
      <c r="AL38" s="1"/>
      <c r="AM38" s="1"/>
      <c r="AN38" s="1"/>
      <c r="AO38" s="1"/>
      <c r="AP38" s="1"/>
      <c r="AQ38" s="1"/>
      <c r="BD38" s="44"/>
      <c r="BE38" s="44"/>
      <c r="BF38" s="44"/>
      <c r="GO38" t="s">
        <v>230</v>
      </c>
      <c r="GP38" s="824">
        <f t="shared" ref="GP38:GU38" si="1133">GP15/GP6</f>
        <v>0.42857142857142855</v>
      </c>
      <c r="GQ38" s="824">
        <f t="shared" si="1133"/>
        <v>0.52500000000000002</v>
      </c>
      <c r="GR38" s="824">
        <f t="shared" si="1133"/>
        <v>0.5</v>
      </c>
      <c r="GS38" s="824">
        <f t="shared" si="1133"/>
        <v>0.5</v>
      </c>
      <c r="GT38" s="824">
        <f t="shared" si="1133"/>
        <v>0.5</v>
      </c>
      <c r="GU38" s="824">
        <f t="shared" si="1133"/>
        <v>0.52564102564102566</v>
      </c>
      <c r="GW38" t="s">
        <v>230</v>
      </c>
      <c r="GX38" s="824">
        <f t="shared" ref="GX38:HC38" si="1134">GX15/GX6</f>
        <v>0.4375</v>
      </c>
      <c r="GY38" s="824">
        <f t="shared" si="1134"/>
        <v>0.5</v>
      </c>
      <c r="GZ38" s="824">
        <f t="shared" si="1134"/>
        <v>0.5</v>
      </c>
      <c r="HA38" s="824">
        <f t="shared" si="1134"/>
        <v>0.48648648648648651</v>
      </c>
      <c r="HB38" s="824">
        <f t="shared" si="1134"/>
        <v>0.48717948717948717</v>
      </c>
      <c r="HC38" s="824">
        <f t="shared" si="1134"/>
        <v>0.54054054054054057</v>
      </c>
      <c r="HF38" s="824"/>
      <c r="HG38" s="824"/>
      <c r="HH38" s="824"/>
      <c r="HI38" s="824"/>
      <c r="HJ38" s="824"/>
      <c r="HK38" s="824"/>
    </row>
    <row r="39" spans="1:428" x14ac:dyDescent="0.3">
      <c r="B39" s="318"/>
      <c r="E39" s="318"/>
      <c r="F39" s="1"/>
      <c r="G39" s="1"/>
      <c r="H39" s="1"/>
      <c r="I39" s="1"/>
      <c r="J39" s="1"/>
      <c r="K39" s="1"/>
      <c r="N39" s="1"/>
      <c r="O39" s="1"/>
      <c r="P39" s="1"/>
      <c r="Q39" s="1"/>
      <c r="R39" s="1"/>
      <c r="S39" s="1"/>
      <c r="V39" s="1"/>
      <c r="W39" s="1"/>
      <c r="X39" s="1"/>
      <c r="Y39" s="1"/>
      <c r="Z39" s="1"/>
      <c r="AA39" s="1"/>
      <c r="AC39" s="318"/>
      <c r="AD39" s="406"/>
      <c r="AE39" s="406"/>
      <c r="AF39" s="406"/>
      <c r="AG39" s="406"/>
      <c r="AH39" s="406"/>
      <c r="AI39" s="406"/>
      <c r="AL39" s="1"/>
      <c r="AM39" s="1"/>
      <c r="AN39" s="1"/>
      <c r="AO39" s="1"/>
      <c r="AP39" s="1"/>
      <c r="AQ39" s="1"/>
      <c r="BJ39" s="44"/>
      <c r="GO39" t="s">
        <v>231</v>
      </c>
      <c r="GP39" s="824">
        <f t="shared" ref="GP39:GU39" si="1135">GP16/GP6</f>
        <v>0.51428571428571423</v>
      </c>
      <c r="GQ39" s="824">
        <f t="shared" si="1135"/>
        <v>0.5</v>
      </c>
      <c r="GR39" s="824">
        <f t="shared" si="1135"/>
        <v>0.5</v>
      </c>
      <c r="GS39" s="824">
        <f t="shared" si="1135"/>
        <v>0.5</v>
      </c>
      <c r="GT39" s="824">
        <f t="shared" si="1135"/>
        <v>0.5</v>
      </c>
      <c r="GU39" s="824">
        <f t="shared" si="1135"/>
        <v>0.47435897435897434</v>
      </c>
      <c r="GW39" t="s">
        <v>231</v>
      </c>
      <c r="GX39" s="824">
        <f t="shared" ref="GX39:HC39" si="1136">GX16/GX6</f>
        <v>0.59375</v>
      </c>
      <c r="GY39" s="824">
        <f t="shared" si="1136"/>
        <v>0.5</v>
      </c>
      <c r="GZ39" s="824">
        <f t="shared" si="1136"/>
        <v>0.5</v>
      </c>
      <c r="HA39" s="824">
        <f t="shared" si="1136"/>
        <v>0.51351351351351349</v>
      </c>
      <c r="HB39" s="824">
        <f t="shared" si="1136"/>
        <v>0.51282051282051277</v>
      </c>
      <c r="HC39" s="824">
        <f t="shared" si="1136"/>
        <v>0.45945945945945948</v>
      </c>
      <c r="HF39" s="824"/>
      <c r="HG39" s="824"/>
      <c r="HH39" s="824"/>
      <c r="HI39" s="824"/>
      <c r="HJ39" s="824"/>
      <c r="HK39" s="824"/>
    </row>
    <row r="40" spans="1:428" x14ac:dyDescent="0.3">
      <c r="B40" s="318"/>
      <c r="C40" s="64"/>
      <c r="D40" s="64"/>
      <c r="E40" s="318"/>
      <c r="AC40" s="318"/>
      <c r="AD40" s="33"/>
      <c r="AE40" s="33"/>
      <c r="AF40" s="33"/>
      <c r="AG40" s="33"/>
      <c r="AH40" s="33"/>
      <c r="AI40" s="33"/>
      <c r="BJ40" s="44"/>
      <c r="GP40" s="64"/>
      <c r="GQ40" s="64"/>
      <c r="GR40" s="64"/>
      <c r="GS40" s="64"/>
      <c r="GT40" s="64"/>
      <c r="GU40" s="64"/>
      <c r="GX40" s="64"/>
      <c r="GY40" s="64"/>
      <c r="GZ40" s="64"/>
      <c r="HA40" s="64"/>
      <c r="HB40" s="64"/>
      <c r="HC40" s="64"/>
      <c r="HF40" s="824"/>
      <c r="HG40" s="824"/>
      <c r="HH40" s="824"/>
      <c r="HI40" s="824"/>
      <c r="HJ40" s="824"/>
      <c r="HK40" s="824"/>
      <c r="MS40" s="44"/>
      <c r="MT40" s="44"/>
      <c r="MU40" s="44"/>
      <c r="MV40" s="44"/>
      <c r="MW40" s="44"/>
      <c r="MX40" s="44"/>
      <c r="MY40" s="44"/>
      <c r="MZ40" s="44"/>
      <c r="NA40" s="44"/>
      <c r="NB40" s="44"/>
      <c r="NC40" s="44"/>
      <c r="ND40" s="44"/>
      <c r="NE40" s="44"/>
      <c r="NF40" s="44"/>
      <c r="NG40" s="44"/>
      <c r="NH40" s="44"/>
      <c r="NI40" s="44"/>
      <c r="NJ40" s="44"/>
      <c r="NK40" s="44"/>
      <c r="NL40" s="44"/>
      <c r="NM40" s="44"/>
      <c r="NN40" s="44"/>
      <c r="NO40" s="44"/>
      <c r="NP40" s="44"/>
      <c r="NQ40" s="44"/>
      <c r="NR40" s="44"/>
      <c r="NS40" s="44"/>
      <c r="NT40" s="44"/>
      <c r="NU40" s="44"/>
      <c r="NV40" s="44"/>
      <c r="NW40" s="44"/>
      <c r="NX40" s="44"/>
      <c r="NY40" s="44"/>
      <c r="NZ40" s="44"/>
      <c r="OA40" s="44"/>
      <c r="OB40" s="44"/>
      <c r="OC40" s="44"/>
      <c r="OD40" s="44"/>
      <c r="OE40" s="44"/>
      <c r="OF40" s="44"/>
      <c r="OG40" s="44"/>
      <c r="OH40" s="44"/>
      <c r="OI40" s="44"/>
      <c r="OJ40" s="44"/>
      <c r="OK40" s="44"/>
      <c r="OL40" s="44"/>
      <c r="OM40" s="44"/>
      <c r="ON40" s="44"/>
      <c r="OO40" s="44"/>
      <c r="OP40" s="44"/>
      <c r="OQ40" s="44"/>
      <c r="OR40" s="44"/>
      <c r="OS40" s="44"/>
      <c r="OT40" s="44"/>
      <c r="OU40" s="44"/>
      <c r="OV40" s="44"/>
      <c r="OW40" s="44"/>
      <c r="OX40" s="44"/>
      <c r="OY40" s="44"/>
      <c r="OZ40" s="44"/>
      <c r="PA40" s="44"/>
      <c r="PB40" s="44"/>
      <c r="PC40" s="44"/>
      <c r="PD40" s="44"/>
    </row>
    <row r="41" spans="1:428" x14ac:dyDescent="0.3">
      <c r="B41" s="318"/>
      <c r="C41" s="64"/>
      <c r="D41" s="64"/>
      <c r="E41" s="318"/>
      <c r="AC41" s="318"/>
      <c r="AD41" s="33"/>
      <c r="AE41" s="33"/>
      <c r="AF41" s="33"/>
      <c r="AG41" s="33"/>
      <c r="AH41" s="33"/>
      <c r="AI41" s="33"/>
      <c r="BJ41" s="44"/>
    </row>
    <row r="42" spans="1:428" x14ac:dyDescent="0.3">
      <c r="B42" s="318"/>
      <c r="C42" s="64"/>
      <c r="D42" s="64"/>
      <c r="E42" s="318"/>
      <c r="AC42" s="318"/>
      <c r="AD42" s="33"/>
      <c r="AE42" s="33"/>
      <c r="AF42" s="33"/>
      <c r="AG42" s="33"/>
      <c r="AH42" s="33"/>
      <c r="AI42" s="33"/>
    </row>
    <row r="43" spans="1:428" x14ac:dyDescent="0.3">
      <c r="B43" s="318"/>
      <c r="E43" s="318"/>
      <c r="F43" s="1"/>
      <c r="G43" s="1"/>
      <c r="H43" s="1"/>
      <c r="I43" s="1"/>
      <c r="J43" s="1"/>
      <c r="K43" s="1"/>
      <c r="N43" s="1"/>
      <c r="O43" s="1"/>
      <c r="P43" s="1"/>
      <c r="Q43" s="1"/>
      <c r="R43" s="1"/>
      <c r="S43" s="1"/>
      <c r="V43" s="1"/>
      <c r="W43" s="1"/>
      <c r="X43" s="1"/>
      <c r="Y43" s="1"/>
      <c r="Z43" s="1"/>
      <c r="AA43" s="1"/>
      <c r="AC43" s="318"/>
      <c r="AD43" s="406"/>
      <c r="AE43" s="406"/>
      <c r="AF43" s="406"/>
      <c r="AG43" s="406"/>
      <c r="AH43" s="406"/>
      <c r="AI43" s="406"/>
      <c r="AL43" s="1"/>
      <c r="AM43" s="1"/>
      <c r="AN43" s="1"/>
      <c r="AO43" s="1"/>
      <c r="AP43" s="1"/>
      <c r="AQ43" s="1"/>
    </row>
    <row r="44" spans="1:428" x14ac:dyDescent="0.3">
      <c r="B44" s="318"/>
      <c r="C44" s="64"/>
      <c r="D44" s="64"/>
      <c r="E44" s="318"/>
      <c r="AC44" s="318"/>
      <c r="AD44" s="33"/>
      <c r="AE44" s="33"/>
      <c r="AF44" s="33"/>
      <c r="AG44" s="33"/>
      <c r="AH44" s="33"/>
      <c r="AI44" s="33"/>
    </row>
    <row r="45" spans="1:428" x14ac:dyDescent="0.3">
      <c r="B45" s="318"/>
      <c r="C45" s="64"/>
      <c r="D45" s="64"/>
      <c r="E45" s="318"/>
      <c r="AC45" s="318"/>
      <c r="AD45" s="33"/>
      <c r="AE45" s="33"/>
      <c r="AF45" s="33"/>
      <c r="AG45" s="33"/>
      <c r="AH45" s="33"/>
      <c r="AI45" s="33"/>
    </row>
    <row r="46" spans="1:428" x14ac:dyDescent="0.3">
      <c r="B46" s="318"/>
      <c r="C46" s="64"/>
      <c r="D46" s="64"/>
      <c r="E46" s="318"/>
      <c r="AC46" s="318"/>
      <c r="AD46" s="33"/>
      <c r="AE46" s="33"/>
      <c r="AF46" s="33"/>
      <c r="AG46" s="33"/>
      <c r="AH46" s="33"/>
      <c r="AI46" s="33"/>
    </row>
    <row r="47" spans="1:428" x14ac:dyDescent="0.3">
      <c r="B47" s="318"/>
    </row>
    <row r="48" spans="1:428" x14ac:dyDescent="0.3">
      <c r="B48" s="818"/>
      <c r="D48" s="819"/>
    </row>
    <row r="49" spans="2:403" x14ac:dyDescent="0.3">
      <c r="B49" s="318"/>
    </row>
    <row r="50" spans="2:403" x14ac:dyDescent="0.3">
      <c r="B50" s="318"/>
      <c r="C50" s="64"/>
      <c r="D50" s="64"/>
    </row>
    <row r="51" spans="2:403" x14ac:dyDescent="0.3">
      <c r="B51" s="318"/>
      <c r="C51" s="64"/>
      <c r="D51" s="64"/>
    </row>
    <row r="52" spans="2:403" x14ac:dyDescent="0.3">
      <c r="B52" s="318"/>
      <c r="C52" s="64"/>
      <c r="D52" s="64"/>
    </row>
    <row r="53" spans="2:403" x14ac:dyDescent="0.3">
      <c r="B53" s="318"/>
    </row>
    <row r="54" spans="2:403" x14ac:dyDescent="0.3">
      <c r="B54" s="318"/>
      <c r="C54" s="64"/>
      <c r="D54" s="64"/>
    </row>
    <row r="55" spans="2:403" x14ac:dyDescent="0.3">
      <c r="B55" s="318"/>
      <c r="C55" s="64"/>
      <c r="D55" s="64"/>
    </row>
    <row r="56" spans="2:403" x14ac:dyDescent="0.3">
      <c r="B56" s="318"/>
      <c r="C56" s="64"/>
      <c r="D56" s="64"/>
    </row>
    <row r="57" spans="2:403" x14ac:dyDescent="0.3">
      <c r="NB57" s="44"/>
      <c r="NC57" s="44"/>
      <c r="ND57" s="44"/>
      <c r="NE57" s="44"/>
      <c r="NF57" s="44"/>
      <c r="NG57" s="44"/>
      <c r="NJ57" s="44"/>
      <c r="NK57" s="44"/>
      <c r="NL57" s="44"/>
      <c r="NM57" s="44"/>
      <c r="NN57" s="44"/>
      <c r="NO57" s="44"/>
      <c r="NZ57" s="44"/>
      <c r="OA57" s="44"/>
      <c r="OB57" s="44"/>
      <c r="OC57" s="44"/>
      <c r="OD57" s="44"/>
      <c r="OE57" s="44"/>
      <c r="OH57" s="44"/>
      <c r="OI57" s="44"/>
      <c r="OJ57" s="44"/>
      <c r="OK57" s="44"/>
      <c r="OL57" s="44"/>
      <c r="OM57" s="44"/>
    </row>
    <row r="58" spans="2:403" x14ac:dyDescent="0.3">
      <c r="NR58" s="44"/>
      <c r="NS58" s="44"/>
      <c r="NT58" s="44"/>
      <c r="NU58" s="44"/>
      <c r="NV58" s="44"/>
      <c r="NW58" s="44"/>
      <c r="NZ58" s="44"/>
      <c r="OA58" s="44"/>
      <c r="OB58" s="44"/>
      <c r="OC58" s="44"/>
      <c r="OD58" s="44"/>
      <c r="OE58" s="44"/>
    </row>
    <row r="59" spans="2:403" x14ac:dyDescent="0.3">
      <c r="OH59" s="44"/>
      <c r="OI59" s="44"/>
      <c r="OJ59" s="44"/>
      <c r="OK59" s="44"/>
      <c r="OL59" s="44"/>
      <c r="OM59" s="44"/>
    </row>
  </sheetData>
  <mergeCells count="9">
    <mergeCell ref="B34:C36"/>
    <mergeCell ref="C17:C20"/>
    <mergeCell ref="B21:C23"/>
    <mergeCell ref="B4:B11"/>
    <mergeCell ref="C13:C16"/>
    <mergeCell ref="C4:C6"/>
    <mergeCell ref="C9:C11"/>
    <mergeCell ref="B13:B20"/>
    <mergeCell ref="B25:C32"/>
  </mergeCells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ignoredErrors>
    <ignoredError sqref="U33:U36 M33:M36 AS33:AS36 BA33:BA36" formula="1"/>
  </ignoredErrors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3C70-6D7C-45D8-9881-12F9C2F45CDF}">
  <sheetPr codeName="Sheet10"/>
  <dimension ref="A1:BA367"/>
  <sheetViews>
    <sheetView workbookViewId="0">
      <pane xSplit="4" ySplit="2" topLeftCell="AS352" activePane="bottomRight" state="frozen"/>
      <selection pane="topRight" activeCell="E1" sqref="E1"/>
      <selection pane="bottomLeft" activeCell="A3" sqref="A3"/>
      <selection pane="bottomRight" activeCell="J338" sqref="J338"/>
    </sheetView>
  </sheetViews>
  <sheetFormatPr defaultRowHeight="14.4" x14ac:dyDescent="0.3"/>
  <cols>
    <col min="1" max="1" width="12" customWidth="1"/>
    <col min="2" max="2" width="8" customWidth="1"/>
    <col min="3" max="3" width="6.44140625" customWidth="1"/>
    <col min="4" max="5" width="9" customWidth="1"/>
    <col min="6" max="18" width="14.44140625" customWidth="1"/>
    <col min="19" max="19" width="14.44140625" style="312" customWidth="1"/>
    <col min="20" max="28" width="14.44140625" customWidth="1"/>
    <col min="29" max="31" width="14.44140625" style="312" customWidth="1"/>
    <col min="32" max="32" width="17.5546875" style="312" customWidth="1"/>
    <col min="33" max="34" width="14.44140625" style="312" customWidth="1"/>
    <col min="35" max="35" width="14.44140625" customWidth="1"/>
    <col min="36" max="36" width="14.44140625" style="312" customWidth="1"/>
    <col min="37" max="52" width="14.44140625" customWidth="1"/>
  </cols>
  <sheetData>
    <row r="1" spans="1:53" x14ac:dyDescent="0.3">
      <c r="B1">
        <v>0.98</v>
      </c>
    </row>
    <row r="2" spans="1:53" s="315" customFormat="1" ht="51" customHeight="1" x14ac:dyDescent="0.3">
      <c r="A2" s="537" t="s">
        <v>316</v>
      </c>
      <c r="B2" s="537" t="s">
        <v>317</v>
      </c>
      <c r="C2" s="537" t="s">
        <v>318</v>
      </c>
      <c r="D2" s="538" t="s">
        <v>319</v>
      </c>
      <c r="E2" s="537" t="s">
        <v>320</v>
      </c>
      <c r="F2" s="536" t="s">
        <v>321</v>
      </c>
      <c r="G2" s="537" t="s">
        <v>322</v>
      </c>
      <c r="H2" s="537" t="s">
        <v>323</v>
      </c>
      <c r="I2" s="537" t="s">
        <v>324</v>
      </c>
      <c r="J2" s="537" t="s">
        <v>325</v>
      </c>
      <c r="K2" s="537" t="s">
        <v>326</v>
      </c>
      <c r="L2" s="537" t="s">
        <v>327</v>
      </c>
      <c r="M2" s="536" t="s">
        <v>328</v>
      </c>
      <c r="N2" s="537" t="s">
        <v>329</v>
      </c>
      <c r="O2" s="537" t="s">
        <v>330</v>
      </c>
      <c r="P2" s="537" t="s">
        <v>331</v>
      </c>
      <c r="Q2" s="537" t="s">
        <v>332</v>
      </c>
      <c r="R2" s="537" t="s">
        <v>333</v>
      </c>
      <c r="S2" s="857" t="s">
        <v>334</v>
      </c>
      <c r="T2" s="537" t="s">
        <v>335</v>
      </c>
      <c r="U2" s="537" t="s">
        <v>336</v>
      </c>
      <c r="V2" s="537" t="s">
        <v>337</v>
      </c>
      <c r="W2" s="538" t="s">
        <v>338</v>
      </c>
      <c r="X2" s="537" t="s">
        <v>339</v>
      </c>
      <c r="Y2" s="537" t="s">
        <v>340</v>
      </c>
      <c r="Z2" s="537" t="s">
        <v>341</v>
      </c>
      <c r="AA2" s="537" t="s">
        <v>342</v>
      </c>
      <c r="AB2" s="537" t="s">
        <v>343</v>
      </c>
      <c r="AC2" s="857" t="s">
        <v>344</v>
      </c>
      <c r="AD2" s="857" t="s">
        <v>345</v>
      </c>
      <c r="AE2" s="857" t="s">
        <v>346</v>
      </c>
      <c r="AF2" s="857" t="s">
        <v>347</v>
      </c>
      <c r="AG2" s="857" t="s">
        <v>348</v>
      </c>
      <c r="AH2" s="857" t="s">
        <v>349</v>
      </c>
      <c r="AI2" s="537" t="s">
        <v>350</v>
      </c>
      <c r="AJ2" s="857" t="s">
        <v>351</v>
      </c>
      <c r="AK2" s="537" t="s">
        <v>352</v>
      </c>
      <c r="AL2" s="537" t="s">
        <v>353</v>
      </c>
      <c r="AM2" s="537" t="s">
        <v>354</v>
      </c>
      <c r="AN2" s="537" t="s">
        <v>355</v>
      </c>
      <c r="AO2" s="537" t="s">
        <v>356</v>
      </c>
      <c r="AP2" s="538" t="s">
        <v>357</v>
      </c>
      <c r="AQ2" s="537" t="s">
        <v>358</v>
      </c>
      <c r="AR2" s="537" t="s">
        <v>359</v>
      </c>
      <c r="AS2" s="537" t="s">
        <v>360</v>
      </c>
      <c r="AT2" s="537" t="s">
        <v>361</v>
      </c>
      <c r="AU2" s="537" t="s">
        <v>362</v>
      </c>
      <c r="AV2" s="537" t="s">
        <v>363</v>
      </c>
      <c r="AW2" s="537" t="s">
        <v>364</v>
      </c>
      <c r="AX2" s="537" t="s">
        <v>365</v>
      </c>
      <c r="AY2" s="537" t="s">
        <v>366</v>
      </c>
      <c r="AZ2" s="537" t="s">
        <v>367</v>
      </c>
      <c r="BA2" s="537" t="s">
        <v>368</v>
      </c>
    </row>
    <row r="3" spans="1:53" x14ac:dyDescent="0.3">
      <c r="A3" s="44">
        <f t="shared" ref="A3:A5" si="0">(WEEKNUM(D3,2))-1</f>
        <v>0</v>
      </c>
      <c r="B3" t="str">
        <f t="shared" ref="B3:B5" si="1">"Wk "&amp;A3</f>
        <v>Wk 0</v>
      </c>
      <c r="C3" t="s">
        <v>117</v>
      </c>
      <c r="D3" s="313">
        <v>44562</v>
      </c>
      <c r="E3" s="44"/>
      <c r="F3" s="402"/>
      <c r="G3" s="44"/>
      <c r="H3" s="44"/>
      <c r="I3" s="44"/>
      <c r="J3" s="44"/>
      <c r="K3" s="44"/>
      <c r="L3" s="44"/>
      <c r="M3" s="403" t="str">
        <f>IFERROR(IF(B3=#REF!,#REF!+1,MATCH(B3,'ST Forecast'!$E$2:$RK$2,0)+1),"")</f>
        <v/>
      </c>
      <c r="N3" s="44">
        <f>SUM(DB[[#This Row],[Ops-FC-Orders-Collect]:[Ops-FC-Orders-HD]])</f>
        <v>0</v>
      </c>
      <c r="O3" s="44" t="str" cm="1">
        <f t="array" ref="O3">IFERROR(INDEX('ST Forecast'!$E$2:$RK$36,13,M3),"")</f>
        <v/>
      </c>
      <c r="P3" s="44" t="str">
        <f t="shared" ref="P3:P12" si="2">IFERROR(Q3+R3,"")</f>
        <v/>
      </c>
      <c r="Q3" s="44" t="str" cm="1">
        <f t="array" ref="Q3">IFERROR(INDEX('ST Forecast'!$E$2:$RK$36,14,M3),"")</f>
        <v/>
      </c>
      <c r="R3" s="44" t="str" cm="1">
        <f t="array" ref="R3">IFERROR(INDEX('ST Forecast'!$E$2:$RK$36,15,M3),"")</f>
        <v/>
      </c>
      <c r="S3" s="312">
        <f>SUM(DB[[#This Row],[Ops-FC-Picks-Collect]:[Ops-FC-Picks-HD]])</f>
        <v>0</v>
      </c>
      <c r="T3" s="44" t="str">
        <f t="shared" ref="T3:T12" si="3">IFERROR(O3*H3*$B$1,"")</f>
        <v/>
      </c>
      <c r="U3" s="44" t="str">
        <f t="shared" ref="U3:U12" si="4">IFERROR(V3+W3,"")</f>
        <v/>
      </c>
      <c r="V3" s="44" t="str">
        <f t="shared" ref="V3:V12" si="5">IFERROR(Q3*I3*$B$1,"")</f>
        <v/>
      </c>
      <c r="W3" s="404" t="str">
        <f t="shared" ref="W3:W12" si="6">IFERROR(R3*I3*$B$1,"")</f>
        <v/>
      </c>
      <c r="X3" s="44">
        <f>SUM(DB[[#This Row],[Capped-Orders-Collect]:[Capped-Orders-HD]])</f>
        <v>90</v>
      </c>
      <c r="Y3">
        <f>INDEX('Operations Forecast'!$A$2:$BGY$47,3,MATCH(DB!D3,'Operations Forecast'!$A$2:$BGY$2))</f>
        <v>0</v>
      </c>
      <c r="Z3">
        <f t="shared" ref="Z3:Z5" si="7">SUM(AA3:AB3)</f>
        <v>90</v>
      </c>
      <c r="AA3">
        <f>INDEX('Operations Forecast'!$A$2:$BGY$47,10,MATCH(DB!D3,'Operations Forecast'!$A$2:$BGY$2))</f>
        <v>90</v>
      </c>
      <c r="AB3">
        <f>INDEX('Operations Forecast'!$A$2:$BGY$47,21,MATCH(DB!D3,'Operations Forecast'!$A$2:$BGY$2))</f>
        <v>0</v>
      </c>
      <c r="AC3" s="312">
        <f>SUM(DB[[#This Row],[Act-Orders-Collect]:[Act-Orders-HD]])</f>
        <v>0</v>
      </c>
      <c r="AD3" s="858">
        <f>IFERROR(INDEX('Operations Forecast_new'!$7:$7,MATCH(DB[[#This Row],[Datum]],'Operations Forecast_new'!$2:$2,0)),0)</f>
        <v>0</v>
      </c>
      <c r="AE3" s="312">
        <f t="shared" ref="AE3:AE5" si="8">AF3+AG3</f>
        <v>0</v>
      </c>
      <c r="AF3" s="858">
        <f>IFERROR(INDEX('Operations Forecast_new'!$13:$13,MATCH(DB[[#This Row],[Datum]],'Operations Forecast_new'!$2:$2,0)),0)</f>
        <v>0</v>
      </c>
      <c r="AG3" s="858">
        <f>IFERROR(INDEX('Operations Forecast_new'!$19:$19,MATCH(DB[[#This Row],[Datum]],'Operations Forecast_new'!$2:$2,0)),0)</f>
        <v>0</v>
      </c>
      <c r="AH3" s="312">
        <f t="shared" ref="AH3:AH66" si="9">AI3+AJ3</f>
        <v>0</v>
      </c>
      <c r="AI3" s="858">
        <f>IFERROR(INDEX('Operations Forecast_new'!$9:$9,MATCH(DB[[#This Row],[Datum]],'Operations Forecast_new'!$2:$2,0)),0)</f>
        <v>0</v>
      </c>
      <c r="AJ3" s="312">
        <f t="shared" ref="AJ3:AJ5" si="10">AK3+AL3</f>
        <v>0</v>
      </c>
      <c r="AK3" s="858">
        <f>IFERROR(INDEX('Operations Forecast_new'!$15:$15,MATCH(DB[[#This Row],[Datum]],'Operations Forecast_new'!$2:$2,0)),0)</f>
        <v>0</v>
      </c>
      <c r="AL3" s="858">
        <f>IFERROR(INDEX('Operations Forecast_new'!$21:$21,MATCH(DB[[#This Row],[Datum]],'Operations Forecast_new'!$2:$2,0)),0)</f>
        <v>0</v>
      </c>
      <c r="AM3" s="178">
        <f>IFERROR(INDEX('Operations Forecast_new'!$8:$8,MATCH(DB[[#This Row],[Datum]],'Operations Forecast_new'!$2:$2,0)),0)</f>
        <v>0</v>
      </c>
      <c r="AN3" s="859">
        <f>IFERROR(INDEX('Operations Forecast_new'!$20:$20,MATCH(DB[[#This Row],[Datum]],'Operations Forecast_new'!$2:$2,0)),0)</f>
        <v>0</v>
      </c>
      <c r="AO3" s="44" t="str">
        <f t="shared" ref="AO3:AO5" si="11">IFERROR(AI3/AD3,"-")</f>
        <v>-</v>
      </c>
      <c r="AP3" s="404" t="str">
        <f t="shared" ref="AP3:AP5" si="12">IFERROR(AJ3/AE3,"-")</f>
        <v>-</v>
      </c>
      <c r="AQ3" s="44">
        <f t="shared" ref="AQ3:AQ66" si="13">SUM(AR3:AU3)</f>
        <v>0</v>
      </c>
      <c r="AR3" s="44" t="str" cm="1">
        <f t="array" ref="AR3">IFERROR(INDEX('ST Forecast'!$E$2:$RK$36,25,M3)+(INDEX('ST Forecast'!$E$2:$RK$36,29,M3)),"")</f>
        <v/>
      </c>
      <c r="AS3" s="44" t="str" cm="1">
        <f t="array" ref="AS3">IFERROR(INDEX('ST Forecast'!$E$2:$RK$36,26,M3)+INDEX('ST Forecast'!$E$2:$RK$36,30,M3),"")</f>
        <v/>
      </c>
      <c r="AT3" s="44" t="str" cm="1">
        <f t="array" ref="AT3">IFERROR(INDEX('ST Forecast'!$E$2:$RK$36,27,M3)+INDEX('ST Forecast'!$E$2:$RK$36,31,M3),"")</f>
        <v/>
      </c>
      <c r="AU3" s="44" t="str" cm="1">
        <f t="array" ref="AU3">IFERROR(INDEX('ST Forecast'!$E$2:$RK$36,28,M3),"")</f>
        <v/>
      </c>
      <c r="AV3" s="44" t="str" cm="1">
        <f t="array" ref="AV3">IFERROR(INDEX('ST Forecast'!$E$2:$RK$36,29,M3),"")</f>
        <v/>
      </c>
      <c r="AW3" s="44"/>
      <c r="AX3" s="178" t="e">
        <f>#REF!</f>
        <v>#REF!</v>
      </c>
      <c r="AY3" s="178" t="e">
        <f>#REF!</f>
        <v>#REF!</v>
      </c>
      <c r="AZ3" s="178" t="e">
        <f>#REF!</f>
        <v>#REF!</v>
      </c>
      <c r="BA3" s="178"/>
    </row>
    <row r="4" spans="1:53" x14ac:dyDescent="0.3">
      <c r="A4" s="44">
        <f t="shared" si="0"/>
        <v>0</v>
      </c>
      <c r="B4" t="str">
        <f t="shared" si="1"/>
        <v>Wk 0</v>
      </c>
      <c r="C4" t="s">
        <v>118</v>
      </c>
      <c r="D4" s="313">
        <v>44563</v>
      </c>
      <c r="E4" s="44"/>
      <c r="F4" s="402"/>
      <c r="G4" s="44"/>
      <c r="H4" s="44"/>
      <c r="I4" s="44"/>
      <c r="J4" s="44"/>
      <c r="K4" s="44"/>
      <c r="L4" s="44"/>
      <c r="M4" s="403" t="str">
        <f>IFERROR(IF(B4=B3,M3+1,MATCH(B4,'ST Forecast'!$E$2:$RK$2,0)+1),"")</f>
        <v/>
      </c>
      <c r="N4" s="44">
        <f>SUM(DB[[#This Row],[Ops-FC-Orders-Collect]:[Ops-FC-Orders-HD]])</f>
        <v>0</v>
      </c>
      <c r="O4" s="44" t="str" cm="1">
        <f t="array" ref="O4">IFERROR(INDEX('ST Forecast'!$E$2:$RK$36,13,M4),"")</f>
        <v/>
      </c>
      <c r="P4" s="44" t="str">
        <f t="shared" si="2"/>
        <v/>
      </c>
      <c r="Q4" s="44" t="str" cm="1">
        <f t="array" ref="Q4">IFERROR(INDEX('ST Forecast'!$E$2:$RK$36,14,M4),"")</f>
        <v/>
      </c>
      <c r="R4" s="44" t="str" cm="1">
        <f t="array" ref="R4">IFERROR(INDEX('ST Forecast'!$E$2:$RK$36,15,M4),"")</f>
        <v/>
      </c>
      <c r="S4" s="312">
        <f>SUM(DB[[#This Row],[Ops-FC-Picks-Collect]:[Ops-FC-Picks-HD]])</f>
        <v>0</v>
      </c>
      <c r="T4" s="44" t="str">
        <f t="shared" si="3"/>
        <v/>
      </c>
      <c r="U4" s="44" t="str">
        <f t="shared" si="4"/>
        <v/>
      </c>
      <c r="V4" s="44" t="str">
        <f t="shared" si="5"/>
        <v/>
      </c>
      <c r="W4" s="404" t="str">
        <f t="shared" si="6"/>
        <v/>
      </c>
      <c r="X4" s="44">
        <f>SUM(DB[[#This Row],[Capped-Orders-Collect]:[Capped-Orders-HD]])</f>
        <v>90</v>
      </c>
      <c r="Y4">
        <f>INDEX('Operations Forecast'!$A$2:$BGY$47,3,MATCH(DB!D4,'Operations Forecast'!$A$2:$BGY$2))</f>
        <v>0</v>
      </c>
      <c r="Z4">
        <f t="shared" si="7"/>
        <v>90</v>
      </c>
      <c r="AA4">
        <f>INDEX('Operations Forecast'!$A$2:$BGY$47,10,MATCH(DB!D4,'Operations Forecast'!$A$2:$BGY$2))</f>
        <v>90</v>
      </c>
      <c r="AB4">
        <f>INDEX('Operations Forecast'!$A$2:$BGY$47,21,MATCH(DB!D4,'Operations Forecast'!$A$2:$BGY$2))</f>
        <v>0</v>
      </c>
      <c r="AC4" s="312">
        <f>SUM(DB[[#This Row],[Act-Orders-Collect]:[Act-Orders-HD]])</f>
        <v>0</v>
      </c>
      <c r="AD4" s="858">
        <f>IFERROR(INDEX('Operations Forecast_new'!$7:$7,MATCH(DB[[#This Row],[Datum]],'Operations Forecast_new'!$2:$2,0)),0)</f>
        <v>0</v>
      </c>
      <c r="AE4" s="312">
        <f t="shared" si="8"/>
        <v>0</v>
      </c>
      <c r="AF4" s="858">
        <f>IFERROR(INDEX('Operations Forecast_new'!$13:$13,MATCH(DB[[#This Row],[Datum]],'Operations Forecast_new'!$2:$2,0)),0)</f>
        <v>0</v>
      </c>
      <c r="AG4" s="858">
        <f>IFERROR(INDEX('Operations Forecast_new'!$19:$19,MATCH(DB[[#This Row],[Datum]],'Operations Forecast_new'!$2:$2,0)),0)</f>
        <v>0</v>
      </c>
      <c r="AH4" s="312">
        <f t="shared" si="9"/>
        <v>0</v>
      </c>
      <c r="AI4" s="858">
        <f>IFERROR(INDEX('Operations Forecast_new'!$9:$9,MATCH(DB[[#This Row],[Datum]],'Operations Forecast_new'!$2:$2,0)),0)</f>
        <v>0</v>
      </c>
      <c r="AJ4" s="312">
        <f t="shared" si="10"/>
        <v>0</v>
      </c>
      <c r="AK4" s="858">
        <f>IFERROR(INDEX('Operations Forecast_new'!$15:$15,MATCH(DB[[#This Row],[Datum]],'Operations Forecast_new'!$2:$2,0)),0)</f>
        <v>0</v>
      </c>
      <c r="AL4" s="858">
        <f>IFERROR(INDEX('Operations Forecast_new'!$21:$21,MATCH(DB[[#This Row],[Datum]],'Operations Forecast_new'!$2:$2,0)),0)</f>
        <v>0</v>
      </c>
      <c r="AM4" s="178">
        <f>IFERROR(INDEX('Operations Forecast_new'!$8:$8,MATCH(DB[[#This Row],[Datum]],'Operations Forecast_new'!$2:$2,0)),0)</f>
        <v>0</v>
      </c>
      <c r="AN4" s="859">
        <f>IFERROR(INDEX('Operations Forecast_new'!$20:$20,MATCH(DB[[#This Row],[Datum]],'Operations Forecast_new'!$2:$2,0)),0)</f>
        <v>0</v>
      </c>
      <c r="AO4" s="44" t="str">
        <f t="shared" si="11"/>
        <v>-</v>
      </c>
      <c r="AP4" s="404" t="str">
        <f t="shared" si="12"/>
        <v>-</v>
      </c>
      <c r="AQ4" s="44">
        <f t="shared" si="13"/>
        <v>0</v>
      </c>
      <c r="AR4" s="44" t="str" cm="1">
        <f t="array" ref="AR4">IFERROR(INDEX('ST Forecast'!$E$2:$RK$36,25,M4)+(INDEX('ST Forecast'!$E$2:$RK$36,29,M4)),"")</f>
        <v/>
      </c>
      <c r="AS4" s="44" t="str" cm="1">
        <f t="array" ref="AS4">IFERROR(INDEX('ST Forecast'!$E$2:$RK$36,26,M4)+INDEX('ST Forecast'!$E$2:$RK$36,30,M4),"")</f>
        <v/>
      </c>
      <c r="AT4" s="44" t="str" cm="1">
        <f t="array" ref="AT4">IFERROR(INDEX('ST Forecast'!$E$2:$RK$36,27,M4)+INDEX('ST Forecast'!$E$2:$RK$36,31,M4),"")</f>
        <v/>
      </c>
      <c r="AU4" s="44" t="str" cm="1">
        <f t="array" ref="AU4">IFERROR(INDEX('ST Forecast'!$E$2:$RK$36,28,M4),"")</f>
        <v/>
      </c>
      <c r="AV4" s="44" t="str" cm="1">
        <f t="array" ref="AV4">IFERROR(INDEX('ST Forecast'!$E$2:$RK$36,29,M4),"")</f>
        <v/>
      </c>
      <c r="AW4" s="44"/>
      <c r="AX4" s="178" t="e">
        <f>#REF!</f>
        <v>#REF!</v>
      </c>
      <c r="AY4" s="178" t="e">
        <f>#REF!</f>
        <v>#REF!</v>
      </c>
      <c r="AZ4" s="178" t="e">
        <f>#REF!</f>
        <v>#REF!</v>
      </c>
      <c r="BA4" s="178"/>
    </row>
    <row r="5" spans="1:53" x14ac:dyDescent="0.3">
      <c r="A5" s="44">
        <f t="shared" si="0"/>
        <v>1</v>
      </c>
      <c r="B5" t="str">
        <f t="shared" si="1"/>
        <v>Wk 1</v>
      </c>
      <c r="C5" t="s">
        <v>113</v>
      </c>
      <c r="D5" s="313">
        <v>44564</v>
      </c>
      <c r="E5" s="44">
        <f>DB[[#This Row],[Sales-FC-Orders-Collect]]+DB[[#This Row],[Sales-FC-Orders-HD]]</f>
        <v>1600</v>
      </c>
      <c r="F5" s="402">
        <f>INDEX('LT Collect Forecast'!$K$1:$Q$55,MATCH(B5,'LT Collect Forecast'!$A:$A,0),MATCH(C5,'LT Collect Forecast'!$K$2:$Q$2,0))</f>
        <v>700</v>
      </c>
      <c r="G5" s="44">
        <f>INDEX('LT HD Forecast'!$K$1:$Q$55,MATCH(B5,'LT HD Forecast'!$A:$A,0),MATCH(C5,'LT HD Forecast'!$K$2:$Q$2,0))</f>
        <v>900</v>
      </c>
      <c r="H5" s="44" cm="1">
        <f t="array" ref="H5">IFERROR(INDEX('ST Forecast'!$E$2:$RK$36,6,M5),"")</f>
        <v>43.656842866525146</v>
      </c>
      <c r="I5" s="44" cm="1">
        <f t="array" ref="I5">IFERROR(INDEX('ST Forecast'!$E$2:$RK$36,7,M5),"")</f>
        <v>49.512369851021816</v>
      </c>
      <c r="J5" s="44">
        <f>SUM(DB[[#This Row],[Sales-FC-Picks-Collect]:[Sales-FC-Picks-HD]])</f>
        <v>75120.922872487237</v>
      </c>
      <c r="K5" s="44">
        <f>F5*H5</f>
        <v>30559.790006567604</v>
      </c>
      <c r="L5" s="44">
        <f t="shared" ref="L5" si="14">G5*I5</f>
        <v>44561.132865919637</v>
      </c>
      <c r="M5" s="403">
        <f>IFERROR(IF(B5=B4,M4+1,MATCH(B5,'ST Forecast'!$E$2:$RK$2,0)+1),"")</f>
        <v>2</v>
      </c>
      <c r="N5" s="44">
        <f>SUM(DB[[#This Row],[Ops-FC-Orders-Collect]:[Ops-FC-Orders-HD]])</f>
        <v>1600</v>
      </c>
      <c r="O5" s="44" cm="1">
        <f t="array" ref="O5">IFERROR(INDEX('ST Forecast'!$E$2:$RK$36,13,M5),"")</f>
        <v>700</v>
      </c>
      <c r="P5" s="44">
        <f t="shared" si="2"/>
        <v>900</v>
      </c>
      <c r="Q5" s="44" cm="1">
        <f t="array" ref="Q5">IFERROR(INDEX('ST Forecast'!$E$2:$RK$36,14,M5),"")</f>
        <v>200</v>
      </c>
      <c r="R5" s="44" cm="1">
        <f t="array" ref="R5">IFERROR(INDEX('ST Forecast'!$E$2:$RK$36,15,M5),"")</f>
        <v>700</v>
      </c>
      <c r="S5" s="312">
        <f>SUM(DB[[#This Row],[Ops-FC-Picks-Collect]:[Ops-FC-Picks-HD]])</f>
        <v>73618.504415037489</v>
      </c>
      <c r="T5" s="44">
        <f t="shared" si="3"/>
        <v>29948.59420643625</v>
      </c>
      <c r="U5" s="44">
        <f t="shared" si="4"/>
        <v>43669.910208601235</v>
      </c>
      <c r="V5" s="44">
        <f t="shared" si="5"/>
        <v>9704.4244908002747</v>
      </c>
      <c r="W5" s="404">
        <f t="shared" si="6"/>
        <v>33965.485717800962</v>
      </c>
      <c r="X5" s="44">
        <f>SUM(DB[[#This Row],[Capped-Orders-Collect]:[Capped-Orders-HD]])</f>
        <v>90</v>
      </c>
      <c r="Y5">
        <f>INDEX('Operations Forecast'!$A$2:$BGY$47,3,MATCH(DB!D5,'Operations Forecast'!$A$2:$BGY$2))</f>
        <v>0</v>
      </c>
      <c r="Z5">
        <f t="shared" si="7"/>
        <v>90</v>
      </c>
      <c r="AA5">
        <f>INDEX('Operations Forecast'!$A$2:$BGY$47,10,MATCH(DB!D5,'Operations Forecast'!$A$2:$BGY$2))</f>
        <v>90</v>
      </c>
      <c r="AB5">
        <f>INDEX('Operations Forecast'!$A$2:$BGY$47,21,MATCH(DB!D5,'Operations Forecast'!$A$2:$BGY$2))</f>
        <v>0</v>
      </c>
      <c r="AC5" s="312">
        <f>SUM(DB[[#This Row],[Act-Orders-Collect]:[Act-Orders-HD]])</f>
        <v>1517</v>
      </c>
      <c r="AD5" s="858">
        <f>IFERROR(INDEX('Operations Forecast_new'!$7:$7,MATCH(DB[[#This Row],[Datum]],'Operations Forecast_new'!$2:$2,0)),0)</f>
        <v>615</v>
      </c>
      <c r="AE5" s="312">
        <f t="shared" si="8"/>
        <v>902</v>
      </c>
      <c r="AF5" s="858">
        <f>IFERROR(INDEX('Operations Forecast_new'!$13:$13,MATCH(DB[[#This Row],[Datum]],'Operations Forecast_new'!$2:$2,0)),0)</f>
        <v>201</v>
      </c>
      <c r="AG5" s="858">
        <f>IFERROR(INDEX('Operations Forecast_new'!$19:$19,MATCH(DB[[#This Row],[Datum]],'Operations Forecast_new'!$2:$2,0)),0)</f>
        <v>701</v>
      </c>
      <c r="AH5" s="312">
        <f t="shared" si="9"/>
        <v>74567.888999999996</v>
      </c>
      <c r="AI5" s="858">
        <f>IFERROR(INDEX('Operations Forecast_new'!$9:$9,MATCH(DB[[#This Row],[Datum]],'Operations Forecast_new'!$2:$2,0)),0)</f>
        <v>26972.055</v>
      </c>
      <c r="AJ5" s="312">
        <f t="shared" si="10"/>
        <v>47595.833999999995</v>
      </c>
      <c r="AK5" s="858">
        <f>IFERROR(INDEX('Operations Forecast_new'!$15:$15,MATCH(DB[[#This Row],[Datum]],'Operations Forecast_new'!$2:$2,0)),0)</f>
        <v>10606.166999999999</v>
      </c>
      <c r="AL5" s="858">
        <f>IFERROR(INDEX('Operations Forecast_new'!$21:$21,MATCH(DB[[#This Row],[Datum]],'Operations Forecast_new'!$2:$2,0)),0)</f>
        <v>36989.666999999994</v>
      </c>
      <c r="AM5" s="178">
        <f>IFERROR(INDEX('Operations Forecast_new'!$8:$8,MATCH(DB[[#This Row],[Datum]],'Operations Forecast_new'!$2:$2,0)),0)</f>
        <v>44.3</v>
      </c>
      <c r="AN5" s="859">
        <f>IFERROR(INDEX('Operations Forecast_new'!$20:$20,MATCH(DB[[#This Row],[Datum]],'Operations Forecast_new'!$2:$2,0)),0)</f>
        <v>53.3</v>
      </c>
      <c r="AO5" s="44">
        <f t="shared" si="11"/>
        <v>43.856999999999999</v>
      </c>
      <c r="AP5" s="404">
        <f t="shared" si="12"/>
        <v>52.766999999999996</v>
      </c>
      <c r="AQ5" s="44">
        <f t="shared" si="13"/>
        <v>202575</v>
      </c>
      <c r="AR5" s="44" cm="1">
        <f t="array" ref="AR5">IFERROR(INDEX('ST Forecast'!$E$2:$RK$36,25,M5)+(INDEX('ST Forecast'!$E$2:$RK$36,29,M5)),"")</f>
        <v>85794.442754002535</v>
      </c>
      <c r="AS5" s="44" cm="1">
        <f t="array" ref="AS5">IFERROR(INDEX('ST Forecast'!$E$2:$RK$36,26,M5)+INDEX('ST Forecast'!$E$2:$RK$36,30,M5),"")</f>
        <v>60969.286306877912</v>
      </c>
      <c r="AT5" s="44" cm="1">
        <f t="array" ref="AT5">IFERROR(INDEX('ST Forecast'!$E$2:$RK$36,27,M5)+INDEX('ST Forecast'!$E$2:$RK$36,31,M5),"")</f>
        <v>49273.053738034767</v>
      </c>
      <c r="AU5" s="44" cm="1">
        <f t="array" ref="AU5">IFERROR(INDEX('ST Forecast'!$E$2:$RK$36,28,M5),"")</f>
        <v>6538.2172010847999</v>
      </c>
      <c r="AV5" s="44" cm="1">
        <f t="array" ref="AV5">IFERROR(INDEX('ST Forecast'!$E$2:$RK$36,29,M5),"")</f>
        <v>0</v>
      </c>
      <c r="AW5" s="44"/>
      <c r="AX5" s="178" t="e">
        <f>#REF!</f>
        <v>#REF!</v>
      </c>
      <c r="AY5" s="178" t="e">
        <f>#REF!</f>
        <v>#REF!</v>
      </c>
      <c r="AZ5" s="178" t="e">
        <f>#REF!</f>
        <v>#REF!</v>
      </c>
      <c r="BA5" s="178">
        <f>MONTH(DB[[#This Row],[Datum]])</f>
        <v>1</v>
      </c>
    </row>
    <row r="6" spans="1:53" x14ac:dyDescent="0.3">
      <c r="A6" s="44">
        <f>(WEEKNUM(D6,2))-1</f>
        <v>1</v>
      </c>
      <c r="B6" t="str">
        <f t="shared" ref="B6:B12" si="15">"Wk "&amp;A6</f>
        <v>Wk 1</v>
      </c>
      <c r="C6" t="s">
        <v>114</v>
      </c>
      <c r="D6" s="313">
        <v>44565</v>
      </c>
      <c r="E6" s="44">
        <f>DB[[#This Row],[Sales-FC-Orders-Collect]]+DB[[#This Row],[Sales-FC-Orders-HD]]</f>
        <v>2850</v>
      </c>
      <c r="F6" s="402">
        <f>INDEX('LT Collect Forecast'!$K$1:$Q$55,MATCH(B6,'LT Collect Forecast'!$A:$A,0),MATCH(C6,'LT Collect Forecast'!$K$2:$Q$2,0))</f>
        <v>750</v>
      </c>
      <c r="G6" s="44">
        <f>INDEX('LT HD Forecast'!$K$1:$Q$55,MATCH(B6,'LT HD Forecast'!$A:$A,0),MATCH(C6,'LT HD Forecast'!$K$2:$Q$2,0))</f>
        <v>2100</v>
      </c>
      <c r="H6" s="44" cm="1">
        <f t="array" ref="H6">IFERROR(INDEX('ST Forecast'!$E$2:$RK$36,6,M6),"")</f>
        <v>41.534592037673136</v>
      </c>
      <c r="I6" s="44" cm="1">
        <f t="array" ref="I6">IFERROR(INDEX('ST Forecast'!$E$2:$RK$36,7,M6),"")</f>
        <v>49.145396519071276</v>
      </c>
      <c r="J6" s="44">
        <f>SUM(DB[[#This Row],[Sales-FC-Picks-Collect]:[Sales-FC-Picks-HD]])</f>
        <v>134356.27671830452</v>
      </c>
      <c r="K6" s="44">
        <f t="shared" ref="K6:K12" si="16">F6*H6</f>
        <v>31150.944028254853</v>
      </c>
      <c r="L6" s="44">
        <f t="shared" ref="L6:L12" si="17">G6*I6</f>
        <v>103205.33269004968</v>
      </c>
      <c r="M6" s="403">
        <f>IFERROR(IF(B6=B5,M5+1,MATCH(B6,'ST Forecast'!$E$2:$RK$2,0)+1),"")</f>
        <v>3</v>
      </c>
      <c r="N6">
        <f>SUM(DB[[#This Row],[Ops-FC-Orders-Collect]:[Ops-FC-Orders-HD]])</f>
        <v>2850</v>
      </c>
      <c r="O6" s="44" cm="1">
        <f t="array" ref="O6">IFERROR(INDEX('ST Forecast'!$E$2:$RK$36,13,M6),"")</f>
        <v>750</v>
      </c>
      <c r="P6" s="44">
        <f t="shared" si="2"/>
        <v>2100</v>
      </c>
      <c r="Q6" s="44" cm="1">
        <f t="array" ref="Q6">IFERROR(INDEX('ST Forecast'!$E$2:$RK$36,14,M6),"")</f>
        <v>1100</v>
      </c>
      <c r="R6" s="44" cm="1">
        <f t="array" ref="R6">IFERROR(INDEX('ST Forecast'!$E$2:$RK$36,15,M6),"")</f>
        <v>1000</v>
      </c>
      <c r="S6" s="312">
        <f>SUM(DB[[#This Row],[Ops-FC-Picks-Collect]:[Ops-FC-Picks-HD]])</f>
        <v>131669.15118393843</v>
      </c>
      <c r="T6" s="44">
        <f t="shared" si="3"/>
        <v>30527.925147689755</v>
      </c>
      <c r="U6" s="44">
        <f t="shared" si="4"/>
        <v>101141.22603624868</v>
      </c>
      <c r="V6" s="44">
        <f t="shared" si="5"/>
        <v>52978.737447558837</v>
      </c>
      <c r="W6" s="404">
        <f t="shared" si="6"/>
        <v>48162.488588689848</v>
      </c>
      <c r="X6" s="44">
        <f>SUM(DB[[#This Row],[Capped-Orders-Collect]:[Capped-Orders-HD]])</f>
        <v>90</v>
      </c>
      <c r="Y6">
        <f>INDEX('Operations Forecast'!$A$2:$BGY$47,3,MATCH(DB!D6,'Operations Forecast'!$A$2:$BGY$2))</f>
        <v>0</v>
      </c>
      <c r="Z6">
        <f t="shared" ref="Z6:Z12" si="18">SUM(AA6:AB6)</f>
        <v>90</v>
      </c>
      <c r="AA6">
        <f>INDEX('Operations Forecast'!$A$2:$BGY$47,10,MATCH(DB!D6,'Operations Forecast'!$A$2:$BGY$2))</f>
        <v>90</v>
      </c>
      <c r="AB6">
        <f>INDEX('Operations Forecast'!$A$2:$BGY$47,21,MATCH(DB!D6,'Operations Forecast'!$A$2:$BGY$2))</f>
        <v>0</v>
      </c>
      <c r="AC6" s="312">
        <f>SUM(DB[[#This Row],[Act-Orders-Collect]:[Act-Orders-HD]])</f>
        <v>2847</v>
      </c>
      <c r="AD6" s="858">
        <f>IFERROR(INDEX('Operations Forecast_new'!$7:$7,MATCH(DB[[#This Row],[Datum]],'Operations Forecast_new'!$2:$2,0)),0)</f>
        <v>676</v>
      </c>
      <c r="AE6" s="312">
        <f t="shared" ref="AE6:AE12" si="19">AF6+AG6</f>
        <v>2171</v>
      </c>
      <c r="AF6" s="858">
        <f>IFERROR(INDEX('Operations Forecast_new'!$13:$13,MATCH(DB[[#This Row],[Datum]],'Operations Forecast_new'!$2:$2,0)),0)</f>
        <v>1131</v>
      </c>
      <c r="AG6" s="858">
        <f>IFERROR(INDEX('Operations Forecast_new'!$19:$19,MATCH(DB[[#This Row],[Datum]],'Operations Forecast_new'!$2:$2,0)),0)</f>
        <v>1040</v>
      </c>
      <c r="AH6" s="312">
        <f t="shared" si="9"/>
        <v>131848.00199999998</v>
      </c>
      <c r="AI6" s="858">
        <f>IFERROR(INDEX('Operations Forecast_new'!$9:$9,MATCH(DB[[#This Row],[Datum]],'Operations Forecast_new'!$2:$2,0)),0)</f>
        <v>29111.94</v>
      </c>
      <c r="AJ6" s="312">
        <f t="shared" ref="AJ6:AJ12" si="20">AK6+AL6</f>
        <v>102736.06199999999</v>
      </c>
      <c r="AK6" s="858">
        <f>IFERROR(INDEX('Operations Forecast_new'!$15:$15,MATCH(DB[[#This Row],[Datum]],'Operations Forecast_new'!$2:$2,0)),0)</f>
        <v>53521.181999999993</v>
      </c>
      <c r="AL6" s="858">
        <f>IFERROR(INDEX('Operations Forecast_new'!$21:$21,MATCH(DB[[#This Row],[Datum]],'Operations Forecast_new'!$2:$2,0)),0)</f>
        <v>49214.879999999997</v>
      </c>
      <c r="AM6" s="178">
        <f>IFERROR(INDEX('Operations Forecast_new'!$8:$8,MATCH(DB[[#This Row],[Datum]],'Operations Forecast_new'!$2:$2,0)),0)</f>
        <v>43.5</v>
      </c>
      <c r="AN6" s="859">
        <f>IFERROR(INDEX('Operations Forecast_new'!$20:$20,MATCH(DB[[#This Row],[Datum]],'Operations Forecast_new'!$2:$2,0)),0)</f>
        <v>47.8</v>
      </c>
      <c r="AO6" s="44">
        <f t="shared" ref="AO6:AO12" si="21">IFERROR(AI6/AD6,"-")</f>
        <v>43.064999999999998</v>
      </c>
      <c r="AP6" s="404">
        <f t="shared" ref="AP6:AP12" si="22">IFERROR(AJ6/AE6,"-")</f>
        <v>47.321999999999996</v>
      </c>
      <c r="AQ6" s="44">
        <f t="shared" si="13"/>
        <v>147576.00000000009</v>
      </c>
      <c r="AR6" s="44" cm="1">
        <f t="array" ref="AR6">IFERROR(INDEX('ST Forecast'!$E$2:$RK$36,25,M6)+(INDEX('ST Forecast'!$E$2:$RK$36,29,M6)),"")</f>
        <v>65323.939111411899</v>
      </c>
      <c r="AS6" s="44" cm="1">
        <f t="array" ref="AS6">IFERROR(INDEX('ST Forecast'!$E$2:$RK$36,26,M6)+INDEX('ST Forecast'!$E$2:$RK$36,30,M6),"")</f>
        <v>68517.000793053478</v>
      </c>
      <c r="AT6" s="44" cm="1">
        <f t="array" ref="AT6">IFERROR(INDEX('ST Forecast'!$E$2:$RK$36,27,M6)+INDEX('ST Forecast'!$E$2:$RK$36,31,M6),"")</f>
        <v>6447.0457431537743</v>
      </c>
      <c r="AU6" s="44" cm="1">
        <f t="array" ref="AU6">IFERROR(INDEX('ST Forecast'!$E$2:$RK$36,28,M6),"")</f>
        <v>7288.0143523809411</v>
      </c>
      <c r="AV6" s="44" cm="1">
        <f t="array" ref="AV6">IFERROR(INDEX('ST Forecast'!$E$2:$RK$36,29,M6),"")</f>
        <v>0</v>
      </c>
      <c r="AW6" s="44">
        <f>DB[[#This Row],[Inbound FC]]-DB[[#This Row],[Inbound Act - Ultrafresh2]]</f>
        <v>147576.00000000009</v>
      </c>
      <c r="AX6" s="178" t="e">
        <f>#REF!</f>
        <v>#REF!</v>
      </c>
      <c r="AY6" s="178" t="e">
        <f>#REF!</f>
        <v>#REF!</v>
      </c>
      <c r="AZ6" s="178" t="e">
        <f>#REF!</f>
        <v>#REF!</v>
      </c>
      <c r="BA6" s="178">
        <f>MONTH(DB[[#This Row],[Datum]])</f>
        <v>1</v>
      </c>
    </row>
    <row r="7" spans="1:53" x14ac:dyDescent="0.3">
      <c r="A7" s="44">
        <f t="shared" ref="A7:A70" si="23">(WEEKNUM(D7,2))-1</f>
        <v>1</v>
      </c>
      <c r="B7" t="str">
        <f t="shared" si="15"/>
        <v>Wk 1</v>
      </c>
      <c r="C7" t="s">
        <v>115</v>
      </c>
      <c r="D7" s="313">
        <v>44566</v>
      </c>
      <c r="E7" s="44">
        <f>DB[[#This Row],[Sales-FC-Orders-Collect]]+DB[[#This Row],[Sales-FC-Orders-HD]]</f>
        <v>2750</v>
      </c>
      <c r="F7" s="402">
        <f>INDEX('LT Collect Forecast'!$K$1:$Q$55,MATCH(B7,'LT Collect Forecast'!$A:$A,0),MATCH(C7,'LT Collect Forecast'!$K$2:$Q$2,0))</f>
        <v>650</v>
      </c>
      <c r="G7" s="44">
        <f>INDEX('LT HD Forecast'!$K$1:$Q$55,MATCH(B7,'LT HD Forecast'!$A:$A,0),MATCH(C7,'LT HD Forecast'!$K$2:$Q$2,0))</f>
        <v>2100</v>
      </c>
      <c r="H7" s="44" cm="1">
        <f t="array" ref="H7">IFERROR(INDEX('ST Forecast'!$E$2:$RK$36,6,M7),"")</f>
        <v>44.275547038122347</v>
      </c>
      <c r="I7" s="44" cm="1">
        <f t="array" ref="I7">IFERROR(INDEX('ST Forecast'!$E$2:$RK$36,7,M7),"")</f>
        <v>49.947849611078091</v>
      </c>
      <c r="J7" s="44">
        <f>SUM(DB[[#This Row],[Sales-FC-Picks-Collect]:[Sales-FC-Picks-HD]])</f>
        <v>133669.58975804353</v>
      </c>
      <c r="K7" s="44">
        <f t="shared" si="16"/>
        <v>28779.105574779525</v>
      </c>
      <c r="L7" s="44">
        <f t="shared" si="17"/>
        <v>104890.48418326399</v>
      </c>
      <c r="M7" s="403">
        <f>IFERROR(IF(B7=B6,M6+1,MATCH(B7,'ST Forecast'!$E$2:$RK$2,0)+1),"")</f>
        <v>4</v>
      </c>
      <c r="N7">
        <f>SUM(DB[[#This Row],[Ops-FC-Orders-Collect]:[Ops-FC-Orders-HD]])</f>
        <v>2750</v>
      </c>
      <c r="O7" s="44" cm="1">
        <f t="array" ref="O7">IFERROR(INDEX('ST Forecast'!$E$2:$RK$36,13,M7),"")</f>
        <v>650</v>
      </c>
      <c r="P7" s="44">
        <f t="shared" si="2"/>
        <v>2100</v>
      </c>
      <c r="Q7" s="44" cm="1">
        <f t="array" ref="Q7">IFERROR(INDEX('ST Forecast'!$E$2:$RK$36,14,M7),"")</f>
        <v>1100</v>
      </c>
      <c r="R7" s="44" cm="1">
        <f t="array" ref="R7">IFERROR(INDEX('ST Forecast'!$E$2:$RK$36,15,M7),"")</f>
        <v>1000</v>
      </c>
      <c r="S7" s="312">
        <f>SUM(DB[[#This Row],[Ops-FC-Picks-Collect]:[Ops-FC-Picks-HD]])</f>
        <v>130996.19796288264</v>
      </c>
      <c r="T7" s="44">
        <f t="shared" si="3"/>
        <v>28203.523463283935</v>
      </c>
      <c r="U7" s="44">
        <f t="shared" si="4"/>
        <v>102792.67449959871</v>
      </c>
      <c r="V7" s="44">
        <f t="shared" si="5"/>
        <v>53843.781880742186</v>
      </c>
      <c r="W7" s="404">
        <f t="shared" si="6"/>
        <v>48948.892618856531</v>
      </c>
      <c r="X7" s="44">
        <f>SUM(DB[[#This Row],[Capped-Orders-Collect]:[Capped-Orders-HD]])</f>
        <v>90</v>
      </c>
      <c r="Y7">
        <f>INDEX('Operations Forecast'!$A$2:$BGY$47,3,MATCH(DB!D7,'Operations Forecast'!$A$2:$BGY$2))</f>
        <v>0</v>
      </c>
      <c r="Z7">
        <f t="shared" si="18"/>
        <v>90</v>
      </c>
      <c r="AA7">
        <f>INDEX('Operations Forecast'!$A$2:$BGY$47,10,MATCH(DB!D7,'Operations Forecast'!$A$2:$BGY$2))</f>
        <v>90</v>
      </c>
      <c r="AB7">
        <f>INDEX('Operations Forecast'!$A$2:$BGY$47,21,MATCH(DB!D7,'Operations Forecast'!$A$2:$BGY$2))</f>
        <v>0</v>
      </c>
      <c r="AC7" s="312">
        <f>SUM(DB[[#This Row],[Act-Orders-Collect]:[Act-Orders-HD]])</f>
        <v>2725</v>
      </c>
      <c r="AD7" s="858">
        <f>IFERROR(INDEX('Operations Forecast_new'!$7:$7,MATCH(DB[[#This Row],[Datum]],'Operations Forecast_new'!$2:$2,0)),0)</f>
        <v>577</v>
      </c>
      <c r="AE7" s="312">
        <f t="shared" si="19"/>
        <v>2148</v>
      </c>
      <c r="AF7" s="858">
        <f>IFERROR(INDEX('Operations Forecast_new'!$13:$13,MATCH(DB[[#This Row],[Datum]],'Operations Forecast_new'!$2:$2,0)),0)</f>
        <v>1105</v>
      </c>
      <c r="AG7" s="858">
        <f>IFERROR(INDEX('Operations Forecast_new'!$19:$19,MATCH(DB[[#This Row],[Datum]],'Operations Forecast_new'!$2:$2,0)),0)</f>
        <v>1043</v>
      </c>
      <c r="AH7" s="312">
        <f t="shared" si="9"/>
        <v>127975.122</v>
      </c>
      <c r="AI7" s="858">
        <f>IFERROR(INDEX('Operations Forecast_new'!$9:$9,MATCH(DB[[#This Row],[Datum]],'Operations Forecast_new'!$2:$2,0)),0)</f>
        <v>25476.858</v>
      </c>
      <c r="AJ7" s="312">
        <f t="shared" si="20"/>
        <v>102498.264</v>
      </c>
      <c r="AK7" s="858">
        <f>IFERROR(INDEX('Operations Forecast_new'!$15:$15,MATCH(DB[[#This Row],[Datum]],'Operations Forecast_new'!$2:$2,0)),0)</f>
        <v>52728.39</v>
      </c>
      <c r="AL7" s="858">
        <f>IFERROR(INDEX('Operations Forecast_new'!$21:$21,MATCH(DB[[#This Row],[Datum]],'Operations Forecast_new'!$2:$2,0)),0)</f>
        <v>49769.874000000003</v>
      </c>
      <c r="AM7" s="178">
        <f>IFERROR(INDEX('Operations Forecast_new'!$8:$8,MATCH(DB[[#This Row],[Datum]],'Operations Forecast_new'!$2:$2,0)),0)</f>
        <v>44.6</v>
      </c>
      <c r="AN7" s="859">
        <f>IFERROR(INDEX('Operations Forecast_new'!$20:$20,MATCH(DB[[#This Row],[Datum]],'Operations Forecast_new'!$2:$2,0)),0)</f>
        <v>48.2</v>
      </c>
      <c r="AO7" s="44">
        <f t="shared" si="21"/>
        <v>44.154000000000003</v>
      </c>
      <c r="AP7" s="404">
        <f t="shared" si="22"/>
        <v>47.717999999999996</v>
      </c>
      <c r="AQ7" s="44">
        <f t="shared" si="13"/>
        <v>142350.00000000009</v>
      </c>
      <c r="AR7" s="44" cm="1">
        <f t="array" ref="AR7">IFERROR(INDEX('ST Forecast'!$E$2:$RK$36,25,M7)+(INDEX('ST Forecast'!$E$2:$RK$36,29,M7)),"")</f>
        <v>59060.496963457772</v>
      </c>
      <c r="AS7" s="44" cm="1">
        <f t="array" ref="AS7">IFERROR(INDEX('ST Forecast'!$E$2:$RK$36,26,M7)+INDEX('ST Forecast'!$E$2:$RK$36,30,M7),"")</f>
        <v>59891.490568967864</v>
      </c>
      <c r="AT7" s="44" cm="1">
        <f t="array" ref="AT7">IFERROR(INDEX('ST Forecast'!$E$2:$RK$36,27,M7)+INDEX('ST Forecast'!$E$2:$RK$36,31,M7),"")</f>
        <v>14752.884949626197</v>
      </c>
      <c r="AU7" s="44" cm="1">
        <f t="array" ref="AU7">IFERROR(INDEX('ST Forecast'!$E$2:$RK$36,28,M7),"")</f>
        <v>8645.1275179482418</v>
      </c>
      <c r="AV7" s="44" cm="1">
        <f t="array" ref="AV7">IFERROR(INDEX('ST Forecast'!$E$2:$RK$36,29,M7),"")</f>
        <v>0</v>
      </c>
      <c r="AW7" s="44">
        <f>DB[[#This Row],[Inbound FC]]-DB[[#This Row],[Inbound Act - Ultrafresh2]]</f>
        <v>142350.00000000009</v>
      </c>
      <c r="AX7" s="178" t="e">
        <f>#REF!</f>
        <v>#REF!</v>
      </c>
      <c r="AY7" s="178" t="e">
        <f>#REF!</f>
        <v>#REF!</v>
      </c>
      <c r="AZ7" s="178" t="e">
        <f>#REF!</f>
        <v>#REF!</v>
      </c>
      <c r="BA7" s="178">
        <f>MONTH(DB[[#This Row],[Datum]])</f>
        <v>1</v>
      </c>
    </row>
    <row r="8" spans="1:53" x14ac:dyDescent="0.3">
      <c r="A8" s="44">
        <f t="shared" si="23"/>
        <v>1</v>
      </c>
      <c r="B8" t="str">
        <f t="shared" si="15"/>
        <v>Wk 1</v>
      </c>
      <c r="C8" t="s">
        <v>116</v>
      </c>
      <c r="D8" s="313">
        <v>44567</v>
      </c>
      <c r="E8" s="44">
        <f>DB[[#This Row],[Sales-FC-Orders-Collect]]+DB[[#This Row],[Sales-FC-Orders-HD]]</f>
        <v>2500</v>
      </c>
      <c r="F8" s="402" cm="1">
        <f t="array" ref="F8">INDEX('LT Collect Forecast'!$K$1:$Q$55,MATCH(B8,'LT Collect Forecast'!$A:$A,0)+1,MATCH(C8,'LT Collect Forecast'!$K$2:$Q$2,0))</f>
        <v>500</v>
      </c>
      <c r="G8" s="44" cm="1">
        <f t="array" ref="G8">INDEX('LT HD Forecast'!$K$1:$Q$55,MATCH(B8,'LT HD Forecast'!$A:$A,0)+1,MATCH(C8,'LT HD Forecast'!$K$2:$Q$2,0))</f>
        <v>2000</v>
      </c>
      <c r="H8" s="44" cm="1">
        <f t="array" ref="H8">IFERROR(INDEX('ST Forecast'!$E$2:$RK$36,6,M8),"")</f>
        <v>49</v>
      </c>
      <c r="I8" s="44" cm="1">
        <f t="array" ref="I8">IFERROR(INDEX('ST Forecast'!$E$2:$RK$36,7,M8),"")</f>
        <v>50</v>
      </c>
      <c r="J8" s="44">
        <f>SUM(DB[[#This Row],[Sales-FC-Picks-Collect]:[Sales-FC-Picks-HD]])</f>
        <v>124500</v>
      </c>
      <c r="K8" s="44">
        <f t="shared" si="16"/>
        <v>24500</v>
      </c>
      <c r="L8" s="44">
        <f t="shared" si="17"/>
        <v>100000</v>
      </c>
      <c r="M8" s="403">
        <f>IFERROR(IF(B8=B7,M7+1,MATCH(B8,'ST Forecast'!$E$2:$RK$2,0)+1),"")</f>
        <v>5</v>
      </c>
      <c r="N8">
        <f>SUM(DB[[#This Row],[Ops-FC-Orders-Collect]:[Ops-FC-Orders-HD]])</f>
        <v>2400</v>
      </c>
      <c r="O8" s="44" cm="1">
        <f t="array" ref="O8">IFERROR(INDEX('ST Forecast'!$E$2:$RK$36,13,M8),"")</f>
        <v>500</v>
      </c>
      <c r="P8" s="44">
        <f>IFERROR(Q8+R8,"")</f>
        <v>1900</v>
      </c>
      <c r="Q8" s="44" cm="1">
        <f t="array" ref="Q8">IFERROR(INDEX('ST Forecast'!$E$2:$RK$36,14,M8),"")</f>
        <v>1000</v>
      </c>
      <c r="R8" s="44" cm="1">
        <f t="array" ref="R8">IFERROR(INDEX('ST Forecast'!$E$2:$RK$36,15,M8),"")</f>
        <v>900</v>
      </c>
      <c r="S8" s="312">
        <f>SUM(DB[[#This Row],[Ops-FC-Picks-Collect]:[Ops-FC-Picks-HD]])</f>
        <v>117110</v>
      </c>
      <c r="T8" s="44">
        <f t="shared" si="3"/>
        <v>24010</v>
      </c>
      <c r="U8" s="44">
        <f t="shared" si="4"/>
        <v>93100</v>
      </c>
      <c r="V8" s="44">
        <f t="shared" si="5"/>
        <v>49000</v>
      </c>
      <c r="W8" s="404">
        <f t="shared" si="6"/>
        <v>44100</v>
      </c>
      <c r="X8" s="44">
        <f>SUM(DB[[#This Row],[Capped-Orders-Collect]:[Capped-Orders-HD]])</f>
        <v>90</v>
      </c>
      <c r="Y8">
        <f>INDEX('Operations Forecast'!$A$2:$BGY$47,3,MATCH(DB!D8,'Operations Forecast'!$A$2:$BGY$2))</f>
        <v>0</v>
      </c>
      <c r="Z8">
        <f t="shared" si="18"/>
        <v>90</v>
      </c>
      <c r="AA8">
        <f>INDEX('Operations Forecast'!$A$2:$BGY$47,10,MATCH(DB!D8,'Operations Forecast'!$A$2:$BGY$2))</f>
        <v>90</v>
      </c>
      <c r="AB8">
        <f>INDEX('Operations Forecast'!$A$2:$BGY$47,21,MATCH(DB!D8,'Operations Forecast'!$A$2:$BGY$2))</f>
        <v>0</v>
      </c>
      <c r="AC8" s="312">
        <f>SUM(DB[[#This Row],[Act-Orders-Collect]:[Act-Orders-HD]])</f>
        <v>2556</v>
      </c>
      <c r="AD8" s="858">
        <f>IFERROR(INDEX('Operations Forecast_new'!$7:$7,MATCH(DB[[#This Row],[Datum]],'Operations Forecast_new'!$2:$2,0)),0)</f>
        <v>515</v>
      </c>
      <c r="AE8" s="312">
        <f t="shared" si="19"/>
        <v>2041</v>
      </c>
      <c r="AF8" s="858">
        <f>IFERROR(INDEX('Operations Forecast_new'!$13:$13,MATCH(DB[[#This Row],[Datum]],'Operations Forecast_new'!$2:$2,0)),0)</f>
        <v>1069</v>
      </c>
      <c r="AG8" s="858">
        <f>IFERROR(INDEX('Operations Forecast_new'!$19:$19,MATCH(DB[[#This Row],[Datum]],'Operations Forecast_new'!$2:$2,0)),0)</f>
        <v>972</v>
      </c>
      <c r="AH8" s="312">
        <f t="shared" si="9"/>
        <v>122116.40099999998</v>
      </c>
      <c r="AI8" s="858">
        <f>IFERROR(INDEX('Operations Forecast_new'!$9:$9,MATCH(DB[[#This Row],[Datum]],'Operations Forecast_new'!$2:$2,0)),0)</f>
        <v>24319.845000000001</v>
      </c>
      <c r="AJ8" s="312">
        <f t="shared" si="20"/>
        <v>97796.555999999982</v>
      </c>
      <c r="AK8" s="858">
        <f>IFERROR(INDEX('Operations Forecast_new'!$15:$15,MATCH(DB[[#This Row],[Datum]],'Operations Forecast_new'!$2:$2,0)),0)</f>
        <v>51222.203999999998</v>
      </c>
      <c r="AL8" s="858">
        <f>IFERROR(INDEX('Operations Forecast_new'!$21:$21,MATCH(DB[[#This Row],[Datum]],'Operations Forecast_new'!$2:$2,0)),0)</f>
        <v>46574.351999999992</v>
      </c>
      <c r="AM8" s="178">
        <f>IFERROR(INDEX('Operations Forecast_new'!$8:$8,MATCH(DB[[#This Row],[Datum]],'Operations Forecast_new'!$2:$2,0)),0)</f>
        <v>47.7</v>
      </c>
      <c r="AN8" s="859">
        <f>IFERROR(INDEX('Operations Forecast_new'!$20:$20,MATCH(DB[[#This Row],[Datum]],'Operations Forecast_new'!$2:$2,0)),0)</f>
        <v>48.4</v>
      </c>
      <c r="AO8" s="44">
        <f t="shared" si="21"/>
        <v>47.222999999999999</v>
      </c>
      <c r="AP8" s="404">
        <f t="shared" si="22"/>
        <v>47.91599999999999</v>
      </c>
      <c r="AQ8" s="44">
        <f t="shared" si="13"/>
        <v>128761.00000000007</v>
      </c>
      <c r="AR8" s="44" cm="1">
        <f t="array" ref="AR8">IFERROR(INDEX('ST Forecast'!$E$2:$RK$36,25,M8)+(INDEX('ST Forecast'!$E$2:$RK$36,29,M8)),"")</f>
        <v>54098.434314795879</v>
      </c>
      <c r="AS8" s="44" cm="1">
        <f t="array" ref="AS8">IFERROR(INDEX('ST Forecast'!$E$2:$RK$36,26,M8)+INDEX('ST Forecast'!$E$2:$RK$36,30,M8),"")</f>
        <v>54044.997867303784</v>
      </c>
      <c r="AT8" s="44" cm="1">
        <f t="array" ref="AT8">IFERROR(INDEX('ST Forecast'!$E$2:$RK$36,27,M8)+INDEX('ST Forecast'!$E$2:$RK$36,31,M8),"")</f>
        <v>11884.161805071839</v>
      </c>
      <c r="AU8" s="44" cm="1">
        <f t="array" ref="AU8">IFERROR(INDEX('ST Forecast'!$E$2:$RK$36,28,M8),"")</f>
        <v>8733.4060128285691</v>
      </c>
      <c r="AV8" s="44" cm="1">
        <f t="array" ref="AV8">IFERROR(INDEX('ST Forecast'!$E$2:$RK$36,29,M8),"")</f>
        <v>0</v>
      </c>
      <c r="AW8" s="44">
        <f>DB[[#This Row],[Inbound FC]]-DB[[#This Row],[Inbound Act - Ultrafresh2]]</f>
        <v>128761.00000000007</v>
      </c>
      <c r="AX8" s="178" t="e">
        <f>#REF!</f>
        <v>#REF!</v>
      </c>
      <c r="AY8" s="178" t="e">
        <f>#REF!</f>
        <v>#REF!</v>
      </c>
      <c r="AZ8" s="178" t="e">
        <f>#REF!</f>
        <v>#REF!</v>
      </c>
      <c r="BA8" s="178">
        <f>MONTH(DB[[#This Row],[Datum]])</f>
        <v>1</v>
      </c>
    </row>
    <row r="9" spans="1:53" x14ac:dyDescent="0.3">
      <c r="A9" s="44">
        <f t="shared" si="23"/>
        <v>1</v>
      </c>
      <c r="B9" t="str">
        <f t="shared" si="15"/>
        <v>Wk 1</v>
      </c>
      <c r="C9" t="s">
        <v>117</v>
      </c>
      <c r="D9" s="313">
        <v>44568</v>
      </c>
      <c r="E9" s="44">
        <f>DB[[#This Row],[Sales-FC-Orders-Collect]]+DB[[#This Row],[Sales-FC-Orders-HD]]</f>
        <v>2750</v>
      </c>
      <c r="F9" s="402" cm="1">
        <f t="array" ref="F9">INDEX('LT Collect Forecast'!$K$1:$Q$55,MATCH(B9,'LT Collect Forecast'!$A:$A,0)+1,MATCH(C9,'LT Collect Forecast'!$K$2:$Q$2,0))</f>
        <v>900</v>
      </c>
      <c r="G9" s="44" cm="1">
        <f t="array" ref="G9">INDEX('LT HD Forecast'!$K$1:$Q$55,MATCH(B9,'LT HD Forecast'!$A:$A,0)+1,MATCH(C9,'LT HD Forecast'!$K$2:$Q$2,0))</f>
        <v>1850</v>
      </c>
      <c r="H9" s="44" cm="1">
        <f t="array" ref="H9">IFERROR(INDEX('ST Forecast'!$E$2:$RK$36,6,M9),"")</f>
        <v>54</v>
      </c>
      <c r="I9" s="44" cm="1">
        <f t="array" ref="I9">IFERROR(INDEX('ST Forecast'!$E$2:$RK$36,7,M9),"")</f>
        <v>54</v>
      </c>
      <c r="J9" s="44">
        <f>SUM(DB[[#This Row],[Sales-FC-Picks-Collect]:[Sales-FC-Picks-HD]])</f>
        <v>148500</v>
      </c>
      <c r="K9" s="44">
        <f t="shared" si="16"/>
        <v>48600</v>
      </c>
      <c r="L9" s="44">
        <f t="shared" si="17"/>
        <v>99900</v>
      </c>
      <c r="M9" s="403">
        <f>IFERROR(IF(B9=B8,M8+1,MATCH(B9,'ST Forecast'!$E$2:$RK$2,0)+1),"")</f>
        <v>6</v>
      </c>
      <c r="N9">
        <f>SUM(DB[[#This Row],[Ops-FC-Orders-Collect]:[Ops-FC-Orders-HD]])</f>
        <v>2750</v>
      </c>
      <c r="O9" s="44" cm="1">
        <f t="array" ref="O9">IFERROR(INDEX('ST Forecast'!$E$2:$RK$36,13,M9),"")</f>
        <v>900</v>
      </c>
      <c r="P9" s="44">
        <f t="shared" si="2"/>
        <v>1850</v>
      </c>
      <c r="Q9" s="44" cm="1">
        <f t="array" ref="Q9">IFERROR(INDEX('ST Forecast'!$E$2:$RK$36,14,M9),"")</f>
        <v>1000</v>
      </c>
      <c r="R9" s="44" cm="1">
        <f t="array" ref="R9">IFERROR(INDEX('ST Forecast'!$E$2:$RK$36,15,M9),"")</f>
        <v>850</v>
      </c>
      <c r="S9" s="312">
        <f>SUM(DB[[#This Row],[Ops-FC-Picks-Collect]:[Ops-FC-Picks-HD]])</f>
        <v>145530</v>
      </c>
      <c r="T9" s="44">
        <f t="shared" si="3"/>
        <v>47628</v>
      </c>
      <c r="U9" s="44">
        <f t="shared" si="4"/>
        <v>97902</v>
      </c>
      <c r="V9" s="44">
        <f t="shared" si="5"/>
        <v>52920</v>
      </c>
      <c r="W9" s="404">
        <f t="shared" si="6"/>
        <v>44982</v>
      </c>
      <c r="X9" s="44">
        <f>SUM(DB[[#This Row],[Capped-Orders-Collect]:[Capped-Orders-HD]])</f>
        <v>90</v>
      </c>
      <c r="Y9">
        <f>INDEX('Operations Forecast'!$A$2:$BGY$47,3,MATCH(DB!D9,'Operations Forecast'!$A$2:$BGY$2))</f>
        <v>0</v>
      </c>
      <c r="Z9">
        <f t="shared" si="18"/>
        <v>90</v>
      </c>
      <c r="AA9">
        <f>INDEX('Operations Forecast'!$A$2:$BGY$47,10,MATCH(DB!D9,'Operations Forecast'!$A$2:$BGY$2))</f>
        <v>90</v>
      </c>
      <c r="AB9">
        <f>INDEX('Operations Forecast'!$A$2:$BGY$47,21,MATCH(DB!D9,'Operations Forecast'!$A$2:$BGY$2))</f>
        <v>0</v>
      </c>
      <c r="AC9" s="312">
        <f>SUM(DB[[#This Row],[Act-Orders-Collect]:[Act-Orders-HD]])</f>
        <v>3028</v>
      </c>
      <c r="AD9" s="858">
        <f>IFERROR(INDEX('Operations Forecast_new'!$7:$7,MATCH(DB[[#This Row],[Datum]],'Operations Forecast_new'!$2:$2,0)),0)</f>
        <v>900</v>
      </c>
      <c r="AE9" s="312">
        <f t="shared" si="19"/>
        <v>2128</v>
      </c>
      <c r="AF9" s="858">
        <f>IFERROR(INDEX('Operations Forecast_new'!$13:$13,MATCH(DB[[#This Row],[Datum]],'Operations Forecast_new'!$2:$2,0)),0)</f>
        <v>1147</v>
      </c>
      <c r="AG9" s="858">
        <f>IFERROR(INDEX('Operations Forecast_new'!$19:$19,MATCH(DB[[#This Row],[Datum]],'Operations Forecast_new'!$2:$2,0)),0)</f>
        <v>981</v>
      </c>
      <c r="AH9" s="312">
        <f t="shared" si="9"/>
        <v>148452.084</v>
      </c>
      <c r="AI9" s="858">
        <f>IFERROR(INDEX('Operations Forecast_new'!$9:$9,MATCH(DB[[#This Row],[Datum]],'Operations Forecast_new'!$2:$2,0)),0)</f>
        <v>43748.1</v>
      </c>
      <c r="AJ9" s="312">
        <f t="shared" si="20"/>
        <v>104703.984</v>
      </c>
      <c r="AK9" s="858">
        <f>IFERROR(INDEX('Operations Forecast_new'!$15:$15,MATCH(DB[[#This Row],[Datum]],'Operations Forecast_new'!$2:$2,0)),0)</f>
        <v>56435.841</v>
      </c>
      <c r="AL9" s="858">
        <f>IFERROR(INDEX('Operations Forecast_new'!$21:$21,MATCH(DB[[#This Row],[Datum]],'Operations Forecast_new'!$2:$2,0)),0)</f>
        <v>48268.143000000004</v>
      </c>
      <c r="AM9" s="178">
        <f>IFERROR(INDEX('Operations Forecast_new'!$8:$8,MATCH(DB[[#This Row],[Datum]],'Operations Forecast_new'!$2:$2,0)),0)</f>
        <v>49.1</v>
      </c>
      <c r="AN9" s="859">
        <f>IFERROR(INDEX('Operations Forecast_new'!$20:$20,MATCH(DB[[#This Row],[Datum]],'Operations Forecast_new'!$2:$2,0)),0)</f>
        <v>49.7</v>
      </c>
      <c r="AO9" s="44">
        <f t="shared" si="21"/>
        <v>48.609000000000002</v>
      </c>
      <c r="AP9" s="404">
        <f t="shared" si="22"/>
        <v>49.202999999999996</v>
      </c>
      <c r="AQ9" s="44">
        <f t="shared" si="13"/>
        <v>112393.00000000007</v>
      </c>
      <c r="AR9" s="44" cm="1">
        <f t="array" ref="AR9">IFERROR(INDEX('ST Forecast'!$E$2:$RK$36,25,M9)+(INDEX('ST Forecast'!$E$2:$RK$36,29,M9)),"")</f>
        <v>48633.525709944879</v>
      </c>
      <c r="AS9" s="44" cm="1">
        <f t="array" ref="AS9">IFERROR(INDEX('ST Forecast'!$E$2:$RK$36,26,M9)+INDEX('ST Forecast'!$E$2:$RK$36,30,M9),"")</f>
        <v>48691.064871575494</v>
      </c>
      <c r="AT9" s="44" cm="1">
        <f t="array" ref="AT9">IFERROR(INDEX('ST Forecast'!$E$2:$RK$36,27,M9)+INDEX('ST Forecast'!$E$2:$RK$36,31,M9),"")</f>
        <v>7322.8110519346319</v>
      </c>
      <c r="AU9" s="44" cm="1">
        <f t="array" ref="AU9">IFERROR(INDEX('ST Forecast'!$E$2:$RK$36,28,M9),"")</f>
        <v>7745.5983665450649</v>
      </c>
      <c r="AV9" s="44" cm="1">
        <f t="array" ref="AV9">IFERROR(INDEX('ST Forecast'!$E$2:$RK$36,29,M9),"")</f>
        <v>0</v>
      </c>
      <c r="AW9" s="44">
        <f>DB[[#This Row],[Inbound FC]]-DB[[#This Row],[Inbound Act - Ultrafresh2]]</f>
        <v>112393.00000000007</v>
      </c>
      <c r="AX9" s="178" t="e">
        <f>#REF!</f>
        <v>#REF!</v>
      </c>
      <c r="AY9" s="178" t="e">
        <f>#REF!</f>
        <v>#REF!</v>
      </c>
      <c r="AZ9" s="178" t="e">
        <f>#REF!</f>
        <v>#REF!</v>
      </c>
      <c r="BA9" s="178">
        <f>MONTH(DB[[#This Row],[Datum]])</f>
        <v>1</v>
      </c>
    </row>
    <row r="10" spans="1:53" x14ac:dyDescent="0.3">
      <c r="A10" s="44">
        <f t="shared" si="23"/>
        <v>1</v>
      </c>
      <c r="B10" t="str">
        <f t="shared" si="15"/>
        <v>Wk 1</v>
      </c>
      <c r="C10" t="s">
        <v>118</v>
      </c>
      <c r="D10" s="313">
        <v>44569</v>
      </c>
      <c r="E10" s="44">
        <f>DB[[#This Row],[Sales-FC-Orders-Collect]]+DB[[#This Row],[Sales-FC-Orders-HD]]</f>
        <v>2700</v>
      </c>
      <c r="F10" s="402" cm="1">
        <f t="array" ref="F10">INDEX('LT Collect Forecast'!$K$1:$Q$55,MATCH(B10,'LT Collect Forecast'!$A:$A,0)+1,MATCH(C10,'LT Collect Forecast'!$K$2:$Q$2,0))</f>
        <v>900</v>
      </c>
      <c r="G10" s="44" cm="1">
        <f t="array" ref="G10">INDEX('LT HD Forecast'!$K$1:$Q$55,MATCH(B10,'LT HD Forecast'!$A:$A,0)+1,MATCH(C10,'LT HD Forecast'!$K$2:$Q$2,0))</f>
        <v>1800</v>
      </c>
      <c r="H10" s="44" cm="1">
        <f t="array" ref="H10">IFERROR(INDEX('ST Forecast'!$E$2:$RK$36,6,M10),"")</f>
        <v>53.000000000000007</v>
      </c>
      <c r="I10" s="44" cm="1">
        <f t="array" ref="I10">IFERROR(INDEX('ST Forecast'!$E$2:$RK$36,7,M10),"")</f>
        <v>53</v>
      </c>
      <c r="J10" s="44">
        <f>SUM(DB[[#This Row],[Sales-FC-Picks-Collect]:[Sales-FC-Picks-HD]])</f>
        <v>143100</v>
      </c>
      <c r="K10" s="44">
        <f t="shared" si="16"/>
        <v>47700.000000000007</v>
      </c>
      <c r="L10" s="44">
        <f t="shared" si="17"/>
        <v>95400</v>
      </c>
      <c r="M10" s="403">
        <f>IFERROR(IF(B10=B9,M9+1,MATCH(B10,'ST Forecast'!$E$2:$RK$2,0)+1),"")</f>
        <v>7</v>
      </c>
      <c r="N10">
        <f>SUM(DB[[#This Row],[Ops-FC-Orders-Collect]:[Ops-FC-Orders-HD]])</f>
        <v>2700</v>
      </c>
      <c r="O10" s="44" cm="1">
        <f t="array" ref="O10">IFERROR(INDEX('ST Forecast'!$E$2:$RK$36,13,M10),"")</f>
        <v>900</v>
      </c>
      <c r="P10" s="44">
        <f t="shared" si="2"/>
        <v>1800</v>
      </c>
      <c r="Q10" s="44" cm="1">
        <f t="array" ref="Q10">IFERROR(INDEX('ST Forecast'!$E$2:$RK$36,14,M10),"")</f>
        <v>1000</v>
      </c>
      <c r="R10" s="44" cm="1">
        <f t="array" ref="R10">IFERROR(INDEX('ST Forecast'!$E$2:$RK$36,15,M10),"")</f>
        <v>800</v>
      </c>
      <c r="S10" s="312">
        <f>SUM(DB[[#This Row],[Ops-FC-Picks-Collect]:[Ops-FC-Picks-HD]])</f>
        <v>140238</v>
      </c>
      <c r="T10" s="44">
        <f t="shared" si="3"/>
        <v>46746.000000000007</v>
      </c>
      <c r="U10" s="44">
        <f t="shared" si="4"/>
        <v>93492</v>
      </c>
      <c r="V10" s="44">
        <f t="shared" si="5"/>
        <v>51940</v>
      </c>
      <c r="W10" s="404">
        <f t="shared" si="6"/>
        <v>41552</v>
      </c>
      <c r="X10" s="44">
        <f>SUM(DB[[#This Row],[Capped-Orders-Collect]:[Capped-Orders-HD]])</f>
        <v>90</v>
      </c>
      <c r="Y10">
        <f>INDEX('Operations Forecast'!$A$2:$BGY$47,3,MATCH(DB!D10,'Operations Forecast'!$A$2:$BGY$2))</f>
        <v>0</v>
      </c>
      <c r="Z10">
        <f t="shared" si="18"/>
        <v>90</v>
      </c>
      <c r="AA10">
        <f>INDEX('Operations Forecast'!$A$2:$BGY$47,10,MATCH(DB!D10,'Operations Forecast'!$A$2:$BGY$2))</f>
        <v>90</v>
      </c>
      <c r="AB10">
        <f>INDEX('Operations Forecast'!$A$2:$BGY$47,21,MATCH(DB!D10,'Operations Forecast'!$A$2:$BGY$2))</f>
        <v>0</v>
      </c>
      <c r="AC10" s="312">
        <f>SUM(DB[[#This Row],[Act-Orders-Collect]:[Act-Orders-HD]])</f>
        <v>2910</v>
      </c>
      <c r="AD10" s="858">
        <f>IFERROR(INDEX('Operations Forecast_new'!$7:$7,MATCH(DB[[#This Row],[Datum]],'Operations Forecast_new'!$2:$2,0)),0)</f>
        <v>1040</v>
      </c>
      <c r="AE10" s="312">
        <f t="shared" si="19"/>
        <v>1870</v>
      </c>
      <c r="AF10" s="858">
        <f>IFERROR(INDEX('Operations Forecast_new'!$13:$13,MATCH(DB[[#This Row],[Datum]],'Operations Forecast_new'!$2:$2,0)),0)</f>
        <v>1035</v>
      </c>
      <c r="AG10" s="858">
        <f>IFERROR(INDEX('Operations Forecast_new'!$19:$19,MATCH(DB[[#This Row],[Datum]],'Operations Forecast_new'!$2:$2,0)),0)</f>
        <v>835</v>
      </c>
      <c r="AH10" s="312">
        <f t="shared" si="9"/>
        <v>145360.71</v>
      </c>
      <c r="AI10" s="858">
        <f>IFERROR(INDEX('Operations Forecast_new'!$9:$9,MATCH(DB[[#This Row],[Datum]],'Operations Forecast_new'!$2:$2,0)),0)</f>
        <v>50759.28</v>
      </c>
      <c r="AJ10" s="312">
        <f t="shared" si="20"/>
        <v>94601.43</v>
      </c>
      <c r="AK10" s="858">
        <f>IFERROR(INDEX('Operations Forecast_new'!$15:$15,MATCH(DB[[#This Row],[Datum]],'Operations Forecast_new'!$2:$2,0)),0)</f>
        <v>52359.614999999998</v>
      </c>
      <c r="AL10" s="858">
        <f>IFERROR(INDEX('Operations Forecast_new'!$21:$21,MATCH(DB[[#This Row],[Datum]],'Operations Forecast_new'!$2:$2,0)),0)</f>
        <v>42241.815000000002</v>
      </c>
      <c r="AM10" s="178">
        <f>IFERROR(INDEX('Operations Forecast_new'!$8:$8,MATCH(DB[[#This Row],[Datum]],'Operations Forecast_new'!$2:$2,0)),0)</f>
        <v>49.3</v>
      </c>
      <c r="AN10" s="859">
        <f>IFERROR(INDEX('Operations Forecast_new'!$20:$20,MATCH(DB[[#This Row],[Datum]],'Operations Forecast_new'!$2:$2,0)),0)</f>
        <v>51.1</v>
      </c>
      <c r="AO10" s="44">
        <f t="shared" si="21"/>
        <v>48.807000000000002</v>
      </c>
      <c r="AP10" s="404">
        <f t="shared" si="22"/>
        <v>50.588999999999999</v>
      </c>
      <c r="AQ10" s="44">
        <f t="shared" si="13"/>
        <v>109177</v>
      </c>
      <c r="AR10" s="44" cm="1">
        <f t="array" ref="AR10">IFERROR(INDEX('ST Forecast'!$E$2:$RK$36,25,M10)+(INDEX('ST Forecast'!$E$2:$RK$36,29,M10)),"")</f>
        <v>56996.072926556611</v>
      </c>
      <c r="AS10" s="44" cm="1">
        <f t="array" ref="AS10">IFERROR(INDEX('ST Forecast'!$E$2:$RK$36,26,M10)+INDEX('ST Forecast'!$E$2:$RK$36,30,M10),"")</f>
        <v>40199.441700744937</v>
      </c>
      <c r="AT10" s="44" cm="1">
        <f t="array" ref="AT10">IFERROR(INDEX('ST Forecast'!$E$2:$RK$36,27,M10)+INDEX('ST Forecast'!$E$2:$RK$36,31,M10),"")</f>
        <v>6248.8999477880679</v>
      </c>
      <c r="AU10" s="44" cm="1">
        <f t="array" ref="AU10">IFERROR(INDEX('ST Forecast'!$E$2:$RK$36,28,M10),"")</f>
        <v>5732.5854249103895</v>
      </c>
      <c r="AV10" s="44" cm="1">
        <f t="array" ref="AV10">IFERROR(INDEX('ST Forecast'!$E$2:$RK$36,29,M10),"")</f>
        <v>0</v>
      </c>
      <c r="AW10" s="44">
        <f>DB[[#This Row],[Inbound FC]]-DB[[#This Row],[Inbound Act - Ultrafresh2]]</f>
        <v>109177</v>
      </c>
      <c r="AX10" s="178" t="e">
        <f>#REF!</f>
        <v>#REF!</v>
      </c>
      <c r="AY10" s="178" t="e">
        <f>#REF!</f>
        <v>#REF!</v>
      </c>
      <c r="AZ10" s="178" t="e">
        <f>#REF!</f>
        <v>#REF!</v>
      </c>
      <c r="BA10" s="178">
        <f>MONTH(DB[[#This Row],[Datum]])</f>
        <v>1</v>
      </c>
    </row>
    <row r="11" spans="1:53" x14ac:dyDescent="0.3">
      <c r="A11" s="44">
        <f t="shared" si="23"/>
        <v>1</v>
      </c>
      <c r="B11" t="str">
        <f t="shared" si="15"/>
        <v>Wk 1</v>
      </c>
      <c r="C11" t="s">
        <v>119</v>
      </c>
      <c r="D11" s="313">
        <v>44570</v>
      </c>
      <c r="E11" s="44">
        <f>DB[[#This Row],[Sales-FC-Orders-Collect]]+DB[[#This Row],[Sales-FC-Orders-HD]]</f>
        <v>90</v>
      </c>
      <c r="F11" s="402" cm="1">
        <f t="array" ref="F11">INDEX('LT Collect Forecast'!$K$1:$Q$55,MATCH(B11,'LT Collect Forecast'!$A:$A,0)+1,MATCH(C11,'LT Collect Forecast'!$K$2:$Q$2,0))</f>
        <v>0</v>
      </c>
      <c r="G11" s="44" cm="1">
        <f t="array" ref="G11">INDEX('LT HD Forecast'!$K$1:$Q$55,MATCH(B11,'LT HD Forecast'!$A:$A,0)+1,MATCH(C11,'LT HD Forecast'!$K$2:$Q$2,0))</f>
        <v>90</v>
      </c>
      <c r="H11" s="44" cm="1">
        <f t="array" ref="H11">IFERROR(INDEX('ST Forecast'!$E$2:$RK$36,6,M11),"")</f>
        <v>0</v>
      </c>
      <c r="I11" s="44" cm="1">
        <f t="array" ref="I11">IFERROR(INDEX('ST Forecast'!$E$2:$RK$36,7,M11),"")</f>
        <v>57</v>
      </c>
      <c r="J11" s="44">
        <f>SUM(DB[[#This Row],[Sales-FC-Picks-Collect]:[Sales-FC-Picks-HD]])</f>
        <v>5130</v>
      </c>
      <c r="K11" s="44">
        <f t="shared" si="16"/>
        <v>0</v>
      </c>
      <c r="L11" s="44">
        <f t="shared" si="17"/>
        <v>5130</v>
      </c>
      <c r="M11" s="403">
        <f>IFERROR(IF(B11=B10,M10+1,MATCH(B11,'ST Forecast'!$E$2:$RK$2,0)+1),"")</f>
        <v>8</v>
      </c>
      <c r="N11">
        <f>SUM(DB[[#This Row],[Ops-FC-Orders-Collect]:[Ops-FC-Orders-HD]])</f>
        <v>180</v>
      </c>
      <c r="O11" s="44" cm="1">
        <f t="array" ref="O11">IFERROR(INDEX('ST Forecast'!$E$2:$RK$36,13,M11),"")</f>
        <v>0</v>
      </c>
      <c r="P11" s="44">
        <f t="shared" si="2"/>
        <v>180</v>
      </c>
      <c r="Q11" s="44" cm="1">
        <f t="array" ref="Q11">IFERROR(INDEX('ST Forecast'!$E$2:$RK$36,14,M11),"")</f>
        <v>180</v>
      </c>
      <c r="R11" s="44" cm="1">
        <f t="array" ref="R11">IFERROR(INDEX('ST Forecast'!$E$2:$RK$36,15,M11),"")</f>
        <v>0</v>
      </c>
      <c r="S11" s="312">
        <f>SUM(DB[[#This Row],[Ops-FC-Picks-Collect]:[Ops-FC-Picks-HD]])</f>
        <v>10054.799999999999</v>
      </c>
      <c r="T11" s="44">
        <f t="shared" si="3"/>
        <v>0</v>
      </c>
      <c r="U11" s="44">
        <f t="shared" si="4"/>
        <v>10054.799999999999</v>
      </c>
      <c r="V11" s="44">
        <f t="shared" si="5"/>
        <v>10054.799999999999</v>
      </c>
      <c r="W11" s="404">
        <f t="shared" si="6"/>
        <v>0</v>
      </c>
      <c r="X11" s="44">
        <f>SUM(DB[[#This Row],[Capped-Orders-Collect]:[Capped-Orders-HD]])</f>
        <v>90</v>
      </c>
      <c r="Y11">
        <f>INDEX('Operations Forecast'!$A$2:$BGY$47,3,MATCH(DB!D11,'Operations Forecast'!$A$2:$BGY$2))</f>
        <v>0</v>
      </c>
      <c r="Z11">
        <f t="shared" si="18"/>
        <v>90</v>
      </c>
      <c r="AA11">
        <f>INDEX('Operations Forecast'!$A$2:$BGY$47,10,MATCH(DB!D11,'Operations Forecast'!$A$2:$BGY$2))</f>
        <v>90</v>
      </c>
      <c r="AB11">
        <f>INDEX('Operations Forecast'!$A$2:$BGY$47,21,MATCH(DB!D11,'Operations Forecast'!$A$2:$BGY$2))</f>
        <v>0</v>
      </c>
      <c r="AC11" s="312">
        <f>SUM(DB[[#This Row],[Act-Orders-Collect]:[Act-Orders-HD]])</f>
        <v>172</v>
      </c>
      <c r="AD11" s="858">
        <f>IFERROR(INDEX('Operations Forecast_new'!$7:$7,MATCH(DB[[#This Row],[Datum]],'Operations Forecast_new'!$2:$2,0)),0)</f>
        <v>0</v>
      </c>
      <c r="AE11" s="312">
        <f t="shared" si="19"/>
        <v>172</v>
      </c>
      <c r="AF11" s="858">
        <f>IFERROR(INDEX('Operations Forecast_new'!$13:$13,MATCH(DB[[#This Row],[Datum]],'Operations Forecast_new'!$2:$2,0)),0)</f>
        <v>172</v>
      </c>
      <c r="AG11" s="858">
        <f>IFERROR(INDEX('Operations Forecast_new'!$19:$19,MATCH(DB[[#This Row],[Datum]],'Operations Forecast_new'!$2:$2,0)),0)</f>
        <v>0</v>
      </c>
      <c r="AH11" s="312">
        <f t="shared" si="9"/>
        <v>9688.9319999999989</v>
      </c>
      <c r="AI11" s="858">
        <f>IFERROR(INDEX('Operations Forecast_new'!$9:$9,MATCH(DB[[#This Row],[Datum]],'Operations Forecast_new'!$2:$2,0)),0)</f>
        <v>0</v>
      </c>
      <c r="AJ11" s="312">
        <f t="shared" si="20"/>
        <v>9688.9319999999989</v>
      </c>
      <c r="AK11" s="858">
        <f>IFERROR(INDEX('Operations Forecast_new'!$15:$15,MATCH(DB[[#This Row],[Datum]],'Operations Forecast_new'!$2:$2,0)),0)</f>
        <v>9688.9319999999989</v>
      </c>
      <c r="AL11" s="858">
        <f>IFERROR(INDEX('Operations Forecast_new'!$21:$21,MATCH(DB[[#This Row],[Datum]],'Operations Forecast_new'!$2:$2,0)),0)</f>
        <v>0</v>
      </c>
      <c r="AM11" s="178">
        <f>IFERROR(INDEX('Operations Forecast_new'!$8:$8,MATCH(DB[[#This Row],[Datum]],'Operations Forecast_new'!$2:$2,0)),0)</f>
        <v>0</v>
      </c>
      <c r="AN11" s="859">
        <f>IFERROR(INDEX('Operations Forecast_new'!$20:$20,MATCH(DB[[#This Row],[Datum]],'Operations Forecast_new'!$2:$2,0)),0)</f>
        <v>57</v>
      </c>
      <c r="AO11" s="44" t="str">
        <f t="shared" si="21"/>
        <v>-</v>
      </c>
      <c r="AP11" s="404">
        <f t="shared" si="22"/>
        <v>56.330999999999996</v>
      </c>
      <c r="AQ11" s="44">
        <f t="shared" si="13"/>
        <v>0</v>
      </c>
      <c r="AR11" s="44" cm="1">
        <f t="array" ref="AR11">IFERROR(INDEX('ST Forecast'!$E$2:$RK$36,25,M11)+(INDEX('ST Forecast'!$E$2:$RK$36,29,M11)),"")</f>
        <v>0</v>
      </c>
      <c r="AS11" s="44" cm="1">
        <f t="array" ref="AS11">IFERROR(INDEX('ST Forecast'!$E$2:$RK$36,26,M11)+INDEX('ST Forecast'!$E$2:$RK$36,30,M11),"")</f>
        <v>0</v>
      </c>
      <c r="AT11" s="44" cm="1">
        <f t="array" ref="AT11">IFERROR(INDEX('ST Forecast'!$E$2:$RK$36,27,M11)+INDEX('ST Forecast'!$E$2:$RK$36,31,M11),"")</f>
        <v>0</v>
      </c>
      <c r="AU11" s="44" cm="1">
        <f t="array" ref="AU11">IFERROR(INDEX('ST Forecast'!$E$2:$RK$36,28,M11),"")</f>
        <v>0</v>
      </c>
      <c r="AV11" s="44" cm="1">
        <f t="array" ref="AV11">IFERROR(INDEX('ST Forecast'!$E$2:$RK$36,29,M11),"")</f>
        <v>0</v>
      </c>
      <c r="AW11" s="44">
        <f>DB[[#This Row],[Inbound FC]]-DB[[#This Row],[Inbound Act - Ultrafresh2]]</f>
        <v>0</v>
      </c>
      <c r="AX11" s="178" t="e">
        <f>#REF!</f>
        <v>#REF!</v>
      </c>
      <c r="AY11" s="178" t="e">
        <f>#REF!</f>
        <v>#REF!</v>
      </c>
      <c r="AZ11" s="178" t="e">
        <f>#REF!</f>
        <v>#REF!</v>
      </c>
      <c r="BA11" s="178">
        <f>MONTH(DB[[#This Row],[Datum]])</f>
        <v>1</v>
      </c>
    </row>
    <row r="12" spans="1:53" x14ac:dyDescent="0.3">
      <c r="A12" s="44">
        <f t="shared" si="23"/>
        <v>2</v>
      </c>
      <c r="B12" t="str">
        <f t="shared" si="15"/>
        <v>Wk 2</v>
      </c>
      <c r="C12" t="s">
        <v>113</v>
      </c>
      <c r="D12" s="313">
        <v>44571</v>
      </c>
      <c r="E12" s="44">
        <f>DB[[#This Row],[Sales-FC-Orders-Collect]]+DB[[#This Row],[Sales-FC-Orders-HD]]</f>
        <v>2200</v>
      </c>
      <c r="F12" s="402">
        <f>INDEX('LT Collect Forecast'!$K$1:$Q$55,MATCH(B12,'LT Collect Forecast'!$A:$A,0),MATCH(C12,'LT Collect Forecast'!$K$2:$Q$2,0))</f>
        <v>650</v>
      </c>
      <c r="G12" s="44">
        <f>INDEX('LT HD Forecast'!$K$1:$Q$55,MATCH(B12,'LT HD Forecast'!$A:$A,0),MATCH(C12,'LT HD Forecast'!$K$2:$Q$2,0))</f>
        <v>1550</v>
      </c>
      <c r="H12" s="44" cm="1">
        <f t="array" ref="H12">IFERROR(INDEX('ST Forecast'!$E$2:$RK$36,6,M12),"")</f>
        <v>46.14149263250934</v>
      </c>
      <c r="I12" s="44" cm="1">
        <f t="array" ref="I12">IFERROR(INDEX('ST Forecast'!$E$2:$RK$36,7,M12),"")</f>
        <v>52.405512237002895</v>
      </c>
      <c r="J12" s="44">
        <f>SUM(DB[[#This Row],[Sales-FC-Picks-Collect]:[Sales-FC-Picks-HD]])</f>
        <v>111220.51417848557</v>
      </c>
      <c r="K12" s="44">
        <f t="shared" si="16"/>
        <v>29991.970211131073</v>
      </c>
      <c r="L12" s="44">
        <f t="shared" si="17"/>
        <v>81228.54396735449</v>
      </c>
      <c r="M12" s="403">
        <f>IFERROR(IF(B12=B11,M11+1,MATCH(B12,'ST Forecast'!$E$2:$RK$2,0)+1),"")</f>
        <v>10</v>
      </c>
      <c r="N12">
        <f>SUM(DB[[#This Row],[Ops-FC-Orders-Collect]:[Ops-FC-Orders-HD]])</f>
        <v>2150</v>
      </c>
      <c r="O12" s="44" cm="1">
        <f t="array" ref="O12">IFERROR(INDEX('ST Forecast'!$E$2:$RK$36,13,M12),"")</f>
        <v>650</v>
      </c>
      <c r="P12" s="44">
        <f t="shared" si="2"/>
        <v>1500</v>
      </c>
      <c r="Q12" s="44" cm="1">
        <f t="array" ref="Q12">IFERROR(INDEX('ST Forecast'!$E$2:$RK$36,14,M12),"")</f>
        <v>700</v>
      </c>
      <c r="R12" s="44" cm="1">
        <f t="array" ref="R12">IFERROR(INDEX('ST Forecast'!$E$2:$RK$36,15,M12),"")</f>
        <v>800</v>
      </c>
      <c r="S12" s="312">
        <f>SUM(DB[[#This Row],[Ops-FC-Picks-Collect]:[Ops-FC-Picks-HD]])</f>
        <v>106428.2337953027</v>
      </c>
      <c r="T12" s="44">
        <f t="shared" si="3"/>
        <v>29392.130806908452</v>
      </c>
      <c r="U12" s="44">
        <f t="shared" si="4"/>
        <v>77036.102988394254</v>
      </c>
      <c r="V12" s="44">
        <f t="shared" si="5"/>
        <v>35950.181394583982</v>
      </c>
      <c r="W12" s="404">
        <f t="shared" si="6"/>
        <v>41085.921593810272</v>
      </c>
      <c r="X12" s="44">
        <f>SUM(DB[[#This Row],[Capped-Orders-Collect]:[Capped-Orders-HD]])</f>
        <v>90</v>
      </c>
      <c r="Y12">
        <f>INDEX('Operations Forecast'!$A$2:$BGY$47,3,MATCH(DB!D12,'Operations Forecast'!$A$2:$BGY$2))</f>
        <v>0</v>
      </c>
      <c r="Z12">
        <f t="shared" si="18"/>
        <v>90</v>
      </c>
      <c r="AA12">
        <f>INDEX('Operations Forecast'!$A$2:$BGY$47,10,MATCH(DB!D12,'Operations Forecast'!$A$2:$BGY$2))</f>
        <v>90</v>
      </c>
      <c r="AB12">
        <f>INDEX('Operations Forecast'!$A$2:$BGY$47,21,MATCH(DB!D12,'Operations Forecast'!$A$2:$BGY$2))</f>
        <v>0</v>
      </c>
      <c r="AC12" s="312">
        <f>SUM(DB[[#This Row],[Act-Orders-Collect]:[Act-Orders-HD]])</f>
        <v>2145</v>
      </c>
      <c r="AD12" s="858">
        <f>IFERROR(INDEX('Operations Forecast_new'!$7:$7,MATCH(DB[[#This Row],[Datum]],'Operations Forecast_new'!$2:$2,0)),0)</f>
        <v>650</v>
      </c>
      <c r="AE12" s="312">
        <f t="shared" si="19"/>
        <v>1495</v>
      </c>
      <c r="AF12" s="858">
        <f>IFERROR(INDEX('Operations Forecast_new'!$13:$13,MATCH(DB[[#This Row],[Datum]],'Operations Forecast_new'!$2:$2,0)),0)</f>
        <v>650</v>
      </c>
      <c r="AG12" s="858">
        <f>IFERROR(INDEX('Operations Forecast_new'!$19:$19,MATCH(DB[[#This Row],[Datum]],'Operations Forecast_new'!$2:$2,0)),0)</f>
        <v>845</v>
      </c>
      <c r="AH12" s="312">
        <f t="shared" si="9"/>
        <v>107573.89499999999</v>
      </c>
      <c r="AI12" s="858">
        <f>IFERROR(INDEX('Operations Forecast_new'!$9:$9,MATCH(DB[[#This Row],[Datum]],'Operations Forecast_new'!$2:$2,0)),0)</f>
        <v>30759.299999999996</v>
      </c>
      <c r="AJ12" s="312">
        <f t="shared" si="20"/>
        <v>76814.595000000001</v>
      </c>
      <c r="AK12" s="858">
        <f>IFERROR(INDEX('Operations Forecast_new'!$15:$15,MATCH(DB[[#This Row],[Datum]],'Operations Forecast_new'!$2:$2,0)),0)</f>
        <v>33397.65</v>
      </c>
      <c r="AL12" s="858">
        <f>IFERROR(INDEX('Operations Forecast_new'!$21:$21,MATCH(DB[[#This Row],[Datum]],'Operations Forecast_new'!$2:$2,0)),0)</f>
        <v>43416.945</v>
      </c>
      <c r="AM12" s="178">
        <f>IFERROR(INDEX('Operations Forecast_new'!$8:$8,MATCH(DB[[#This Row],[Datum]],'Operations Forecast_new'!$2:$2,0)),0)</f>
        <v>47.8</v>
      </c>
      <c r="AN12" s="859">
        <f>IFERROR(INDEX('Operations Forecast_new'!$20:$20,MATCH(DB[[#This Row],[Datum]],'Operations Forecast_new'!$2:$2,0)),0)</f>
        <v>51.9</v>
      </c>
      <c r="AO12" s="44">
        <f t="shared" si="21"/>
        <v>47.321999999999996</v>
      </c>
      <c r="AP12" s="404">
        <f t="shared" si="22"/>
        <v>51.381</v>
      </c>
      <c r="AQ12" s="44">
        <f t="shared" si="13"/>
        <v>194044</v>
      </c>
      <c r="AR12" s="44" cm="1">
        <f t="array" ref="AR12">IFERROR(INDEX('ST Forecast'!$E$2:$RK$36,25,M12)+(INDEX('ST Forecast'!$E$2:$RK$36,29,M12)),"")</f>
        <v>87580.677408080795</v>
      </c>
      <c r="AS12" s="44" cm="1">
        <f t="array" ref="AS12">IFERROR(INDEX('ST Forecast'!$E$2:$RK$36,26,M12)+INDEX('ST Forecast'!$E$2:$RK$36,30,M12),"")</f>
        <v>62238.662836870972</v>
      </c>
      <c r="AT12" s="44" cm="1">
        <f t="array" ref="AT12">IFERROR(INDEX('ST Forecast'!$E$2:$RK$36,27,M12)+INDEX('ST Forecast'!$E$2:$RK$36,31,M12),"")</f>
        <v>37550.31730195901</v>
      </c>
      <c r="AU12" s="44" cm="1">
        <f t="array" ref="AU12">IFERROR(INDEX('ST Forecast'!$E$2:$RK$36,28,M12),"")</f>
        <v>6674.3424530892298</v>
      </c>
      <c r="AV12" s="44" cm="1">
        <f t="array" ref="AV12">IFERROR(INDEX('ST Forecast'!$E$2:$RK$36,29,M12),"")</f>
        <v>0</v>
      </c>
      <c r="AW12" s="44">
        <f>DB[[#This Row],[Inbound FC]]-DB[[#This Row],[Inbound Act - Ultrafresh2]]</f>
        <v>194044</v>
      </c>
      <c r="AX12" s="178" t="e">
        <f>#REF!</f>
        <v>#REF!</v>
      </c>
      <c r="AY12" s="178" t="e">
        <f>#REF!</f>
        <v>#REF!</v>
      </c>
      <c r="AZ12" s="178" t="e">
        <f>#REF!</f>
        <v>#REF!</v>
      </c>
      <c r="BA12" s="178">
        <f>MONTH(DB[[#This Row],[Datum]])</f>
        <v>1</v>
      </c>
    </row>
    <row r="13" spans="1:53" x14ac:dyDescent="0.3">
      <c r="A13" s="44">
        <f t="shared" si="23"/>
        <v>2</v>
      </c>
      <c r="B13" t="str">
        <f t="shared" ref="B13:B76" si="24">"Wk "&amp;A13</f>
        <v>Wk 2</v>
      </c>
      <c r="C13" t="s">
        <v>114</v>
      </c>
      <c r="D13" s="313">
        <v>44572</v>
      </c>
      <c r="E13" s="44">
        <f>DB[[#This Row],[Sales-FC-Orders-Collect]]+DB[[#This Row],[Sales-FC-Orders-HD]]</f>
        <v>2550</v>
      </c>
      <c r="F13" s="402">
        <f>INDEX('LT Collect Forecast'!$K$1:$Q$55,MATCH(B13,'LT Collect Forecast'!$A:$A,0),MATCH(C13,'LT Collect Forecast'!$K$2:$Q$2,0))</f>
        <v>550</v>
      </c>
      <c r="G13" s="44">
        <f>INDEX('LT HD Forecast'!$K$1:$Q$55,MATCH(B13,'LT HD Forecast'!$A:$A,0),MATCH(C13,'LT HD Forecast'!$K$2:$Q$2,0))</f>
        <v>2000</v>
      </c>
      <c r="H13" s="44" cm="1">
        <f t="array" ref="H13">IFERROR(INDEX('ST Forecast'!$E$2:$RK$36,6,M13),"")</f>
        <v>46.282425776354415</v>
      </c>
      <c r="I13" s="44" cm="1">
        <f t="array" ref="I13">IFERROR(INDEX('ST Forecast'!$E$2:$RK$36,7,M13),"")</f>
        <v>50.501999368071964</v>
      </c>
      <c r="J13" s="44">
        <f>SUM(DB[[#This Row],[Sales-FC-Picks-Collect]:[Sales-FC-Picks-HD]])</f>
        <v>126459.33291313886</v>
      </c>
      <c r="K13" s="44">
        <f t="shared" ref="K13:K76" si="25">F13*H13</f>
        <v>25455.334176994929</v>
      </c>
      <c r="L13" s="44">
        <f t="shared" ref="L13:L76" si="26">G13*I13</f>
        <v>101003.99873614393</v>
      </c>
      <c r="M13" s="403">
        <f>IFERROR(IF(B13=B12,M12+1,MATCH(B13,'ST Forecast'!$E$2:$RK$2,0)+1),"")</f>
        <v>11</v>
      </c>
      <c r="N13">
        <f>SUM(DB[[#This Row],[Ops-FC-Orders-Collect]:[Ops-FC-Orders-HD]])</f>
        <v>2600</v>
      </c>
      <c r="O13" s="44" cm="1">
        <f t="array" ref="O13">IFERROR(INDEX('ST Forecast'!$E$2:$RK$36,13,M13),"")</f>
        <v>550</v>
      </c>
      <c r="P13" s="44">
        <f t="shared" ref="P13:P76" si="27">IFERROR(Q13+R13,"")</f>
        <v>2050</v>
      </c>
      <c r="Q13" s="44" cm="1">
        <f t="array" ref="Q13">IFERROR(INDEX('ST Forecast'!$E$2:$RK$36,14,M13),"")</f>
        <v>1050</v>
      </c>
      <c r="R13" s="44" cm="1">
        <f t="array" ref="R13">IFERROR(INDEX('ST Forecast'!$E$2:$RK$36,15,M13),"")</f>
        <v>1000</v>
      </c>
      <c r="S13" s="312">
        <f>SUM(DB[[#This Row],[Ops-FC-Picks-Collect]:[Ops-FC-Picks-HD]])</f>
        <v>126404.74422391161</v>
      </c>
      <c r="T13" s="44">
        <f t="shared" ref="T13:T76" si="28">IFERROR(O13*H13*$B$1,"")</f>
        <v>24946.22749345503</v>
      </c>
      <c r="U13" s="44">
        <f t="shared" ref="U13:U76" si="29">IFERROR(V13+W13,"")</f>
        <v>101458.51673045658</v>
      </c>
      <c r="V13" s="44">
        <f t="shared" ref="V13:V76" si="30">IFERROR(Q13*I13*$B$1,"")</f>
        <v>51966.55734974605</v>
      </c>
      <c r="W13" s="404">
        <f t="shared" ref="W13:W76" si="31">IFERROR(R13*I13*$B$1,"")</f>
        <v>49491.959380710527</v>
      </c>
      <c r="X13" s="44">
        <f>SUM(DB[[#This Row],[Capped-Orders-Collect]:[Capped-Orders-HD]])</f>
        <v>90</v>
      </c>
      <c r="Y13">
        <f>INDEX('Operations Forecast'!$A$2:$BGY$47,3,MATCH(DB!D13,'Operations Forecast'!$A$2:$BGY$2))</f>
        <v>0</v>
      </c>
      <c r="Z13">
        <f t="shared" ref="Z13:Z76" si="32">SUM(AA13:AB13)</f>
        <v>90</v>
      </c>
      <c r="AA13">
        <f>INDEX('Operations Forecast'!$A$2:$BGY$47,10,MATCH(DB!D13,'Operations Forecast'!$A$2:$BGY$2))</f>
        <v>90</v>
      </c>
      <c r="AB13">
        <f>INDEX('Operations Forecast'!$A$2:$BGY$47,21,MATCH(DB!D13,'Operations Forecast'!$A$2:$BGY$2))</f>
        <v>0</v>
      </c>
      <c r="AC13" s="312">
        <f>SUM(DB[[#This Row],[Act-Orders-Collect]:[Act-Orders-HD]])</f>
        <v>2332</v>
      </c>
      <c r="AD13" s="858">
        <f>IFERROR(INDEX('Operations Forecast_new'!$7:$7,MATCH(DB[[#This Row],[Datum]],'Operations Forecast_new'!$2:$2,0)),0)</f>
        <v>400</v>
      </c>
      <c r="AE13" s="312">
        <f t="shared" ref="AE13:AE76" si="33">AF13+AG13</f>
        <v>1932</v>
      </c>
      <c r="AF13" s="858">
        <f>IFERROR(INDEX('Operations Forecast_new'!$13:$13,MATCH(DB[[#This Row],[Datum]],'Operations Forecast_new'!$2:$2,0)),0)</f>
        <v>1044</v>
      </c>
      <c r="AG13" s="858">
        <f>IFERROR(INDEX('Operations Forecast_new'!$19:$19,MATCH(DB[[#This Row],[Datum]],'Operations Forecast_new'!$2:$2,0)),0)</f>
        <v>888</v>
      </c>
      <c r="AH13" s="312">
        <f t="shared" si="9"/>
        <v>112075.52399999998</v>
      </c>
      <c r="AI13" s="858">
        <f>IFERROR(INDEX('Operations Forecast_new'!$9:$9,MATCH(DB[[#This Row],[Datum]],'Operations Forecast_new'!$2:$2,0)),0)</f>
        <v>17780.400000000001</v>
      </c>
      <c r="AJ13" s="312">
        <f t="shared" ref="AJ13:AJ76" si="34">AK13+AL13</f>
        <v>94295.123999999982</v>
      </c>
      <c r="AK13" s="858">
        <f>IFERROR(INDEX('Operations Forecast_new'!$15:$15,MATCH(DB[[#This Row],[Datum]],'Operations Forecast_new'!$2:$2,0)),0)</f>
        <v>50954.507999999994</v>
      </c>
      <c r="AL13" s="858">
        <f>IFERROR(INDEX('Operations Forecast_new'!$21:$21,MATCH(DB[[#This Row],[Datum]],'Operations Forecast_new'!$2:$2,0)),0)</f>
        <v>43340.615999999995</v>
      </c>
      <c r="AM13" s="178">
        <f>IFERROR(INDEX('Operations Forecast_new'!$8:$8,MATCH(DB[[#This Row],[Datum]],'Operations Forecast_new'!$2:$2,0)),0)</f>
        <v>44.9</v>
      </c>
      <c r="AN13" s="859">
        <f>IFERROR(INDEX('Operations Forecast_new'!$20:$20,MATCH(DB[[#This Row],[Datum]],'Operations Forecast_new'!$2:$2,0)),0)</f>
        <v>49.3</v>
      </c>
      <c r="AO13" s="44">
        <f t="shared" ref="AO13:AO76" si="35">IFERROR(AI13/AD13,"-")</f>
        <v>44.451000000000001</v>
      </c>
      <c r="AP13" s="404">
        <f t="shared" ref="AP13:AP76" si="36">IFERROR(AJ13/AE13,"-")</f>
        <v>48.806999999999988</v>
      </c>
      <c r="AQ13" s="44">
        <f t="shared" si="13"/>
        <v>149207.00000000009</v>
      </c>
      <c r="AR13" s="44" cm="1">
        <f t="array" ref="AR13">IFERROR(INDEX('ST Forecast'!$E$2:$RK$36,25,M13)+(INDEX('ST Forecast'!$E$2:$RK$36,29,M13)),"")</f>
        <v>66045.894881257351</v>
      </c>
      <c r="AS13" s="44" cm="1">
        <f t="array" ref="AS13">IFERROR(INDEX('ST Forecast'!$E$2:$RK$36,26,M13)+INDEX('ST Forecast'!$E$2:$RK$36,30,M13),"")</f>
        <v>69274.246065275729</v>
      </c>
      <c r="AT13" s="44" cm="1">
        <f t="array" ref="AT13">IFERROR(INDEX('ST Forecast'!$E$2:$RK$36,27,M13)+INDEX('ST Forecast'!$E$2:$RK$36,31,M13),"")</f>
        <v>6518.2980579412997</v>
      </c>
      <c r="AU13" s="44" cm="1">
        <f t="array" ref="AU13">IFERROR(INDEX('ST Forecast'!$E$2:$RK$36,28,M13),"")</f>
        <v>7368.560995525716</v>
      </c>
      <c r="AV13" s="44" cm="1">
        <f t="array" ref="AV13">IFERROR(INDEX('ST Forecast'!$E$2:$RK$36,29,M13),"")</f>
        <v>0</v>
      </c>
      <c r="AW13" s="44">
        <f>DB[[#This Row],[Inbound FC]]-DB[[#This Row],[Inbound Act - Ultrafresh2]]</f>
        <v>149207.00000000009</v>
      </c>
      <c r="AX13" s="178" t="e">
        <f>#REF!</f>
        <v>#REF!</v>
      </c>
      <c r="AY13" s="178" t="e">
        <f>#REF!</f>
        <v>#REF!</v>
      </c>
      <c r="AZ13" s="178" t="e">
        <f>#REF!</f>
        <v>#REF!</v>
      </c>
      <c r="BA13" s="178">
        <f>MONTH(DB[[#This Row],[Datum]])</f>
        <v>1</v>
      </c>
    </row>
    <row r="14" spans="1:53" x14ac:dyDescent="0.3">
      <c r="A14" s="44">
        <f t="shared" si="23"/>
        <v>2</v>
      </c>
      <c r="B14" t="str">
        <f t="shared" si="24"/>
        <v>Wk 2</v>
      </c>
      <c r="C14" t="s">
        <v>115</v>
      </c>
      <c r="D14" s="313">
        <v>44573</v>
      </c>
      <c r="E14" s="44">
        <f>DB[[#This Row],[Sales-FC-Orders-Collect]]+DB[[#This Row],[Sales-FC-Orders-HD]]</f>
        <v>2450</v>
      </c>
      <c r="F14" s="402">
        <f>INDEX('LT Collect Forecast'!$K$1:$Q$55,MATCH(B14,'LT Collect Forecast'!$A:$A,0),MATCH(C14,'LT Collect Forecast'!$K$2:$Q$2,0))</f>
        <v>550</v>
      </c>
      <c r="G14" s="44">
        <f>INDEX('LT HD Forecast'!$K$1:$Q$55,MATCH(B14,'LT HD Forecast'!$A:$A,0),MATCH(C14,'LT HD Forecast'!$K$2:$Q$2,0))</f>
        <v>1900</v>
      </c>
      <c r="H14" s="44" cm="1">
        <f t="array" ref="H14">IFERROR(INDEX('ST Forecast'!$E$2:$RK$36,6,M14),"")</f>
        <v>46.623011865462168</v>
      </c>
      <c r="I14" s="44" cm="1">
        <f t="array" ref="I14">IFERROR(INDEX('ST Forecast'!$E$2:$RK$36,7,M14),"")</f>
        <v>51.829743068840898</v>
      </c>
      <c r="J14" s="44">
        <f>SUM(DB[[#This Row],[Sales-FC-Picks-Collect]:[Sales-FC-Picks-HD]])</f>
        <v>124119.16835680191</v>
      </c>
      <c r="K14" s="44">
        <f t="shared" si="25"/>
        <v>25642.656526004193</v>
      </c>
      <c r="L14" s="44">
        <f t="shared" si="26"/>
        <v>98476.51183079771</v>
      </c>
      <c r="M14" s="403">
        <f>IFERROR(IF(B14=B13,M13+1,MATCH(B14,'ST Forecast'!$E$2:$RK$2,0)+1),"")</f>
        <v>12</v>
      </c>
      <c r="N14">
        <f>SUM(DB[[#This Row],[Ops-FC-Orders-Collect]:[Ops-FC-Orders-HD]])</f>
        <v>2450</v>
      </c>
      <c r="O14" s="44" cm="1">
        <f t="array" ref="O14">IFERROR(INDEX('ST Forecast'!$E$2:$RK$36,13,M14),"")</f>
        <v>550</v>
      </c>
      <c r="P14" s="44">
        <f t="shared" si="27"/>
        <v>1900</v>
      </c>
      <c r="Q14" s="44" cm="1">
        <f t="array" ref="Q14">IFERROR(INDEX('ST Forecast'!$E$2:$RK$36,14,M14),"")</f>
        <v>1000</v>
      </c>
      <c r="R14" s="44" cm="1">
        <f t="array" ref="R14">IFERROR(INDEX('ST Forecast'!$E$2:$RK$36,15,M14),"")</f>
        <v>900</v>
      </c>
      <c r="S14" s="312">
        <f>SUM(DB[[#This Row],[Ops-FC-Picks-Collect]:[Ops-FC-Picks-HD]])</f>
        <v>121636.78498966586</v>
      </c>
      <c r="T14" s="44">
        <f t="shared" si="28"/>
        <v>25129.803395484108</v>
      </c>
      <c r="U14" s="44">
        <f t="shared" si="29"/>
        <v>96506.981594181751</v>
      </c>
      <c r="V14" s="44">
        <f t="shared" si="30"/>
        <v>50793.148207464081</v>
      </c>
      <c r="W14" s="404">
        <f t="shared" si="31"/>
        <v>45713.83338671767</v>
      </c>
      <c r="X14" s="44">
        <f>SUM(DB[[#This Row],[Capped-Orders-Collect]:[Capped-Orders-HD]])</f>
        <v>90</v>
      </c>
      <c r="Y14">
        <f>INDEX('Operations Forecast'!$A$2:$BGY$47,3,MATCH(DB!D14,'Operations Forecast'!$A$2:$BGY$2))</f>
        <v>0</v>
      </c>
      <c r="Z14">
        <f t="shared" si="32"/>
        <v>90</v>
      </c>
      <c r="AA14">
        <f>INDEX('Operations Forecast'!$A$2:$BGY$47,10,MATCH(DB!D14,'Operations Forecast'!$A$2:$BGY$2))</f>
        <v>90</v>
      </c>
      <c r="AB14">
        <f>INDEX('Operations Forecast'!$A$2:$BGY$47,21,MATCH(DB!D14,'Operations Forecast'!$A$2:$BGY$2))</f>
        <v>0</v>
      </c>
      <c r="AC14" s="312">
        <f>SUM(DB[[#This Row],[Act-Orders-Collect]:[Act-Orders-HD]])</f>
        <v>2698</v>
      </c>
      <c r="AD14" s="858">
        <f>IFERROR(INDEX('Operations Forecast_new'!$7:$7,MATCH(DB[[#This Row],[Datum]],'Operations Forecast_new'!$2:$2,0)),0)</f>
        <v>660</v>
      </c>
      <c r="AE14" s="312">
        <f t="shared" si="33"/>
        <v>2038</v>
      </c>
      <c r="AF14" s="858">
        <f>IFERROR(INDEX('Operations Forecast_new'!$13:$13,MATCH(DB[[#This Row],[Datum]],'Operations Forecast_new'!$2:$2,0)),0)</f>
        <v>1028</v>
      </c>
      <c r="AG14" s="858">
        <f>IFERROR(INDEX('Operations Forecast_new'!$19:$19,MATCH(DB[[#This Row],[Datum]],'Operations Forecast_new'!$2:$2,0)),0)</f>
        <v>1010</v>
      </c>
      <c r="AH14" s="312">
        <f t="shared" si="9"/>
        <v>136225.584</v>
      </c>
      <c r="AI14" s="858">
        <f>IFERROR(INDEX('Operations Forecast_new'!$9:$9,MATCH(DB[[#This Row],[Datum]],'Operations Forecast_new'!$2:$2,0)),0)</f>
        <v>30905.819999999996</v>
      </c>
      <c r="AJ14" s="312">
        <f t="shared" si="34"/>
        <v>105319.764</v>
      </c>
      <c r="AK14" s="858">
        <f>IFERROR(INDEX('Operations Forecast_new'!$15:$15,MATCH(DB[[#This Row],[Datum]],'Operations Forecast_new'!$2:$2,0)),0)</f>
        <v>53124.984000000004</v>
      </c>
      <c r="AL14" s="858">
        <f>IFERROR(INDEX('Operations Forecast_new'!$21:$21,MATCH(DB[[#This Row],[Datum]],'Operations Forecast_new'!$2:$2,0)),0)</f>
        <v>52194.78</v>
      </c>
      <c r="AM14" s="178">
        <f>IFERROR(INDEX('Operations Forecast_new'!$8:$8,MATCH(DB[[#This Row],[Datum]],'Operations Forecast_new'!$2:$2,0)),0)</f>
        <v>47.3</v>
      </c>
      <c r="AN14" s="859">
        <f>IFERROR(INDEX('Operations Forecast_new'!$20:$20,MATCH(DB[[#This Row],[Datum]],'Operations Forecast_new'!$2:$2,0)),0)</f>
        <v>52.2</v>
      </c>
      <c r="AO14" s="44">
        <f t="shared" si="35"/>
        <v>46.826999999999991</v>
      </c>
      <c r="AP14" s="404">
        <f t="shared" si="36"/>
        <v>51.677999999999997</v>
      </c>
      <c r="AQ14" s="44">
        <f t="shared" si="13"/>
        <v>142203.00000000009</v>
      </c>
      <c r="AR14" s="44" cm="1">
        <f t="array" ref="AR14">IFERROR(INDEX('ST Forecast'!$E$2:$RK$36,25,M14)+(INDEX('ST Forecast'!$E$2:$RK$36,29,M14)),"")</f>
        <v>60290.167796462476</v>
      </c>
      <c r="AS14" s="44" cm="1">
        <f t="array" ref="AS14">IFERROR(INDEX('ST Forecast'!$E$2:$RK$36,26,M14)+INDEX('ST Forecast'!$E$2:$RK$36,30,M14),"")</f>
        <v>61138.463129043055</v>
      </c>
      <c r="AT14" s="44" cm="1">
        <f t="array" ref="AT14">IFERROR(INDEX('ST Forecast'!$E$2:$RK$36,27,M14)+INDEX('ST Forecast'!$E$2:$RK$36,31,M14),"")</f>
        <v>11949.245422023341</v>
      </c>
      <c r="AU14" s="44" cm="1">
        <f t="array" ref="AU14">IFERROR(INDEX('ST Forecast'!$E$2:$RK$36,28,M14),"")</f>
        <v>8825.1236524712003</v>
      </c>
      <c r="AV14" s="44" cm="1">
        <f t="array" ref="AV14">IFERROR(INDEX('ST Forecast'!$E$2:$RK$36,29,M14),"")</f>
        <v>0</v>
      </c>
      <c r="AW14" s="44">
        <f>DB[[#This Row],[Inbound FC]]-DB[[#This Row],[Inbound Act - Ultrafresh2]]</f>
        <v>142203.00000000009</v>
      </c>
      <c r="AX14" s="178" t="e">
        <f>#REF!</f>
        <v>#REF!</v>
      </c>
      <c r="AY14" s="178" t="e">
        <f>#REF!</f>
        <v>#REF!</v>
      </c>
      <c r="AZ14" s="178" t="e">
        <f>#REF!</f>
        <v>#REF!</v>
      </c>
      <c r="BA14" s="178">
        <f>MONTH(DB[[#This Row],[Datum]])</f>
        <v>1</v>
      </c>
    </row>
    <row r="15" spans="1:53" x14ac:dyDescent="0.3">
      <c r="A15" s="44">
        <f t="shared" si="23"/>
        <v>2</v>
      </c>
      <c r="B15" t="str">
        <f t="shared" si="24"/>
        <v>Wk 2</v>
      </c>
      <c r="C15" t="s">
        <v>116</v>
      </c>
      <c r="D15" s="313">
        <v>44574</v>
      </c>
      <c r="E15" s="44">
        <f>DB[[#This Row],[Sales-FC-Orders-Collect]]+DB[[#This Row],[Sales-FC-Orders-HD]]</f>
        <v>2675</v>
      </c>
      <c r="F15" s="402" cm="1">
        <f t="array" ref="F15">INDEX('LT Collect Forecast'!$K$1:$Q$55,MATCH(B15,'LT Collect Forecast'!$A:$A,0)+1,MATCH(C15,'LT Collect Forecast'!$K$2:$Q$2,0))</f>
        <v>600</v>
      </c>
      <c r="G15" s="44" cm="1">
        <f t="array" ref="G15">INDEX('LT HD Forecast'!$K$1:$Q$55,MATCH(B15,'LT HD Forecast'!$A:$A,0)+1,MATCH(C15,'LT HD Forecast'!$K$2:$Q$2,0))</f>
        <v>2075</v>
      </c>
      <c r="H15" s="44" cm="1">
        <f t="array" ref="H15">IFERROR(INDEX('ST Forecast'!$E$2:$RK$36,6,M15),"")</f>
        <v>50.999999999999993</v>
      </c>
      <c r="I15" s="44" cm="1">
        <f t="array" ref="I15">IFERROR(INDEX('ST Forecast'!$E$2:$RK$36,7,M15),"")</f>
        <v>55</v>
      </c>
      <c r="J15" s="44">
        <f>SUM(DB[[#This Row],[Sales-FC-Picks-Collect]:[Sales-FC-Picks-HD]])</f>
        <v>144725</v>
      </c>
      <c r="K15" s="44">
        <f t="shared" si="25"/>
        <v>30599.999999999996</v>
      </c>
      <c r="L15" s="44">
        <f t="shared" si="26"/>
        <v>114125</v>
      </c>
      <c r="M15" s="403">
        <f>IFERROR(IF(B15=B14,M14+1,MATCH(B15,'ST Forecast'!$E$2:$RK$2,0)+1),"")</f>
        <v>13</v>
      </c>
      <c r="N15">
        <f>SUM(DB[[#This Row],[Ops-FC-Orders-Collect]:[Ops-FC-Orders-HD]])</f>
        <v>2500</v>
      </c>
      <c r="O15" s="44" cm="1">
        <f t="array" ref="O15">IFERROR(INDEX('ST Forecast'!$E$2:$RK$36,13,M15),"")</f>
        <v>600</v>
      </c>
      <c r="P15" s="44">
        <f t="shared" si="27"/>
        <v>1900</v>
      </c>
      <c r="Q15" s="44" cm="1">
        <f t="array" ref="Q15">IFERROR(INDEX('ST Forecast'!$E$2:$RK$36,14,M15),"")</f>
        <v>1000</v>
      </c>
      <c r="R15" s="44" cm="1">
        <f t="array" ref="R15">IFERROR(INDEX('ST Forecast'!$E$2:$RK$36,15,M15),"")</f>
        <v>900</v>
      </c>
      <c r="S15" s="312">
        <f>SUM(DB[[#This Row],[Ops-FC-Picks-Collect]:[Ops-FC-Picks-HD]])</f>
        <v>132398</v>
      </c>
      <c r="T15" s="44">
        <f t="shared" si="28"/>
        <v>29987.999999999996</v>
      </c>
      <c r="U15" s="44">
        <f t="shared" si="29"/>
        <v>102410</v>
      </c>
      <c r="V15" s="44">
        <f t="shared" si="30"/>
        <v>53900</v>
      </c>
      <c r="W15" s="404">
        <f t="shared" si="31"/>
        <v>48510</v>
      </c>
      <c r="X15" s="44">
        <f>SUM(DB[[#This Row],[Capped-Orders-Collect]:[Capped-Orders-HD]])</f>
        <v>90</v>
      </c>
      <c r="Y15">
        <f>INDEX('Operations Forecast'!$A$2:$BGY$47,3,MATCH(DB!D15,'Operations Forecast'!$A$2:$BGY$2))</f>
        <v>0</v>
      </c>
      <c r="Z15">
        <f t="shared" si="32"/>
        <v>90</v>
      </c>
      <c r="AA15">
        <f>INDEX('Operations Forecast'!$A$2:$BGY$47,10,MATCH(DB!D15,'Operations Forecast'!$A$2:$BGY$2))</f>
        <v>90</v>
      </c>
      <c r="AB15">
        <f>INDEX('Operations Forecast'!$A$2:$BGY$47,21,MATCH(DB!D15,'Operations Forecast'!$A$2:$BGY$2))</f>
        <v>0</v>
      </c>
      <c r="AC15" s="312">
        <f>SUM(DB[[#This Row],[Act-Orders-Collect]:[Act-Orders-HD]])</f>
        <v>2675</v>
      </c>
      <c r="AD15" s="858">
        <f>IFERROR(INDEX('Operations Forecast_new'!$7:$7,MATCH(DB[[#This Row],[Datum]],'Operations Forecast_new'!$2:$2,0)),0)</f>
        <v>600</v>
      </c>
      <c r="AE15" s="312">
        <f t="shared" si="33"/>
        <v>2075</v>
      </c>
      <c r="AF15" s="858">
        <f>IFERROR(INDEX('Operations Forecast_new'!$13:$13,MATCH(DB[[#This Row],[Datum]],'Operations Forecast_new'!$2:$2,0)),0)</f>
        <v>1075</v>
      </c>
      <c r="AG15" s="858">
        <f>IFERROR(INDEX('Operations Forecast_new'!$19:$19,MATCH(DB[[#This Row],[Datum]],'Operations Forecast_new'!$2:$2,0)),0)</f>
        <v>1000</v>
      </c>
      <c r="AH15" s="312">
        <f t="shared" si="9"/>
        <v>138122.32499999998</v>
      </c>
      <c r="AI15" s="858">
        <f>IFERROR(INDEX('Operations Forecast_new'!$9:$9,MATCH(DB[[#This Row],[Datum]],'Operations Forecast_new'!$2:$2,0)),0)</f>
        <v>28630.799999999999</v>
      </c>
      <c r="AJ15" s="312">
        <f t="shared" si="34"/>
        <v>109491.52499999999</v>
      </c>
      <c r="AK15" s="858">
        <f>IFERROR(INDEX('Operations Forecast_new'!$15:$15,MATCH(DB[[#This Row],[Datum]],'Operations Forecast_new'!$2:$2,0)),0)</f>
        <v>56724.525000000001</v>
      </c>
      <c r="AL15" s="858">
        <f>IFERROR(INDEX('Operations Forecast_new'!$21:$21,MATCH(DB[[#This Row],[Datum]],'Operations Forecast_new'!$2:$2,0)),0)</f>
        <v>52767</v>
      </c>
      <c r="AM15" s="178">
        <f>IFERROR(INDEX('Operations Forecast_new'!$8:$8,MATCH(DB[[#This Row],[Datum]],'Operations Forecast_new'!$2:$2,0)),0)</f>
        <v>48.2</v>
      </c>
      <c r="AN15" s="859">
        <f>IFERROR(INDEX('Operations Forecast_new'!$20:$20,MATCH(DB[[#This Row],[Datum]],'Operations Forecast_new'!$2:$2,0)),0)</f>
        <v>53.3</v>
      </c>
      <c r="AO15" s="44">
        <f t="shared" si="35"/>
        <v>47.717999999999996</v>
      </c>
      <c r="AP15" s="404">
        <f t="shared" si="36"/>
        <v>52.766999999999996</v>
      </c>
      <c r="AQ15" s="44">
        <f t="shared" si="13"/>
        <v>129376.00000000007</v>
      </c>
      <c r="AR15" s="44" cm="1">
        <f t="array" ref="AR15">IFERROR(INDEX('ST Forecast'!$E$2:$RK$36,25,M15)+(INDEX('ST Forecast'!$E$2:$RK$36,29,M15)),"")</f>
        <v>54515.406929875229</v>
      </c>
      <c r="AS15" s="44" cm="1">
        <f t="array" ref="AS15">IFERROR(INDEX('ST Forecast'!$E$2:$RK$36,26,M15)+INDEX('ST Forecast'!$E$2:$RK$36,30,M15),"")</f>
        <v>54461.558612140798</v>
      </c>
      <c r="AT15" s="44" cm="1">
        <f t="array" ref="AT15">IFERROR(INDEX('ST Forecast'!$E$2:$RK$36,27,M15)+INDEX('ST Forecast'!$E$2:$RK$36,31,M15),"")</f>
        <v>11598.314276273462</v>
      </c>
      <c r="AU15" s="44" cm="1">
        <f t="array" ref="AU15">IFERROR(INDEX('ST Forecast'!$E$2:$RK$36,28,M15),"")</f>
        <v>8800.7201817105852</v>
      </c>
      <c r="AV15" s="44" cm="1">
        <f t="array" ref="AV15">IFERROR(INDEX('ST Forecast'!$E$2:$RK$36,29,M15),"")</f>
        <v>0</v>
      </c>
      <c r="AW15" s="44">
        <f>DB[[#This Row],[Inbound FC]]-DB[[#This Row],[Inbound Act - Ultrafresh2]]</f>
        <v>129376.00000000007</v>
      </c>
      <c r="AX15" s="178" t="e">
        <f>#REF!</f>
        <v>#REF!</v>
      </c>
      <c r="AY15" s="178" t="e">
        <f>#REF!</f>
        <v>#REF!</v>
      </c>
      <c r="AZ15" s="178" t="e">
        <f>#REF!</f>
        <v>#REF!</v>
      </c>
      <c r="BA15" s="178">
        <f>MONTH(DB[[#This Row],[Datum]])</f>
        <v>1</v>
      </c>
    </row>
    <row r="16" spans="1:53" x14ac:dyDescent="0.3">
      <c r="A16" s="44">
        <f t="shared" si="23"/>
        <v>2</v>
      </c>
      <c r="B16" t="str">
        <f t="shared" si="24"/>
        <v>Wk 2</v>
      </c>
      <c r="C16" t="s">
        <v>117</v>
      </c>
      <c r="D16" s="313">
        <v>44575</v>
      </c>
      <c r="E16" s="44">
        <f>DB[[#This Row],[Sales-FC-Orders-Collect]]+DB[[#This Row],[Sales-FC-Orders-HD]]</f>
        <v>2800</v>
      </c>
      <c r="F16" s="402" cm="1">
        <f t="array" ref="F16">INDEX('LT Collect Forecast'!$K$1:$Q$55,MATCH(B16,'LT Collect Forecast'!$A:$A,0)+1,MATCH(C16,'LT Collect Forecast'!$K$2:$Q$2,0))</f>
        <v>900</v>
      </c>
      <c r="G16" s="44" cm="1">
        <f t="array" ref="G16">INDEX('LT HD Forecast'!$K$1:$Q$55,MATCH(B16,'LT HD Forecast'!$A:$A,0)+1,MATCH(C16,'LT HD Forecast'!$K$2:$Q$2,0))</f>
        <v>1900</v>
      </c>
      <c r="H16" s="44" cm="1">
        <f t="array" ref="H16">IFERROR(INDEX('ST Forecast'!$E$2:$RK$36,6,M16),"")</f>
        <v>51.999999999999993</v>
      </c>
      <c r="I16" s="44" cm="1">
        <f t="array" ref="I16">IFERROR(INDEX('ST Forecast'!$E$2:$RK$36,7,M16),"")</f>
        <v>59</v>
      </c>
      <c r="J16" s="44">
        <f>SUM(DB[[#This Row],[Sales-FC-Picks-Collect]:[Sales-FC-Picks-HD]])</f>
        <v>158900</v>
      </c>
      <c r="K16" s="44">
        <f t="shared" si="25"/>
        <v>46799.999999999993</v>
      </c>
      <c r="L16" s="44">
        <f t="shared" si="26"/>
        <v>112100</v>
      </c>
      <c r="M16" s="403">
        <f>IFERROR(IF(B16=B15,M15+1,MATCH(B16,'ST Forecast'!$E$2:$RK$2,0)+1),"")</f>
        <v>14</v>
      </c>
      <c r="N16">
        <f>SUM(DB[[#This Row],[Ops-FC-Orders-Collect]:[Ops-FC-Orders-HD]])</f>
        <v>2800</v>
      </c>
      <c r="O16" s="44" cm="1">
        <f t="array" ref="O16">IFERROR(INDEX('ST Forecast'!$E$2:$RK$36,13,M16),"")</f>
        <v>900</v>
      </c>
      <c r="P16" s="44">
        <f t="shared" si="27"/>
        <v>1900</v>
      </c>
      <c r="Q16" s="44" cm="1">
        <f t="array" ref="Q16">IFERROR(INDEX('ST Forecast'!$E$2:$RK$36,14,M16),"")</f>
        <v>1050</v>
      </c>
      <c r="R16" s="44" cm="1">
        <f t="array" ref="R16">IFERROR(INDEX('ST Forecast'!$E$2:$RK$36,15,M16),"")</f>
        <v>850</v>
      </c>
      <c r="S16" s="312">
        <f>SUM(DB[[#This Row],[Ops-FC-Picks-Collect]:[Ops-FC-Picks-HD]])</f>
        <v>155722</v>
      </c>
      <c r="T16" s="44">
        <f t="shared" si="28"/>
        <v>45863.999999999993</v>
      </c>
      <c r="U16" s="44">
        <f t="shared" si="29"/>
        <v>109858</v>
      </c>
      <c r="V16" s="44">
        <f t="shared" si="30"/>
        <v>60711</v>
      </c>
      <c r="W16" s="404">
        <f t="shared" si="31"/>
        <v>49147</v>
      </c>
      <c r="X16" s="44">
        <f>SUM(DB[[#This Row],[Capped-Orders-Collect]:[Capped-Orders-HD]])</f>
        <v>90</v>
      </c>
      <c r="Y16">
        <f>INDEX('Operations Forecast'!$A$2:$BGY$47,3,MATCH(DB!D16,'Operations Forecast'!$A$2:$BGY$2))</f>
        <v>0</v>
      </c>
      <c r="Z16">
        <f t="shared" si="32"/>
        <v>90</v>
      </c>
      <c r="AA16">
        <f>INDEX('Operations Forecast'!$A$2:$BGY$47,10,MATCH(DB!D16,'Operations Forecast'!$A$2:$BGY$2))</f>
        <v>90</v>
      </c>
      <c r="AB16">
        <f>INDEX('Operations Forecast'!$A$2:$BGY$47,21,MATCH(DB!D16,'Operations Forecast'!$A$2:$BGY$2))</f>
        <v>0</v>
      </c>
      <c r="AC16" s="312">
        <f>SUM(DB[[#This Row],[Act-Orders-Collect]:[Act-Orders-HD]])</f>
        <v>3084</v>
      </c>
      <c r="AD16" s="858">
        <f>IFERROR(INDEX('Operations Forecast_new'!$7:$7,MATCH(DB[[#This Row],[Datum]],'Operations Forecast_new'!$2:$2,0)),0)</f>
        <v>1011</v>
      </c>
      <c r="AE16" s="312">
        <f t="shared" si="33"/>
        <v>2073</v>
      </c>
      <c r="AF16" s="858">
        <f>IFERROR(INDEX('Operations Forecast_new'!$13:$13,MATCH(DB[[#This Row],[Datum]],'Operations Forecast_new'!$2:$2,0)),0)</f>
        <v>1113</v>
      </c>
      <c r="AG16" s="858">
        <f>IFERROR(INDEX('Operations Forecast_new'!$19:$19,MATCH(DB[[#This Row],[Datum]],'Operations Forecast_new'!$2:$2,0)),0)</f>
        <v>960</v>
      </c>
      <c r="AH16" s="312">
        <f t="shared" si="9"/>
        <v>157427.82</v>
      </c>
      <c r="AI16" s="858">
        <f>IFERROR(INDEX('Operations Forecast_new'!$9:$9,MATCH(DB[[#This Row],[Datum]],'Operations Forecast_new'!$2:$2,0)),0)</f>
        <v>52146.368999999999</v>
      </c>
      <c r="AJ16" s="312">
        <f t="shared" si="34"/>
        <v>105281.451</v>
      </c>
      <c r="AK16" s="858">
        <f>IFERROR(INDEX('Operations Forecast_new'!$15:$15,MATCH(DB[[#This Row],[Datum]],'Operations Forecast_new'!$2:$2,0)),0)</f>
        <v>56525.930999999997</v>
      </c>
      <c r="AL16" s="858">
        <f>IFERROR(INDEX('Operations Forecast_new'!$21:$21,MATCH(DB[[#This Row],[Datum]],'Operations Forecast_new'!$2:$2,0)),0)</f>
        <v>48755.519999999997</v>
      </c>
      <c r="AM16" s="178">
        <f>IFERROR(INDEX('Operations Forecast_new'!$8:$8,MATCH(DB[[#This Row],[Datum]],'Operations Forecast_new'!$2:$2,0)),0)</f>
        <v>52.1</v>
      </c>
      <c r="AN16" s="859">
        <f>IFERROR(INDEX('Operations Forecast_new'!$20:$20,MATCH(DB[[#This Row],[Datum]],'Operations Forecast_new'!$2:$2,0)),0)</f>
        <v>51.3</v>
      </c>
      <c r="AO16" s="44">
        <f t="shared" si="35"/>
        <v>51.579000000000001</v>
      </c>
      <c r="AP16" s="404">
        <f t="shared" si="36"/>
        <v>50.786999999999999</v>
      </c>
      <c r="AQ16" s="44">
        <f t="shared" si="13"/>
        <v>117482.00000000009</v>
      </c>
      <c r="AR16" s="44" cm="1">
        <f t="array" ref="AR16">IFERROR(INDEX('ST Forecast'!$E$2:$RK$36,25,M16)+(INDEX('ST Forecast'!$E$2:$RK$36,29,M16)),"")</f>
        <v>49645.857313646018</v>
      </c>
      <c r="AS16" s="44" cm="1">
        <f t="array" ref="AS16">IFERROR(INDEX('ST Forecast'!$E$2:$RK$36,26,M16)+INDEX('ST Forecast'!$E$2:$RK$36,30,M16),"")</f>
        <v>49704.594182227105</v>
      </c>
      <c r="AT16" s="44" cm="1">
        <f t="array" ref="AT16">IFERROR(INDEX('ST Forecast'!$E$2:$RK$36,27,M16)+INDEX('ST Forecast'!$E$2:$RK$36,31,M16),"")</f>
        <v>10224.721563227748</v>
      </c>
      <c r="AU16" s="44" cm="1">
        <f t="array" ref="AU16">IFERROR(INDEX('ST Forecast'!$E$2:$RK$36,28,M16),"")</f>
        <v>7906.8269408991982</v>
      </c>
      <c r="AV16" s="44" cm="1">
        <f t="array" ref="AV16">IFERROR(INDEX('ST Forecast'!$E$2:$RK$36,29,M16),"")</f>
        <v>0</v>
      </c>
      <c r="AW16" s="44">
        <f>DB[[#This Row],[Inbound FC]]-DB[[#This Row],[Inbound Act - Ultrafresh2]]</f>
        <v>117482.00000000009</v>
      </c>
      <c r="AX16" s="178" t="e">
        <f>#REF!</f>
        <v>#REF!</v>
      </c>
      <c r="AY16" s="178" t="e">
        <f>#REF!</f>
        <v>#REF!</v>
      </c>
      <c r="AZ16" s="178" t="e">
        <f>#REF!</f>
        <v>#REF!</v>
      </c>
      <c r="BA16" s="178">
        <f>MONTH(DB[[#This Row],[Datum]])</f>
        <v>1</v>
      </c>
    </row>
    <row r="17" spans="1:53" x14ac:dyDescent="0.3">
      <c r="A17" s="44">
        <f t="shared" si="23"/>
        <v>2</v>
      </c>
      <c r="B17" t="str">
        <f t="shared" si="24"/>
        <v>Wk 2</v>
      </c>
      <c r="C17" t="s">
        <v>118</v>
      </c>
      <c r="D17" s="313">
        <v>44576</v>
      </c>
      <c r="E17" s="44">
        <f>DB[[#This Row],[Sales-FC-Orders-Collect]]+DB[[#This Row],[Sales-FC-Orders-HD]]</f>
        <v>2750</v>
      </c>
      <c r="F17" s="402" cm="1">
        <f t="array" ref="F17">INDEX('LT Collect Forecast'!$K$1:$Q$55,MATCH(B17,'LT Collect Forecast'!$A:$A,0)+1,MATCH(C17,'LT Collect Forecast'!$K$2:$Q$2,0))</f>
        <v>900</v>
      </c>
      <c r="G17" s="44" cm="1">
        <f t="array" ref="G17">INDEX('LT HD Forecast'!$K$1:$Q$55,MATCH(B17,'LT HD Forecast'!$A:$A,0)+1,MATCH(C17,'LT HD Forecast'!$K$2:$Q$2,0))</f>
        <v>1850</v>
      </c>
      <c r="H17" s="44" cm="1">
        <f t="array" ref="H17">IFERROR(INDEX('ST Forecast'!$E$2:$RK$36,6,M17),"")</f>
        <v>53.000000000000007</v>
      </c>
      <c r="I17" s="44" cm="1">
        <f t="array" ref="I17">IFERROR(INDEX('ST Forecast'!$E$2:$RK$36,7,M17),"")</f>
        <v>59</v>
      </c>
      <c r="J17" s="44">
        <f>SUM(DB[[#This Row],[Sales-FC-Picks-Collect]:[Sales-FC-Picks-HD]])</f>
        <v>156850</v>
      </c>
      <c r="K17" s="44">
        <f t="shared" si="25"/>
        <v>47700.000000000007</v>
      </c>
      <c r="L17" s="44">
        <f t="shared" si="26"/>
        <v>109150</v>
      </c>
      <c r="M17" s="403">
        <f>IFERROR(IF(B17=B16,M16+1,MATCH(B17,'ST Forecast'!$E$2:$RK$2,0)+1),"")</f>
        <v>15</v>
      </c>
      <c r="N17">
        <f>SUM(DB[[#This Row],[Ops-FC-Orders-Collect]:[Ops-FC-Orders-HD]])</f>
        <v>2750</v>
      </c>
      <c r="O17" s="44" cm="1">
        <f t="array" ref="O17">IFERROR(INDEX('ST Forecast'!$E$2:$RK$36,13,M17),"")</f>
        <v>900</v>
      </c>
      <c r="P17" s="44">
        <f t="shared" si="27"/>
        <v>1850</v>
      </c>
      <c r="Q17" s="44" cm="1">
        <f t="array" ref="Q17">IFERROR(INDEX('ST Forecast'!$E$2:$RK$36,14,M17),"")</f>
        <v>950</v>
      </c>
      <c r="R17" s="44" cm="1">
        <f t="array" ref="R17">IFERROR(INDEX('ST Forecast'!$E$2:$RK$36,15,M17),"")</f>
        <v>900</v>
      </c>
      <c r="S17" s="312">
        <f>SUM(DB[[#This Row],[Ops-FC-Picks-Collect]:[Ops-FC-Picks-HD]])</f>
        <v>153713</v>
      </c>
      <c r="T17" s="44">
        <f t="shared" si="28"/>
        <v>46746.000000000007</v>
      </c>
      <c r="U17" s="44">
        <f t="shared" si="29"/>
        <v>106967</v>
      </c>
      <c r="V17" s="44">
        <f t="shared" si="30"/>
        <v>54929</v>
      </c>
      <c r="W17" s="404">
        <f t="shared" si="31"/>
        <v>52038</v>
      </c>
      <c r="X17" s="44">
        <f>SUM(DB[[#This Row],[Capped-Orders-Collect]:[Capped-Orders-HD]])</f>
        <v>90</v>
      </c>
      <c r="Y17">
        <f>INDEX('Operations Forecast'!$A$2:$BGY$47,3,MATCH(DB!D17,'Operations Forecast'!$A$2:$BGY$2))</f>
        <v>0</v>
      </c>
      <c r="Z17">
        <f t="shared" si="32"/>
        <v>90</v>
      </c>
      <c r="AA17">
        <f>INDEX('Operations Forecast'!$A$2:$BGY$47,10,MATCH(DB!D17,'Operations Forecast'!$A$2:$BGY$2))</f>
        <v>90</v>
      </c>
      <c r="AB17">
        <f>INDEX('Operations Forecast'!$A$2:$BGY$47,21,MATCH(DB!D17,'Operations Forecast'!$A$2:$BGY$2))</f>
        <v>0</v>
      </c>
      <c r="AC17" s="312">
        <f>SUM(DB[[#This Row],[Act-Orders-Collect]:[Act-Orders-HD]])</f>
        <v>2912</v>
      </c>
      <c r="AD17" s="858">
        <f>IFERROR(INDEX('Operations Forecast_new'!$7:$7,MATCH(DB[[#This Row],[Datum]],'Operations Forecast_new'!$2:$2,0)),0)</f>
        <v>1010</v>
      </c>
      <c r="AE17" s="312">
        <f t="shared" si="33"/>
        <v>1902</v>
      </c>
      <c r="AF17" s="858">
        <f>IFERROR(INDEX('Operations Forecast_new'!$13:$13,MATCH(DB[[#This Row],[Datum]],'Operations Forecast_new'!$2:$2,0)),0)</f>
        <v>947</v>
      </c>
      <c r="AG17" s="858">
        <f>IFERROR(INDEX('Operations Forecast_new'!$19:$19,MATCH(DB[[#This Row],[Datum]],'Operations Forecast_new'!$2:$2,0)),0)</f>
        <v>955</v>
      </c>
      <c r="AH17" s="312">
        <f t="shared" si="9"/>
        <v>146915.20800000001</v>
      </c>
      <c r="AI17" s="858">
        <f>IFERROR(INDEX('Operations Forecast_new'!$9:$9,MATCH(DB[[#This Row],[Datum]],'Operations Forecast_new'!$2:$2,0)),0)</f>
        <v>50694.93</v>
      </c>
      <c r="AJ17" s="312">
        <f t="shared" si="34"/>
        <v>96220.278000000006</v>
      </c>
      <c r="AK17" s="858">
        <f>IFERROR(INDEX('Operations Forecast_new'!$15:$15,MATCH(DB[[#This Row],[Datum]],'Operations Forecast_new'!$2:$2,0)),0)</f>
        <v>47907.783000000003</v>
      </c>
      <c r="AL17" s="858">
        <f>IFERROR(INDEX('Operations Forecast_new'!$21:$21,MATCH(DB[[#This Row],[Datum]],'Operations Forecast_new'!$2:$2,0)),0)</f>
        <v>48312.495000000003</v>
      </c>
      <c r="AM17" s="178">
        <f>IFERROR(INDEX('Operations Forecast_new'!$8:$8,MATCH(DB[[#This Row],[Datum]],'Operations Forecast_new'!$2:$2,0)),0)</f>
        <v>50.7</v>
      </c>
      <c r="AN17" s="859">
        <f>IFERROR(INDEX('Operations Forecast_new'!$20:$20,MATCH(DB[[#This Row],[Datum]],'Operations Forecast_new'!$2:$2,0)),0)</f>
        <v>51.1</v>
      </c>
      <c r="AO17" s="44">
        <f t="shared" si="35"/>
        <v>50.192999999999998</v>
      </c>
      <c r="AP17" s="404">
        <f t="shared" si="36"/>
        <v>50.589000000000006</v>
      </c>
      <c r="AQ17" s="44">
        <f t="shared" si="13"/>
        <v>115034</v>
      </c>
      <c r="AR17" s="44" cm="1">
        <f t="array" ref="AR17">IFERROR(INDEX('ST Forecast'!$E$2:$RK$36,25,M17)+(INDEX('ST Forecast'!$E$2:$RK$36,29,M17)),"")</f>
        <v>59782.893276829345</v>
      </c>
      <c r="AS17" s="44" cm="1">
        <f t="array" ref="AS17">IFERROR(INDEX('ST Forecast'!$E$2:$RK$36,26,M17)+INDEX('ST Forecast'!$E$2:$RK$36,30,M17),"")</f>
        <v>42164.991543899829</v>
      </c>
      <c r="AT17" s="44" cm="1">
        <f t="array" ref="AT17">IFERROR(INDEX('ST Forecast'!$E$2:$RK$36,27,M17)+INDEX('ST Forecast'!$E$2:$RK$36,31,M17),"")</f>
        <v>7073.2352550814667</v>
      </c>
      <c r="AU17" s="44" cm="1">
        <f t="array" ref="AU17">IFERROR(INDEX('ST Forecast'!$E$2:$RK$36,28,M17),"")</f>
        <v>6012.8799241893648</v>
      </c>
      <c r="AV17" s="44" cm="1">
        <f t="array" ref="AV17">IFERROR(INDEX('ST Forecast'!$E$2:$RK$36,29,M17),"")</f>
        <v>0</v>
      </c>
      <c r="AW17" s="44">
        <f>DB[[#This Row],[Inbound FC]]-DB[[#This Row],[Inbound Act - Ultrafresh2]]</f>
        <v>115034</v>
      </c>
      <c r="AX17" s="178" t="e">
        <f>#REF!</f>
        <v>#REF!</v>
      </c>
      <c r="AY17" s="178" t="e">
        <f>#REF!</f>
        <v>#REF!</v>
      </c>
      <c r="AZ17" s="178" t="e">
        <f>#REF!</f>
        <v>#REF!</v>
      </c>
      <c r="BA17" s="178">
        <f>MONTH(DB[[#This Row],[Datum]])</f>
        <v>1</v>
      </c>
    </row>
    <row r="18" spans="1:53" x14ac:dyDescent="0.3">
      <c r="A18" s="44">
        <f t="shared" si="23"/>
        <v>2</v>
      </c>
      <c r="B18" t="str">
        <f t="shared" si="24"/>
        <v>Wk 2</v>
      </c>
      <c r="C18" t="s">
        <v>119</v>
      </c>
      <c r="D18" s="313">
        <v>44577</v>
      </c>
      <c r="E18" s="44">
        <f>DB[[#This Row],[Sales-FC-Orders-Collect]]+DB[[#This Row],[Sales-FC-Orders-HD]]</f>
        <v>90</v>
      </c>
      <c r="F18" s="402" cm="1">
        <f t="array" ref="F18">INDEX('LT Collect Forecast'!$K$1:$Q$55,MATCH(B18,'LT Collect Forecast'!$A:$A,0)+1,MATCH(C18,'LT Collect Forecast'!$K$2:$Q$2,0))</f>
        <v>0</v>
      </c>
      <c r="G18" s="44" cm="1">
        <f t="array" ref="G18">INDEX('LT HD Forecast'!$K$1:$Q$55,MATCH(B18,'LT HD Forecast'!$A:$A,0)+1,MATCH(C18,'LT HD Forecast'!$K$2:$Q$2,0))</f>
        <v>90</v>
      </c>
      <c r="H18" s="44" cm="1">
        <f t="array" ref="H18">IFERROR(INDEX('ST Forecast'!$E$2:$RK$36,6,M18),"")</f>
        <v>0</v>
      </c>
      <c r="I18" s="44" cm="1">
        <f t="array" ref="I18">IFERROR(INDEX('ST Forecast'!$E$2:$RK$36,7,M18),"")</f>
        <v>57</v>
      </c>
      <c r="J18" s="44">
        <f>SUM(DB[[#This Row],[Sales-FC-Picks-Collect]:[Sales-FC-Picks-HD]])</f>
        <v>5130</v>
      </c>
      <c r="K18" s="44">
        <f t="shared" si="25"/>
        <v>0</v>
      </c>
      <c r="L18" s="44">
        <f t="shared" si="26"/>
        <v>5130</v>
      </c>
      <c r="M18" s="403">
        <f>IFERROR(IF(B18=B17,M17+1,MATCH(B18,'ST Forecast'!$E$2:$RK$2,0)+1),"")</f>
        <v>16</v>
      </c>
      <c r="N18">
        <f>SUM(DB[[#This Row],[Ops-FC-Orders-Collect]:[Ops-FC-Orders-HD]])</f>
        <v>90</v>
      </c>
      <c r="O18" s="44" cm="1">
        <f t="array" ref="O18">IFERROR(INDEX('ST Forecast'!$E$2:$RK$36,13,M18),"")</f>
        <v>0</v>
      </c>
      <c r="P18" s="44">
        <f t="shared" si="27"/>
        <v>90</v>
      </c>
      <c r="Q18" s="44" cm="1">
        <f t="array" ref="Q18">IFERROR(INDEX('ST Forecast'!$E$2:$RK$36,14,M18),"")</f>
        <v>90</v>
      </c>
      <c r="R18" s="44" cm="1">
        <f t="array" ref="R18">IFERROR(INDEX('ST Forecast'!$E$2:$RK$36,15,M18),"")</f>
        <v>0</v>
      </c>
      <c r="S18" s="312">
        <f>SUM(DB[[#This Row],[Ops-FC-Picks-Collect]:[Ops-FC-Picks-HD]])</f>
        <v>5027.3999999999996</v>
      </c>
      <c r="T18" s="44">
        <f t="shared" si="28"/>
        <v>0</v>
      </c>
      <c r="U18" s="44">
        <f t="shared" si="29"/>
        <v>5027.3999999999996</v>
      </c>
      <c r="V18" s="44">
        <f t="shared" si="30"/>
        <v>5027.3999999999996</v>
      </c>
      <c r="W18" s="404">
        <f t="shared" si="31"/>
        <v>0</v>
      </c>
      <c r="X18" s="44">
        <f>SUM(DB[[#This Row],[Capped-Orders-Collect]:[Capped-Orders-HD]])</f>
        <v>90</v>
      </c>
      <c r="Y18">
        <f>INDEX('Operations Forecast'!$A$2:$BGY$47,3,MATCH(DB!D18,'Operations Forecast'!$A$2:$BGY$2))</f>
        <v>0</v>
      </c>
      <c r="Z18">
        <f t="shared" si="32"/>
        <v>90</v>
      </c>
      <c r="AA18">
        <f>INDEX('Operations Forecast'!$A$2:$BGY$47,10,MATCH(DB!D18,'Operations Forecast'!$A$2:$BGY$2))</f>
        <v>90</v>
      </c>
      <c r="AB18">
        <f>INDEX('Operations Forecast'!$A$2:$BGY$47,21,MATCH(DB!D18,'Operations Forecast'!$A$2:$BGY$2))</f>
        <v>0</v>
      </c>
      <c r="AC18" s="312">
        <f>SUM(DB[[#This Row],[Act-Orders-Collect]:[Act-Orders-HD]])</f>
        <v>90</v>
      </c>
      <c r="AD18" s="858">
        <f>IFERROR(INDEX('Operations Forecast_new'!$7:$7,MATCH(DB[[#This Row],[Datum]],'Operations Forecast_new'!$2:$2,0)),0)</f>
        <v>0</v>
      </c>
      <c r="AE18" s="312">
        <f t="shared" si="33"/>
        <v>90</v>
      </c>
      <c r="AF18" s="858">
        <f>IFERROR(INDEX('Operations Forecast_new'!$13:$13,MATCH(DB[[#This Row],[Datum]],'Operations Forecast_new'!$2:$2,0)),0)</f>
        <v>90</v>
      </c>
      <c r="AG18" s="858">
        <f>IFERROR(INDEX('Operations Forecast_new'!$19:$19,MATCH(DB[[#This Row],[Datum]],'Operations Forecast_new'!$2:$2,0)),0)</f>
        <v>0</v>
      </c>
      <c r="AH18" s="312">
        <f t="shared" si="9"/>
        <v>5034.1499999999996</v>
      </c>
      <c r="AI18" s="858">
        <f>IFERROR(INDEX('Operations Forecast_new'!$9:$9,MATCH(DB[[#This Row],[Datum]],'Operations Forecast_new'!$2:$2,0)),0)</f>
        <v>0</v>
      </c>
      <c r="AJ18" s="312">
        <f t="shared" si="34"/>
        <v>5034.1499999999996</v>
      </c>
      <c r="AK18" s="858">
        <f>IFERROR(INDEX('Operations Forecast_new'!$15:$15,MATCH(DB[[#This Row],[Datum]],'Operations Forecast_new'!$2:$2,0)),0)</f>
        <v>5034.1499999999996</v>
      </c>
      <c r="AL18" s="858">
        <f>IFERROR(INDEX('Operations Forecast_new'!$21:$21,MATCH(DB[[#This Row],[Datum]],'Operations Forecast_new'!$2:$2,0)),0)</f>
        <v>0</v>
      </c>
      <c r="AM18" s="178">
        <f>IFERROR(INDEX('Operations Forecast_new'!$8:$8,MATCH(DB[[#This Row],[Datum]],'Operations Forecast_new'!$2:$2,0)),0)</f>
        <v>0</v>
      </c>
      <c r="AN18" s="859">
        <f>IFERROR(INDEX('Operations Forecast_new'!$20:$20,MATCH(DB[[#This Row],[Datum]],'Operations Forecast_new'!$2:$2,0)),0)</f>
        <v>57</v>
      </c>
      <c r="AO18" s="44" t="str">
        <f t="shared" si="35"/>
        <v>-</v>
      </c>
      <c r="AP18" s="404">
        <f t="shared" si="36"/>
        <v>55.934999999999995</v>
      </c>
      <c r="AQ18" s="44">
        <f t="shared" si="13"/>
        <v>0</v>
      </c>
      <c r="AR18" s="44" cm="1">
        <f t="array" ref="AR18">IFERROR(INDEX('ST Forecast'!$E$2:$RK$36,25,M18)+(INDEX('ST Forecast'!$E$2:$RK$36,29,M18)),"")</f>
        <v>0</v>
      </c>
      <c r="AS18" s="44" cm="1">
        <f t="array" ref="AS18">IFERROR(INDEX('ST Forecast'!$E$2:$RK$36,26,M18)+INDEX('ST Forecast'!$E$2:$RK$36,30,M18),"")</f>
        <v>0</v>
      </c>
      <c r="AT18" s="44" cm="1">
        <f t="array" ref="AT18">IFERROR(INDEX('ST Forecast'!$E$2:$RK$36,27,M18)+INDEX('ST Forecast'!$E$2:$RK$36,31,M18),"")</f>
        <v>0</v>
      </c>
      <c r="AU18" s="44" cm="1">
        <f t="array" ref="AU18">IFERROR(INDEX('ST Forecast'!$E$2:$RK$36,28,M18),"")</f>
        <v>0</v>
      </c>
      <c r="AV18" s="44" cm="1">
        <f t="array" ref="AV18">IFERROR(INDEX('ST Forecast'!$E$2:$RK$36,29,M18),"")</f>
        <v>0</v>
      </c>
      <c r="AW18" s="44">
        <f>DB[[#This Row],[Inbound FC]]-DB[[#This Row],[Inbound Act - Ultrafresh2]]</f>
        <v>0</v>
      </c>
      <c r="AX18" s="178" t="e">
        <f>#REF!</f>
        <v>#REF!</v>
      </c>
      <c r="AY18" s="178" t="e">
        <f>#REF!</f>
        <v>#REF!</v>
      </c>
      <c r="AZ18" s="178" t="e">
        <f>#REF!</f>
        <v>#REF!</v>
      </c>
      <c r="BA18" s="178">
        <f>MONTH(DB[[#This Row],[Datum]])</f>
        <v>1</v>
      </c>
    </row>
    <row r="19" spans="1:53" x14ac:dyDescent="0.3">
      <c r="A19" s="44">
        <f t="shared" si="23"/>
        <v>3</v>
      </c>
      <c r="B19" t="str">
        <f t="shared" si="24"/>
        <v>Wk 3</v>
      </c>
      <c r="C19" t="s">
        <v>113</v>
      </c>
      <c r="D19" s="313">
        <v>44578</v>
      </c>
      <c r="E19" s="44">
        <f>DB[[#This Row],[Sales-FC-Orders-Collect]]+DB[[#This Row],[Sales-FC-Orders-HD]]</f>
        <v>2250</v>
      </c>
      <c r="F19" s="402">
        <f>INDEX('LT Collect Forecast'!$K$1:$Q$55,MATCH(B19,'LT Collect Forecast'!$A:$A,0),MATCH(C19,'LT Collect Forecast'!$K$2:$Q$2,0))</f>
        <v>700</v>
      </c>
      <c r="G19" s="44">
        <f>INDEX('LT HD Forecast'!$K$1:$Q$55,MATCH(B19,'LT HD Forecast'!$A:$A,0),MATCH(C19,'LT HD Forecast'!$K$2:$Q$2,0))</f>
        <v>1550</v>
      </c>
      <c r="H19" s="44" cm="1">
        <f t="array" ref="H19">IFERROR(INDEX('ST Forecast'!$E$2:$RK$36,6,M19),"")</f>
        <v>47.174250863939186</v>
      </c>
      <c r="I19" s="44" cm="1">
        <f t="array" ref="I19">IFERROR(INDEX('ST Forecast'!$E$2:$RK$36,7,M19),"")</f>
        <v>52.094859755414575</v>
      </c>
      <c r="J19" s="44">
        <f>SUM(DB[[#This Row],[Sales-FC-Picks-Collect]:[Sales-FC-Picks-HD]])</f>
        <v>113769.00822565003</v>
      </c>
      <c r="K19" s="44">
        <f t="shared" si="25"/>
        <v>33021.975604757426</v>
      </c>
      <c r="L19" s="44">
        <f t="shared" si="26"/>
        <v>80747.032620892598</v>
      </c>
      <c r="M19" s="403">
        <f>IFERROR(IF(B19=B18,M18+1,MATCH(B19,'ST Forecast'!$E$2:$RK$2,0)+1),"")</f>
        <v>18</v>
      </c>
      <c r="N19">
        <f>SUM(DB[[#This Row],[Ops-FC-Orders-Collect]:[Ops-FC-Orders-HD]])</f>
        <v>2250</v>
      </c>
      <c r="O19" s="44" cm="1">
        <f t="array" ref="O19">IFERROR(INDEX('ST Forecast'!$E$2:$RK$36,13,M19),"")</f>
        <v>700</v>
      </c>
      <c r="P19" s="44">
        <f t="shared" si="27"/>
        <v>1550</v>
      </c>
      <c r="Q19" s="44" cm="1">
        <f t="array" ref="Q19">IFERROR(INDEX('ST Forecast'!$E$2:$RK$36,14,M19),"")</f>
        <v>700</v>
      </c>
      <c r="R19" s="44" cm="1">
        <f t="array" ref="R19">IFERROR(INDEX('ST Forecast'!$E$2:$RK$36,15,M19),"")</f>
        <v>850</v>
      </c>
      <c r="S19" s="312">
        <f>SUM(DB[[#This Row],[Ops-FC-Picks-Collect]:[Ops-FC-Picks-HD]])</f>
        <v>111493.62806113702</v>
      </c>
      <c r="T19" s="44">
        <f t="shared" si="28"/>
        <v>32361.536092662278</v>
      </c>
      <c r="U19" s="44">
        <f t="shared" si="29"/>
        <v>79132.091968474735</v>
      </c>
      <c r="V19" s="44">
        <f t="shared" si="30"/>
        <v>35737.073792214396</v>
      </c>
      <c r="W19" s="404">
        <f t="shared" si="31"/>
        <v>43395.018176260339</v>
      </c>
      <c r="X19" s="44">
        <f>SUM(DB[[#This Row],[Capped-Orders-Collect]:[Capped-Orders-HD]])</f>
        <v>90</v>
      </c>
      <c r="Y19">
        <f>INDEX('Operations Forecast'!$A$2:$BGY$47,3,MATCH(DB!D19,'Operations Forecast'!$A$2:$BGY$2))</f>
        <v>0</v>
      </c>
      <c r="Z19">
        <f t="shared" si="32"/>
        <v>90</v>
      </c>
      <c r="AA19">
        <f>INDEX('Operations Forecast'!$A$2:$BGY$47,10,MATCH(DB!D19,'Operations Forecast'!$A$2:$BGY$2))</f>
        <v>90</v>
      </c>
      <c r="AB19">
        <f>INDEX('Operations Forecast'!$A$2:$BGY$47,21,MATCH(DB!D19,'Operations Forecast'!$A$2:$BGY$2))</f>
        <v>0</v>
      </c>
      <c r="AC19" s="312">
        <f>SUM(DB[[#This Row],[Act-Orders-Collect]:[Act-Orders-HD]])</f>
        <v>2305</v>
      </c>
      <c r="AD19" s="858">
        <f>IFERROR(INDEX('Operations Forecast_new'!$7:$7,MATCH(DB[[#This Row],[Datum]],'Operations Forecast_new'!$2:$2,0)),0)</f>
        <v>675</v>
      </c>
      <c r="AE19" s="312">
        <f t="shared" si="33"/>
        <v>1630</v>
      </c>
      <c r="AF19" s="858">
        <f>IFERROR(INDEX('Operations Forecast_new'!$13:$13,MATCH(DB[[#This Row],[Datum]],'Operations Forecast_new'!$2:$2,0)),0)</f>
        <v>650</v>
      </c>
      <c r="AG19" s="858">
        <f>IFERROR(INDEX('Operations Forecast_new'!$19:$19,MATCH(DB[[#This Row],[Datum]],'Operations Forecast_new'!$2:$2,0)),0)</f>
        <v>980</v>
      </c>
      <c r="AH19" s="312">
        <f t="shared" si="9"/>
        <v>111959.09999999999</v>
      </c>
      <c r="AI19" s="858">
        <f>IFERROR(INDEX('Operations Forecast_new'!$9:$9,MATCH(DB[[#This Row],[Datum]],'Operations Forecast_new'!$2:$2,0)),0)</f>
        <v>31274.099999999995</v>
      </c>
      <c r="AJ19" s="312">
        <f t="shared" si="34"/>
        <v>80685</v>
      </c>
      <c r="AK19" s="858">
        <f>IFERROR(INDEX('Operations Forecast_new'!$15:$15,MATCH(DB[[#This Row],[Datum]],'Operations Forecast_new'!$2:$2,0)),0)</f>
        <v>32175</v>
      </c>
      <c r="AL19" s="858">
        <f>IFERROR(INDEX('Operations Forecast_new'!$21:$21,MATCH(DB[[#This Row],[Datum]],'Operations Forecast_new'!$2:$2,0)),0)</f>
        <v>48510</v>
      </c>
      <c r="AM19" s="178">
        <f>IFERROR(INDEX('Operations Forecast_new'!$8:$8,MATCH(DB[[#This Row],[Datum]],'Operations Forecast_new'!$2:$2,0)),0)</f>
        <v>46.8</v>
      </c>
      <c r="AN19" s="859">
        <f>IFERROR(INDEX('Operations Forecast_new'!$20:$20,MATCH(DB[[#This Row],[Datum]],'Operations Forecast_new'!$2:$2,0)),0)</f>
        <v>50</v>
      </c>
      <c r="AO19" s="44">
        <f t="shared" si="35"/>
        <v>46.331999999999994</v>
      </c>
      <c r="AP19" s="404">
        <f t="shared" si="36"/>
        <v>49.5</v>
      </c>
      <c r="AQ19" s="44">
        <f t="shared" si="13"/>
        <v>200814</v>
      </c>
      <c r="AR19" s="44" cm="1">
        <f t="array" ref="AR19">IFERROR(INDEX('ST Forecast'!$E$2:$RK$36,25,M19)+(INDEX('ST Forecast'!$E$2:$RK$36,29,M19)),"")</f>
        <v>89206.629164396814</v>
      </c>
      <c r="AS19" s="44" cm="1">
        <f t="array" ref="AS19">IFERROR(INDEX('ST Forecast'!$E$2:$RK$36,26,M19)+INDEX('ST Forecast'!$E$2:$RK$36,30,M19),"")</f>
        <v>63394.135324013827</v>
      </c>
      <c r="AT19" s="44" cm="1">
        <f t="array" ref="AT19">IFERROR(INDEX('ST Forecast'!$E$2:$RK$36,27,M19)+INDEX('ST Forecast'!$E$2:$RK$36,31,M19),"")</f>
        <v>41414.982634933884</v>
      </c>
      <c r="AU19" s="44" cm="1">
        <f t="array" ref="AU19">IFERROR(INDEX('ST Forecast'!$E$2:$RK$36,28,M19),"")</f>
        <v>6798.252876655486</v>
      </c>
      <c r="AV19" s="44" cm="1">
        <f t="array" ref="AV19">IFERROR(INDEX('ST Forecast'!$E$2:$RK$36,29,M19),"")</f>
        <v>0</v>
      </c>
      <c r="AW19" s="44">
        <f>DB[[#This Row],[Inbound FC]]-DB[[#This Row],[Inbound Act - Ultrafresh2]]</f>
        <v>200814</v>
      </c>
      <c r="AX19" s="178" t="e">
        <f>#REF!</f>
        <v>#REF!</v>
      </c>
      <c r="AY19" s="178" t="e">
        <f>#REF!</f>
        <v>#REF!</v>
      </c>
      <c r="AZ19" s="178" t="e">
        <f>#REF!</f>
        <v>#REF!</v>
      </c>
      <c r="BA19" s="178">
        <f>MONTH(DB[[#This Row],[Datum]])</f>
        <v>1</v>
      </c>
    </row>
    <row r="20" spans="1:53" x14ac:dyDescent="0.3">
      <c r="A20" s="44">
        <f t="shared" si="23"/>
        <v>3</v>
      </c>
      <c r="B20" t="str">
        <f t="shared" si="24"/>
        <v>Wk 3</v>
      </c>
      <c r="C20" t="s">
        <v>114</v>
      </c>
      <c r="D20" s="313">
        <v>44579</v>
      </c>
      <c r="E20" s="44">
        <f>DB[[#This Row],[Sales-FC-Orders-Collect]]+DB[[#This Row],[Sales-FC-Orders-HD]]</f>
        <v>2600</v>
      </c>
      <c r="F20" s="402">
        <f>INDEX('LT Collect Forecast'!$K$1:$Q$55,MATCH(B20,'LT Collect Forecast'!$A:$A,0),MATCH(C20,'LT Collect Forecast'!$K$2:$Q$2,0))</f>
        <v>600</v>
      </c>
      <c r="G20" s="44">
        <f>INDEX('LT HD Forecast'!$K$1:$Q$55,MATCH(B20,'LT HD Forecast'!$A:$A,0),MATCH(C20,'LT HD Forecast'!$K$2:$Q$2,0))</f>
        <v>2000</v>
      </c>
      <c r="H20" s="44" cm="1">
        <f t="array" ref="H20">IFERROR(INDEX('ST Forecast'!$E$2:$RK$36,6,M20),"")</f>
        <v>45.470676054522073</v>
      </c>
      <c r="I20" s="44" cm="1">
        <f t="array" ref="I20">IFERROR(INDEX('ST Forecast'!$E$2:$RK$36,7,M20),"")</f>
        <v>50.202618348304917</v>
      </c>
      <c r="J20" s="44">
        <f>SUM(DB[[#This Row],[Sales-FC-Picks-Collect]:[Sales-FC-Picks-HD]])</f>
        <v>127687.64232932308</v>
      </c>
      <c r="K20" s="44">
        <f t="shared" si="25"/>
        <v>27282.405632713242</v>
      </c>
      <c r="L20" s="44">
        <f t="shared" si="26"/>
        <v>100405.23669660983</v>
      </c>
      <c r="M20" s="403">
        <f>IFERROR(IF(B20=B19,M19+1,MATCH(B20,'ST Forecast'!$E$2:$RK$2,0)+1),"")</f>
        <v>19</v>
      </c>
      <c r="N20">
        <f>SUM(DB[[#This Row],[Ops-FC-Orders-Collect]:[Ops-FC-Orders-HD]])</f>
        <v>2600</v>
      </c>
      <c r="O20" s="44" cm="1">
        <f t="array" ref="O20">IFERROR(INDEX('ST Forecast'!$E$2:$RK$36,13,M20),"")</f>
        <v>600</v>
      </c>
      <c r="P20" s="44">
        <f t="shared" si="27"/>
        <v>2000</v>
      </c>
      <c r="Q20" s="44" cm="1">
        <f t="array" ref="Q20">IFERROR(INDEX('ST Forecast'!$E$2:$RK$36,14,M20),"")</f>
        <v>1050</v>
      </c>
      <c r="R20" s="44" cm="1">
        <f t="array" ref="R20">IFERROR(INDEX('ST Forecast'!$E$2:$RK$36,15,M20),"")</f>
        <v>950</v>
      </c>
      <c r="S20" s="312">
        <f>SUM(DB[[#This Row],[Ops-FC-Picks-Collect]:[Ops-FC-Picks-HD]])</f>
        <v>125133.88948273662</v>
      </c>
      <c r="T20" s="44">
        <f t="shared" si="28"/>
        <v>26736.757520058978</v>
      </c>
      <c r="U20" s="44">
        <f t="shared" si="29"/>
        <v>98397.131962677639</v>
      </c>
      <c r="V20" s="44">
        <f t="shared" si="30"/>
        <v>51658.494280405765</v>
      </c>
      <c r="W20" s="404">
        <f t="shared" si="31"/>
        <v>46738.637682271874</v>
      </c>
      <c r="X20" s="44">
        <f>SUM(DB[[#This Row],[Capped-Orders-Collect]:[Capped-Orders-HD]])</f>
        <v>90</v>
      </c>
      <c r="Y20">
        <f>INDEX('Operations Forecast'!$A$2:$BGY$47,3,MATCH(DB!D20,'Operations Forecast'!$A$2:$BGY$2))</f>
        <v>0</v>
      </c>
      <c r="Z20">
        <f t="shared" si="32"/>
        <v>90</v>
      </c>
      <c r="AA20">
        <f>INDEX('Operations Forecast'!$A$2:$BGY$47,10,MATCH(DB!D20,'Operations Forecast'!$A$2:$BGY$2))</f>
        <v>90</v>
      </c>
      <c r="AB20">
        <f>INDEX('Operations Forecast'!$A$2:$BGY$47,21,MATCH(DB!D20,'Operations Forecast'!$A$2:$BGY$2))</f>
        <v>0</v>
      </c>
      <c r="AC20" s="312">
        <f>SUM(DB[[#This Row],[Act-Orders-Collect]:[Act-Orders-HD]])</f>
        <v>2787</v>
      </c>
      <c r="AD20" s="858">
        <f>IFERROR(INDEX('Operations Forecast_new'!$7:$7,MATCH(DB[[#This Row],[Datum]],'Operations Forecast_new'!$2:$2,0)),0)</f>
        <v>615</v>
      </c>
      <c r="AE20" s="312">
        <f t="shared" si="33"/>
        <v>2172</v>
      </c>
      <c r="AF20" s="858">
        <f>IFERROR(INDEX('Operations Forecast_new'!$13:$13,MATCH(DB[[#This Row],[Datum]],'Operations Forecast_new'!$2:$2,0)),0)</f>
        <v>1132</v>
      </c>
      <c r="AG20" s="858">
        <f>IFERROR(INDEX('Operations Forecast_new'!$19:$19,MATCH(DB[[#This Row],[Datum]],'Operations Forecast_new'!$2:$2,0)),0)</f>
        <v>1040</v>
      </c>
      <c r="AH20" s="312">
        <f t="shared" si="9"/>
        <v>126562.39199999999</v>
      </c>
      <c r="AI20" s="858">
        <f>IFERROR(INDEX('Operations Forecast_new'!$9:$9,MATCH(DB[[#This Row],[Datum]],'Operations Forecast_new'!$2:$2,0)),0)</f>
        <v>26789.4</v>
      </c>
      <c r="AJ20" s="312">
        <f t="shared" si="34"/>
        <v>99772.991999999998</v>
      </c>
      <c r="AK20" s="858">
        <f>IFERROR(INDEX('Operations Forecast_new'!$15:$15,MATCH(DB[[#This Row],[Datum]],'Operations Forecast_new'!$2:$2,0)),0)</f>
        <v>51999.551999999996</v>
      </c>
      <c r="AL20" s="858">
        <f>IFERROR(INDEX('Operations Forecast_new'!$21:$21,MATCH(DB[[#This Row],[Datum]],'Operations Forecast_new'!$2:$2,0)),0)</f>
        <v>47773.440000000002</v>
      </c>
      <c r="AM20" s="178">
        <f>IFERROR(INDEX('Operations Forecast_new'!$8:$8,MATCH(DB[[#This Row],[Datum]],'Operations Forecast_new'!$2:$2,0)),0)</f>
        <v>44</v>
      </c>
      <c r="AN20" s="859">
        <f>IFERROR(INDEX('Operations Forecast_new'!$20:$20,MATCH(DB[[#This Row],[Datum]],'Operations Forecast_new'!$2:$2,0)),0)</f>
        <v>46.4</v>
      </c>
      <c r="AO20" s="44">
        <f t="shared" si="35"/>
        <v>43.56</v>
      </c>
      <c r="AP20" s="404">
        <f t="shared" si="36"/>
        <v>45.936</v>
      </c>
      <c r="AQ20" s="44">
        <f t="shared" si="13"/>
        <v>150497.00000000009</v>
      </c>
      <c r="AR20" s="44" cm="1">
        <f t="array" ref="AR20">IFERROR(INDEX('ST Forecast'!$E$2:$RK$36,25,M20)+(INDEX('ST Forecast'!$E$2:$RK$36,29,M20)),"")</f>
        <v>66616.908335028435</v>
      </c>
      <c r="AS20" s="44" cm="1">
        <f t="array" ref="AS20">IFERROR(INDEX('ST Forecast'!$E$2:$RK$36,26,M20)+INDEX('ST Forecast'!$E$2:$RK$36,30,M20),"")</f>
        <v>69873.170897382835</v>
      </c>
      <c r="AT20" s="44" cm="1">
        <f t="array" ref="AT20">IFERROR(INDEX('ST Forecast'!$E$2:$RK$36,27,M20)+INDEX('ST Forecast'!$E$2:$RK$36,31,M20),"")</f>
        <v>6574.6533528989376</v>
      </c>
      <c r="AU20" s="44" cm="1">
        <f t="array" ref="AU20">IFERROR(INDEX('ST Forecast'!$E$2:$RK$36,28,M20),"")</f>
        <v>7432.2674146898853</v>
      </c>
      <c r="AV20" s="44" cm="1">
        <f t="array" ref="AV20">IFERROR(INDEX('ST Forecast'!$E$2:$RK$36,29,M20),"")</f>
        <v>0</v>
      </c>
      <c r="AW20" s="44">
        <f>DB[[#This Row],[Inbound FC]]-DB[[#This Row],[Inbound Act - Ultrafresh2]]</f>
        <v>150497.00000000009</v>
      </c>
      <c r="AX20" s="178" t="e">
        <f>#REF!</f>
        <v>#REF!</v>
      </c>
      <c r="AY20" s="178" t="e">
        <f>#REF!</f>
        <v>#REF!</v>
      </c>
      <c r="AZ20" s="178" t="e">
        <f>#REF!</f>
        <v>#REF!</v>
      </c>
      <c r="BA20" s="178">
        <f>MONTH(DB[[#This Row],[Datum]])</f>
        <v>1</v>
      </c>
    </row>
    <row r="21" spans="1:53" x14ac:dyDescent="0.3">
      <c r="A21" s="44">
        <f t="shared" si="23"/>
        <v>3</v>
      </c>
      <c r="B21" t="str">
        <f t="shared" si="24"/>
        <v>Wk 3</v>
      </c>
      <c r="C21" t="s">
        <v>115</v>
      </c>
      <c r="D21" s="313">
        <v>44580</v>
      </c>
      <c r="E21" s="44">
        <f>DB[[#This Row],[Sales-FC-Orders-Collect]]+DB[[#This Row],[Sales-FC-Orders-HD]]</f>
        <v>2650</v>
      </c>
      <c r="F21" s="402">
        <f>INDEX('LT Collect Forecast'!$K$1:$Q$55,MATCH(B21,'LT Collect Forecast'!$A:$A,0),MATCH(C21,'LT Collect Forecast'!$K$2:$Q$2,0))</f>
        <v>650</v>
      </c>
      <c r="G21" s="44">
        <f>INDEX('LT HD Forecast'!$K$1:$Q$55,MATCH(B21,'LT HD Forecast'!$A:$A,0),MATCH(C21,'LT HD Forecast'!$K$2:$Q$2,0))</f>
        <v>2000</v>
      </c>
      <c r="H21" s="44" cm="1">
        <f t="array" ref="H21">IFERROR(INDEX('ST Forecast'!$E$2:$RK$36,6,M21),"")</f>
        <v>47.452303161863135</v>
      </c>
      <c r="I21" s="44" cm="1">
        <f t="array" ref="I21">IFERROR(INDEX('ST Forecast'!$E$2:$RK$36,7,M21),"")</f>
        <v>51.522469358321835</v>
      </c>
      <c r="J21" s="44">
        <f>SUM(DB[[#This Row],[Sales-FC-Picks-Collect]:[Sales-FC-Picks-HD]])</f>
        <v>133888.93577185471</v>
      </c>
      <c r="K21" s="44">
        <f t="shared" si="25"/>
        <v>30843.997055211039</v>
      </c>
      <c r="L21" s="44">
        <f t="shared" si="26"/>
        <v>103044.93871664366</v>
      </c>
      <c r="M21" s="403">
        <f>IFERROR(IF(B21=B20,M20+1,MATCH(B21,'ST Forecast'!$E$2:$RK$2,0)+1),"")</f>
        <v>20</v>
      </c>
      <c r="N21">
        <f>SUM(DB[[#This Row],[Ops-FC-Orders-Collect]:[Ops-FC-Orders-HD]])</f>
        <v>2650</v>
      </c>
      <c r="O21" s="44" cm="1">
        <f t="array" ref="O21">IFERROR(INDEX('ST Forecast'!$E$2:$RK$36,13,M21),"")</f>
        <v>650</v>
      </c>
      <c r="P21" s="44">
        <f t="shared" si="27"/>
        <v>2000</v>
      </c>
      <c r="Q21" s="44" cm="1">
        <f t="array" ref="Q21">IFERROR(INDEX('ST Forecast'!$E$2:$RK$36,14,M21),"")</f>
        <v>1050</v>
      </c>
      <c r="R21" s="44" cm="1">
        <f t="array" ref="R21">IFERROR(INDEX('ST Forecast'!$E$2:$RK$36,15,M21),"")</f>
        <v>950</v>
      </c>
      <c r="S21" s="312">
        <f>SUM(DB[[#This Row],[Ops-FC-Picks-Collect]:[Ops-FC-Picks-HD]])</f>
        <v>131211.15705641761</v>
      </c>
      <c r="T21" s="44">
        <f t="shared" si="28"/>
        <v>30227.117114106819</v>
      </c>
      <c r="U21" s="44">
        <f t="shared" si="29"/>
        <v>100984.03994231079</v>
      </c>
      <c r="V21" s="44">
        <f t="shared" si="30"/>
        <v>53016.620969713164</v>
      </c>
      <c r="W21" s="404">
        <f t="shared" si="31"/>
        <v>47967.418972597625</v>
      </c>
      <c r="X21" s="44">
        <f>SUM(DB[[#This Row],[Capped-Orders-Collect]:[Capped-Orders-HD]])</f>
        <v>90</v>
      </c>
      <c r="Y21">
        <f>INDEX('Operations Forecast'!$A$2:$BGY$47,3,MATCH(DB!D21,'Operations Forecast'!$A$2:$BGY$2))</f>
        <v>0</v>
      </c>
      <c r="Z21">
        <f t="shared" si="32"/>
        <v>90</v>
      </c>
      <c r="AA21">
        <f>INDEX('Operations Forecast'!$A$2:$BGY$47,10,MATCH(DB!D21,'Operations Forecast'!$A$2:$BGY$2))</f>
        <v>90</v>
      </c>
      <c r="AB21">
        <f>INDEX('Operations Forecast'!$A$2:$BGY$47,21,MATCH(DB!D21,'Operations Forecast'!$A$2:$BGY$2))</f>
        <v>0</v>
      </c>
      <c r="AC21" s="312">
        <f>SUM(DB[[#This Row],[Act-Orders-Collect]:[Act-Orders-HD]])</f>
        <v>2757</v>
      </c>
      <c r="AD21" s="858">
        <f>IFERROR(INDEX('Operations Forecast_new'!$7:$7,MATCH(DB[[#This Row],[Datum]],'Operations Forecast_new'!$2:$2,0)),0)</f>
        <v>585</v>
      </c>
      <c r="AE21" s="312">
        <f t="shared" si="33"/>
        <v>2172</v>
      </c>
      <c r="AF21" s="858">
        <f>IFERROR(INDEX('Operations Forecast_new'!$13:$13,MATCH(DB[[#This Row],[Datum]],'Operations Forecast_new'!$2:$2,0)),0)</f>
        <v>1128</v>
      </c>
      <c r="AG21" s="858">
        <f>IFERROR(INDEX('Operations Forecast_new'!$19:$19,MATCH(DB[[#This Row],[Datum]],'Operations Forecast_new'!$2:$2,0)),0)</f>
        <v>1044</v>
      </c>
      <c r="AH21" s="312">
        <f t="shared" si="9"/>
        <v>130309.641</v>
      </c>
      <c r="AI21" s="858">
        <f>IFERROR(INDEX('Operations Forecast_new'!$9:$9,MATCH(DB[[#This Row],[Datum]],'Operations Forecast_new'!$2:$2,0)),0)</f>
        <v>27741.285</v>
      </c>
      <c r="AJ21" s="312">
        <f t="shared" si="34"/>
        <v>102568.356</v>
      </c>
      <c r="AK21" s="858">
        <f>IFERROR(INDEX('Operations Forecast_new'!$15:$15,MATCH(DB[[#This Row],[Datum]],'Operations Forecast_new'!$2:$2,0)),0)</f>
        <v>53267.544000000002</v>
      </c>
      <c r="AL21" s="858">
        <f>IFERROR(INDEX('Operations Forecast_new'!$21:$21,MATCH(DB[[#This Row],[Datum]],'Operations Forecast_new'!$2:$2,0)),0)</f>
        <v>49300.812000000005</v>
      </c>
      <c r="AM21" s="178">
        <f>IFERROR(INDEX('Operations Forecast_new'!$8:$8,MATCH(DB[[#This Row],[Datum]],'Operations Forecast_new'!$2:$2,0)),0)</f>
        <v>47.9</v>
      </c>
      <c r="AN21" s="859">
        <f>IFERROR(INDEX('Operations Forecast_new'!$20:$20,MATCH(DB[[#This Row],[Datum]],'Operations Forecast_new'!$2:$2,0)),0)</f>
        <v>47.7</v>
      </c>
      <c r="AO21" s="44">
        <f t="shared" si="35"/>
        <v>47.420999999999999</v>
      </c>
      <c r="AP21" s="404">
        <f t="shared" si="36"/>
        <v>47.222999999999999</v>
      </c>
      <c r="AQ21" s="44">
        <f t="shared" si="13"/>
        <v>156512.00000000009</v>
      </c>
      <c r="AR21" s="44" cm="1">
        <f t="array" ref="AR21">IFERROR(INDEX('ST Forecast'!$E$2:$RK$36,25,M21)+(INDEX('ST Forecast'!$E$2:$RK$36,29,M21)),"")</f>
        <v>64106.219722788454</v>
      </c>
      <c r="AS21" s="44" cm="1">
        <f t="array" ref="AS21">IFERROR(INDEX('ST Forecast'!$E$2:$RK$36,26,M21)+INDEX('ST Forecast'!$E$2:$RK$36,30,M21),"")</f>
        <v>65008.207708023707</v>
      </c>
      <c r="AT21" s="44" cm="1">
        <f t="array" ref="AT21">IFERROR(INDEX('ST Forecast'!$E$2:$RK$36,27,M21)+INDEX('ST Forecast'!$E$2:$RK$36,31,M21),"")</f>
        <v>18013.864800185976</v>
      </c>
      <c r="AU21" s="44" cm="1">
        <f t="array" ref="AU21">IFERROR(INDEX('ST Forecast'!$E$2:$RK$36,28,M21),"")</f>
        <v>9383.7077690019487</v>
      </c>
      <c r="AV21" s="44" cm="1">
        <f t="array" ref="AV21">IFERROR(INDEX('ST Forecast'!$E$2:$RK$36,29,M21),"")</f>
        <v>0</v>
      </c>
      <c r="AW21" s="44">
        <f>DB[[#This Row],[Inbound FC]]-DB[[#This Row],[Inbound Act - Ultrafresh2]]</f>
        <v>156512.00000000009</v>
      </c>
      <c r="AX21" s="178" t="e">
        <f>#REF!</f>
        <v>#REF!</v>
      </c>
      <c r="AY21" s="178" t="e">
        <f>#REF!</f>
        <v>#REF!</v>
      </c>
      <c r="AZ21" s="178" t="e">
        <f>#REF!</f>
        <v>#REF!</v>
      </c>
      <c r="BA21" s="178">
        <f>MONTH(DB[[#This Row],[Datum]])</f>
        <v>1</v>
      </c>
    </row>
    <row r="22" spans="1:53" x14ac:dyDescent="0.3">
      <c r="A22" s="44">
        <f t="shared" si="23"/>
        <v>3</v>
      </c>
      <c r="B22" t="str">
        <f t="shared" si="24"/>
        <v>Wk 3</v>
      </c>
      <c r="C22" t="s">
        <v>116</v>
      </c>
      <c r="D22" s="313">
        <v>44581</v>
      </c>
      <c r="E22" s="44">
        <f>DB[[#This Row],[Sales-FC-Orders-Collect]]+DB[[#This Row],[Sales-FC-Orders-HD]]</f>
        <v>2750</v>
      </c>
      <c r="F22" s="402" cm="1">
        <f t="array" ref="F22">INDEX('LT Collect Forecast'!$K$1:$Q$55,MATCH(B22,'LT Collect Forecast'!$A:$A,0)+1,MATCH(C22,'LT Collect Forecast'!$K$2:$Q$2,0))</f>
        <v>600</v>
      </c>
      <c r="G22" s="44" cm="1">
        <f t="array" ref="G22">INDEX('LT HD Forecast'!$K$1:$Q$55,MATCH(B22,'LT HD Forecast'!$A:$A,0)+1,MATCH(C22,'LT HD Forecast'!$K$2:$Q$2,0))</f>
        <v>2150</v>
      </c>
      <c r="H22" s="44" cm="1">
        <f t="array" ref="H22">IFERROR(INDEX('ST Forecast'!$E$2:$RK$36,6,M22),"")</f>
        <v>48.000000000000007</v>
      </c>
      <c r="I22" s="44" cm="1">
        <f t="array" ref="I22">IFERROR(INDEX('ST Forecast'!$E$2:$RK$36,7,M22),"")</f>
        <v>48</v>
      </c>
      <c r="J22" s="44">
        <f>SUM(DB[[#This Row],[Sales-FC-Picks-Collect]:[Sales-FC-Picks-HD]])</f>
        <v>132000</v>
      </c>
      <c r="K22" s="44">
        <f t="shared" si="25"/>
        <v>28800.000000000004</v>
      </c>
      <c r="L22" s="44">
        <f t="shared" si="26"/>
        <v>103200</v>
      </c>
      <c r="M22" s="403">
        <f>IFERROR(IF(B22=B21,M21+1,MATCH(B22,'ST Forecast'!$E$2:$RK$2,0)+1),"")</f>
        <v>21</v>
      </c>
      <c r="N22">
        <f>SUM(DB[[#This Row],[Ops-FC-Orders-Collect]:[Ops-FC-Orders-HD]])</f>
        <v>2550</v>
      </c>
      <c r="O22" s="44" cm="1">
        <f t="array" ref="O22">IFERROR(INDEX('ST Forecast'!$E$2:$RK$36,13,M22),"")</f>
        <v>600</v>
      </c>
      <c r="P22" s="44">
        <f t="shared" si="27"/>
        <v>1950</v>
      </c>
      <c r="Q22" s="44" cm="1">
        <f t="array" ref="Q22">IFERROR(INDEX('ST Forecast'!$E$2:$RK$36,14,M22),"")</f>
        <v>1000</v>
      </c>
      <c r="R22" s="44" cm="1">
        <f t="array" ref="R22">IFERROR(INDEX('ST Forecast'!$E$2:$RK$36,15,M22),"")</f>
        <v>950</v>
      </c>
      <c r="S22" s="312">
        <f>SUM(DB[[#This Row],[Ops-FC-Picks-Collect]:[Ops-FC-Picks-HD]])</f>
        <v>119952</v>
      </c>
      <c r="T22" s="44">
        <f t="shared" si="28"/>
        <v>28224.000000000004</v>
      </c>
      <c r="U22" s="44">
        <f t="shared" si="29"/>
        <v>91728</v>
      </c>
      <c r="V22" s="44">
        <f t="shared" si="30"/>
        <v>47040</v>
      </c>
      <c r="W22" s="404">
        <f t="shared" si="31"/>
        <v>44688</v>
      </c>
      <c r="X22" s="44">
        <f>SUM(DB[[#This Row],[Capped-Orders-Collect]:[Capped-Orders-HD]])</f>
        <v>90</v>
      </c>
      <c r="Y22">
        <f>INDEX('Operations Forecast'!$A$2:$BGY$47,3,MATCH(DB!D22,'Operations Forecast'!$A$2:$BGY$2))</f>
        <v>0</v>
      </c>
      <c r="Z22">
        <f t="shared" si="32"/>
        <v>90</v>
      </c>
      <c r="AA22">
        <f>INDEX('Operations Forecast'!$A$2:$BGY$47,10,MATCH(DB!D22,'Operations Forecast'!$A$2:$BGY$2))</f>
        <v>90</v>
      </c>
      <c r="AB22">
        <f>INDEX('Operations Forecast'!$A$2:$BGY$47,21,MATCH(DB!D22,'Operations Forecast'!$A$2:$BGY$2))</f>
        <v>0</v>
      </c>
      <c r="AC22" s="312">
        <f>SUM(DB[[#This Row],[Act-Orders-Collect]:[Act-Orders-HD]])</f>
        <v>2605</v>
      </c>
      <c r="AD22" s="858">
        <f>IFERROR(INDEX('Operations Forecast_new'!$7:$7,MATCH(DB[[#This Row],[Datum]],'Operations Forecast_new'!$2:$2,0)),0)</f>
        <v>505</v>
      </c>
      <c r="AE22" s="312">
        <f t="shared" si="33"/>
        <v>2100</v>
      </c>
      <c r="AF22" s="858">
        <f>IFERROR(INDEX('Operations Forecast_new'!$13:$13,MATCH(DB[[#This Row],[Datum]],'Operations Forecast_new'!$2:$2,0)),0)</f>
        <v>1060</v>
      </c>
      <c r="AG22" s="858">
        <f>IFERROR(INDEX('Operations Forecast_new'!$19:$19,MATCH(DB[[#This Row],[Datum]],'Operations Forecast_new'!$2:$2,0)),0)</f>
        <v>1040</v>
      </c>
      <c r="AH22" s="312">
        <f t="shared" si="9"/>
        <v>121634.37000000001</v>
      </c>
      <c r="AI22" s="858">
        <f>IFERROR(INDEX('Operations Forecast_new'!$9:$9,MATCH(DB[[#This Row],[Datum]],'Operations Forecast_new'!$2:$2,0)),0)</f>
        <v>23297.67</v>
      </c>
      <c r="AJ22" s="312">
        <f t="shared" si="34"/>
        <v>98336.700000000012</v>
      </c>
      <c r="AK22" s="858">
        <f>IFERROR(INDEX('Operations Forecast_new'!$15:$15,MATCH(DB[[#This Row],[Datum]],'Operations Forecast_new'!$2:$2,0)),0)</f>
        <v>49636.62</v>
      </c>
      <c r="AL22" s="858">
        <f>IFERROR(INDEX('Operations Forecast_new'!$21:$21,MATCH(DB[[#This Row],[Datum]],'Operations Forecast_new'!$2:$2,0)),0)</f>
        <v>48700.08</v>
      </c>
      <c r="AM22" s="178">
        <f>IFERROR(INDEX('Operations Forecast_new'!$8:$8,MATCH(DB[[#This Row],[Datum]],'Operations Forecast_new'!$2:$2,0)),0)</f>
        <v>46.6</v>
      </c>
      <c r="AN22" s="859">
        <f>IFERROR(INDEX('Operations Forecast_new'!$20:$20,MATCH(DB[[#This Row],[Datum]],'Operations Forecast_new'!$2:$2,0)),0)</f>
        <v>47.3</v>
      </c>
      <c r="AO22" s="44">
        <f t="shared" si="35"/>
        <v>46.133999999999993</v>
      </c>
      <c r="AP22" s="404">
        <f t="shared" si="36"/>
        <v>46.827000000000005</v>
      </c>
      <c r="AQ22" s="44">
        <f t="shared" si="13"/>
        <v>141629.00000000009</v>
      </c>
      <c r="AR22" s="44" cm="1">
        <f t="array" ref="AR22">IFERROR(INDEX('ST Forecast'!$E$2:$RK$36,25,M22)+(INDEX('ST Forecast'!$E$2:$RK$36,29,M22)),"")</f>
        <v>61336.583148954604</v>
      </c>
      <c r="AS22" s="44" cm="1">
        <f t="array" ref="AS22">IFERROR(INDEX('ST Forecast'!$E$2:$RK$36,26,M22)+INDEX('ST Forecast'!$E$2:$RK$36,30,M22),"")</f>
        <v>61275.997123752626</v>
      </c>
      <c r="AT22" s="44" cm="1">
        <f t="array" ref="AT22">IFERROR(INDEX('ST Forecast'!$E$2:$RK$36,27,M22)+INDEX('ST Forecast'!$E$2:$RK$36,31,M22),"")</f>
        <v>9114.5197765038502</v>
      </c>
      <c r="AU22" s="44" cm="1">
        <f t="array" ref="AU22">IFERROR(INDEX('ST Forecast'!$E$2:$RK$36,28,M22),"")</f>
        <v>9901.8999507890057</v>
      </c>
      <c r="AV22" s="44" cm="1">
        <f t="array" ref="AV22">IFERROR(INDEX('ST Forecast'!$E$2:$RK$36,29,M22),"")</f>
        <v>0</v>
      </c>
      <c r="AW22" s="44">
        <f>DB[[#This Row],[Inbound FC]]-DB[[#This Row],[Inbound Act - Ultrafresh2]]</f>
        <v>141629.00000000009</v>
      </c>
      <c r="AX22" s="178" t="e">
        <f>#REF!</f>
        <v>#REF!</v>
      </c>
      <c r="AY22" s="178" t="e">
        <f>#REF!</f>
        <v>#REF!</v>
      </c>
      <c r="AZ22" s="178" t="e">
        <f>#REF!</f>
        <v>#REF!</v>
      </c>
      <c r="BA22" s="178">
        <f>MONTH(DB[[#This Row],[Datum]])</f>
        <v>1</v>
      </c>
    </row>
    <row r="23" spans="1:53" x14ac:dyDescent="0.3">
      <c r="A23" s="44">
        <f t="shared" si="23"/>
        <v>3</v>
      </c>
      <c r="B23" t="str">
        <f t="shared" si="24"/>
        <v>Wk 3</v>
      </c>
      <c r="C23" t="s">
        <v>117</v>
      </c>
      <c r="D23" s="313">
        <v>44582</v>
      </c>
      <c r="E23" s="44">
        <f>DB[[#This Row],[Sales-FC-Orders-Collect]]+DB[[#This Row],[Sales-FC-Orders-HD]]</f>
        <v>2950</v>
      </c>
      <c r="F23" s="402" cm="1">
        <f t="array" ref="F23">INDEX('LT Collect Forecast'!$K$1:$Q$55,MATCH(B23,'LT Collect Forecast'!$A:$A,0)+1,MATCH(C23,'LT Collect Forecast'!$K$2:$Q$2,0))</f>
        <v>950</v>
      </c>
      <c r="G23" s="44" cm="1">
        <f t="array" ref="G23">INDEX('LT HD Forecast'!$K$1:$Q$55,MATCH(B23,'LT HD Forecast'!$A:$A,0)+1,MATCH(C23,'LT HD Forecast'!$K$2:$Q$2,0))</f>
        <v>2000</v>
      </c>
      <c r="H23" s="44" cm="1">
        <f t="array" ref="H23">IFERROR(INDEX('ST Forecast'!$E$2:$RK$36,6,M23),"")</f>
        <v>53</v>
      </c>
      <c r="I23" s="44" cm="1">
        <f t="array" ref="I23">IFERROR(INDEX('ST Forecast'!$E$2:$RK$36,7,M23),"")</f>
        <v>53</v>
      </c>
      <c r="J23" s="44">
        <f>SUM(DB[[#This Row],[Sales-FC-Picks-Collect]:[Sales-FC-Picks-HD]])</f>
        <v>156350</v>
      </c>
      <c r="K23" s="44">
        <f t="shared" si="25"/>
        <v>50350</v>
      </c>
      <c r="L23" s="44">
        <f t="shared" si="26"/>
        <v>106000</v>
      </c>
      <c r="M23" s="403">
        <f>IFERROR(IF(B23=B22,M22+1,MATCH(B23,'ST Forecast'!$E$2:$RK$2,0)+1),"")</f>
        <v>22</v>
      </c>
      <c r="N23">
        <f>SUM(DB[[#This Row],[Ops-FC-Orders-Collect]:[Ops-FC-Orders-HD]])</f>
        <v>2950</v>
      </c>
      <c r="O23" s="44" cm="1">
        <f t="array" ref="O23">IFERROR(INDEX('ST Forecast'!$E$2:$RK$36,13,M23),"")</f>
        <v>950</v>
      </c>
      <c r="P23" s="44">
        <f t="shared" si="27"/>
        <v>2000</v>
      </c>
      <c r="Q23" s="44" cm="1">
        <f t="array" ref="Q23">IFERROR(INDEX('ST Forecast'!$E$2:$RK$36,14,M23),"")</f>
        <v>1050</v>
      </c>
      <c r="R23" s="44" cm="1">
        <f t="array" ref="R23">IFERROR(INDEX('ST Forecast'!$E$2:$RK$36,15,M23),"")</f>
        <v>950</v>
      </c>
      <c r="S23" s="312">
        <f>SUM(DB[[#This Row],[Ops-FC-Picks-Collect]:[Ops-FC-Picks-HD]])</f>
        <v>153223</v>
      </c>
      <c r="T23" s="44">
        <f t="shared" si="28"/>
        <v>49343</v>
      </c>
      <c r="U23" s="44">
        <f t="shared" si="29"/>
        <v>103880</v>
      </c>
      <c r="V23" s="44">
        <f t="shared" si="30"/>
        <v>54537</v>
      </c>
      <c r="W23" s="404">
        <f t="shared" si="31"/>
        <v>49343</v>
      </c>
      <c r="X23" s="44">
        <f>SUM(DB[[#This Row],[Capped-Orders-Collect]:[Capped-Orders-HD]])</f>
        <v>90</v>
      </c>
      <c r="Y23">
        <f>INDEX('Operations Forecast'!$A$2:$BGY$47,3,MATCH(DB!D23,'Operations Forecast'!$A$2:$BGY$2))</f>
        <v>0</v>
      </c>
      <c r="Z23">
        <f t="shared" si="32"/>
        <v>90</v>
      </c>
      <c r="AA23">
        <f>INDEX('Operations Forecast'!$A$2:$BGY$47,10,MATCH(DB!D23,'Operations Forecast'!$A$2:$BGY$2))</f>
        <v>90</v>
      </c>
      <c r="AB23">
        <f>INDEX('Operations Forecast'!$A$2:$BGY$47,21,MATCH(DB!D23,'Operations Forecast'!$A$2:$BGY$2))</f>
        <v>0</v>
      </c>
      <c r="AC23" s="312">
        <f>SUM(DB[[#This Row],[Act-Orders-Collect]:[Act-Orders-HD]])</f>
        <v>3201</v>
      </c>
      <c r="AD23" s="858">
        <f>IFERROR(INDEX('Operations Forecast_new'!$7:$7,MATCH(DB[[#This Row],[Datum]],'Operations Forecast_new'!$2:$2,0)),0)</f>
        <v>1060</v>
      </c>
      <c r="AE23" s="312">
        <f t="shared" si="33"/>
        <v>2141</v>
      </c>
      <c r="AF23" s="858">
        <f>IFERROR(INDEX('Operations Forecast_new'!$13:$13,MATCH(DB[[#This Row],[Datum]],'Operations Forecast_new'!$2:$2,0)),0)</f>
        <v>1141</v>
      </c>
      <c r="AG23" s="858">
        <f>IFERROR(INDEX('Operations Forecast_new'!$19:$19,MATCH(DB[[#This Row],[Datum]],'Operations Forecast_new'!$2:$2,0)),0)</f>
        <v>1000</v>
      </c>
      <c r="AH23" s="312">
        <f t="shared" si="9"/>
        <v>158661.459</v>
      </c>
      <c r="AI23" s="858">
        <f>IFERROR(INDEX('Operations Forecast_new'!$9:$9,MATCH(DB[[#This Row],[Datum]],'Operations Forecast_new'!$2:$2,0)),0)</f>
        <v>52470</v>
      </c>
      <c r="AJ23" s="312">
        <f t="shared" si="34"/>
        <v>106191.459</v>
      </c>
      <c r="AK23" s="858">
        <f>IFERROR(INDEX('Operations Forecast_new'!$15:$15,MATCH(DB[[#This Row],[Datum]],'Operations Forecast_new'!$2:$2,0)),0)</f>
        <v>56592.458999999995</v>
      </c>
      <c r="AL23" s="858">
        <f>IFERROR(INDEX('Operations Forecast_new'!$21:$21,MATCH(DB[[#This Row],[Datum]],'Operations Forecast_new'!$2:$2,0)),0)</f>
        <v>49599</v>
      </c>
      <c r="AM23" s="178">
        <f>IFERROR(INDEX('Operations Forecast_new'!$8:$8,MATCH(DB[[#This Row],[Datum]],'Operations Forecast_new'!$2:$2,0)),0)</f>
        <v>50</v>
      </c>
      <c r="AN23" s="859">
        <f>IFERROR(INDEX('Operations Forecast_new'!$20:$20,MATCH(DB[[#This Row],[Datum]],'Operations Forecast_new'!$2:$2,0)),0)</f>
        <v>50.1</v>
      </c>
      <c r="AO23" s="44">
        <f t="shared" si="35"/>
        <v>49.5</v>
      </c>
      <c r="AP23" s="404">
        <f t="shared" si="36"/>
        <v>49.599000000000004</v>
      </c>
      <c r="AQ23" s="44">
        <f t="shared" si="13"/>
        <v>118726.00000000009</v>
      </c>
      <c r="AR23" s="44" cm="1">
        <f t="array" ref="AR23">IFERROR(INDEX('ST Forecast'!$E$2:$RK$36,25,M23)+(INDEX('ST Forecast'!$E$2:$RK$36,29,M23)),"")</f>
        <v>52553.599466996595</v>
      </c>
      <c r="AS23" s="44" cm="1">
        <f t="array" ref="AS23">IFERROR(INDEX('ST Forecast'!$E$2:$RK$36,26,M23)+INDEX('ST Forecast'!$E$2:$RK$36,30,M23),"")</f>
        <v>52615.776535384284</v>
      </c>
      <c r="AT23" s="44" cm="1">
        <f t="array" ref="AT23">IFERROR(INDEX('ST Forecast'!$E$2:$RK$36,27,M23)+INDEX('ST Forecast'!$E$2:$RK$36,31,M23),"")</f>
        <v>5186.6967047600901</v>
      </c>
      <c r="AU23" s="44" cm="1">
        <f t="array" ref="AU23">IFERROR(INDEX('ST Forecast'!$E$2:$RK$36,28,M23),"")</f>
        <v>8369.9272928591017</v>
      </c>
      <c r="AV23" s="44" cm="1">
        <f t="array" ref="AV23">IFERROR(INDEX('ST Forecast'!$E$2:$RK$36,29,M23),"")</f>
        <v>0</v>
      </c>
      <c r="AW23" s="44">
        <f>DB[[#This Row],[Inbound FC]]-DB[[#This Row],[Inbound Act - Ultrafresh2]]</f>
        <v>118726.00000000009</v>
      </c>
      <c r="AX23" s="178" t="e">
        <f>#REF!</f>
        <v>#REF!</v>
      </c>
      <c r="AY23" s="178" t="e">
        <f>#REF!</f>
        <v>#REF!</v>
      </c>
      <c r="AZ23" s="178" t="e">
        <f>#REF!</f>
        <v>#REF!</v>
      </c>
      <c r="BA23" s="178">
        <f>MONTH(DB[[#This Row],[Datum]])</f>
        <v>1</v>
      </c>
    </row>
    <row r="24" spans="1:53" x14ac:dyDescent="0.3">
      <c r="A24" s="44">
        <f t="shared" si="23"/>
        <v>3</v>
      </c>
      <c r="B24" t="str">
        <f t="shared" si="24"/>
        <v>Wk 3</v>
      </c>
      <c r="C24" t="s">
        <v>118</v>
      </c>
      <c r="D24" s="313">
        <v>44583</v>
      </c>
      <c r="E24" s="44">
        <f>DB[[#This Row],[Sales-FC-Orders-Collect]]+DB[[#This Row],[Sales-FC-Orders-HD]]</f>
        <v>2800</v>
      </c>
      <c r="F24" s="402" cm="1">
        <f t="array" ref="F24">INDEX('LT Collect Forecast'!$K$1:$Q$55,MATCH(B24,'LT Collect Forecast'!$A:$A,0)+1,MATCH(C24,'LT Collect Forecast'!$K$2:$Q$2,0))</f>
        <v>950</v>
      </c>
      <c r="G24" s="44" cm="1">
        <f t="array" ref="G24">INDEX('LT HD Forecast'!$K$1:$Q$55,MATCH(B24,'LT HD Forecast'!$A:$A,0)+1,MATCH(C24,'LT HD Forecast'!$K$2:$Q$2,0))</f>
        <v>1850</v>
      </c>
      <c r="H24" s="44" cm="1">
        <f t="array" ref="H24">IFERROR(INDEX('ST Forecast'!$E$2:$RK$36,6,M24),"")</f>
        <v>52</v>
      </c>
      <c r="I24" s="44" cm="1">
        <f t="array" ref="I24">IFERROR(INDEX('ST Forecast'!$E$2:$RK$36,7,M24),"")</f>
        <v>54</v>
      </c>
      <c r="J24" s="44">
        <f>SUM(DB[[#This Row],[Sales-FC-Picks-Collect]:[Sales-FC-Picks-HD]])</f>
        <v>149300</v>
      </c>
      <c r="K24" s="44">
        <f t="shared" si="25"/>
        <v>49400</v>
      </c>
      <c r="L24" s="44">
        <f t="shared" si="26"/>
        <v>99900</v>
      </c>
      <c r="M24" s="403">
        <f>IFERROR(IF(B24=B23,M23+1,MATCH(B24,'ST Forecast'!$E$2:$RK$2,0)+1),"")</f>
        <v>23</v>
      </c>
      <c r="N24">
        <f>SUM(DB[[#This Row],[Ops-FC-Orders-Collect]:[Ops-FC-Orders-HD]])</f>
        <v>2800</v>
      </c>
      <c r="O24" s="44" cm="1">
        <f t="array" ref="O24">IFERROR(INDEX('ST Forecast'!$E$2:$RK$36,13,M24),"")</f>
        <v>950</v>
      </c>
      <c r="P24" s="44">
        <f t="shared" si="27"/>
        <v>1850</v>
      </c>
      <c r="Q24" s="44" cm="1">
        <f t="array" ref="Q24">IFERROR(INDEX('ST Forecast'!$E$2:$RK$36,14,M24),"")</f>
        <v>950</v>
      </c>
      <c r="R24" s="44" cm="1">
        <f t="array" ref="R24">IFERROR(INDEX('ST Forecast'!$E$2:$RK$36,15,M24),"")</f>
        <v>900</v>
      </c>
      <c r="S24" s="312">
        <f>SUM(DB[[#This Row],[Ops-FC-Picks-Collect]:[Ops-FC-Picks-HD]])</f>
        <v>146314</v>
      </c>
      <c r="T24" s="44">
        <f t="shared" si="28"/>
        <v>48412</v>
      </c>
      <c r="U24" s="44">
        <f t="shared" si="29"/>
        <v>97902</v>
      </c>
      <c r="V24" s="44">
        <f t="shared" si="30"/>
        <v>50274</v>
      </c>
      <c r="W24" s="404">
        <f t="shared" si="31"/>
        <v>47628</v>
      </c>
      <c r="X24" s="44">
        <f>SUM(DB[[#This Row],[Capped-Orders-Collect]:[Capped-Orders-HD]])</f>
        <v>90</v>
      </c>
      <c r="Y24">
        <f>INDEX('Operations Forecast'!$A$2:$BGY$47,3,MATCH(DB!D24,'Operations Forecast'!$A$2:$BGY$2))</f>
        <v>0</v>
      </c>
      <c r="Z24">
        <f t="shared" si="32"/>
        <v>90</v>
      </c>
      <c r="AA24">
        <f>INDEX('Operations Forecast'!$A$2:$BGY$47,10,MATCH(DB!D24,'Operations Forecast'!$A$2:$BGY$2))</f>
        <v>90</v>
      </c>
      <c r="AB24">
        <f>INDEX('Operations Forecast'!$A$2:$BGY$47,21,MATCH(DB!D24,'Operations Forecast'!$A$2:$BGY$2))</f>
        <v>0</v>
      </c>
      <c r="AC24" s="312">
        <f>SUM(DB[[#This Row],[Act-Orders-Collect]:[Act-Orders-HD]])</f>
        <v>2962</v>
      </c>
      <c r="AD24" s="858">
        <f>IFERROR(INDEX('Operations Forecast_new'!$7:$7,MATCH(DB[[#This Row],[Datum]],'Operations Forecast_new'!$2:$2,0)),0)</f>
        <v>990</v>
      </c>
      <c r="AE24" s="312">
        <f t="shared" si="33"/>
        <v>1972</v>
      </c>
      <c r="AF24" s="858">
        <f>IFERROR(INDEX('Operations Forecast_new'!$13:$13,MATCH(DB[[#This Row],[Datum]],'Operations Forecast_new'!$2:$2,0)),0)</f>
        <v>1062</v>
      </c>
      <c r="AG24" s="858">
        <f>IFERROR(INDEX('Operations Forecast_new'!$19:$19,MATCH(DB[[#This Row],[Datum]],'Operations Forecast_new'!$2:$2,0)),0)</f>
        <v>910</v>
      </c>
      <c r="AH24" s="312">
        <f t="shared" si="9"/>
        <v>146226.16800000001</v>
      </c>
      <c r="AI24" s="858">
        <f>IFERROR(INDEX('Operations Forecast_new'!$9:$9,MATCH(DB[[#This Row],[Datum]],'Operations Forecast_new'!$2:$2,0)),0)</f>
        <v>48416.94</v>
      </c>
      <c r="AJ24" s="312">
        <f t="shared" si="34"/>
        <v>97809.228000000003</v>
      </c>
      <c r="AK24" s="858">
        <f>IFERROR(INDEX('Operations Forecast_new'!$15:$15,MATCH(DB[[#This Row],[Datum]],'Operations Forecast_new'!$2:$2,0)),0)</f>
        <v>52674.138000000006</v>
      </c>
      <c r="AL24" s="858">
        <f>IFERROR(INDEX('Operations Forecast_new'!$21:$21,MATCH(DB[[#This Row],[Datum]],'Operations Forecast_new'!$2:$2,0)),0)</f>
        <v>45135.09</v>
      </c>
      <c r="AM24" s="178">
        <f>IFERROR(INDEX('Operations Forecast_new'!$8:$8,MATCH(DB[[#This Row],[Datum]],'Operations Forecast_new'!$2:$2,0)),0)</f>
        <v>49.4</v>
      </c>
      <c r="AN24" s="859">
        <f>IFERROR(INDEX('Operations Forecast_new'!$20:$20,MATCH(DB[[#This Row],[Datum]],'Operations Forecast_new'!$2:$2,0)),0)</f>
        <v>50.1</v>
      </c>
      <c r="AO24" s="44">
        <f t="shared" si="35"/>
        <v>48.905999999999999</v>
      </c>
      <c r="AP24" s="404">
        <f t="shared" si="36"/>
        <v>49.599000000000004</v>
      </c>
      <c r="AQ24" s="44">
        <f t="shared" si="13"/>
        <v>113748.00000000001</v>
      </c>
      <c r="AR24" s="44" cm="1">
        <f t="array" ref="AR24">IFERROR(INDEX('ST Forecast'!$E$2:$RK$36,25,M24)+(INDEX('ST Forecast'!$E$2:$RK$36,29,M24)),"")</f>
        <v>59776.58706445837</v>
      </c>
      <c r="AS24" s="44" cm="1">
        <f t="array" ref="AS24">IFERROR(INDEX('ST Forecast'!$E$2:$RK$36,26,M24)+INDEX('ST Forecast'!$E$2:$RK$36,30,M24),"")</f>
        <v>42160.543759981701</v>
      </c>
      <c r="AT24" s="44" cm="1">
        <f t="array" ref="AT24">IFERROR(INDEX('ST Forecast'!$E$2:$RK$36,27,M24)+INDEX('ST Forecast'!$E$2:$RK$36,31,M24),"")</f>
        <v>5798.6235214047701</v>
      </c>
      <c r="AU24" s="44" cm="1">
        <f t="array" ref="AU24">IFERROR(INDEX('ST Forecast'!$E$2:$RK$36,28,M24),"")</f>
        <v>6012.2456541551674</v>
      </c>
      <c r="AV24" s="44" cm="1">
        <f t="array" ref="AV24">IFERROR(INDEX('ST Forecast'!$E$2:$RK$36,29,M24),"")</f>
        <v>0</v>
      </c>
      <c r="AW24" s="44">
        <f>DB[[#This Row],[Inbound FC]]-DB[[#This Row],[Inbound Act - Ultrafresh2]]</f>
        <v>113748.00000000001</v>
      </c>
      <c r="AX24" s="178" t="e">
        <f>#REF!</f>
        <v>#REF!</v>
      </c>
      <c r="AY24" s="178" t="e">
        <f>#REF!</f>
        <v>#REF!</v>
      </c>
      <c r="AZ24" s="178" t="e">
        <f>#REF!</f>
        <v>#REF!</v>
      </c>
      <c r="BA24" s="178">
        <f>MONTH(DB[[#This Row],[Datum]])</f>
        <v>1</v>
      </c>
    </row>
    <row r="25" spans="1:53" x14ac:dyDescent="0.3">
      <c r="A25" s="44">
        <f t="shared" si="23"/>
        <v>3</v>
      </c>
      <c r="B25" t="str">
        <f t="shared" si="24"/>
        <v>Wk 3</v>
      </c>
      <c r="C25" t="s">
        <v>119</v>
      </c>
      <c r="D25" s="313">
        <v>44584</v>
      </c>
      <c r="E25" s="44">
        <f>DB[[#This Row],[Sales-FC-Orders-Collect]]+DB[[#This Row],[Sales-FC-Orders-HD]]</f>
        <v>90</v>
      </c>
      <c r="F25" s="402" cm="1">
        <f t="array" ref="F25">INDEX('LT Collect Forecast'!$K$1:$Q$55,MATCH(B25,'LT Collect Forecast'!$A:$A,0)+1,MATCH(C25,'LT Collect Forecast'!$K$2:$Q$2,0))</f>
        <v>0</v>
      </c>
      <c r="G25" s="44" cm="1">
        <f t="array" ref="G25">INDEX('LT HD Forecast'!$K$1:$Q$55,MATCH(B25,'LT HD Forecast'!$A:$A,0)+1,MATCH(C25,'LT HD Forecast'!$K$2:$Q$2,0))</f>
        <v>90</v>
      </c>
      <c r="H25" s="44" cm="1">
        <f t="array" ref="H25">IFERROR(INDEX('ST Forecast'!$E$2:$RK$36,6,M25),"")</f>
        <v>0</v>
      </c>
      <c r="I25" s="44" cm="1">
        <f t="array" ref="I25">IFERROR(INDEX('ST Forecast'!$E$2:$RK$36,7,M25),"")</f>
        <v>56</v>
      </c>
      <c r="J25" s="44">
        <f>SUM(DB[[#This Row],[Sales-FC-Picks-Collect]:[Sales-FC-Picks-HD]])</f>
        <v>5040</v>
      </c>
      <c r="K25" s="44">
        <f t="shared" si="25"/>
        <v>0</v>
      </c>
      <c r="L25" s="44">
        <f t="shared" si="26"/>
        <v>5040</v>
      </c>
      <c r="M25" s="403">
        <f>IFERROR(IF(B25=B24,M24+1,MATCH(B25,'ST Forecast'!$E$2:$RK$2,0)+1),"")</f>
        <v>24</v>
      </c>
      <c r="N25">
        <f>SUM(DB[[#This Row],[Ops-FC-Orders-Collect]:[Ops-FC-Orders-HD]])</f>
        <v>90</v>
      </c>
      <c r="O25" s="44" cm="1">
        <f t="array" ref="O25">IFERROR(INDEX('ST Forecast'!$E$2:$RK$36,13,M25),"")</f>
        <v>0</v>
      </c>
      <c r="P25" s="44">
        <f t="shared" si="27"/>
        <v>90</v>
      </c>
      <c r="Q25" s="44" cm="1">
        <f t="array" ref="Q25">IFERROR(INDEX('ST Forecast'!$E$2:$RK$36,14,M25),"")</f>
        <v>90</v>
      </c>
      <c r="R25" s="44" cm="1">
        <f t="array" ref="R25">IFERROR(INDEX('ST Forecast'!$E$2:$RK$36,15,M25),"")</f>
        <v>0</v>
      </c>
      <c r="S25" s="312">
        <f>SUM(DB[[#This Row],[Ops-FC-Picks-Collect]:[Ops-FC-Picks-HD]])</f>
        <v>4939.2</v>
      </c>
      <c r="T25" s="44">
        <f t="shared" si="28"/>
        <v>0</v>
      </c>
      <c r="U25" s="44">
        <f t="shared" si="29"/>
        <v>4939.2</v>
      </c>
      <c r="V25" s="44">
        <f t="shared" si="30"/>
        <v>4939.2</v>
      </c>
      <c r="W25" s="404">
        <f t="shared" si="31"/>
        <v>0</v>
      </c>
      <c r="X25" s="44">
        <f>SUM(DB[[#This Row],[Capped-Orders-Collect]:[Capped-Orders-HD]])</f>
        <v>90</v>
      </c>
      <c r="Y25">
        <f>INDEX('Operations Forecast'!$A$2:$BGY$47,3,MATCH(DB!D25,'Operations Forecast'!$A$2:$BGY$2))</f>
        <v>0</v>
      </c>
      <c r="Z25">
        <f t="shared" si="32"/>
        <v>90</v>
      </c>
      <c r="AA25">
        <f>INDEX('Operations Forecast'!$A$2:$BGY$47,10,MATCH(DB!D25,'Operations Forecast'!$A$2:$BGY$2))</f>
        <v>90</v>
      </c>
      <c r="AB25">
        <f>INDEX('Operations Forecast'!$A$2:$BGY$47,21,MATCH(DB!D25,'Operations Forecast'!$A$2:$BGY$2))</f>
        <v>0</v>
      </c>
      <c r="AC25" s="312">
        <f>SUM(DB[[#This Row],[Act-Orders-Collect]:[Act-Orders-HD]])</f>
        <v>177</v>
      </c>
      <c r="AD25" s="858">
        <f>IFERROR(INDEX('Operations Forecast_new'!$7:$7,MATCH(DB[[#This Row],[Datum]],'Operations Forecast_new'!$2:$2,0)),0)</f>
        <v>0</v>
      </c>
      <c r="AE25" s="312">
        <f t="shared" si="33"/>
        <v>177</v>
      </c>
      <c r="AF25" s="858">
        <f>IFERROR(INDEX('Operations Forecast_new'!$13:$13,MATCH(DB[[#This Row],[Datum]],'Operations Forecast_new'!$2:$2,0)),0)</f>
        <v>177</v>
      </c>
      <c r="AG25" s="858">
        <f>IFERROR(INDEX('Operations Forecast_new'!$19:$19,MATCH(DB[[#This Row],[Datum]],'Operations Forecast_new'!$2:$2,0)),0)</f>
        <v>0</v>
      </c>
      <c r="AH25" s="312">
        <f t="shared" si="9"/>
        <v>9707.7419999999984</v>
      </c>
      <c r="AI25" s="858">
        <f>IFERROR(INDEX('Operations Forecast_new'!$9:$9,MATCH(DB[[#This Row],[Datum]],'Operations Forecast_new'!$2:$2,0)),0)</f>
        <v>0</v>
      </c>
      <c r="AJ25" s="312">
        <f t="shared" si="34"/>
        <v>9707.7419999999984</v>
      </c>
      <c r="AK25" s="858">
        <f>IFERROR(INDEX('Operations Forecast_new'!$15:$15,MATCH(DB[[#This Row],[Datum]],'Operations Forecast_new'!$2:$2,0)),0)</f>
        <v>9707.7419999999984</v>
      </c>
      <c r="AL25" s="858">
        <f>IFERROR(INDEX('Operations Forecast_new'!$21:$21,MATCH(DB[[#This Row],[Datum]],'Operations Forecast_new'!$2:$2,0)),0)</f>
        <v>0</v>
      </c>
      <c r="AM25" s="178">
        <f>IFERROR(INDEX('Operations Forecast_new'!$8:$8,MATCH(DB[[#This Row],[Datum]],'Operations Forecast_new'!$2:$2,0)),0)</f>
        <v>0</v>
      </c>
      <c r="AN25" s="859">
        <f>IFERROR(INDEX('Operations Forecast_new'!$20:$20,MATCH(DB[[#This Row],[Datum]],'Operations Forecast_new'!$2:$2,0)),0)</f>
        <v>56</v>
      </c>
      <c r="AO25" s="44" t="str">
        <f t="shared" si="35"/>
        <v>-</v>
      </c>
      <c r="AP25" s="404">
        <f t="shared" si="36"/>
        <v>54.845999999999989</v>
      </c>
      <c r="AQ25" s="44">
        <f t="shared" si="13"/>
        <v>0</v>
      </c>
      <c r="AR25" s="44" cm="1">
        <f t="array" ref="AR25">IFERROR(INDEX('ST Forecast'!$E$2:$RK$36,25,M25)+(INDEX('ST Forecast'!$E$2:$RK$36,29,M25)),"")</f>
        <v>0</v>
      </c>
      <c r="AS25" s="44" cm="1">
        <f t="array" ref="AS25">IFERROR(INDEX('ST Forecast'!$E$2:$RK$36,26,M25)+INDEX('ST Forecast'!$E$2:$RK$36,30,M25),"")</f>
        <v>0</v>
      </c>
      <c r="AT25" s="44" cm="1">
        <f t="array" ref="AT25">IFERROR(INDEX('ST Forecast'!$E$2:$RK$36,27,M25)+INDEX('ST Forecast'!$E$2:$RK$36,31,M25),"")</f>
        <v>0</v>
      </c>
      <c r="AU25" s="44" cm="1">
        <f t="array" ref="AU25">IFERROR(INDEX('ST Forecast'!$E$2:$RK$36,28,M25),"")</f>
        <v>0</v>
      </c>
      <c r="AV25" s="44" cm="1">
        <f t="array" ref="AV25">IFERROR(INDEX('ST Forecast'!$E$2:$RK$36,29,M25),"")</f>
        <v>0</v>
      </c>
      <c r="AW25" s="44">
        <f>DB[[#This Row],[Inbound FC]]-DB[[#This Row],[Inbound Act - Ultrafresh2]]</f>
        <v>0</v>
      </c>
      <c r="AX25" s="178" t="e">
        <f>#REF!</f>
        <v>#REF!</v>
      </c>
      <c r="AY25" s="178" t="e">
        <f>#REF!</f>
        <v>#REF!</v>
      </c>
      <c r="AZ25" s="178" t="e">
        <f>#REF!</f>
        <v>#REF!</v>
      </c>
      <c r="BA25" s="178">
        <f>MONTH(DB[[#This Row],[Datum]])</f>
        <v>1</v>
      </c>
    </row>
    <row r="26" spans="1:53" x14ac:dyDescent="0.3">
      <c r="A26" s="44">
        <f t="shared" si="23"/>
        <v>4</v>
      </c>
      <c r="B26" t="str">
        <f t="shared" si="24"/>
        <v>Wk 4</v>
      </c>
      <c r="C26" t="s">
        <v>113</v>
      </c>
      <c r="D26" s="313">
        <v>44585</v>
      </c>
      <c r="E26" s="44">
        <f>DB[[#This Row],[Sales-FC-Orders-Collect]]+DB[[#This Row],[Sales-FC-Orders-HD]]</f>
        <v>2250</v>
      </c>
      <c r="F26" s="402">
        <f>INDEX('LT Collect Forecast'!$K$1:$Q$55,MATCH(B26,'LT Collect Forecast'!$A:$A,0),MATCH(C26,'LT Collect Forecast'!$K$2:$Q$2,0))</f>
        <v>650</v>
      </c>
      <c r="G26" s="44">
        <f>INDEX('LT HD Forecast'!$K$1:$Q$55,MATCH(B26,'LT HD Forecast'!$A:$A,0),MATCH(C26,'LT HD Forecast'!$K$2:$Q$2,0))</f>
        <v>1600</v>
      </c>
      <c r="H26" s="44" cm="1">
        <f t="array" ref="H26">IFERROR(INDEX('ST Forecast'!$E$2:$RK$36,6,M26),"")</f>
        <v>47.429850746268656</v>
      </c>
      <c r="I26" s="44" cm="1">
        <f t="array" ref="I26">IFERROR(INDEX('ST Forecast'!$E$2:$RK$36,7,M26),"")</f>
        <v>50.398886827458256</v>
      </c>
      <c r="J26" s="44">
        <f>SUM(DB[[#This Row],[Sales-FC-Picks-Collect]:[Sales-FC-Picks-HD]])</f>
        <v>111467.62190900784</v>
      </c>
      <c r="K26" s="44">
        <f t="shared" si="25"/>
        <v>30829.402985074626</v>
      </c>
      <c r="L26" s="44">
        <f t="shared" si="26"/>
        <v>80638.218923933207</v>
      </c>
      <c r="M26" s="403">
        <f>IFERROR(IF(B26=B25,M25+1,MATCH(B26,'ST Forecast'!$E$2:$RK$2,0)+1),"")</f>
        <v>26</v>
      </c>
      <c r="N26">
        <f>SUM(DB[[#This Row],[Ops-FC-Orders-Collect]:[Ops-FC-Orders-HD]])</f>
        <v>2250</v>
      </c>
      <c r="O26" s="44" cm="1">
        <f t="array" ref="O26">IFERROR(INDEX('ST Forecast'!$E$2:$RK$36,13,M26),"")</f>
        <v>650</v>
      </c>
      <c r="P26" s="44">
        <f t="shared" si="27"/>
        <v>1600</v>
      </c>
      <c r="Q26" s="44" cm="1">
        <f t="array" ref="Q26">IFERROR(INDEX('ST Forecast'!$E$2:$RK$36,14,M26),"")</f>
        <v>700</v>
      </c>
      <c r="R26" s="44" cm="1">
        <f t="array" ref="R26">IFERROR(INDEX('ST Forecast'!$E$2:$RK$36,15,M26),"")</f>
        <v>900</v>
      </c>
      <c r="S26" s="312">
        <f>SUM(DB[[#This Row],[Ops-FC-Picks-Collect]:[Ops-FC-Picks-HD]])</f>
        <v>109238.26947082768</v>
      </c>
      <c r="T26" s="44">
        <f t="shared" si="28"/>
        <v>30212.814925373132</v>
      </c>
      <c r="U26" s="44">
        <f t="shared" si="29"/>
        <v>79025.454545454544</v>
      </c>
      <c r="V26" s="44">
        <f t="shared" si="30"/>
        <v>34573.63636363636</v>
      </c>
      <c r="W26" s="404">
        <f t="shared" si="31"/>
        <v>44451.818181818184</v>
      </c>
      <c r="X26" s="44">
        <f>SUM(DB[[#This Row],[Capped-Orders-Collect]:[Capped-Orders-HD]])</f>
        <v>90</v>
      </c>
      <c r="Y26">
        <f>INDEX('Operations Forecast'!$A$2:$BGY$47,3,MATCH(DB!D26,'Operations Forecast'!$A$2:$BGY$2))</f>
        <v>0</v>
      </c>
      <c r="Z26">
        <f t="shared" si="32"/>
        <v>90</v>
      </c>
      <c r="AA26">
        <f>INDEX('Operations Forecast'!$A$2:$BGY$47,10,MATCH(DB!D26,'Operations Forecast'!$A$2:$BGY$2))</f>
        <v>90</v>
      </c>
      <c r="AB26">
        <f>INDEX('Operations Forecast'!$A$2:$BGY$47,21,MATCH(DB!D26,'Operations Forecast'!$A$2:$BGY$2))</f>
        <v>0</v>
      </c>
      <c r="AC26" s="312">
        <f>SUM(DB[[#This Row],[Act-Orders-Collect]:[Act-Orders-HD]])</f>
        <v>2402</v>
      </c>
      <c r="AD26" s="858">
        <f>IFERROR(INDEX('Operations Forecast_new'!$7:$7,MATCH(DB[[#This Row],[Datum]],'Operations Forecast_new'!$2:$2,0)),0)</f>
        <v>750</v>
      </c>
      <c r="AE26" s="312">
        <f t="shared" si="33"/>
        <v>1652</v>
      </c>
      <c r="AF26" s="858">
        <f>IFERROR(INDEX('Operations Forecast_new'!$13:$13,MATCH(DB[[#This Row],[Datum]],'Operations Forecast_new'!$2:$2,0)),0)</f>
        <v>675</v>
      </c>
      <c r="AG26" s="858">
        <f>IFERROR(INDEX('Operations Forecast_new'!$19:$19,MATCH(DB[[#This Row],[Datum]],'Operations Forecast_new'!$2:$2,0)),0)</f>
        <v>977</v>
      </c>
      <c r="AH26" s="312">
        <f t="shared" si="9"/>
        <v>114471.126</v>
      </c>
      <c r="AI26" s="858">
        <f>IFERROR(INDEX('Operations Forecast_new'!$9:$9,MATCH(DB[[#This Row],[Datum]],'Operations Forecast_new'!$2:$2,0)),0)</f>
        <v>34823.25</v>
      </c>
      <c r="AJ26" s="312">
        <f t="shared" si="34"/>
        <v>79647.876000000004</v>
      </c>
      <c r="AK26" s="858">
        <f>IFERROR(INDEX('Operations Forecast_new'!$15:$15,MATCH(DB[[#This Row],[Datum]],'Operations Forecast_new'!$2:$2,0)),0)</f>
        <v>32543.775000000001</v>
      </c>
      <c r="AL26" s="858">
        <f>IFERROR(INDEX('Operations Forecast_new'!$21:$21,MATCH(DB[[#This Row],[Datum]],'Operations Forecast_new'!$2:$2,0)),0)</f>
        <v>47104.101000000002</v>
      </c>
      <c r="AM26" s="178">
        <f>IFERROR(INDEX('Operations Forecast_new'!$8:$8,MATCH(DB[[#This Row],[Datum]],'Operations Forecast_new'!$2:$2,0)),0)</f>
        <v>46.9</v>
      </c>
      <c r="AN26" s="859">
        <f>IFERROR(INDEX('Operations Forecast_new'!$20:$20,MATCH(DB[[#This Row],[Datum]],'Operations Forecast_new'!$2:$2,0)),0)</f>
        <v>48.7</v>
      </c>
      <c r="AO26" s="44">
        <f t="shared" si="35"/>
        <v>46.430999999999997</v>
      </c>
      <c r="AP26" s="404">
        <f t="shared" si="36"/>
        <v>48.213000000000001</v>
      </c>
      <c r="AQ26" s="44">
        <f t="shared" si="13"/>
        <v>224325</v>
      </c>
      <c r="AR26" s="44" cm="1">
        <f t="array" ref="AR26">IFERROR(INDEX('ST Forecast'!$E$2:$RK$36,25,M26)+(INDEX('ST Forecast'!$E$2:$RK$36,29,M26)),"")</f>
        <v>89714.804777957761</v>
      </c>
      <c r="AS26" s="44" cm="1">
        <f t="array" ref="AS26">IFERROR(INDEX('ST Forecast'!$E$2:$RK$36,26,M26)+INDEX('ST Forecast'!$E$2:$RK$36,30,M26),"")</f>
        <v>63755.267158230745</v>
      </c>
      <c r="AT26" s="44" cm="1">
        <f t="array" ref="AT26">IFERROR(INDEX('ST Forecast'!$E$2:$RK$36,27,M26)+INDEX('ST Forecast'!$E$2:$RK$36,31,M26),"")</f>
        <v>64017.948173714336</v>
      </c>
      <c r="AU26" s="44" cm="1">
        <f t="array" ref="AU26">IFERROR(INDEX('ST Forecast'!$E$2:$RK$36,28,M26),"")</f>
        <v>6836.97989009717</v>
      </c>
      <c r="AV26" s="44" cm="1">
        <f t="array" ref="AV26">IFERROR(INDEX('ST Forecast'!$E$2:$RK$36,29,M26),"")</f>
        <v>0</v>
      </c>
      <c r="AW26" s="44">
        <f>DB[[#This Row],[Inbound FC]]-DB[[#This Row],[Inbound Act - Ultrafresh2]]</f>
        <v>224325</v>
      </c>
      <c r="AX26" s="178" t="e">
        <f>#REF!</f>
        <v>#REF!</v>
      </c>
      <c r="AY26" s="178" t="e">
        <f>#REF!</f>
        <v>#REF!</v>
      </c>
      <c r="AZ26" s="178" t="e">
        <f>#REF!</f>
        <v>#REF!</v>
      </c>
      <c r="BA26" s="178">
        <f>MONTH(DB[[#This Row],[Datum]])</f>
        <v>1</v>
      </c>
    </row>
    <row r="27" spans="1:53" x14ac:dyDescent="0.3">
      <c r="A27" s="44">
        <f t="shared" si="23"/>
        <v>4</v>
      </c>
      <c r="B27" t="str">
        <f t="shared" si="24"/>
        <v>Wk 4</v>
      </c>
      <c r="C27" t="s">
        <v>114</v>
      </c>
      <c r="D27" s="313">
        <v>44586</v>
      </c>
      <c r="E27" s="44">
        <f>DB[[#This Row],[Sales-FC-Orders-Collect]]+DB[[#This Row],[Sales-FC-Orders-HD]]</f>
        <v>2650</v>
      </c>
      <c r="F27" s="402">
        <f>INDEX('LT Collect Forecast'!$K$1:$Q$55,MATCH(B27,'LT Collect Forecast'!$A:$A,0),MATCH(C27,'LT Collect Forecast'!$K$2:$Q$2,0))</f>
        <v>600</v>
      </c>
      <c r="G27" s="44">
        <f>INDEX('LT HD Forecast'!$K$1:$Q$55,MATCH(B27,'LT HD Forecast'!$A:$A,0),MATCH(C27,'LT HD Forecast'!$K$2:$Q$2,0))</f>
        <v>2050</v>
      </c>
      <c r="H27" s="44" cm="1">
        <f t="array" ref="H27">IFERROR(INDEX('ST Forecast'!$E$2:$RK$36,6,M27),"")</f>
        <v>44.639534883720934</v>
      </c>
      <c r="I27" s="44" cm="1">
        <f t="array" ref="I27">IFERROR(INDEX('ST Forecast'!$E$2:$RK$36,7,M27),"")</f>
        <v>47.027683341427874</v>
      </c>
      <c r="J27" s="44">
        <f>SUM(DB[[#This Row],[Sales-FC-Picks-Collect]:[Sales-FC-Picks-HD]])</f>
        <v>123190.4717801597</v>
      </c>
      <c r="K27" s="44">
        <f t="shared" si="25"/>
        <v>26783.720930232561</v>
      </c>
      <c r="L27" s="44">
        <f t="shared" si="26"/>
        <v>96406.750849927135</v>
      </c>
      <c r="M27" s="403">
        <f>IFERROR(IF(B27=B26,M26+1,MATCH(B27,'ST Forecast'!$E$2:$RK$2,0)+1),"")</f>
        <v>27</v>
      </c>
      <c r="N27">
        <f>SUM(DB[[#This Row],[Ops-FC-Orders-Collect]:[Ops-FC-Orders-HD]])</f>
        <v>2650</v>
      </c>
      <c r="O27" s="44" cm="1">
        <f t="array" ref="O27">IFERROR(INDEX('ST Forecast'!$E$2:$RK$36,13,M27),"")</f>
        <v>600</v>
      </c>
      <c r="P27" s="44">
        <f t="shared" si="27"/>
        <v>2050</v>
      </c>
      <c r="Q27" s="44" cm="1">
        <f t="array" ref="Q27">IFERROR(INDEX('ST Forecast'!$E$2:$RK$36,14,M27),"")</f>
        <v>1050</v>
      </c>
      <c r="R27" s="44" cm="1">
        <f t="array" ref="R27">IFERROR(INDEX('ST Forecast'!$E$2:$RK$36,15,M27),"")</f>
        <v>1000</v>
      </c>
      <c r="S27" s="312">
        <f>SUM(DB[[#This Row],[Ops-FC-Picks-Collect]:[Ops-FC-Picks-HD]])</f>
        <v>120726.66234455651</v>
      </c>
      <c r="T27" s="44">
        <f t="shared" si="28"/>
        <v>26248.046511627908</v>
      </c>
      <c r="U27" s="44">
        <f t="shared" si="29"/>
        <v>94478.615832928597</v>
      </c>
      <c r="V27" s="44">
        <f t="shared" si="30"/>
        <v>48391.48615832928</v>
      </c>
      <c r="W27" s="404">
        <f t="shared" si="31"/>
        <v>46087.129674599317</v>
      </c>
      <c r="X27" s="44">
        <f>SUM(DB[[#This Row],[Capped-Orders-Collect]:[Capped-Orders-HD]])</f>
        <v>90</v>
      </c>
      <c r="Y27">
        <f>INDEX('Operations Forecast'!$A$2:$BGY$47,3,MATCH(DB!D27,'Operations Forecast'!$A$2:$BGY$2))</f>
        <v>0</v>
      </c>
      <c r="Z27">
        <f t="shared" si="32"/>
        <v>90</v>
      </c>
      <c r="AA27">
        <f>INDEX('Operations Forecast'!$A$2:$BGY$47,10,MATCH(DB!D27,'Operations Forecast'!$A$2:$BGY$2))</f>
        <v>90</v>
      </c>
      <c r="AB27">
        <f>INDEX('Operations Forecast'!$A$2:$BGY$47,21,MATCH(DB!D27,'Operations Forecast'!$A$2:$BGY$2))</f>
        <v>0</v>
      </c>
      <c r="AC27" s="312">
        <f>SUM(DB[[#This Row],[Act-Orders-Collect]:[Act-Orders-HD]])</f>
        <v>2683</v>
      </c>
      <c r="AD27" s="858">
        <f>IFERROR(INDEX('Operations Forecast_new'!$7:$7,MATCH(DB[[#This Row],[Datum]],'Operations Forecast_new'!$2:$2,0)),0)</f>
        <v>545</v>
      </c>
      <c r="AE27" s="312">
        <f t="shared" si="33"/>
        <v>2138</v>
      </c>
      <c r="AF27" s="858">
        <f>IFERROR(INDEX('Operations Forecast_new'!$13:$13,MATCH(DB[[#This Row],[Datum]],'Operations Forecast_new'!$2:$2,0)),0)</f>
        <v>1102</v>
      </c>
      <c r="AG27" s="858">
        <f>IFERROR(INDEX('Operations Forecast_new'!$19:$19,MATCH(DB[[#This Row],[Datum]],'Operations Forecast_new'!$2:$2,0)),0)</f>
        <v>1036</v>
      </c>
      <c r="AH27" s="312">
        <f t="shared" si="9"/>
        <v>124130.25900000001</v>
      </c>
      <c r="AI27" s="858">
        <f>IFERROR(INDEX('Operations Forecast_new'!$9:$9,MATCH(DB[[#This Row],[Datum]],'Operations Forecast_new'!$2:$2,0)),0)</f>
        <v>24225.794999999998</v>
      </c>
      <c r="AJ27" s="312">
        <f t="shared" si="34"/>
        <v>99904.464000000007</v>
      </c>
      <c r="AK27" s="858">
        <f>IFERROR(INDEX('Operations Forecast_new'!$15:$15,MATCH(DB[[#This Row],[Datum]],'Operations Forecast_new'!$2:$2,0)),0)</f>
        <v>51494.256000000001</v>
      </c>
      <c r="AL27" s="858">
        <f>IFERROR(INDEX('Operations Forecast_new'!$21:$21,MATCH(DB[[#This Row],[Datum]],'Operations Forecast_new'!$2:$2,0)),0)</f>
        <v>48410.208000000006</v>
      </c>
      <c r="AM27" s="178">
        <f>IFERROR(INDEX('Operations Forecast_new'!$8:$8,MATCH(DB[[#This Row],[Datum]],'Operations Forecast_new'!$2:$2,0)),0)</f>
        <v>44.9</v>
      </c>
      <c r="AN27" s="859">
        <f>IFERROR(INDEX('Operations Forecast_new'!$20:$20,MATCH(DB[[#This Row],[Datum]],'Operations Forecast_new'!$2:$2,0)),0)</f>
        <v>47.2</v>
      </c>
      <c r="AO27" s="44">
        <f t="shared" si="35"/>
        <v>44.450999999999993</v>
      </c>
      <c r="AP27" s="404">
        <f t="shared" si="36"/>
        <v>46.728000000000002</v>
      </c>
      <c r="AQ27" s="44">
        <f t="shared" si="13"/>
        <v>151355.00000000006</v>
      </c>
      <c r="AR27" s="44" cm="1">
        <f t="array" ref="AR27">IFERROR(INDEX('ST Forecast'!$E$2:$RK$36,25,M27)+(INDEX('ST Forecast'!$E$2:$RK$36,29,M27)),"")</f>
        <v>66996.698678699438</v>
      </c>
      <c r="AS27" s="44" cm="1">
        <f t="array" ref="AS27">IFERROR(INDEX('ST Forecast'!$E$2:$RK$36,26,M27)+INDEX('ST Forecast'!$E$2:$RK$36,30,M27),"")</f>
        <v>70271.525553156389</v>
      </c>
      <c r="AT27" s="44" cm="1">
        <f t="array" ref="AT27">IFERROR(INDEX('ST Forecast'!$E$2:$RK$36,27,M27)+INDEX('ST Forecast'!$E$2:$RK$36,31,M27),"")</f>
        <v>6612.1361769870409</v>
      </c>
      <c r="AU27" s="44" cm="1">
        <f t="array" ref="AU27">IFERROR(INDEX('ST Forecast'!$E$2:$RK$36,28,M27),"")</f>
        <v>7474.6395911572163</v>
      </c>
      <c r="AV27" s="44" cm="1">
        <f t="array" ref="AV27">IFERROR(INDEX('ST Forecast'!$E$2:$RK$36,29,M27),"")</f>
        <v>0</v>
      </c>
      <c r="AW27" s="44">
        <f>DB[[#This Row],[Inbound FC]]-DB[[#This Row],[Inbound Act - Ultrafresh2]]</f>
        <v>151355.00000000006</v>
      </c>
      <c r="AX27" s="178" t="e">
        <f>#REF!</f>
        <v>#REF!</v>
      </c>
      <c r="AY27" s="178" t="e">
        <f>#REF!</f>
        <v>#REF!</v>
      </c>
      <c r="AZ27" s="178" t="e">
        <f>#REF!</f>
        <v>#REF!</v>
      </c>
      <c r="BA27" s="178">
        <f>MONTH(DB[[#This Row],[Datum]])</f>
        <v>1</v>
      </c>
    </row>
    <row r="28" spans="1:53" x14ac:dyDescent="0.3">
      <c r="A28" s="44">
        <f t="shared" si="23"/>
        <v>4</v>
      </c>
      <c r="B28" t="str">
        <f t="shared" si="24"/>
        <v>Wk 4</v>
      </c>
      <c r="C28" t="s">
        <v>115</v>
      </c>
      <c r="D28" s="313">
        <v>44587</v>
      </c>
      <c r="E28" s="44">
        <f>DB[[#This Row],[Sales-FC-Orders-Collect]]+DB[[#This Row],[Sales-FC-Orders-HD]]</f>
        <v>2750</v>
      </c>
      <c r="F28" s="402">
        <f>INDEX('LT Collect Forecast'!$K$1:$Q$55,MATCH(B28,'LT Collect Forecast'!$A:$A,0),MATCH(C28,'LT Collect Forecast'!$K$2:$Q$2,0))</f>
        <v>600</v>
      </c>
      <c r="G28" s="44">
        <f>INDEX('LT HD Forecast'!$K$1:$Q$55,MATCH(B28,'LT HD Forecast'!$A:$A,0),MATCH(C28,'LT HD Forecast'!$K$2:$Q$2,0))</f>
        <v>2150</v>
      </c>
      <c r="H28" s="44" cm="1">
        <f t="array" ref="H28">IFERROR(INDEX('ST Forecast'!$E$2:$RK$36,6,M28),"")</f>
        <v>48.000000000000007</v>
      </c>
      <c r="I28" s="44" cm="1">
        <f t="array" ref="I28">IFERROR(INDEX('ST Forecast'!$E$2:$RK$36,7,M28),"")</f>
        <v>48</v>
      </c>
      <c r="J28" s="44">
        <f>SUM(DB[[#This Row],[Sales-FC-Picks-Collect]:[Sales-FC-Picks-HD]])</f>
        <v>132000</v>
      </c>
      <c r="K28" s="44">
        <f t="shared" si="25"/>
        <v>28800.000000000004</v>
      </c>
      <c r="L28" s="44">
        <f t="shared" si="26"/>
        <v>103200</v>
      </c>
      <c r="M28" s="403">
        <f>IFERROR(IF(B28=B27,M27+1,MATCH(B28,'ST Forecast'!$E$2:$RK$2,0)+1),"")</f>
        <v>28</v>
      </c>
      <c r="N28">
        <f>SUM(DB[[#This Row],[Ops-FC-Orders-Collect]:[Ops-FC-Orders-HD]])</f>
        <v>2750</v>
      </c>
      <c r="O28" s="44" cm="1">
        <f t="array" ref="O28">IFERROR(INDEX('ST Forecast'!$E$2:$RK$36,13,M28),"")</f>
        <v>600</v>
      </c>
      <c r="P28" s="44">
        <f t="shared" si="27"/>
        <v>2150</v>
      </c>
      <c r="Q28" s="44" cm="1">
        <f t="array" ref="Q28">IFERROR(INDEX('ST Forecast'!$E$2:$RK$36,14,M28),"")</f>
        <v>1150</v>
      </c>
      <c r="R28" s="44" cm="1">
        <f t="array" ref="R28">IFERROR(INDEX('ST Forecast'!$E$2:$RK$36,15,M28),"")</f>
        <v>1000</v>
      </c>
      <c r="S28" s="312">
        <f>SUM(DB[[#This Row],[Ops-FC-Picks-Collect]:[Ops-FC-Picks-HD]])</f>
        <v>129360</v>
      </c>
      <c r="T28" s="44">
        <f t="shared" si="28"/>
        <v>28224.000000000004</v>
      </c>
      <c r="U28" s="44">
        <f t="shared" si="29"/>
        <v>101136</v>
      </c>
      <c r="V28" s="44">
        <f t="shared" si="30"/>
        <v>54096</v>
      </c>
      <c r="W28" s="404">
        <f t="shared" si="31"/>
        <v>47040</v>
      </c>
      <c r="X28" s="44">
        <f>SUM(DB[[#This Row],[Capped-Orders-Collect]:[Capped-Orders-HD]])</f>
        <v>90</v>
      </c>
      <c r="Y28">
        <f>INDEX('Operations Forecast'!$A$2:$BGY$47,3,MATCH(DB!D28,'Operations Forecast'!$A$2:$BGY$2))</f>
        <v>0</v>
      </c>
      <c r="Z28">
        <f t="shared" si="32"/>
        <v>90</v>
      </c>
      <c r="AA28">
        <f>INDEX('Operations Forecast'!$A$2:$BGY$47,10,MATCH(DB!D28,'Operations Forecast'!$A$2:$BGY$2))</f>
        <v>90</v>
      </c>
      <c r="AB28">
        <f>INDEX('Operations Forecast'!$A$2:$BGY$47,21,MATCH(DB!D28,'Operations Forecast'!$A$2:$BGY$2))</f>
        <v>0</v>
      </c>
      <c r="AC28" s="312">
        <f>SUM(DB[[#This Row],[Act-Orders-Collect]:[Act-Orders-HD]])</f>
        <v>2688</v>
      </c>
      <c r="AD28" s="858">
        <f>IFERROR(INDEX('Operations Forecast_new'!$7:$7,MATCH(DB[[#This Row],[Datum]],'Operations Forecast_new'!$2:$2,0)),0)</f>
        <v>610</v>
      </c>
      <c r="AE28" s="312">
        <f t="shared" si="33"/>
        <v>2078</v>
      </c>
      <c r="AF28" s="858">
        <f>IFERROR(INDEX('Operations Forecast_new'!$13:$13,MATCH(DB[[#This Row],[Datum]],'Operations Forecast_new'!$2:$2,0)),0)</f>
        <v>1135</v>
      </c>
      <c r="AG28" s="858">
        <f>IFERROR(INDEX('Operations Forecast_new'!$19:$19,MATCH(DB[[#This Row],[Datum]],'Operations Forecast_new'!$2:$2,0)),0)</f>
        <v>943</v>
      </c>
      <c r="AH28" s="312">
        <f t="shared" si="9"/>
        <v>125832.26699999999</v>
      </c>
      <c r="AI28" s="858">
        <f>IFERROR(INDEX('Operations Forecast_new'!$9:$9,MATCH(DB[[#This Row],[Datum]],'Operations Forecast_new'!$2:$2,0)),0)</f>
        <v>28020.959999999999</v>
      </c>
      <c r="AJ28" s="312">
        <f t="shared" si="34"/>
        <v>97811.307000000001</v>
      </c>
      <c r="AK28" s="858">
        <f>IFERROR(INDEX('Operations Forecast_new'!$15:$15,MATCH(DB[[#This Row],[Datum]],'Operations Forecast_new'!$2:$2,0)),0)</f>
        <v>53373.375</v>
      </c>
      <c r="AL28" s="858">
        <f>IFERROR(INDEX('Operations Forecast_new'!$21:$21,MATCH(DB[[#This Row],[Datum]],'Operations Forecast_new'!$2:$2,0)),0)</f>
        <v>44437.932000000001</v>
      </c>
      <c r="AM28" s="178">
        <f>IFERROR(INDEX('Operations Forecast_new'!$8:$8,MATCH(DB[[#This Row],[Datum]],'Operations Forecast_new'!$2:$2,0)),0)</f>
        <v>46.4</v>
      </c>
      <c r="AN28" s="859">
        <f>IFERROR(INDEX('Operations Forecast_new'!$20:$20,MATCH(DB[[#This Row],[Datum]],'Operations Forecast_new'!$2:$2,0)),0)</f>
        <v>47.6</v>
      </c>
      <c r="AO28" s="44">
        <f t="shared" si="35"/>
        <v>45.936</v>
      </c>
      <c r="AP28" s="404">
        <f t="shared" si="36"/>
        <v>47.069926371511066</v>
      </c>
      <c r="AQ28" s="44">
        <f t="shared" si="13"/>
        <v>155180.00000000009</v>
      </c>
      <c r="AR28" s="44" cm="1">
        <f t="array" ref="AR28">IFERROR(INDEX('ST Forecast'!$E$2:$RK$36,25,M28)+(INDEX('ST Forecast'!$E$2:$RK$36,29,M28)),"")</f>
        <v>64471.402745549029</v>
      </c>
      <c r="AS28" s="44" cm="1">
        <f t="array" ref="AS28">IFERROR(INDEX('ST Forecast'!$E$2:$RK$36,26,M28)+INDEX('ST Forecast'!$E$2:$RK$36,30,M28),"")</f>
        <v>65378.52893266808</v>
      </c>
      <c r="AT28" s="44" cm="1">
        <f t="array" ref="AT28">IFERROR(INDEX('ST Forecast'!$E$2:$RK$36,27,M28)+INDEX('ST Forecast'!$E$2:$RK$36,31,M28),"")</f>
        <v>15892.905977193766</v>
      </c>
      <c r="AU28" s="44" cm="1">
        <f t="array" ref="AU28">IFERROR(INDEX('ST Forecast'!$E$2:$RK$36,28,M28),"")</f>
        <v>9437.1623445892219</v>
      </c>
      <c r="AV28" s="44" cm="1">
        <f t="array" ref="AV28">IFERROR(INDEX('ST Forecast'!$E$2:$RK$36,29,M28),"")</f>
        <v>0</v>
      </c>
      <c r="AW28" s="44">
        <f>DB[[#This Row],[Inbound FC]]-DB[[#This Row],[Inbound Act - Ultrafresh2]]</f>
        <v>155180.00000000009</v>
      </c>
      <c r="AX28" s="178" t="e">
        <f>#REF!</f>
        <v>#REF!</v>
      </c>
      <c r="AY28" s="178" t="e">
        <f>#REF!</f>
        <v>#REF!</v>
      </c>
      <c r="AZ28" s="178" t="e">
        <f>#REF!</f>
        <v>#REF!</v>
      </c>
      <c r="BA28" s="178">
        <f>MONTH(DB[[#This Row],[Datum]])</f>
        <v>1</v>
      </c>
    </row>
    <row r="29" spans="1:53" x14ac:dyDescent="0.3">
      <c r="A29" s="44">
        <f t="shared" si="23"/>
        <v>4</v>
      </c>
      <c r="B29" t="str">
        <f t="shared" si="24"/>
        <v>Wk 4</v>
      </c>
      <c r="C29" t="s">
        <v>116</v>
      </c>
      <c r="D29" s="313">
        <v>44588</v>
      </c>
      <c r="E29" s="44">
        <f>DB[[#This Row],[Sales-FC-Orders-Collect]]+DB[[#This Row],[Sales-FC-Orders-HD]]</f>
        <v>2614</v>
      </c>
      <c r="F29" s="402" cm="1">
        <f t="array" ref="F29">INDEX('LT Collect Forecast'!$K$1:$Q$55,MATCH(B29,'LT Collect Forecast'!$A:$A,0)+1,MATCH(C29,'LT Collect Forecast'!$K$2:$Q$2,0))</f>
        <v>550</v>
      </c>
      <c r="G29" s="44" cm="1">
        <f t="array" ref="G29">INDEX('LT HD Forecast'!$K$1:$Q$55,MATCH(B29,'LT HD Forecast'!$A:$A,0)+1,MATCH(C29,'LT HD Forecast'!$K$2:$Q$2,0))</f>
        <v>2064</v>
      </c>
      <c r="H29" s="44" cm="1">
        <f t="array" ref="H29">IFERROR(INDEX('ST Forecast'!$E$2:$RK$36,6,M29),"")</f>
        <v>46.958076019058964</v>
      </c>
      <c r="I29" s="44" cm="1">
        <f t="array" ref="I29">IFERROR(INDEX('ST Forecast'!$E$2:$RK$36,7,M29),"")</f>
        <v>48.815579409219417</v>
      </c>
      <c r="J29" s="44">
        <f>SUM(DB[[#This Row],[Sales-FC-Picks-Collect]:[Sales-FC-Picks-HD]])</f>
        <v>126582.2977111113</v>
      </c>
      <c r="K29" s="44">
        <f t="shared" si="25"/>
        <v>25826.941810482429</v>
      </c>
      <c r="L29" s="44">
        <f t="shared" si="26"/>
        <v>100755.35590062887</v>
      </c>
      <c r="M29" s="403">
        <f>IFERROR(IF(B29=B28,M28+1,MATCH(B29,'ST Forecast'!$E$2:$RK$2,0)+1),"")</f>
        <v>29</v>
      </c>
      <c r="N29">
        <f>SUM(DB[[#This Row],[Ops-FC-Orders-Collect]:[Ops-FC-Orders-HD]])</f>
        <v>2700</v>
      </c>
      <c r="O29" s="44" cm="1">
        <f t="array" ref="O29">IFERROR(INDEX('ST Forecast'!$E$2:$RK$36,13,M29),"")</f>
        <v>550</v>
      </c>
      <c r="P29" s="44">
        <f t="shared" si="27"/>
        <v>2150</v>
      </c>
      <c r="Q29" s="44" cm="1">
        <f t="array" ref="Q29">IFERROR(INDEX('ST Forecast'!$E$2:$RK$36,14,M29),"")</f>
        <v>1150</v>
      </c>
      <c r="R29" s="44" cm="1">
        <f t="array" ref="R29">IFERROR(INDEX('ST Forecast'!$E$2:$RK$36,15,M29),"")</f>
        <v>1000</v>
      </c>
      <c r="S29" s="312">
        <f>SUM(DB[[#This Row],[Ops-FC-Picks-Collect]:[Ops-FC-Picks-HD]])</f>
        <v>128164.8287894981</v>
      </c>
      <c r="T29" s="44">
        <f t="shared" si="28"/>
        <v>25310.40297427278</v>
      </c>
      <c r="U29" s="44">
        <f t="shared" si="29"/>
        <v>102854.42581522532</v>
      </c>
      <c r="V29" s="44">
        <f t="shared" si="30"/>
        <v>55015.157994190282</v>
      </c>
      <c r="W29" s="404">
        <f t="shared" si="31"/>
        <v>47839.267821035028</v>
      </c>
      <c r="X29" s="44">
        <f>SUM(DB[[#This Row],[Capped-Orders-Collect]:[Capped-Orders-HD]])</f>
        <v>90</v>
      </c>
      <c r="Y29">
        <f>INDEX('Operations Forecast'!$A$2:$BGY$47,3,MATCH(DB!D29,'Operations Forecast'!$A$2:$BGY$2))</f>
        <v>0</v>
      </c>
      <c r="Z29">
        <f t="shared" si="32"/>
        <v>90</v>
      </c>
      <c r="AA29">
        <f>INDEX('Operations Forecast'!$A$2:$BGY$47,10,MATCH(DB!D29,'Operations Forecast'!$A$2:$BGY$2))</f>
        <v>90</v>
      </c>
      <c r="AB29">
        <f>INDEX('Operations Forecast'!$A$2:$BGY$47,21,MATCH(DB!D29,'Operations Forecast'!$A$2:$BGY$2))</f>
        <v>0</v>
      </c>
      <c r="AC29" s="312">
        <f>SUM(DB[[#This Row],[Act-Orders-Collect]:[Act-Orders-HD]])</f>
        <v>2646</v>
      </c>
      <c r="AD29" s="858">
        <f>IFERROR(INDEX('Operations Forecast_new'!$7:$7,MATCH(DB[[#This Row],[Datum]],'Operations Forecast_new'!$2:$2,0)),0)</f>
        <v>515</v>
      </c>
      <c r="AE29" s="312">
        <f t="shared" si="33"/>
        <v>2131</v>
      </c>
      <c r="AF29" s="858">
        <f>IFERROR(INDEX('Operations Forecast_new'!$13:$13,MATCH(DB[[#This Row],[Datum]],'Operations Forecast_new'!$2:$2,0)),0)</f>
        <v>1066</v>
      </c>
      <c r="AG29" s="858">
        <f>IFERROR(INDEX('Operations Forecast_new'!$19:$19,MATCH(DB[[#This Row],[Datum]],'Operations Forecast_new'!$2:$2,0)),0)</f>
        <v>1065</v>
      </c>
      <c r="AH29" s="312">
        <f t="shared" si="9"/>
        <v>126959.77800000001</v>
      </c>
      <c r="AI29" s="858">
        <f>IFERROR(INDEX('Operations Forecast_new'!$9:$9,MATCH(DB[[#This Row],[Datum]],'Operations Forecast_new'!$2:$2,0)),0)</f>
        <v>24217.875</v>
      </c>
      <c r="AJ29" s="312">
        <f t="shared" si="34"/>
        <v>102741.90300000001</v>
      </c>
      <c r="AK29" s="858">
        <f>IFERROR(INDEX('Operations Forecast_new'!$15:$15,MATCH(DB[[#This Row],[Datum]],'Operations Forecast_new'!$2:$2,0)),0)</f>
        <v>51395.058000000005</v>
      </c>
      <c r="AL29" s="858">
        <f>IFERROR(INDEX('Operations Forecast_new'!$21:$21,MATCH(DB[[#This Row],[Datum]],'Operations Forecast_new'!$2:$2,0)),0)</f>
        <v>51346.845000000001</v>
      </c>
      <c r="AM29" s="178">
        <f>IFERROR(INDEX('Operations Forecast_new'!$8:$8,MATCH(DB[[#This Row],[Datum]],'Operations Forecast_new'!$2:$2,0)),0)</f>
        <v>47.5</v>
      </c>
      <c r="AN29" s="859">
        <f>IFERROR(INDEX('Operations Forecast_new'!$20:$20,MATCH(DB[[#This Row],[Datum]],'Operations Forecast_new'!$2:$2,0)),0)</f>
        <v>48.7</v>
      </c>
      <c r="AO29" s="44">
        <f t="shared" si="35"/>
        <v>47.024999999999999</v>
      </c>
      <c r="AP29" s="404">
        <f t="shared" si="36"/>
        <v>48.213000000000001</v>
      </c>
      <c r="AQ29" s="44">
        <f t="shared" si="13"/>
        <v>143747.00000000009</v>
      </c>
      <c r="AR29" s="44" cm="1">
        <f t="array" ref="AR29">IFERROR(INDEX('ST Forecast'!$E$2:$RK$36,25,M29)+(INDEX('ST Forecast'!$E$2:$RK$36,29,M29)),"")</f>
        <v>61685.830912540172</v>
      </c>
      <c r="AS29" s="44" cm="1">
        <f t="array" ref="AS29">IFERROR(INDEX('ST Forecast'!$E$2:$RK$36,26,M29)+INDEX('ST Forecast'!$E$2:$RK$36,30,M29),"")</f>
        <v>61624.899913218018</v>
      </c>
      <c r="AT29" s="44" cm="1">
        <f t="array" ref="AT29">IFERROR(INDEX('ST Forecast'!$E$2:$RK$36,27,M29)+INDEX('ST Forecast'!$E$2:$RK$36,31,M29),"")</f>
        <v>10477.988247605848</v>
      </c>
      <c r="AU29" s="44" cm="1">
        <f t="array" ref="AU29">IFERROR(INDEX('ST Forecast'!$E$2:$RK$36,28,M29),"")</f>
        <v>9958.2809266360437</v>
      </c>
      <c r="AV29" s="44" cm="1">
        <f t="array" ref="AV29">IFERROR(INDEX('ST Forecast'!$E$2:$RK$36,29,M29),"")</f>
        <v>0</v>
      </c>
      <c r="AW29" s="44">
        <f>DB[[#This Row],[Inbound FC]]-DB[[#This Row],[Inbound Act - Ultrafresh2]]</f>
        <v>143747.00000000009</v>
      </c>
      <c r="AX29" s="178" t="e">
        <f>#REF!</f>
        <v>#REF!</v>
      </c>
      <c r="AY29" s="178" t="e">
        <f>#REF!</f>
        <v>#REF!</v>
      </c>
      <c r="AZ29" s="178" t="e">
        <f>#REF!</f>
        <v>#REF!</v>
      </c>
      <c r="BA29" s="178">
        <f>MONTH(DB[[#This Row],[Datum]])</f>
        <v>1</v>
      </c>
    </row>
    <row r="30" spans="1:53" x14ac:dyDescent="0.3">
      <c r="A30" s="44">
        <f t="shared" si="23"/>
        <v>4</v>
      </c>
      <c r="B30" t="str">
        <f t="shared" si="24"/>
        <v>Wk 4</v>
      </c>
      <c r="C30" t="s">
        <v>117</v>
      </c>
      <c r="D30" s="313">
        <v>44589</v>
      </c>
      <c r="E30" s="44">
        <f>DB[[#This Row],[Sales-FC-Orders-Collect]]+DB[[#This Row],[Sales-FC-Orders-HD]]</f>
        <v>2800</v>
      </c>
      <c r="F30" s="402" cm="1">
        <f t="array" ref="F30">INDEX('LT Collect Forecast'!$K$1:$Q$55,MATCH(B30,'LT Collect Forecast'!$A:$A,0)+1,MATCH(C30,'LT Collect Forecast'!$K$2:$Q$2,0))</f>
        <v>900</v>
      </c>
      <c r="G30" s="44" cm="1">
        <f t="array" ref="G30">INDEX('LT HD Forecast'!$K$1:$Q$55,MATCH(B30,'LT HD Forecast'!$A:$A,0)+1,MATCH(C30,'LT HD Forecast'!$K$2:$Q$2,0))</f>
        <v>1900</v>
      </c>
      <c r="H30" s="44" cm="1">
        <f t="array" ref="H30">IFERROR(INDEX('ST Forecast'!$E$2:$RK$36,6,M30),"")</f>
        <v>49.05513414333091</v>
      </c>
      <c r="I30" s="44" cm="1">
        <f t="array" ref="I30">IFERROR(INDEX('ST Forecast'!$E$2:$RK$36,7,M30),"")</f>
        <v>50.593866020328271</v>
      </c>
      <c r="J30" s="44">
        <f>SUM(DB[[#This Row],[Sales-FC-Picks-Collect]:[Sales-FC-Picks-HD]])</f>
        <v>140277.96616762155</v>
      </c>
      <c r="K30" s="44">
        <f t="shared" si="25"/>
        <v>44149.620728997819</v>
      </c>
      <c r="L30" s="44">
        <f t="shared" si="26"/>
        <v>96128.345438623714</v>
      </c>
      <c r="M30" s="403">
        <f>IFERROR(IF(B30=B29,M29+1,MATCH(B30,'ST Forecast'!$E$2:$RK$2,0)+1),"")</f>
        <v>30</v>
      </c>
      <c r="N30">
        <f>SUM(DB[[#This Row],[Ops-FC-Orders-Collect]:[Ops-FC-Orders-HD]])</f>
        <v>3000</v>
      </c>
      <c r="O30" s="44" cm="1">
        <f t="array" ref="O30">IFERROR(INDEX('ST Forecast'!$E$2:$RK$36,13,M30),"")</f>
        <v>900</v>
      </c>
      <c r="P30" s="44">
        <f t="shared" si="27"/>
        <v>2100</v>
      </c>
      <c r="Q30" s="44" cm="1">
        <f t="array" ref="Q30">IFERROR(INDEX('ST Forecast'!$E$2:$RK$36,14,M30),"")</f>
        <v>1100</v>
      </c>
      <c r="R30" s="44" cm="1">
        <f t="array" ref="R30">IFERROR(INDEX('ST Forecast'!$E$2:$RK$36,15,M30),"")</f>
        <v>1000</v>
      </c>
      <c r="S30" s="312">
        <f>SUM(DB[[#This Row],[Ops-FC-Picks-Collect]:[Ops-FC-Picks-HD]])</f>
        <v>147388.80458425346</v>
      </c>
      <c r="T30" s="44">
        <f t="shared" si="28"/>
        <v>43266.62831441786</v>
      </c>
      <c r="U30" s="44">
        <f t="shared" si="29"/>
        <v>104122.17626983559</v>
      </c>
      <c r="V30" s="44">
        <f t="shared" si="30"/>
        <v>54540.187569913876</v>
      </c>
      <c r="W30" s="404">
        <f t="shared" si="31"/>
        <v>49581.988699921705</v>
      </c>
      <c r="X30" s="44">
        <f>SUM(DB[[#This Row],[Capped-Orders-Collect]:[Capped-Orders-HD]])</f>
        <v>90</v>
      </c>
      <c r="Y30">
        <f>INDEX('Operations Forecast'!$A$2:$BGY$47,3,MATCH(DB!D30,'Operations Forecast'!$A$2:$BGY$2))</f>
        <v>0</v>
      </c>
      <c r="Z30">
        <f t="shared" si="32"/>
        <v>90</v>
      </c>
      <c r="AA30">
        <f>INDEX('Operations Forecast'!$A$2:$BGY$47,10,MATCH(DB!D30,'Operations Forecast'!$A$2:$BGY$2))</f>
        <v>90</v>
      </c>
      <c r="AB30">
        <f>INDEX('Operations Forecast'!$A$2:$BGY$47,21,MATCH(DB!D30,'Operations Forecast'!$A$2:$BGY$2))</f>
        <v>0</v>
      </c>
      <c r="AC30" s="312">
        <f>SUM(DB[[#This Row],[Act-Orders-Collect]:[Act-Orders-HD]])</f>
        <v>3109</v>
      </c>
      <c r="AD30" s="858">
        <f>IFERROR(INDEX('Operations Forecast_new'!$7:$7,MATCH(DB[[#This Row],[Datum]],'Operations Forecast_new'!$2:$2,0)),0)</f>
        <v>1010</v>
      </c>
      <c r="AE30" s="312">
        <f t="shared" si="33"/>
        <v>2099</v>
      </c>
      <c r="AF30" s="858">
        <f>IFERROR(INDEX('Operations Forecast_new'!$13:$13,MATCH(DB[[#This Row],[Datum]],'Operations Forecast_new'!$2:$2,0)),0)</f>
        <v>1109</v>
      </c>
      <c r="AG30" s="858">
        <f>IFERROR(INDEX('Operations Forecast_new'!$19:$19,MATCH(DB[[#This Row],[Datum]],'Operations Forecast_new'!$2:$2,0)),0)</f>
        <v>990</v>
      </c>
      <c r="AH30" s="312">
        <f t="shared" si="9"/>
        <v>155818.77299999999</v>
      </c>
      <c r="AI30" s="858">
        <f>IFERROR(INDEX('Operations Forecast_new'!$9:$9,MATCH(DB[[#This Row],[Datum]],'Operations Forecast_new'!$2:$2,0)),0)</f>
        <v>51294.87</v>
      </c>
      <c r="AJ30" s="312">
        <f t="shared" si="34"/>
        <v>104523.90299999999</v>
      </c>
      <c r="AK30" s="858">
        <f>IFERROR(INDEX('Operations Forecast_new'!$15:$15,MATCH(DB[[#This Row],[Datum]],'Operations Forecast_new'!$2:$2,0)),0)</f>
        <v>55224.873</v>
      </c>
      <c r="AL30" s="858">
        <f>IFERROR(INDEX('Operations Forecast_new'!$21:$21,MATCH(DB[[#This Row],[Datum]],'Operations Forecast_new'!$2:$2,0)),0)</f>
        <v>49299.03</v>
      </c>
      <c r="AM30" s="178">
        <f>IFERROR(INDEX('Operations Forecast_new'!$8:$8,MATCH(DB[[#This Row],[Datum]],'Operations Forecast_new'!$2:$2,0)),0)</f>
        <v>51.3</v>
      </c>
      <c r="AN30" s="859">
        <f>IFERROR(INDEX('Operations Forecast_new'!$20:$20,MATCH(DB[[#This Row],[Datum]],'Operations Forecast_new'!$2:$2,0)),0)</f>
        <v>50.3</v>
      </c>
      <c r="AO30" s="44">
        <f t="shared" si="35"/>
        <v>50.787000000000006</v>
      </c>
      <c r="AP30" s="404">
        <f t="shared" si="36"/>
        <v>49.796999999999997</v>
      </c>
      <c r="AQ30" s="44">
        <f t="shared" si="13"/>
        <v>121442.00000000007</v>
      </c>
      <c r="AR30" s="44" cm="1">
        <f t="array" ref="AR30">IFERROR(INDEX('ST Forecast'!$E$2:$RK$36,25,M30)+(INDEX('ST Forecast'!$E$2:$RK$36,29,M30)),"")</f>
        <v>52852.828222616168</v>
      </c>
      <c r="AS30" s="44" cm="1">
        <f t="array" ref="AS30">IFERROR(INDEX('ST Forecast'!$E$2:$RK$36,26,M30)+INDEX('ST Forecast'!$E$2:$RK$36,30,M30),"")</f>
        <v>52915.359313696696</v>
      </c>
      <c r="AT30" s="44" cm="1">
        <f t="array" ref="AT30">IFERROR(INDEX('ST Forecast'!$E$2:$RK$36,27,M30)+INDEX('ST Forecast'!$E$2:$RK$36,31,M30),"")</f>
        <v>7256.2286267688987</v>
      </c>
      <c r="AU30" s="44" cm="1">
        <f t="array" ref="AU30">IFERROR(INDEX('ST Forecast'!$E$2:$RK$36,28,M30),"")</f>
        <v>8417.583836918302</v>
      </c>
      <c r="AV30" s="44" cm="1">
        <f t="array" ref="AV30">IFERROR(INDEX('ST Forecast'!$E$2:$RK$36,29,M30),"")</f>
        <v>0</v>
      </c>
      <c r="AW30" s="44">
        <f>DB[[#This Row],[Inbound FC]]-DB[[#This Row],[Inbound Act - Ultrafresh2]]</f>
        <v>121442.00000000007</v>
      </c>
      <c r="AX30" s="178" t="e">
        <f>#REF!</f>
        <v>#REF!</v>
      </c>
      <c r="AY30" s="178" t="e">
        <f>#REF!</f>
        <v>#REF!</v>
      </c>
      <c r="AZ30" s="178" t="e">
        <f>#REF!</f>
        <v>#REF!</v>
      </c>
      <c r="BA30" s="178">
        <f>MONTH(DB[[#This Row],[Datum]])</f>
        <v>1</v>
      </c>
    </row>
    <row r="31" spans="1:53" x14ac:dyDescent="0.3">
      <c r="A31" s="44">
        <f t="shared" si="23"/>
        <v>4</v>
      </c>
      <c r="B31" t="str">
        <f t="shared" si="24"/>
        <v>Wk 4</v>
      </c>
      <c r="C31" t="s">
        <v>118</v>
      </c>
      <c r="D31" s="313">
        <v>44590</v>
      </c>
      <c r="E31" s="44">
        <f>DB[[#This Row],[Sales-FC-Orders-Collect]]+DB[[#This Row],[Sales-FC-Orders-HD]]</f>
        <v>2950</v>
      </c>
      <c r="F31" s="402" cm="1">
        <f t="array" ref="F31">INDEX('LT Collect Forecast'!$K$1:$Q$55,MATCH(B31,'LT Collect Forecast'!$A:$A,0)+1,MATCH(C31,'LT Collect Forecast'!$K$2:$Q$2,0))</f>
        <v>1050</v>
      </c>
      <c r="G31" s="44" cm="1">
        <f t="array" ref="G31">INDEX('LT HD Forecast'!$K$1:$Q$55,MATCH(B31,'LT HD Forecast'!$A:$A,0)+1,MATCH(C31,'LT HD Forecast'!$K$2:$Q$2,0))</f>
        <v>1900</v>
      </c>
      <c r="H31" s="44" cm="1">
        <f t="array" ref="H31">IFERROR(INDEX('ST Forecast'!$E$2:$RK$36,6,M31),"")</f>
        <v>49.376894381945597</v>
      </c>
      <c r="I31" s="44" cm="1">
        <f t="array" ref="I31">IFERROR(INDEX('ST Forecast'!$E$2:$RK$36,7,M31),"")</f>
        <v>50.760162999161963</v>
      </c>
      <c r="J31" s="44">
        <f>SUM(DB[[#This Row],[Sales-FC-Picks-Collect]:[Sales-FC-Picks-HD]])</f>
        <v>148290.0487994506</v>
      </c>
      <c r="K31" s="44">
        <f t="shared" si="25"/>
        <v>51845.739101042876</v>
      </c>
      <c r="L31" s="44">
        <f t="shared" si="26"/>
        <v>96444.309698407727</v>
      </c>
      <c r="M31" s="403">
        <f>IFERROR(IF(B31=B30,M30+1,MATCH(B31,'ST Forecast'!$E$2:$RK$2,0)+1),"")</f>
        <v>31</v>
      </c>
      <c r="N31">
        <f>SUM(DB[[#This Row],[Ops-FC-Orders-Collect]:[Ops-FC-Orders-HD]])</f>
        <v>2950</v>
      </c>
      <c r="O31" s="44" cm="1">
        <f t="array" ref="O31">IFERROR(INDEX('ST Forecast'!$E$2:$RK$36,13,M31),"")</f>
        <v>1050</v>
      </c>
      <c r="P31" s="44">
        <f t="shared" si="27"/>
        <v>1900</v>
      </c>
      <c r="Q31" s="44" cm="1">
        <f t="array" ref="Q31">IFERROR(INDEX('ST Forecast'!$E$2:$RK$36,14,M31),"")</f>
        <v>1000</v>
      </c>
      <c r="R31" s="44" cm="1">
        <f t="array" ref="R31">IFERROR(INDEX('ST Forecast'!$E$2:$RK$36,15,M31),"")</f>
        <v>900</v>
      </c>
      <c r="S31" s="312">
        <f>SUM(DB[[#This Row],[Ops-FC-Picks-Collect]:[Ops-FC-Picks-HD]])</f>
        <v>145324.2478234616</v>
      </c>
      <c r="T31" s="44">
        <f t="shared" si="28"/>
        <v>50808.824319022016</v>
      </c>
      <c r="U31" s="44">
        <f t="shared" si="29"/>
        <v>94515.423504439575</v>
      </c>
      <c r="V31" s="44">
        <f t="shared" si="30"/>
        <v>49744.959739178725</v>
      </c>
      <c r="W31" s="404">
        <f t="shared" si="31"/>
        <v>44770.463765260851</v>
      </c>
      <c r="X31" s="44">
        <f>SUM(DB[[#This Row],[Capped-Orders-Collect]:[Capped-Orders-HD]])</f>
        <v>90</v>
      </c>
      <c r="Y31">
        <f>INDEX('Operations Forecast'!$A$2:$BGY$47,3,MATCH(DB!D31,'Operations Forecast'!$A$2:$BGY$2))</f>
        <v>0</v>
      </c>
      <c r="Z31">
        <f t="shared" si="32"/>
        <v>90</v>
      </c>
      <c r="AA31">
        <f>INDEX('Operations Forecast'!$A$2:$BGY$47,10,MATCH(DB!D31,'Operations Forecast'!$A$2:$BGY$2))</f>
        <v>90</v>
      </c>
      <c r="AB31">
        <f>INDEX('Operations Forecast'!$A$2:$BGY$47,21,MATCH(DB!D31,'Operations Forecast'!$A$2:$BGY$2))</f>
        <v>0</v>
      </c>
      <c r="AC31" s="312">
        <f>SUM(DB[[#This Row],[Act-Orders-Collect]:[Act-Orders-HD]])</f>
        <v>3050</v>
      </c>
      <c r="AD31" s="858">
        <f>IFERROR(INDEX('Operations Forecast_new'!$7:$7,MATCH(DB[[#This Row],[Datum]],'Operations Forecast_new'!$2:$2,0)),0)</f>
        <v>1050</v>
      </c>
      <c r="AE31" s="312">
        <f t="shared" si="33"/>
        <v>2000</v>
      </c>
      <c r="AF31" s="858">
        <f>IFERROR(INDEX('Operations Forecast_new'!$13:$13,MATCH(DB[[#This Row],[Datum]],'Operations Forecast_new'!$2:$2,0)),0)</f>
        <v>1050</v>
      </c>
      <c r="AG31" s="858">
        <f>IFERROR(INDEX('Operations Forecast_new'!$19:$19,MATCH(DB[[#This Row],[Datum]],'Operations Forecast_new'!$2:$2,0)),0)</f>
        <v>950</v>
      </c>
      <c r="AH31" s="312">
        <f t="shared" si="9"/>
        <v>157652.54999999999</v>
      </c>
      <c r="AI31" s="858">
        <f>IFERROR(INDEX('Operations Forecast_new'!$9:$9,MATCH(DB[[#This Row],[Datum]],'Operations Forecast_new'!$2:$2,0)),0)</f>
        <v>52910.55</v>
      </c>
      <c r="AJ31" s="312">
        <f t="shared" si="34"/>
        <v>104742</v>
      </c>
      <c r="AK31" s="858">
        <f>IFERROR(INDEX('Operations Forecast_new'!$15:$15,MATCH(DB[[#This Row],[Datum]],'Operations Forecast_new'!$2:$2,0)),0)</f>
        <v>54989.55</v>
      </c>
      <c r="AL31" s="858">
        <f>IFERROR(INDEX('Operations Forecast_new'!$21:$21,MATCH(DB[[#This Row],[Datum]],'Operations Forecast_new'!$2:$2,0)),0)</f>
        <v>49752.45</v>
      </c>
      <c r="AM31" s="178">
        <f>IFERROR(INDEX('Operations Forecast_new'!$8:$8,MATCH(DB[[#This Row],[Datum]],'Operations Forecast_new'!$2:$2,0)),0)</f>
        <v>50.9</v>
      </c>
      <c r="AN31" s="859">
        <f>IFERROR(INDEX('Operations Forecast_new'!$20:$20,MATCH(DB[[#This Row],[Datum]],'Operations Forecast_new'!$2:$2,0)),0)</f>
        <v>52.9</v>
      </c>
      <c r="AO31" s="44">
        <f t="shared" si="35"/>
        <v>50.391000000000005</v>
      </c>
      <c r="AP31" s="404">
        <f t="shared" si="36"/>
        <v>52.371000000000002</v>
      </c>
      <c r="AQ31" s="44">
        <f t="shared" si="13"/>
        <v>114396</v>
      </c>
      <c r="AR31" s="44" cm="1">
        <f t="array" ref="AR31">IFERROR(INDEX('ST Forecast'!$E$2:$RK$36,25,M31)+(INDEX('ST Forecast'!$E$2:$RK$36,29,M31)),"")</f>
        <v>60117.122532490946</v>
      </c>
      <c r="AS31" s="44" cm="1">
        <f t="array" ref="AS31">IFERROR(INDEX('ST Forecast'!$E$2:$RK$36,26,M31)+INDEX('ST Forecast'!$E$2:$RK$36,30,M31),"")</f>
        <v>42400.724091560871</v>
      </c>
      <c r="AT31" s="44" cm="1">
        <f t="array" ref="AT31">IFERROR(INDEX('ST Forecast'!$E$2:$RK$36,27,M31)+INDEX('ST Forecast'!$E$2:$RK$36,31,M31),"")</f>
        <v>5831.6571399463737</v>
      </c>
      <c r="AU31" s="44" cm="1">
        <f t="array" ref="AU31">IFERROR(INDEX('ST Forecast'!$E$2:$RK$36,28,M31),"")</f>
        <v>6046.4962360018162</v>
      </c>
      <c r="AV31" s="44" cm="1">
        <f t="array" ref="AV31">IFERROR(INDEX('ST Forecast'!$E$2:$RK$36,29,M31),"")</f>
        <v>0</v>
      </c>
      <c r="AW31" s="44">
        <f>DB[[#This Row],[Inbound FC]]-DB[[#This Row],[Inbound Act - Ultrafresh2]]</f>
        <v>114396</v>
      </c>
      <c r="AX31" s="178" t="e">
        <f>#REF!</f>
        <v>#REF!</v>
      </c>
      <c r="AY31" s="178" t="e">
        <f>#REF!</f>
        <v>#REF!</v>
      </c>
      <c r="AZ31" s="178" t="e">
        <f>#REF!</f>
        <v>#REF!</v>
      </c>
      <c r="BA31" s="178">
        <f>MONTH(DB[[#This Row],[Datum]])</f>
        <v>1</v>
      </c>
    </row>
    <row r="32" spans="1:53" x14ac:dyDescent="0.3">
      <c r="A32" s="44">
        <f t="shared" si="23"/>
        <v>4</v>
      </c>
      <c r="B32" t="str">
        <f t="shared" si="24"/>
        <v>Wk 4</v>
      </c>
      <c r="C32" t="s">
        <v>119</v>
      </c>
      <c r="D32" s="313">
        <v>44591</v>
      </c>
      <c r="E32" s="44">
        <f>DB[[#This Row],[Sales-FC-Orders-Collect]]+DB[[#This Row],[Sales-FC-Orders-HD]]</f>
        <v>180</v>
      </c>
      <c r="F32" s="402" cm="1">
        <f t="array" ref="F32">INDEX('LT Collect Forecast'!$K$1:$Q$55,MATCH(B32,'LT Collect Forecast'!$A:$A,0)+1,MATCH(C32,'LT Collect Forecast'!$K$2:$Q$2,0))</f>
        <v>0</v>
      </c>
      <c r="G32" s="44" cm="1">
        <f t="array" ref="G32">INDEX('LT HD Forecast'!$K$1:$Q$55,MATCH(B32,'LT HD Forecast'!$A:$A,0)+1,MATCH(C32,'LT HD Forecast'!$K$2:$Q$2,0))</f>
        <v>180</v>
      </c>
      <c r="H32" s="44" cm="1">
        <f t="array" ref="H32">IFERROR(INDEX('ST Forecast'!$E$2:$RK$36,6,M32),"")</f>
        <v>0</v>
      </c>
      <c r="I32" s="44" cm="1">
        <f t="array" ref="I32">IFERROR(INDEX('ST Forecast'!$E$2:$RK$36,7,M32),"")</f>
        <v>56.032863716438641</v>
      </c>
      <c r="J32" s="44">
        <f>SUM(DB[[#This Row],[Sales-FC-Picks-Collect]:[Sales-FC-Picks-HD]])</f>
        <v>10085.915468958956</v>
      </c>
      <c r="K32" s="44">
        <f t="shared" si="25"/>
        <v>0</v>
      </c>
      <c r="L32" s="44">
        <f t="shared" si="26"/>
        <v>10085.915468958956</v>
      </c>
      <c r="M32" s="403">
        <f>IFERROR(IF(B32=B31,M31+1,MATCH(B32,'ST Forecast'!$E$2:$RK$2,0)+1),"")</f>
        <v>32</v>
      </c>
      <c r="N32">
        <f>SUM(DB[[#This Row],[Ops-FC-Orders-Collect]:[Ops-FC-Orders-HD]])</f>
        <v>90</v>
      </c>
      <c r="O32" s="44" cm="1">
        <f t="array" ref="O32">IFERROR(INDEX('ST Forecast'!$E$2:$RK$36,13,M32),"")</f>
        <v>0</v>
      </c>
      <c r="P32" s="44">
        <f t="shared" si="27"/>
        <v>90</v>
      </c>
      <c r="Q32" s="44" cm="1">
        <f t="array" ref="Q32">IFERROR(INDEX('ST Forecast'!$E$2:$RK$36,14,M32),"")</f>
        <v>90</v>
      </c>
      <c r="R32" s="44" cm="1">
        <f t="array" ref="R32">IFERROR(INDEX('ST Forecast'!$E$2:$RK$36,15,M32),"")</f>
        <v>0</v>
      </c>
      <c r="S32" s="312">
        <f>SUM(DB[[#This Row],[Ops-FC-Picks-Collect]:[Ops-FC-Picks-HD]])</f>
        <v>4942.0985797898884</v>
      </c>
      <c r="T32" s="44">
        <f t="shared" si="28"/>
        <v>0</v>
      </c>
      <c r="U32" s="44">
        <f t="shared" si="29"/>
        <v>4942.0985797898884</v>
      </c>
      <c r="V32" s="44">
        <f t="shared" si="30"/>
        <v>4942.0985797898884</v>
      </c>
      <c r="W32" s="404">
        <f t="shared" si="31"/>
        <v>0</v>
      </c>
      <c r="X32" s="44">
        <f>SUM(DB[[#This Row],[Capped-Orders-Collect]:[Capped-Orders-HD]])</f>
        <v>90</v>
      </c>
      <c r="Y32">
        <f>INDEX('Operations Forecast'!$A$2:$BGY$47,3,MATCH(DB!D32,'Operations Forecast'!$A$2:$BGY$2))</f>
        <v>0</v>
      </c>
      <c r="Z32">
        <f t="shared" si="32"/>
        <v>90</v>
      </c>
      <c r="AA32">
        <f>INDEX('Operations Forecast'!$A$2:$BGY$47,10,MATCH(DB!D32,'Operations Forecast'!$A$2:$BGY$2))</f>
        <v>90</v>
      </c>
      <c r="AB32">
        <f>INDEX('Operations Forecast'!$A$2:$BGY$47,21,MATCH(DB!D32,'Operations Forecast'!$A$2:$BGY$2))</f>
        <v>0</v>
      </c>
      <c r="AC32" s="312">
        <f>SUM(DB[[#This Row],[Act-Orders-Collect]:[Act-Orders-HD]])</f>
        <v>198</v>
      </c>
      <c r="AD32" s="858">
        <f>IFERROR(INDEX('Operations Forecast_new'!$7:$7,MATCH(DB[[#This Row],[Datum]],'Operations Forecast_new'!$2:$2,0)),0)</f>
        <v>0</v>
      </c>
      <c r="AE32" s="312">
        <f t="shared" si="33"/>
        <v>198</v>
      </c>
      <c r="AF32" s="858">
        <f>IFERROR(INDEX('Operations Forecast_new'!$13:$13,MATCH(DB[[#This Row],[Datum]],'Operations Forecast_new'!$2:$2,0)),0)</f>
        <v>198</v>
      </c>
      <c r="AG32" s="858">
        <f>IFERROR(INDEX('Operations Forecast_new'!$19:$19,MATCH(DB[[#This Row],[Datum]],'Operations Forecast_new'!$2:$2,0)),0)</f>
        <v>0</v>
      </c>
      <c r="AH32" s="312">
        <f t="shared" si="9"/>
        <v>10624.284</v>
      </c>
      <c r="AI32" s="858">
        <f>IFERROR(INDEX('Operations Forecast_new'!$9:$9,MATCH(DB[[#This Row],[Datum]],'Operations Forecast_new'!$2:$2,0)),0)</f>
        <v>0</v>
      </c>
      <c r="AJ32" s="312">
        <f t="shared" si="34"/>
        <v>10624.284</v>
      </c>
      <c r="AK32" s="858">
        <f>IFERROR(INDEX('Operations Forecast_new'!$15:$15,MATCH(DB[[#This Row],[Datum]],'Operations Forecast_new'!$2:$2,0)),0)</f>
        <v>10624.284</v>
      </c>
      <c r="AL32" s="858">
        <f>IFERROR(INDEX('Operations Forecast_new'!$21:$21,MATCH(DB[[#This Row],[Datum]],'Operations Forecast_new'!$2:$2,0)),0)</f>
        <v>0</v>
      </c>
      <c r="AM32" s="178">
        <f>IFERROR(INDEX('Operations Forecast_new'!$8:$8,MATCH(DB[[#This Row],[Datum]],'Operations Forecast_new'!$2:$2,0)),0)</f>
        <v>0</v>
      </c>
      <c r="AN32" s="859">
        <f>IFERROR(INDEX('Operations Forecast_new'!$20:$20,MATCH(DB[[#This Row],[Datum]],'Operations Forecast_new'!$2:$2,0)),0)</f>
        <v>56.032863716438641</v>
      </c>
      <c r="AO32" s="44" t="str">
        <f t="shared" si="35"/>
        <v>-</v>
      </c>
      <c r="AP32" s="404">
        <f t="shared" si="36"/>
        <v>53.658000000000001</v>
      </c>
      <c r="AQ32" s="44">
        <f t="shared" si="13"/>
        <v>0</v>
      </c>
      <c r="AR32" s="44" cm="1">
        <f t="array" ref="AR32">IFERROR(INDEX('ST Forecast'!$E$2:$RK$36,25,M32)+(INDEX('ST Forecast'!$E$2:$RK$36,29,M32)),"")</f>
        <v>0</v>
      </c>
      <c r="AS32" s="44" cm="1">
        <f t="array" ref="AS32">IFERROR(INDEX('ST Forecast'!$E$2:$RK$36,26,M32)+INDEX('ST Forecast'!$E$2:$RK$36,30,M32),"")</f>
        <v>0</v>
      </c>
      <c r="AT32" s="44" cm="1">
        <f t="array" ref="AT32">IFERROR(INDEX('ST Forecast'!$E$2:$RK$36,27,M32)+INDEX('ST Forecast'!$E$2:$RK$36,31,M32),"")</f>
        <v>0</v>
      </c>
      <c r="AU32" s="44" cm="1">
        <f t="array" ref="AU32">IFERROR(INDEX('ST Forecast'!$E$2:$RK$36,28,M32),"")</f>
        <v>0</v>
      </c>
      <c r="AV32" s="44" cm="1">
        <f t="array" ref="AV32">IFERROR(INDEX('ST Forecast'!$E$2:$RK$36,29,M32),"")</f>
        <v>0</v>
      </c>
      <c r="AW32" s="44">
        <f>DB[[#This Row],[Inbound FC]]-DB[[#This Row],[Inbound Act - Ultrafresh2]]</f>
        <v>0</v>
      </c>
      <c r="AX32" s="178" t="e">
        <f>#REF!</f>
        <v>#REF!</v>
      </c>
      <c r="AY32" s="178" t="e">
        <f>#REF!</f>
        <v>#REF!</v>
      </c>
      <c r="AZ32" s="178" t="e">
        <f>#REF!</f>
        <v>#REF!</v>
      </c>
      <c r="BA32" s="178">
        <f>MONTH(DB[[#This Row],[Datum]])</f>
        <v>1</v>
      </c>
    </row>
    <row r="33" spans="1:53" x14ac:dyDescent="0.3">
      <c r="A33" s="44">
        <f t="shared" si="23"/>
        <v>5</v>
      </c>
      <c r="B33" t="str">
        <f t="shared" si="24"/>
        <v>Wk 5</v>
      </c>
      <c r="C33" t="s">
        <v>113</v>
      </c>
      <c r="D33" s="313">
        <v>44592</v>
      </c>
      <c r="E33" s="44">
        <f>DB[[#This Row],[Sales-FC-Orders-Collect]]+DB[[#This Row],[Sales-FC-Orders-HD]]</f>
        <v>2350</v>
      </c>
      <c r="F33" s="402">
        <f>INDEX('LT Collect Forecast'!$K$1:$Q$55,MATCH(B33,'LT Collect Forecast'!$A:$A,0),MATCH(C33,'LT Collect Forecast'!$K$2:$Q$2,0))</f>
        <v>750</v>
      </c>
      <c r="G33" s="44">
        <f>INDEX('LT HD Forecast'!$K$1:$Q$55,MATCH(B33,'LT HD Forecast'!$A:$A,0),MATCH(C33,'LT HD Forecast'!$K$2:$Q$2,0))</f>
        <v>1600</v>
      </c>
      <c r="H33" s="44" cm="1">
        <f t="array" ref="H33">IFERROR(INDEX('ST Forecast'!$E$2:$RK$36,6,M33),"")</f>
        <v>47.268702387492368</v>
      </c>
      <c r="I33" s="44" cm="1">
        <f t="array" ref="I33">IFERROR(INDEX('ST Forecast'!$E$2:$RK$36,7,M33),"")</f>
        <v>49.807324860859879</v>
      </c>
      <c r="J33" s="44">
        <f>SUM(DB[[#This Row],[Sales-FC-Picks-Collect]:[Sales-FC-Picks-HD]])</f>
        <v>115143.24656799508</v>
      </c>
      <c r="K33" s="44">
        <f t="shared" si="25"/>
        <v>35451.526790619275</v>
      </c>
      <c r="L33" s="44">
        <f t="shared" si="26"/>
        <v>79691.719777375809</v>
      </c>
      <c r="M33" s="403">
        <f>IFERROR(IF(B33=B32,M32+1,MATCH(B33,'ST Forecast'!$E$2:$RK$2,0)+1),"")</f>
        <v>34</v>
      </c>
      <c r="N33">
        <f>SUM(DB[[#This Row],[Ops-FC-Orders-Collect]:[Ops-FC-Orders-HD]])</f>
        <v>2350</v>
      </c>
      <c r="O33" s="44" cm="1">
        <f t="array" ref="O33">IFERROR(INDEX('ST Forecast'!$E$2:$RK$36,13,M33),"")</f>
        <v>750</v>
      </c>
      <c r="P33" s="44">
        <f t="shared" si="27"/>
        <v>1600</v>
      </c>
      <c r="Q33" s="44" cm="1">
        <f t="array" ref="Q33">IFERROR(INDEX('ST Forecast'!$E$2:$RK$36,14,M33),"")</f>
        <v>700</v>
      </c>
      <c r="R33" s="44" cm="1">
        <f t="array" ref="R33">IFERROR(INDEX('ST Forecast'!$E$2:$RK$36,15,M33),"")</f>
        <v>900</v>
      </c>
      <c r="S33" s="312">
        <f>SUM(DB[[#This Row],[Ops-FC-Picks-Collect]:[Ops-FC-Picks-HD]])</f>
        <v>112840.38163663518</v>
      </c>
      <c r="T33" s="44">
        <f t="shared" si="28"/>
        <v>34742.496254806887</v>
      </c>
      <c r="U33" s="44">
        <f t="shared" si="29"/>
        <v>78097.885381828295</v>
      </c>
      <c r="V33" s="44">
        <f t="shared" si="30"/>
        <v>34167.824854549879</v>
      </c>
      <c r="W33" s="404">
        <f t="shared" si="31"/>
        <v>43930.060527278416</v>
      </c>
      <c r="X33" s="44">
        <f>SUM(DB[[#This Row],[Capped-Orders-Collect]:[Capped-Orders-HD]])</f>
        <v>90</v>
      </c>
      <c r="Y33">
        <f>INDEX('Operations Forecast'!$A$2:$BGY$47,3,MATCH(DB!D33,'Operations Forecast'!$A$2:$BGY$2))</f>
        <v>0</v>
      </c>
      <c r="Z33">
        <f t="shared" si="32"/>
        <v>90</v>
      </c>
      <c r="AA33">
        <f>INDEX('Operations Forecast'!$A$2:$BGY$47,10,MATCH(DB!D33,'Operations Forecast'!$A$2:$BGY$2))</f>
        <v>90</v>
      </c>
      <c r="AB33">
        <f>INDEX('Operations Forecast'!$A$2:$BGY$47,21,MATCH(DB!D33,'Operations Forecast'!$A$2:$BGY$2))</f>
        <v>0</v>
      </c>
      <c r="AC33" s="312">
        <f>SUM(DB[[#This Row],[Act-Orders-Collect]:[Act-Orders-HD]])</f>
        <v>2403</v>
      </c>
      <c r="AD33" s="858">
        <f>IFERROR(INDEX('Operations Forecast_new'!$7:$7,MATCH(DB[[#This Row],[Datum]],'Operations Forecast_new'!$2:$2,0)),0)</f>
        <v>760</v>
      </c>
      <c r="AE33" s="312">
        <f t="shared" si="33"/>
        <v>1643</v>
      </c>
      <c r="AF33" s="858">
        <f>IFERROR(INDEX('Operations Forecast_new'!$13:$13,MATCH(DB[[#This Row],[Datum]],'Operations Forecast_new'!$2:$2,0)),0)</f>
        <v>693</v>
      </c>
      <c r="AG33" s="858">
        <f>IFERROR(INDEX('Operations Forecast_new'!$19:$19,MATCH(DB[[#This Row],[Datum]],'Operations Forecast_new'!$2:$2,0)),0)</f>
        <v>950</v>
      </c>
      <c r="AH33" s="312">
        <f t="shared" si="9"/>
        <v>117053.145</v>
      </c>
      <c r="AI33" s="858">
        <f>IFERROR(INDEX('Operations Forecast_new'!$9:$9,MATCH(DB[[#This Row],[Datum]],'Operations Forecast_new'!$2:$2,0)),0)</f>
        <v>34911.360000000001</v>
      </c>
      <c r="AJ33" s="312">
        <f t="shared" si="34"/>
        <v>82141.785000000003</v>
      </c>
      <c r="AK33" s="858">
        <f>IFERROR(INDEX('Operations Forecast_new'!$15:$15,MATCH(DB[[#This Row],[Datum]],'Operations Forecast_new'!$2:$2,0)),0)</f>
        <v>34646.534999999996</v>
      </c>
      <c r="AL33" s="858">
        <f>IFERROR(INDEX('Operations Forecast_new'!$21:$21,MATCH(DB[[#This Row],[Datum]],'Operations Forecast_new'!$2:$2,0)),0)</f>
        <v>47495.25</v>
      </c>
      <c r="AM33" s="178">
        <f>IFERROR(INDEX('Operations Forecast_new'!$8:$8,MATCH(DB[[#This Row],[Datum]],'Operations Forecast_new'!$2:$2,0)),0)</f>
        <v>46.4</v>
      </c>
      <c r="AN33" s="859">
        <f>IFERROR(INDEX('Operations Forecast_new'!$20:$20,MATCH(DB[[#This Row],[Datum]],'Operations Forecast_new'!$2:$2,0)),0)</f>
        <v>50.5</v>
      </c>
      <c r="AO33" s="44">
        <f t="shared" si="35"/>
        <v>45.936</v>
      </c>
      <c r="AP33" s="404">
        <f t="shared" si="36"/>
        <v>49.995000000000005</v>
      </c>
      <c r="AQ33" s="44">
        <f t="shared" si="13"/>
        <v>209865.00000000003</v>
      </c>
      <c r="AR33" s="44" cm="1">
        <f t="array" ref="AR33">IFERROR(INDEX('ST Forecast'!$E$2:$RK$36,25,M33)+(INDEX('ST Forecast'!$E$2:$RK$36,29,M33)),"")</f>
        <v>91280.847516749534</v>
      </c>
      <c r="AS33" s="44" cm="1">
        <f t="array" ref="AS33">IFERROR(INDEX('ST Forecast'!$E$2:$RK$36,26,M33)+INDEX('ST Forecast'!$E$2:$RK$36,30,M33),"")</f>
        <v>64868.165675259086</v>
      </c>
      <c r="AT33" s="44" cm="1">
        <f t="array" ref="AT33">IFERROR(INDEX('ST Forecast'!$E$2:$RK$36,27,M33)+INDEX('ST Forecast'!$E$2:$RK$36,31,M33),"")</f>
        <v>46759.662036760594</v>
      </c>
      <c r="AU33" s="44" cm="1">
        <f t="array" ref="AU33">IFERROR(INDEX('ST Forecast'!$E$2:$RK$36,28,M33),"")</f>
        <v>6956.3247712307984</v>
      </c>
      <c r="AV33" s="44" cm="1">
        <f t="array" ref="AV33">IFERROR(INDEX('ST Forecast'!$E$2:$RK$36,29,M33),"")</f>
        <v>0</v>
      </c>
      <c r="AW33" s="44">
        <f>DB[[#This Row],[Inbound FC]]-DB[[#This Row],[Inbound Act - Ultrafresh2]]</f>
        <v>209865.00000000003</v>
      </c>
      <c r="AX33" s="178" t="e">
        <f>#REF!</f>
        <v>#REF!</v>
      </c>
      <c r="AY33" s="178" t="e">
        <f>#REF!</f>
        <v>#REF!</v>
      </c>
      <c r="AZ33" s="178" t="e">
        <f>#REF!</f>
        <v>#REF!</v>
      </c>
      <c r="BA33" s="178">
        <f>MONTH(DB[[#This Row],[Datum]])</f>
        <v>1</v>
      </c>
    </row>
    <row r="34" spans="1:53" x14ac:dyDescent="0.3">
      <c r="A34" s="44">
        <f t="shared" si="23"/>
        <v>5</v>
      </c>
      <c r="B34" t="str">
        <f t="shared" si="24"/>
        <v>Wk 5</v>
      </c>
      <c r="C34" t="s">
        <v>114</v>
      </c>
      <c r="D34" s="313">
        <v>44593</v>
      </c>
      <c r="E34" s="44">
        <f>DB[[#This Row],[Sales-FC-Orders-Collect]]+DB[[#This Row],[Sales-FC-Orders-HD]]</f>
        <v>2700</v>
      </c>
      <c r="F34" s="402">
        <f>INDEX('LT Collect Forecast'!$K$1:$Q$55,MATCH(B34,'LT Collect Forecast'!$A:$A,0),MATCH(C34,'LT Collect Forecast'!$K$2:$Q$2,0))</f>
        <v>600</v>
      </c>
      <c r="G34" s="44">
        <f>INDEX('LT HD Forecast'!$K$1:$Q$55,MATCH(B34,'LT HD Forecast'!$A:$A,0),MATCH(C34,'LT HD Forecast'!$K$2:$Q$2,0))</f>
        <v>2100</v>
      </c>
      <c r="H34" s="44" cm="1">
        <f t="array" ref="H34">IFERROR(INDEX('ST Forecast'!$E$2:$RK$36,6,M34),"")</f>
        <v>44.711875188364395</v>
      </c>
      <c r="I34" s="44" cm="1">
        <f t="array" ref="I34">IFERROR(INDEX('ST Forecast'!$E$2:$RK$36,7,M34),"")</f>
        <v>47.764897719016751</v>
      </c>
      <c r="J34" s="44">
        <f>SUM(DB[[#This Row],[Sales-FC-Picks-Collect]:[Sales-FC-Picks-HD]])</f>
        <v>127133.4103229538</v>
      </c>
      <c r="K34" s="44">
        <f t="shared" si="25"/>
        <v>26827.125113018636</v>
      </c>
      <c r="L34" s="44">
        <f t="shared" si="26"/>
        <v>100306.28520993517</v>
      </c>
      <c r="M34" s="403">
        <f>IFERROR(IF(B34=B33,M33+1,MATCH(B34,'ST Forecast'!$E$2:$RK$2,0)+1),"")</f>
        <v>35</v>
      </c>
      <c r="N34">
        <f>SUM(DB[[#This Row],[Ops-FC-Orders-Collect]:[Ops-FC-Orders-HD]])</f>
        <v>2700</v>
      </c>
      <c r="O34" s="44" cm="1">
        <f t="array" ref="O34">IFERROR(INDEX('ST Forecast'!$E$2:$RK$36,13,M34),"")</f>
        <v>600</v>
      </c>
      <c r="P34" s="44">
        <f t="shared" si="27"/>
        <v>2100</v>
      </c>
      <c r="Q34" s="44" cm="1">
        <f t="array" ref="Q34">IFERROR(INDEX('ST Forecast'!$E$2:$RK$36,14,M34),"")</f>
        <v>1100</v>
      </c>
      <c r="R34" s="44" cm="1">
        <f t="array" ref="R34">IFERROR(INDEX('ST Forecast'!$E$2:$RK$36,15,M34),"")</f>
        <v>1000</v>
      </c>
      <c r="S34" s="312">
        <f>SUM(DB[[#This Row],[Ops-FC-Picks-Collect]:[Ops-FC-Picks-HD]])</f>
        <v>124590.74211649472</v>
      </c>
      <c r="T34" s="44">
        <f t="shared" si="28"/>
        <v>26290.582610758262</v>
      </c>
      <c r="U34" s="44">
        <f t="shared" si="29"/>
        <v>98300.159505736461</v>
      </c>
      <c r="V34" s="44">
        <f t="shared" si="30"/>
        <v>51490.559741100056</v>
      </c>
      <c r="W34" s="404">
        <f t="shared" si="31"/>
        <v>46809.599764636412</v>
      </c>
      <c r="X34" s="44">
        <f>SUM(DB[[#This Row],[Capped-Orders-Collect]:[Capped-Orders-HD]])</f>
        <v>90</v>
      </c>
      <c r="Y34">
        <f>INDEX('Operations Forecast'!$A$2:$BGY$47,3,MATCH(DB!D34,'Operations Forecast'!$A$2:$BGY$2))</f>
        <v>0</v>
      </c>
      <c r="Z34">
        <f t="shared" si="32"/>
        <v>90</v>
      </c>
      <c r="AA34">
        <f>INDEX('Operations Forecast'!$A$2:$BGY$47,10,MATCH(DB!D34,'Operations Forecast'!$A$2:$BGY$2))</f>
        <v>90</v>
      </c>
      <c r="AB34">
        <f>INDEX('Operations Forecast'!$A$2:$BGY$47,21,MATCH(DB!D34,'Operations Forecast'!$A$2:$BGY$2))</f>
        <v>0</v>
      </c>
      <c r="AC34" s="312">
        <f>SUM(DB[[#This Row],[Act-Orders-Collect]:[Act-Orders-HD]])</f>
        <v>2784</v>
      </c>
      <c r="AD34" s="858">
        <f>IFERROR(INDEX('Operations Forecast_new'!$7:$7,MATCH(DB[[#This Row],[Datum]],'Operations Forecast_new'!$2:$2,0)),0)</f>
        <v>647</v>
      </c>
      <c r="AE34" s="312">
        <f t="shared" si="33"/>
        <v>2137</v>
      </c>
      <c r="AF34" s="858">
        <f>IFERROR(INDEX('Operations Forecast_new'!$13:$13,MATCH(DB[[#This Row],[Datum]],'Operations Forecast_new'!$2:$2,0)),0)</f>
        <v>1090</v>
      </c>
      <c r="AG34" s="858">
        <f>IFERROR(INDEX('Operations Forecast_new'!$19:$19,MATCH(DB[[#This Row],[Datum]],'Operations Forecast_new'!$2:$2,0)),0)</f>
        <v>1047</v>
      </c>
      <c r="AH34" s="312">
        <f t="shared" si="9"/>
        <v>132637.23000000001</v>
      </c>
      <c r="AI34" s="858">
        <f>IFERROR(INDEX('Operations Forecast_new'!$9:$9,MATCH(DB[[#This Row],[Datum]],'Operations Forecast_new'!$2:$2,0)),0)</f>
        <v>28759.796999999999</v>
      </c>
      <c r="AJ34" s="312">
        <f t="shared" si="34"/>
        <v>103877.433</v>
      </c>
      <c r="AK34" s="858">
        <f>IFERROR(INDEX('Operations Forecast_new'!$15:$15,MATCH(DB[[#This Row],[Datum]],'Operations Forecast_new'!$2:$2,0)),0)</f>
        <v>52983.81</v>
      </c>
      <c r="AL34" s="858">
        <f>IFERROR(INDEX('Operations Forecast_new'!$21:$21,MATCH(DB[[#This Row],[Datum]],'Operations Forecast_new'!$2:$2,0)),0)</f>
        <v>50893.623000000007</v>
      </c>
      <c r="AM34" s="178">
        <f>IFERROR(INDEX('Operations Forecast_new'!$8:$8,MATCH(DB[[#This Row],[Datum]],'Operations Forecast_new'!$2:$2,0)),0)</f>
        <v>44.9</v>
      </c>
      <c r="AN34" s="859">
        <f>IFERROR(INDEX('Operations Forecast_new'!$20:$20,MATCH(DB[[#This Row],[Datum]],'Operations Forecast_new'!$2:$2,0)),0)</f>
        <v>49.1</v>
      </c>
      <c r="AO34" s="44">
        <f t="shared" si="35"/>
        <v>44.451000000000001</v>
      </c>
      <c r="AP34" s="404">
        <f t="shared" si="36"/>
        <v>48.609000000000002</v>
      </c>
      <c r="AQ34" s="44">
        <f t="shared" si="13"/>
        <v>153996.00000000006</v>
      </c>
      <c r="AR34" s="44" cm="1">
        <f t="array" ref="AR34">IFERROR(INDEX('ST Forecast'!$E$2:$RK$36,25,M34)+(INDEX('ST Forecast'!$E$2:$RK$36,29,M34)),"")</f>
        <v>68165.726997621474</v>
      </c>
      <c r="AS34" s="44" cm="1">
        <f t="array" ref="AS34">IFERROR(INDEX('ST Forecast'!$E$2:$RK$36,26,M34)+INDEX('ST Forecast'!$E$2:$RK$36,30,M34),"")</f>
        <v>71497.696469121409</v>
      </c>
      <c r="AT34" s="44" cm="1">
        <f t="array" ref="AT34">IFERROR(INDEX('ST Forecast'!$E$2:$RK$36,27,M34)+INDEX('ST Forecast'!$E$2:$RK$36,31,M34),"")</f>
        <v>6727.5116296871347</v>
      </c>
      <c r="AU34" s="44" cm="1">
        <f t="array" ref="AU34">IFERROR(INDEX('ST Forecast'!$E$2:$RK$36,28,M34),"")</f>
        <v>7605.0649035700617</v>
      </c>
      <c r="AV34" s="44" cm="1">
        <f t="array" ref="AV34">IFERROR(INDEX('ST Forecast'!$E$2:$RK$36,29,M34),"")</f>
        <v>0</v>
      </c>
      <c r="AW34" s="44">
        <f>DB[[#This Row],[Inbound FC]]-DB[[#This Row],[Inbound Act - Ultrafresh2]]</f>
        <v>153996.00000000006</v>
      </c>
      <c r="AX34" s="178" t="e">
        <f>#REF!</f>
        <v>#REF!</v>
      </c>
      <c r="AY34" s="178" t="e">
        <f>#REF!</f>
        <v>#REF!</v>
      </c>
      <c r="AZ34" s="178" t="e">
        <f>#REF!</f>
        <v>#REF!</v>
      </c>
      <c r="BA34" s="178">
        <f>MONTH(DB[[#This Row],[Datum]])</f>
        <v>2</v>
      </c>
    </row>
    <row r="35" spans="1:53" x14ac:dyDescent="0.3">
      <c r="A35" s="44">
        <f t="shared" si="23"/>
        <v>5</v>
      </c>
      <c r="B35" t="str">
        <f t="shared" si="24"/>
        <v>Wk 5</v>
      </c>
      <c r="C35" t="s">
        <v>115</v>
      </c>
      <c r="D35" s="313">
        <v>44594</v>
      </c>
      <c r="E35" s="44">
        <f>DB[[#This Row],[Sales-FC-Orders-Collect]]+DB[[#This Row],[Sales-FC-Orders-HD]]</f>
        <v>2800</v>
      </c>
      <c r="F35" s="402">
        <f>INDEX('LT Collect Forecast'!$K$1:$Q$55,MATCH(B35,'LT Collect Forecast'!$A:$A,0),MATCH(C35,'LT Collect Forecast'!$K$2:$Q$2,0))</f>
        <v>600</v>
      </c>
      <c r="G35" s="44">
        <f>INDEX('LT HD Forecast'!$K$1:$Q$55,MATCH(B35,'LT HD Forecast'!$A:$A,0),MATCH(C35,'LT HD Forecast'!$K$2:$Q$2,0))</f>
        <v>2200</v>
      </c>
      <c r="H35" s="44" cm="1">
        <f t="array" ref="H35">IFERROR(INDEX('ST Forecast'!$E$2:$RK$36,6,M35),"")</f>
        <v>46.137204238530686</v>
      </c>
      <c r="I35" s="44" cm="1">
        <f t="array" ref="I35">IFERROR(INDEX('ST Forecast'!$E$2:$RK$36,7,M35),"")</f>
        <v>48.47282624605829</v>
      </c>
      <c r="J35" s="44">
        <f>SUM(DB[[#This Row],[Sales-FC-Picks-Collect]:[Sales-FC-Picks-HD]])</f>
        <v>134322.54028444664</v>
      </c>
      <c r="K35" s="44">
        <f t="shared" si="25"/>
        <v>27682.322543118411</v>
      </c>
      <c r="L35" s="44">
        <f t="shared" si="26"/>
        <v>106640.21774132823</v>
      </c>
      <c r="M35" s="403">
        <f>IFERROR(IF(B35=B34,M34+1,MATCH(B35,'ST Forecast'!$E$2:$RK$2,0)+1),"")</f>
        <v>36</v>
      </c>
      <c r="N35">
        <f>SUM(DB[[#This Row],[Ops-FC-Orders-Collect]:[Ops-FC-Orders-HD]])</f>
        <v>2800</v>
      </c>
      <c r="O35" s="44" cm="1">
        <f t="array" ref="O35">IFERROR(INDEX('ST Forecast'!$E$2:$RK$36,13,M35),"")</f>
        <v>600</v>
      </c>
      <c r="P35" s="44">
        <f t="shared" si="27"/>
        <v>2200</v>
      </c>
      <c r="Q35" s="44" cm="1">
        <f t="array" ref="Q35">IFERROR(INDEX('ST Forecast'!$E$2:$RK$36,14,M35),"")</f>
        <v>1150</v>
      </c>
      <c r="R35" s="44" cm="1">
        <f t="array" ref="R35">IFERROR(INDEX('ST Forecast'!$E$2:$RK$36,15,M35),"")</f>
        <v>1050</v>
      </c>
      <c r="S35" s="312">
        <f>SUM(DB[[#This Row],[Ops-FC-Picks-Collect]:[Ops-FC-Picks-HD]])</f>
        <v>131636.08947875773</v>
      </c>
      <c r="T35" s="44">
        <f t="shared" si="28"/>
        <v>27128.676092256042</v>
      </c>
      <c r="U35" s="44">
        <f t="shared" si="29"/>
        <v>104507.41338650168</v>
      </c>
      <c r="V35" s="44">
        <f t="shared" si="30"/>
        <v>54628.875179307695</v>
      </c>
      <c r="W35" s="404">
        <f t="shared" si="31"/>
        <v>49878.538207193982</v>
      </c>
      <c r="X35" s="44">
        <f>SUM(DB[[#This Row],[Capped-Orders-Collect]:[Capped-Orders-HD]])</f>
        <v>90</v>
      </c>
      <c r="Y35">
        <f>INDEX('Operations Forecast'!$A$2:$BGY$47,3,MATCH(DB!D35,'Operations Forecast'!$A$2:$BGY$2))</f>
        <v>0</v>
      </c>
      <c r="Z35">
        <f t="shared" si="32"/>
        <v>90</v>
      </c>
      <c r="AA35">
        <f>INDEX('Operations Forecast'!$A$2:$BGY$47,10,MATCH(DB!D35,'Operations Forecast'!$A$2:$BGY$2))</f>
        <v>90</v>
      </c>
      <c r="AB35">
        <f>INDEX('Operations Forecast'!$A$2:$BGY$47,21,MATCH(DB!D35,'Operations Forecast'!$A$2:$BGY$2))</f>
        <v>0</v>
      </c>
      <c r="AC35" s="312">
        <f>SUM(DB[[#This Row],[Act-Orders-Collect]:[Act-Orders-HD]])</f>
        <v>2797</v>
      </c>
      <c r="AD35" s="858">
        <f>IFERROR(INDEX('Operations Forecast_new'!$7:$7,MATCH(DB[[#This Row],[Datum]],'Operations Forecast_new'!$2:$2,0)),0)</f>
        <v>610</v>
      </c>
      <c r="AE35" s="312">
        <f t="shared" si="33"/>
        <v>2187</v>
      </c>
      <c r="AF35" s="858">
        <f>IFERROR(INDEX('Operations Forecast_new'!$13:$13,MATCH(DB[[#This Row],[Datum]],'Operations Forecast_new'!$2:$2,0)),0)</f>
        <v>1142</v>
      </c>
      <c r="AG35" s="858">
        <f>IFERROR(INDEX('Operations Forecast_new'!$19:$19,MATCH(DB[[#This Row],[Datum]],'Operations Forecast_new'!$2:$2,0)),0)</f>
        <v>1045</v>
      </c>
      <c r="AH35" s="312">
        <f t="shared" si="9"/>
        <v>138447.04500000001</v>
      </c>
      <c r="AI35" s="858">
        <f>IFERROR(INDEX('Operations Forecast_new'!$9:$9,MATCH(DB[[#This Row],[Datum]],'Operations Forecast_new'!$2:$2,0)),0)</f>
        <v>29107.98</v>
      </c>
      <c r="AJ35" s="312">
        <f t="shared" si="34"/>
        <v>109339.065</v>
      </c>
      <c r="AK35" s="858">
        <f>IFERROR(INDEX('Operations Forecast_new'!$15:$15,MATCH(DB[[#This Row],[Datum]],'Operations Forecast_new'!$2:$2,0)),0)</f>
        <v>57094.29</v>
      </c>
      <c r="AL35" s="858">
        <f>IFERROR(INDEX('Operations Forecast_new'!$21:$21,MATCH(DB[[#This Row],[Datum]],'Operations Forecast_new'!$2:$2,0)),0)</f>
        <v>52244.775000000001</v>
      </c>
      <c r="AM35" s="178">
        <f>IFERROR(INDEX('Operations Forecast_new'!$8:$8,MATCH(DB[[#This Row],[Datum]],'Operations Forecast_new'!$2:$2,0)),0)</f>
        <v>48.2</v>
      </c>
      <c r="AN35" s="859">
        <f>IFERROR(INDEX('Operations Forecast_new'!$20:$20,MATCH(DB[[#This Row],[Datum]],'Operations Forecast_new'!$2:$2,0)),0)</f>
        <v>50.5</v>
      </c>
      <c r="AO35" s="44">
        <f t="shared" si="35"/>
        <v>47.717999999999996</v>
      </c>
      <c r="AP35" s="404">
        <f t="shared" si="36"/>
        <v>49.995000000000005</v>
      </c>
      <c r="AQ35" s="44">
        <f t="shared" si="13"/>
        <v>162088.00000000006</v>
      </c>
      <c r="AR35" s="44" cm="1">
        <f t="array" ref="AR35">IFERROR(INDEX('ST Forecast'!$E$2:$RK$36,25,M35)+(INDEX('ST Forecast'!$E$2:$RK$36,29,M35)),"")</f>
        <v>65596.609101739799</v>
      </c>
      <c r="AS35" s="44" cm="1">
        <f t="array" ref="AS35">IFERROR(INDEX('ST Forecast'!$E$2:$RK$36,26,M35)+INDEX('ST Forecast'!$E$2:$RK$36,30,M35),"")</f>
        <v>66519.567178784389</v>
      </c>
      <c r="AT35" s="44" cm="1">
        <f t="array" ref="AT35">IFERROR(INDEX('ST Forecast'!$E$2:$RK$36,27,M35)+INDEX('ST Forecast'!$E$2:$RK$36,31,M35),"")</f>
        <v>20369.956488652926</v>
      </c>
      <c r="AU35" s="44" cm="1">
        <f t="array" ref="AU35">IFERROR(INDEX('ST Forecast'!$E$2:$RK$36,28,M35),"")</f>
        <v>9601.8672308229725</v>
      </c>
      <c r="AV35" s="44" cm="1">
        <f t="array" ref="AV35">IFERROR(INDEX('ST Forecast'!$E$2:$RK$36,29,M35),"")</f>
        <v>0</v>
      </c>
      <c r="AW35" s="44">
        <f>DB[[#This Row],[Inbound FC]]-DB[[#This Row],[Inbound Act - Ultrafresh2]]</f>
        <v>162088.00000000006</v>
      </c>
      <c r="AX35" s="178" t="e">
        <f>#REF!</f>
        <v>#REF!</v>
      </c>
      <c r="AY35" s="178" t="e">
        <f>#REF!</f>
        <v>#REF!</v>
      </c>
      <c r="AZ35" s="178" t="e">
        <f>#REF!</f>
        <v>#REF!</v>
      </c>
      <c r="BA35" s="178">
        <f>MONTH(DB[[#This Row],[Datum]])</f>
        <v>2</v>
      </c>
    </row>
    <row r="36" spans="1:53" x14ac:dyDescent="0.3">
      <c r="A36" s="44">
        <f t="shared" si="23"/>
        <v>5</v>
      </c>
      <c r="B36" t="str">
        <f t="shared" si="24"/>
        <v>Wk 5</v>
      </c>
      <c r="C36" t="s">
        <v>116</v>
      </c>
      <c r="D36" s="313">
        <v>44595</v>
      </c>
      <c r="E36" s="44">
        <f>DB[[#This Row],[Sales-FC-Orders-Collect]]+DB[[#This Row],[Sales-FC-Orders-HD]]</f>
        <v>2675</v>
      </c>
      <c r="F36" s="402" cm="1">
        <f t="array" ref="F36">INDEX('LT Collect Forecast'!$K$1:$Q$55,MATCH(B36,'LT Collect Forecast'!$A:$A,0)+1,MATCH(C36,'LT Collect Forecast'!$K$2:$Q$2,0))</f>
        <v>500</v>
      </c>
      <c r="G36" s="44" cm="1">
        <f t="array" ref="G36">INDEX('LT HD Forecast'!$K$1:$Q$55,MATCH(B36,'LT HD Forecast'!$A:$A,0)+1,MATCH(C36,'LT HD Forecast'!$K$2:$Q$2,0))</f>
        <v>2175</v>
      </c>
      <c r="H36" s="44" cm="1">
        <f t="array" ref="H36">IFERROR(INDEX('ST Forecast'!$E$2:$RK$36,6,M36),"")</f>
        <v>48.096622134424223</v>
      </c>
      <c r="I36" s="44" cm="1">
        <f t="array" ref="I36">IFERROR(INDEX('ST Forecast'!$E$2:$RK$36,7,M36),"")</f>
        <v>48.790838934936389</v>
      </c>
      <c r="J36" s="44">
        <f>SUM(DB[[#This Row],[Sales-FC-Picks-Collect]:[Sales-FC-Picks-HD]])</f>
        <v>130168.38575069876</v>
      </c>
      <c r="K36" s="44">
        <f t="shared" si="25"/>
        <v>24048.311067212111</v>
      </c>
      <c r="L36" s="44">
        <f t="shared" si="26"/>
        <v>106120.07468348664</v>
      </c>
      <c r="M36" s="403">
        <f>IFERROR(IF(B36=B35,M35+1,MATCH(B36,'ST Forecast'!$E$2:$RK$2,0)+1),"")</f>
        <v>37</v>
      </c>
      <c r="N36">
        <f>SUM(DB[[#This Row],[Ops-FC-Orders-Collect]:[Ops-FC-Orders-HD]])</f>
        <v>2650</v>
      </c>
      <c r="O36" s="44" cm="1">
        <f t="array" ref="O36">IFERROR(INDEX('ST Forecast'!$E$2:$RK$36,13,M36),"")</f>
        <v>500</v>
      </c>
      <c r="P36" s="44">
        <f t="shared" si="27"/>
        <v>2150</v>
      </c>
      <c r="Q36" s="44" cm="1">
        <f t="array" ref="Q36">IFERROR(INDEX('ST Forecast'!$E$2:$RK$36,14,M36),"")</f>
        <v>1100</v>
      </c>
      <c r="R36" s="44" cm="1">
        <f t="array" ref="R36">IFERROR(INDEX('ST Forecast'!$E$2:$RK$36,15,M36),"")</f>
        <v>1050</v>
      </c>
      <c r="S36" s="312">
        <f>SUM(DB[[#This Row],[Ops-FC-Picks-Collect]:[Ops-FC-Picks-HD]])</f>
        <v>126369.64248177884</v>
      </c>
      <c r="T36" s="44">
        <f t="shared" si="28"/>
        <v>23567.344845867869</v>
      </c>
      <c r="U36" s="44">
        <f t="shared" si="29"/>
        <v>102802.29763591097</v>
      </c>
      <c r="V36" s="44">
        <f t="shared" si="30"/>
        <v>52596.524371861422</v>
      </c>
      <c r="W36" s="404">
        <f t="shared" si="31"/>
        <v>50205.773264049545</v>
      </c>
      <c r="X36" s="44">
        <f>SUM(DB[[#This Row],[Capped-Orders-Collect]:[Capped-Orders-HD]])</f>
        <v>90</v>
      </c>
      <c r="Y36">
        <f>INDEX('Operations Forecast'!$A$2:$BGY$47,3,MATCH(DB!D36,'Operations Forecast'!$A$2:$BGY$2))</f>
        <v>0</v>
      </c>
      <c r="Z36">
        <f t="shared" si="32"/>
        <v>90</v>
      </c>
      <c r="AA36">
        <f>INDEX('Operations Forecast'!$A$2:$BGY$47,10,MATCH(DB!D36,'Operations Forecast'!$A$2:$BGY$2))</f>
        <v>90</v>
      </c>
      <c r="AB36">
        <f>INDEX('Operations Forecast'!$A$2:$BGY$47,21,MATCH(DB!D36,'Operations Forecast'!$A$2:$BGY$2))</f>
        <v>0</v>
      </c>
      <c r="AC36" s="312">
        <f>SUM(DB[[#This Row],[Act-Orders-Collect]:[Act-Orders-HD]])</f>
        <v>2646</v>
      </c>
      <c r="AD36" s="858">
        <f>IFERROR(INDEX('Operations Forecast_new'!$7:$7,MATCH(DB[[#This Row],[Datum]],'Operations Forecast_new'!$2:$2,0)),0)</f>
        <v>510</v>
      </c>
      <c r="AE36" s="312">
        <f t="shared" si="33"/>
        <v>2136</v>
      </c>
      <c r="AF36" s="858">
        <f>IFERROR(INDEX('Operations Forecast_new'!$13:$13,MATCH(DB[[#This Row],[Datum]],'Operations Forecast_new'!$2:$2,0)),0)</f>
        <v>1104</v>
      </c>
      <c r="AG36" s="858">
        <f>IFERROR(INDEX('Operations Forecast_new'!$19:$19,MATCH(DB[[#This Row],[Datum]],'Operations Forecast_new'!$2:$2,0)),0)</f>
        <v>1032</v>
      </c>
      <c r="AH36" s="312">
        <f t="shared" si="9"/>
        <v>128900.37599999999</v>
      </c>
      <c r="AI36" s="858">
        <f>IFERROR(INDEX('Operations Forecast_new'!$9:$9,MATCH(DB[[#This Row],[Datum]],'Operations Forecast_new'!$2:$2,0)),0)</f>
        <v>24437.16</v>
      </c>
      <c r="AJ36" s="312">
        <f t="shared" si="34"/>
        <v>104463.21599999999</v>
      </c>
      <c r="AK36" s="858">
        <f>IFERROR(INDEX('Operations Forecast_new'!$15:$15,MATCH(DB[[#This Row],[Datum]],'Operations Forecast_new'!$2:$2,0)),0)</f>
        <v>53992.223999999995</v>
      </c>
      <c r="AL36" s="858">
        <f>IFERROR(INDEX('Operations Forecast_new'!$21:$21,MATCH(DB[[#This Row],[Datum]],'Operations Forecast_new'!$2:$2,0)),0)</f>
        <v>50470.991999999998</v>
      </c>
      <c r="AM36" s="178">
        <f>IFERROR(INDEX('Operations Forecast_new'!$8:$8,MATCH(DB[[#This Row],[Datum]],'Operations Forecast_new'!$2:$2,0)),0)</f>
        <v>48.4</v>
      </c>
      <c r="AN36" s="859">
        <f>IFERROR(INDEX('Operations Forecast_new'!$20:$20,MATCH(DB[[#This Row],[Datum]],'Operations Forecast_new'!$2:$2,0)),0)</f>
        <v>49.4</v>
      </c>
      <c r="AO36" s="44">
        <f t="shared" si="35"/>
        <v>47.915999999999997</v>
      </c>
      <c r="AP36" s="404">
        <f t="shared" si="36"/>
        <v>48.905999999999992</v>
      </c>
      <c r="AQ36" s="44">
        <f t="shared" si="13"/>
        <v>151781.00000000009</v>
      </c>
      <c r="AR36" s="44" cm="1">
        <f t="array" ref="AR36">IFERROR(INDEX('ST Forecast'!$E$2:$RK$36,25,M36)+(INDEX('ST Forecast'!$E$2:$RK$36,29,M36)),"")</f>
        <v>62762.346199029533</v>
      </c>
      <c r="AS36" s="44" cm="1">
        <f t="array" ref="AS36">IFERROR(INDEX('ST Forecast'!$E$2:$RK$36,26,M36)+INDEX('ST Forecast'!$E$2:$RK$36,30,M36),"")</f>
        <v>62700.351857425667</v>
      </c>
      <c r="AT36" s="44" cm="1">
        <f t="array" ref="AT36">IFERROR(INDEX('ST Forecast'!$E$2:$RK$36,27,M36)+INDEX('ST Forecast'!$E$2:$RK$36,31,M36),"")</f>
        <v>16186.233268797301</v>
      </c>
      <c r="AU36" s="44" cm="1">
        <f t="array" ref="AU36">IFERROR(INDEX('ST Forecast'!$E$2:$RK$36,28,M36),"")</f>
        <v>10132.068674747577</v>
      </c>
      <c r="AV36" s="44" cm="1">
        <f t="array" ref="AV36">IFERROR(INDEX('ST Forecast'!$E$2:$RK$36,29,M36),"")</f>
        <v>0</v>
      </c>
      <c r="AW36" s="44">
        <f>DB[[#This Row],[Inbound FC]]-DB[[#This Row],[Inbound Act - Ultrafresh2]]</f>
        <v>151781.00000000009</v>
      </c>
      <c r="AX36" s="178" t="e">
        <f>#REF!</f>
        <v>#REF!</v>
      </c>
      <c r="AY36" s="178" t="e">
        <f>#REF!</f>
        <v>#REF!</v>
      </c>
      <c r="AZ36" s="178" t="e">
        <f>#REF!</f>
        <v>#REF!</v>
      </c>
      <c r="BA36" s="178">
        <f>MONTH(DB[[#This Row],[Datum]])</f>
        <v>2</v>
      </c>
    </row>
    <row r="37" spans="1:53" x14ac:dyDescent="0.3">
      <c r="A37" s="44">
        <f t="shared" si="23"/>
        <v>5</v>
      </c>
      <c r="B37" t="str">
        <f t="shared" si="24"/>
        <v>Wk 5</v>
      </c>
      <c r="C37" t="s">
        <v>117</v>
      </c>
      <c r="D37" s="313">
        <v>44596</v>
      </c>
      <c r="E37" s="44">
        <f>DB[[#This Row],[Sales-FC-Orders-Collect]]+DB[[#This Row],[Sales-FC-Orders-HD]]</f>
        <v>2850</v>
      </c>
      <c r="F37" s="402" cm="1">
        <f t="array" ref="F37">INDEX('LT Collect Forecast'!$K$1:$Q$55,MATCH(B37,'LT Collect Forecast'!$A:$A,0)+1,MATCH(C37,'LT Collect Forecast'!$K$2:$Q$2,0))</f>
        <v>950</v>
      </c>
      <c r="G37" s="44" cm="1">
        <f t="array" ref="G37">INDEX('LT HD Forecast'!$K$1:$Q$55,MATCH(B37,'LT HD Forecast'!$A:$A,0)+1,MATCH(C37,'LT HD Forecast'!$K$2:$Q$2,0))</f>
        <v>1900</v>
      </c>
      <c r="H37" s="44" cm="1">
        <f t="array" ref="H37">IFERROR(INDEX('ST Forecast'!$E$2:$RK$36,6,M37),"")</f>
        <v>50.794562823884732</v>
      </c>
      <c r="I37" s="44" cm="1">
        <f t="array" ref="I37">IFERROR(INDEX('ST Forecast'!$E$2:$RK$36,7,M37),"")</f>
        <v>50.720626866603361</v>
      </c>
      <c r="J37" s="44">
        <f>SUM(DB[[#This Row],[Sales-FC-Picks-Collect]:[Sales-FC-Picks-HD]])</f>
        <v>144624.02572923689</v>
      </c>
      <c r="K37" s="44">
        <f t="shared" si="25"/>
        <v>48254.834682690496</v>
      </c>
      <c r="L37" s="44">
        <f t="shared" si="26"/>
        <v>96369.191046546388</v>
      </c>
      <c r="M37" s="403">
        <f>IFERROR(IF(B37=B36,M36+1,MATCH(B37,'ST Forecast'!$E$2:$RK$2,0)+1),"")</f>
        <v>38</v>
      </c>
      <c r="N37">
        <f>SUM(DB[[#This Row],[Ops-FC-Orders-Collect]:[Ops-FC-Orders-HD]])</f>
        <v>3050</v>
      </c>
      <c r="O37" s="44" cm="1">
        <f t="array" ref="O37">IFERROR(INDEX('ST Forecast'!$E$2:$RK$36,13,M37),"")</f>
        <v>950</v>
      </c>
      <c r="P37" s="44">
        <f t="shared" si="27"/>
        <v>2100</v>
      </c>
      <c r="Q37" s="44" cm="1">
        <f t="array" ref="Q37">IFERROR(INDEX('ST Forecast'!$E$2:$RK$36,14,M37),"")</f>
        <v>1100</v>
      </c>
      <c r="R37" s="44" cm="1">
        <f t="array" ref="R37">IFERROR(INDEX('ST Forecast'!$E$2:$RK$36,15,M37),"")</f>
        <v>1000</v>
      </c>
      <c r="S37" s="312">
        <f>SUM(DB[[#This Row],[Ops-FC-Picks-Collect]:[Ops-FC-Picks-HD]])</f>
        <v>151672.78808050641</v>
      </c>
      <c r="T37" s="44">
        <f t="shared" si="28"/>
        <v>47289.737989036686</v>
      </c>
      <c r="U37" s="44">
        <f t="shared" si="29"/>
        <v>104383.05009146972</v>
      </c>
      <c r="V37" s="44">
        <f t="shared" si="30"/>
        <v>54676.835762198425</v>
      </c>
      <c r="W37" s="404">
        <f t="shared" si="31"/>
        <v>49706.214329271286</v>
      </c>
      <c r="X37" s="44">
        <f>SUM(DB[[#This Row],[Capped-Orders-Collect]:[Capped-Orders-HD]])</f>
        <v>90</v>
      </c>
      <c r="Y37">
        <f>INDEX('Operations Forecast'!$A$2:$BGY$47,3,MATCH(DB!D37,'Operations Forecast'!$A$2:$BGY$2))</f>
        <v>0</v>
      </c>
      <c r="Z37">
        <f t="shared" si="32"/>
        <v>90</v>
      </c>
      <c r="AA37">
        <f>INDEX('Operations Forecast'!$A$2:$BGY$47,10,MATCH(DB!D37,'Operations Forecast'!$A$2:$BGY$2))</f>
        <v>90</v>
      </c>
      <c r="AB37">
        <f>INDEX('Operations Forecast'!$A$2:$BGY$47,21,MATCH(DB!D37,'Operations Forecast'!$A$2:$BGY$2))</f>
        <v>0</v>
      </c>
      <c r="AC37" s="312">
        <f>SUM(DB[[#This Row],[Act-Orders-Collect]:[Act-Orders-HD]])</f>
        <v>3075</v>
      </c>
      <c r="AD37" s="858">
        <f>IFERROR(INDEX('Operations Forecast_new'!$7:$7,MATCH(DB[[#This Row],[Datum]],'Operations Forecast_new'!$2:$2,0)),0)</f>
        <v>1023</v>
      </c>
      <c r="AE37" s="312">
        <f t="shared" si="33"/>
        <v>2052</v>
      </c>
      <c r="AF37" s="858">
        <f>IFERROR(INDEX('Operations Forecast_new'!$13:$13,MATCH(DB[[#This Row],[Datum]],'Operations Forecast_new'!$2:$2,0)),0)</f>
        <v>1103</v>
      </c>
      <c r="AG37" s="858">
        <f>IFERROR(INDEX('Operations Forecast_new'!$19:$19,MATCH(DB[[#This Row],[Datum]],'Operations Forecast_new'!$2:$2,0)),0)</f>
        <v>949</v>
      </c>
      <c r="AH37" s="312">
        <f t="shared" si="9"/>
        <v>156577.50899999999</v>
      </c>
      <c r="AI37" s="858">
        <f>IFERROR(INDEX('Operations Forecast_new'!$9:$9,MATCH(DB[[#This Row],[Datum]],'Operations Forecast_new'!$2:$2,0)),0)</f>
        <v>51549.992999999995</v>
      </c>
      <c r="AJ37" s="312">
        <f t="shared" si="34"/>
        <v>105027.516</v>
      </c>
      <c r="AK37" s="858">
        <f>IFERROR(INDEX('Operations Forecast_new'!$15:$15,MATCH(DB[[#This Row],[Datum]],'Operations Forecast_new'!$2:$2,0)),0)</f>
        <v>56454.849000000002</v>
      </c>
      <c r="AL37" s="858">
        <f>IFERROR(INDEX('Operations Forecast_new'!$21:$21,MATCH(DB[[#This Row],[Datum]],'Operations Forecast_new'!$2:$2,0)),0)</f>
        <v>48572.667000000001</v>
      </c>
      <c r="AM37" s="178">
        <f>IFERROR(INDEX('Operations Forecast_new'!$8:$8,MATCH(DB[[#This Row],[Datum]],'Operations Forecast_new'!$2:$2,0)),0)</f>
        <v>50.9</v>
      </c>
      <c r="AN37" s="859">
        <f>IFERROR(INDEX('Operations Forecast_new'!$20:$20,MATCH(DB[[#This Row],[Datum]],'Operations Forecast_new'!$2:$2,0)),0)</f>
        <v>51.7</v>
      </c>
      <c r="AO37" s="44">
        <f t="shared" si="35"/>
        <v>50.390999999999998</v>
      </c>
      <c r="AP37" s="404">
        <f t="shared" si="36"/>
        <v>51.183</v>
      </c>
      <c r="AQ37" s="44">
        <f t="shared" si="13"/>
        <v>124647.00000000007</v>
      </c>
      <c r="AR37" s="44" cm="1">
        <f t="array" ref="AR37">IFERROR(INDEX('ST Forecast'!$E$2:$RK$36,25,M37)+(INDEX('ST Forecast'!$E$2:$RK$36,29,M37)),"")</f>
        <v>53775.302670413796</v>
      </c>
      <c r="AS37" s="44" cm="1">
        <f t="array" ref="AS37">IFERROR(INDEX('ST Forecast'!$E$2:$RK$36,26,M37)+INDEX('ST Forecast'!$E$2:$RK$36,30,M37),"")</f>
        <v>53838.925156896512</v>
      </c>
      <c r="AT37" s="44" cm="1">
        <f t="array" ref="AT37">IFERROR(INDEX('ST Forecast'!$E$2:$RK$36,27,M37)+INDEX('ST Forecast'!$E$2:$RK$36,31,M37),"")</f>
        <v>8468.2708242043373</v>
      </c>
      <c r="AU37" s="44" cm="1">
        <f t="array" ref="AU37">IFERROR(INDEX('ST Forecast'!$E$2:$RK$36,28,M37),"")</f>
        <v>8564.5013484854262</v>
      </c>
      <c r="AV37" s="44" cm="1">
        <f t="array" ref="AV37">IFERROR(INDEX('ST Forecast'!$E$2:$RK$36,29,M37),"")</f>
        <v>0</v>
      </c>
      <c r="AW37" s="44">
        <f>DB[[#This Row],[Inbound FC]]-DB[[#This Row],[Inbound Act - Ultrafresh2]]</f>
        <v>124647.00000000007</v>
      </c>
      <c r="AX37" s="178" t="e">
        <f>#REF!</f>
        <v>#REF!</v>
      </c>
      <c r="AY37" s="178" t="e">
        <f>#REF!</f>
        <v>#REF!</v>
      </c>
      <c r="AZ37" s="178" t="e">
        <f>#REF!</f>
        <v>#REF!</v>
      </c>
      <c r="BA37" s="178">
        <f>MONTH(DB[[#This Row],[Datum]])</f>
        <v>2</v>
      </c>
    </row>
    <row r="38" spans="1:53" x14ac:dyDescent="0.3">
      <c r="A38" s="44">
        <f t="shared" si="23"/>
        <v>5</v>
      </c>
      <c r="B38" t="str">
        <f t="shared" si="24"/>
        <v>Wk 5</v>
      </c>
      <c r="C38" t="s">
        <v>118</v>
      </c>
      <c r="D38" s="313">
        <v>44597</v>
      </c>
      <c r="E38" s="44">
        <f>DB[[#This Row],[Sales-FC-Orders-Collect]]+DB[[#This Row],[Sales-FC-Orders-HD]]</f>
        <v>3050</v>
      </c>
      <c r="F38" s="402" cm="1">
        <f t="array" ref="F38">INDEX('LT Collect Forecast'!$K$1:$Q$55,MATCH(B38,'LT Collect Forecast'!$A:$A,0)+1,MATCH(C38,'LT Collect Forecast'!$K$2:$Q$2,0))</f>
        <v>1050</v>
      </c>
      <c r="G38" s="44" cm="1">
        <f t="array" ref="G38">INDEX('LT HD Forecast'!$K$1:$Q$55,MATCH(B38,'LT HD Forecast'!$A:$A,0)+1,MATCH(C38,'LT HD Forecast'!$K$2:$Q$2,0))</f>
        <v>2000</v>
      </c>
      <c r="H38" s="44" cm="1">
        <f t="array" ref="H38">IFERROR(INDEX('ST Forecast'!$E$2:$RK$36,6,M38),"")</f>
        <v>50.507182544130124</v>
      </c>
      <c r="I38" s="44" cm="1">
        <f t="array" ref="I38">IFERROR(INDEX('ST Forecast'!$E$2:$RK$36,7,M38),"")</f>
        <v>51.320092572030788</v>
      </c>
      <c r="J38" s="44">
        <f>SUM(DB[[#This Row],[Sales-FC-Picks-Collect]:[Sales-FC-Picks-HD]])</f>
        <v>155672.7268153982</v>
      </c>
      <c r="K38" s="44">
        <f t="shared" si="25"/>
        <v>53032.541671336628</v>
      </c>
      <c r="L38" s="44">
        <f t="shared" si="26"/>
        <v>102640.18514406157</v>
      </c>
      <c r="M38" s="403">
        <f>IFERROR(IF(B38=B37,M37+1,MATCH(B38,'ST Forecast'!$E$2:$RK$2,0)+1),"")</f>
        <v>39</v>
      </c>
      <c r="N38">
        <f>SUM(DB[[#This Row],[Ops-FC-Orders-Collect]:[Ops-FC-Orders-HD]])</f>
        <v>3050</v>
      </c>
      <c r="O38" s="44" cm="1">
        <f t="array" ref="O38">IFERROR(INDEX('ST Forecast'!$E$2:$RK$36,13,M38),"")</f>
        <v>1050</v>
      </c>
      <c r="P38" s="44">
        <f t="shared" si="27"/>
        <v>2000</v>
      </c>
      <c r="Q38" s="44" cm="1">
        <f t="array" ref="Q38">IFERROR(INDEX('ST Forecast'!$E$2:$RK$36,14,M38),"")</f>
        <v>1050</v>
      </c>
      <c r="R38" s="44" cm="1">
        <f t="array" ref="R38">IFERROR(INDEX('ST Forecast'!$E$2:$RK$36,15,M38),"")</f>
        <v>950</v>
      </c>
      <c r="S38" s="312">
        <f>SUM(DB[[#This Row],[Ops-FC-Picks-Collect]:[Ops-FC-Picks-HD]])</f>
        <v>152559.27227909025</v>
      </c>
      <c r="T38" s="44">
        <f t="shared" si="28"/>
        <v>51971.890837909894</v>
      </c>
      <c r="U38" s="44">
        <f t="shared" si="29"/>
        <v>100587.38144118035</v>
      </c>
      <c r="V38" s="44">
        <f t="shared" si="30"/>
        <v>52808.375256619678</v>
      </c>
      <c r="W38" s="404">
        <f t="shared" si="31"/>
        <v>47779.006184560669</v>
      </c>
      <c r="X38" s="44">
        <f>SUM(DB[[#This Row],[Capped-Orders-Collect]:[Capped-Orders-HD]])</f>
        <v>90</v>
      </c>
      <c r="Y38">
        <f>INDEX('Operations Forecast'!$A$2:$BGY$47,3,MATCH(DB!D38,'Operations Forecast'!$A$2:$BGY$2))</f>
        <v>0</v>
      </c>
      <c r="Z38">
        <f t="shared" si="32"/>
        <v>90</v>
      </c>
      <c r="AA38">
        <f>INDEX('Operations Forecast'!$A$2:$BGY$47,10,MATCH(DB!D38,'Operations Forecast'!$A$2:$BGY$2))</f>
        <v>90</v>
      </c>
      <c r="AB38">
        <f>INDEX('Operations Forecast'!$A$2:$BGY$47,21,MATCH(DB!D38,'Operations Forecast'!$A$2:$BGY$2))</f>
        <v>0</v>
      </c>
      <c r="AC38" s="312">
        <f>SUM(DB[[#This Row],[Act-Orders-Collect]:[Act-Orders-HD]])</f>
        <v>3047</v>
      </c>
      <c r="AD38" s="858">
        <f>IFERROR(INDEX('Operations Forecast_new'!$7:$7,MATCH(DB[[#This Row],[Datum]],'Operations Forecast_new'!$2:$2,0)),0)</f>
        <v>1060</v>
      </c>
      <c r="AE38" s="312">
        <f t="shared" si="33"/>
        <v>1987</v>
      </c>
      <c r="AF38" s="858">
        <f>IFERROR(INDEX('Operations Forecast_new'!$13:$13,MATCH(DB[[#This Row],[Datum]],'Operations Forecast_new'!$2:$2,0)),0)</f>
        <v>1009</v>
      </c>
      <c r="AG38" s="858">
        <f>IFERROR(INDEX('Operations Forecast_new'!$19:$19,MATCH(DB[[#This Row],[Datum]],'Operations Forecast_new'!$2:$2,0)),0)</f>
        <v>978</v>
      </c>
      <c r="AH38" s="312">
        <f t="shared" si="9"/>
        <v>151233.09299999999</v>
      </c>
      <c r="AI38" s="858">
        <f>IFERROR(INDEX('Operations Forecast_new'!$9:$9,MATCH(DB[[#This Row],[Datum]],'Operations Forecast_new'!$2:$2,0)),0)</f>
        <v>52679.88</v>
      </c>
      <c r="AJ38" s="312">
        <f t="shared" si="34"/>
        <v>98553.213000000003</v>
      </c>
      <c r="AK38" s="858">
        <f>IFERROR(INDEX('Operations Forecast_new'!$15:$15,MATCH(DB[[#This Row],[Datum]],'Operations Forecast_new'!$2:$2,0)),0)</f>
        <v>50045.391000000003</v>
      </c>
      <c r="AL38" s="858">
        <f>IFERROR(INDEX('Operations Forecast_new'!$21:$21,MATCH(DB[[#This Row],[Datum]],'Operations Forecast_new'!$2:$2,0)),0)</f>
        <v>48507.822</v>
      </c>
      <c r="AM38" s="178">
        <f>IFERROR(INDEX('Operations Forecast_new'!$8:$8,MATCH(DB[[#This Row],[Datum]],'Operations Forecast_new'!$2:$2,0)),0)</f>
        <v>50.2</v>
      </c>
      <c r="AN38" s="859">
        <f>IFERROR(INDEX('Operations Forecast_new'!$20:$20,MATCH(DB[[#This Row],[Datum]],'Operations Forecast_new'!$2:$2,0)),0)</f>
        <v>50.1</v>
      </c>
      <c r="AO38" s="44">
        <f t="shared" si="35"/>
        <v>49.698</v>
      </c>
      <c r="AP38" s="404">
        <f t="shared" si="36"/>
        <v>49.599000000000004</v>
      </c>
      <c r="AQ38" s="44">
        <f t="shared" si="13"/>
        <v>116393.00000000001</v>
      </c>
      <c r="AR38" s="44" cm="1">
        <f t="array" ref="AR38">IFERROR(INDEX('ST Forecast'!$E$2:$RK$36,25,M38)+(INDEX('ST Forecast'!$E$2:$RK$36,29,M38)),"")</f>
        <v>61166.581374560461</v>
      </c>
      <c r="AS38" s="44" cm="1">
        <f t="array" ref="AS38">IFERROR(INDEX('ST Forecast'!$E$2:$RK$36,26,M38)+INDEX('ST Forecast'!$E$2:$RK$36,30,M38),"")</f>
        <v>43140.909465270161</v>
      </c>
      <c r="AT38" s="44" cm="1">
        <f t="array" ref="AT38">IFERROR(INDEX('ST Forecast'!$E$2:$RK$36,27,M38)+INDEX('ST Forecast'!$E$2:$RK$36,31,M38),"")</f>
        <v>5933.4598193099255</v>
      </c>
      <c r="AU38" s="44" cm="1">
        <f t="array" ref="AU38">IFERROR(INDEX('ST Forecast'!$E$2:$RK$36,28,M38),"")</f>
        <v>6152.0493408594648</v>
      </c>
      <c r="AV38" s="44" cm="1">
        <f t="array" ref="AV38">IFERROR(INDEX('ST Forecast'!$E$2:$RK$36,29,M38),"")</f>
        <v>0</v>
      </c>
      <c r="AW38" s="44">
        <f>DB[[#This Row],[Inbound FC]]-DB[[#This Row],[Inbound Act - Ultrafresh2]]</f>
        <v>116393.00000000001</v>
      </c>
      <c r="AX38" s="178" t="e">
        <f>#REF!</f>
        <v>#REF!</v>
      </c>
      <c r="AY38" s="178" t="e">
        <f>#REF!</f>
        <v>#REF!</v>
      </c>
      <c r="AZ38" s="178" t="e">
        <f>#REF!</f>
        <v>#REF!</v>
      </c>
      <c r="BA38" s="178">
        <f>MONTH(DB[[#This Row],[Datum]])</f>
        <v>2</v>
      </c>
    </row>
    <row r="39" spans="1:53" x14ac:dyDescent="0.3">
      <c r="A39" s="44">
        <f t="shared" si="23"/>
        <v>5</v>
      </c>
      <c r="B39" t="str">
        <f t="shared" si="24"/>
        <v>Wk 5</v>
      </c>
      <c r="C39" t="s">
        <v>119</v>
      </c>
      <c r="D39" s="313">
        <v>44598</v>
      </c>
      <c r="E39" s="44">
        <f>DB[[#This Row],[Sales-FC-Orders-Collect]]+DB[[#This Row],[Sales-FC-Orders-HD]]</f>
        <v>200</v>
      </c>
      <c r="F39" s="402" cm="1">
        <f t="array" ref="F39">INDEX('LT Collect Forecast'!$K$1:$Q$55,MATCH(B39,'LT Collect Forecast'!$A:$A,0)+1,MATCH(C39,'LT Collect Forecast'!$K$2:$Q$2,0))</f>
        <v>0</v>
      </c>
      <c r="G39" s="44" cm="1">
        <f t="array" ref="G39">INDEX('LT HD Forecast'!$K$1:$Q$55,MATCH(B39,'LT HD Forecast'!$A:$A,0)+1,MATCH(C39,'LT HD Forecast'!$K$2:$Q$2,0))</f>
        <v>200</v>
      </c>
      <c r="H39" s="44" cm="1">
        <f t="array" ref="H39">IFERROR(INDEX('ST Forecast'!$E$2:$RK$36,6,M39),"")</f>
        <v>0</v>
      </c>
      <c r="I39" s="44" cm="1">
        <f t="array" ref="I39">IFERROR(INDEX('ST Forecast'!$E$2:$RK$36,7,M39),"")</f>
        <v>55.799674437386301</v>
      </c>
      <c r="J39" s="44">
        <f>SUM(DB[[#This Row],[Sales-FC-Picks-Collect]:[Sales-FC-Picks-HD]])</f>
        <v>11159.93488747726</v>
      </c>
      <c r="K39" s="44">
        <f t="shared" si="25"/>
        <v>0</v>
      </c>
      <c r="L39" s="44">
        <f t="shared" si="26"/>
        <v>11159.93488747726</v>
      </c>
      <c r="M39" s="403">
        <f>IFERROR(IF(B39=B38,M38+1,MATCH(B39,'ST Forecast'!$E$2:$RK$2,0)+1),"")</f>
        <v>40</v>
      </c>
      <c r="N39">
        <f>SUM(DB[[#This Row],[Ops-FC-Orders-Collect]:[Ops-FC-Orders-HD]])</f>
        <v>180</v>
      </c>
      <c r="O39" s="44" cm="1">
        <f t="array" ref="O39">IFERROR(INDEX('ST Forecast'!$E$2:$RK$36,13,M39),"")</f>
        <v>0</v>
      </c>
      <c r="P39" s="44">
        <f t="shared" si="27"/>
        <v>180</v>
      </c>
      <c r="Q39" s="44" cm="1">
        <f t="array" ref="Q39">IFERROR(INDEX('ST Forecast'!$E$2:$RK$36,14,M39),"")</f>
        <v>180</v>
      </c>
      <c r="R39" s="44" cm="1">
        <f t="array" ref="R39">IFERROR(INDEX('ST Forecast'!$E$2:$RK$36,15,M39),"")</f>
        <v>0</v>
      </c>
      <c r="S39" s="312">
        <f>SUM(DB[[#This Row],[Ops-FC-Picks-Collect]:[Ops-FC-Picks-HD]])</f>
        <v>9843.0625707549425</v>
      </c>
      <c r="T39" s="44">
        <f t="shared" si="28"/>
        <v>0</v>
      </c>
      <c r="U39" s="44">
        <f t="shared" si="29"/>
        <v>9843.0625707549425</v>
      </c>
      <c r="V39" s="44">
        <f t="shared" si="30"/>
        <v>9843.0625707549425</v>
      </c>
      <c r="W39" s="404">
        <f t="shared" si="31"/>
        <v>0</v>
      </c>
      <c r="X39" s="44">
        <f>SUM(DB[[#This Row],[Capped-Orders-Collect]:[Capped-Orders-HD]])</f>
        <v>90</v>
      </c>
      <c r="Y39">
        <f>INDEX('Operations Forecast'!$A$2:$BGY$47,3,MATCH(DB!D39,'Operations Forecast'!$A$2:$BGY$2))</f>
        <v>0</v>
      </c>
      <c r="Z39">
        <f t="shared" si="32"/>
        <v>90</v>
      </c>
      <c r="AA39">
        <f>INDEX('Operations Forecast'!$A$2:$BGY$47,10,MATCH(DB!D39,'Operations Forecast'!$A$2:$BGY$2))</f>
        <v>90</v>
      </c>
      <c r="AB39">
        <f>INDEX('Operations Forecast'!$A$2:$BGY$47,21,MATCH(DB!D39,'Operations Forecast'!$A$2:$BGY$2))</f>
        <v>0</v>
      </c>
      <c r="AC39" s="312">
        <f>SUM(DB[[#This Row],[Act-Orders-Collect]:[Act-Orders-HD]])</f>
        <v>125</v>
      </c>
      <c r="AD39" s="858">
        <f>IFERROR(INDEX('Operations Forecast_new'!$7:$7,MATCH(DB[[#This Row],[Datum]],'Operations Forecast_new'!$2:$2,0)),0)</f>
        <v>0</v>
      </c>
      <c r="AE39" s="312">
        <f t="shared" si="33"/>
        <v>125</v>
      </c>
      <c r="AF39" s="858">
        <f>IFERROR(INDEX('Operations Forecast_new'!$13:$13,MATCH(DB[[#This Row],[Datum]],'Operations Forecast_new'!$2:$2,0)),0)</f>
        <v>125</v>
      </c>
      <c r="AG39" s="858">
        <f>IFERROR(INDEX('Operations Forecast_new'!$19:$19,MATCH(DB[[#This Row],[Datum]],'Operations Forecast_new'!$2:$2,0)),0)</f>
        <v>0</v>
      </c>
      <c r="AH39" s="312">
        <f t="shared" si="9"/>
        <v>6447.375</v>
      </c>
      <c r="AI39" s="858">
        <f>IFERROR(INDEX('Operations Forecast_new'!$9:$9,MATCH(DB[[#This Row],[Datum]],'Operations Forecast_new'!$2:$2,0)),0)</f>
        <v>0</v>
      </c>
      <c r="AJ39" s="312">
        <f t="shared" si="34"/>
        <v>6447.375</v>
      </c>
      <c r="AK39" s="858">
        <f>IFERROR(INDEX('Operations Forecast_new'!$15:$15,MATCH(DB[[#This Row],[Datum]],'Operations Forecast_new'!$2:$2,0)),0)</f>
        <v>6447.375</v>
      </c>
      <c r="AL39" s="858">
        <f>IFERROR(INDEX('Operations Forecast_new'!$21:$21,MATCH(DB[[#This Row],[Datum]],'Operations Forecast_new'!$2:$2,0)),0)</f>
        <v>0</v>
      </c>
      <c r="AM39" s="178">
        <f>IFERROR(INDEX('Operations Forecast_new'!$8:$8,MATCH(DB[[#This Row],[Datum]],'Operations Forecast_new'!$2:$2,0)),0)</f>
        <v>0</v>
      </c>
      <c r="AN39" s="859">
        <f>IFERROR(INDEX('Operations Forecast_new'!$20:$20,MATCH(DB[[#This Row],[Datum]],'Operations Forecast_new'!$2:$2,0)),0)</f>
        <v>55.799674437386301</v>
      </c>
      <c r="AO39" s="44" t="str">
        <f t="shared" si="35"/>
        <v>-</v>
      </c>
      <c r="AP39" s="404">
        <f t="shared" si="36"/>
        <v>51.579000000000001</v>
      </c>
      <c r="AQ39" s="44">
        <f t="shared" si="13"/>
        <v>0</v>
      </c>
      <c r="AR39" s="44" cm="1">
        <f t="array" ref="AR39">IFERROR(INDEX('ST Forecast'!$E$2:$RK$36,25,M39)+(INDEX('ST Forecast'!$E$2:$RK$36,29,M39)),"")</f>
        <v>0</v>
      </c>
      <c r="AS39" s="44" cm="1">
        <f t="array" ref="AS39">IFERROR(INDEX('ST Forecast'!$E$2:$RK$36,26,M39)+INDEX('ST Forecast'!$E$2:$RK$36,30,M39),"")</f>
        <v>0</v>
      </c>
      <c r="AT39" s="44" cm="1">
        <f t="array" ref="AT39">IFERROR(INDEX('ST Forecast'!$E$2:$RK$36,27,M39)+INDEX('ST Forecast'!$E$2:$RK$36,31,M39),"")</f>
        <v>0</v>
      </c>
      <c r="AU39" s="44" cm="1">
        <f t="array" ref="AU39">IFERROR(INDEX('ST Forecast'!$E$2:$RK$36,28,M39),"")</f>
        <v>0</v>
      </c>
      <c r="AV39" s="44" cm="1">
        <f t="array" ref="AV39">IFERROR(INDEX('ST Forecast'!$E$2:$RK$36,29,M39),"")</f>
        <v>0</v>
      </c>
      <c r="AW39" s="44">
        <f>DB[[#This Row],[Inbound FC]]-DB[[#This Row],[Inbound Act - Ultrafresh2]]</f>
        <v>0</v>
      </c>
      <c r="AX39" s="178" t="e">
        <f>#REF!</f>
        <v>#REF!</v>
      </c>
      <c r="AY39" s="178" t="e">
        <f>#REF!</f>
        <v>#REF!</v>
      </c>
      <c r="AZ39" s="178" t="e">
        <f>#REF!</f>
        <v>#REF!</v>
      </c>
      <c r="BA39" s="178">
        <f>MONTH(DB[[#This Row],[Datum]])</f>
        <v>2</v>
      </c>
    </row>
    <row r="40" spans="1:53" x14ac:dyDescent="0.3">
      <c r="A40" s="44">
        <f t="shared" si="23"/>
        <v>6</v>
      </c>
      <c r="B40" t="str">
        <f t="shared" si="24"/>
        <v>Wk 6</v>
      </c>
      <c r="C40" t="s">
        <v>113</v>
      </c>
      <c r="D40" s="313">
        <v>44599</v>
      </c>
      <c r="E40" s="44">
        <f>DB[[#This Row],[Sales-FC-Orders-Collect]]+DB[[#This Row],[Sales-FC-Orders-HD]]</f>
        <v>2400</v>
      </c>
      <c r="F40" s="402">
        <f>INDEX('LT Collect Forecast'!$K$1:$Q$55,MATCH(B40,'LT Collect Forecast'!$A:$A,0),MATCH(C40,'LT Collect Forecast'!$K$2:$Q$2,0))</f>
        <v>750</v>
      </c>
      <c r="G40" s="44">
        <f>INDEX('LT HD Forecast'!$K$1:$Q$55,MATCH(B40,'LT HD Forecast'!$A:$A,0),MATCH(C40,'LT HD Forecast'!$K$2:$Q$2,0))</f>
        <v>1650</v>
      </c>
      <c r="H40" s="44" cm="1">
        <f t="array" ref="H40">IFERROR(INDEX('ST Forecast'!$E$2:$RK$36,6,M40),"")</f>
        <v>47.986398881341046</v>
      </c>
      <c r="I40" s="44" cm="1">
        <f t="array" ref="I40">IFERROR(INDEX('ST Forecast'!$E$2:$RK$36,7,M40),"")</f>
        <v>50.118564914448925</v>
      </c>
      <c r="J40" s="44">
        <f>SUM(DB[[#This Row],[Sales-FC-Picks-Collect]:[Sales-FC-Picks-HD]])</f>
        <v>118685.43126984651</v>
      </c>
      <c r="K40" s="44">
        <f t="shared" si="25"/>
        <v>35989.799161005787</v>
      </c>
      <c r="L40" s="44">
        <f t="shared" si="26"/>
        <v>82695.632108840728</v>
      </c>
      <c r="M40" s="403">
        <f>IFERROR(IF(B40=B39,M39+1,MATCH(B40,'ST Forecast'!$E$2:$RK$2,0)+1),"")</f>
        <v>42</v>
      </c>
      <c r="N40">
        <f>SUM(DB[[#This Row],[Ops-FC-Orders-Collect]:[Ops-FC-Orders-HD]])</f>
        <v>2400</v>
      </c>
      <c r="O40" s="44" cm="1">
        <f t="array" ref="O40">IFERROR(INDEX('ST Forecast'!$E$2:$RK$36,13,M40),"")</f>
        <v>750</v>
      </c>
      <c r="P40" s="44">
        <f t="shared" si="27"/>
        <v>1650</v>
      </c>
      <c r="Q40" s="44" cm="1">
        <f t="array" ref="Q40">IFERROR(INDEX('ST Forecast'!$E$2:$RK$36,14,M40),"")</f>
        <v>700</v>
      </c>
      <c r="R40" s="44" cm="1">
        <f t="array" ref="R40">IFERROR(INDEX('ST Forecast'!$E$2:$RK$36,15,M40),"")</f>
        <v>950</v>
      </c>
      <c r="S40" s="312">
        <f>SUM(DB[[#This Row],[Ops-FC-Picks-Collect]:[Ops-FC-Picks-HD]])</f>
        <v>116311.72264444959</v>
      </c>
      <c r="T40" s="44">
        <f t="shared" si="28"/>
        <v>35270.003177785671</v>
      </c>
      <c r="U40" s="44">
        <f t="shared" si="29"/>
        <v>81041.719466663912</v>
      </c>
      <c r="V40" s="44">
        <f t="shared" si="30"/>
        <v>34381.335531311961</v>
      </c>
      <c r="W40" s="404">
        <f t="shared" si="31"/>
        <v>46660.383935351951</v>
      </c>
      <c r="X40" s="44">
        <f>SUM(DB[[#This Row],[Capped-Orders-Collect]:[Capped-Orders-HD]])</f>
        <v>90</v>
      </c>
      <c r="Y40">
        <f>INDEX('Operations Forecast'!$A$2:$BGY$47,3,MATCH(DB!D40,'Operations Forecast'!$A$2:$BGY$2))</f>
        <v>0</v>
      </c>
      <c r="Z40">
        <f t="shared" si="32"/>
        <v>90</v>
      </c>
      <c r="AA40">
        <f>INDEX('Operations Forecast'!$A$2:$BGY$47,10,MATCH(DB!D40,'Operations Forecast'!$A$2:$BGY$2))</f>
        <v>90</v>
      </c>
      <c r="AB40">
        <f>INDEX('Operations Forecast'!$A$2:$BGY$47,21,MATCH(DB!D40,'Operations Forecast'!$A$2:$BGY$2))</f>
        <v>0</v>
      </c>
      <c r="AC40" s="312">
        <f>SUM(DB[[#This Row],[Act-Orders-Collect]:[Act-Orders-HD]])</f>
        <v>2396</v>
      </c>
      <c r="AD40" s="858">
        <f>IFERROR(INDEX('Operations Forecast_new'!$7:$7,MATCH(DB[[#This Row],[Datum]],'Operations Forecast_new'!$2:$2,0)),0)</f>
        <v>755</v>
      </c>
      <c r="AE40" s="312">
        <f t="shared" si="33"/>
        <v>1641</v>
      </c>
      <c r="AF40" s="858">
        <f>IFERROR(INDEX('Operations Forecast_new'!$13:$13,MATCH(DB[[#This Row],[Datum]],'Operations Forecast_new'!$2:$2,0)),0)</f>
        <v>613</v>
      </c>
      <c r="AG40" s="858">
        <f>IFERROR(INDEX('Operations Forecast_new'!$19:$19,MATCH(DB[[#This Row],[Datum]],'Operations Forecast_new'!$2:$2,0)),0)</f>
        <v>1028</v>
      </c>
      <c r="AH40" s="312">
        <f t="shared" si="9"/>
        <v>115696.845</v>
      </c>
      <c r="AI40" s="858">
        <f>IFERROR(INDEX('Operations Forecast_new'!$9:$9,MATCH(DB[[#This Row],[Datum]],'Operations Forecast_new'!$2:$2,0)),0)</f>
        <v>35279.64</v>
      </c>
      <c r="AJ40" s="312">
        <f t="shared" si="34"/>
        <v>80417.205000000002</v>
      </c>
      <c r="AK40" s="858">
        <f>IFERROR(INDEX('Operations Forecast_new'!$15:$15,MATCH(DB[[#This Row],[Datum]],'Operations Forecast_new'!$2:$2,0)),0)</f>
        <v>30040.064999999999</v>
      </c>
      <c r="AL40" s="858">
        <f>IFERROR(INDEX('Operations Forecast_new'!$21:$21,MATCH(DB[[#This Row],[Datum]],'Operations Forecast_new'!$2:$2,0)),0)</f>
        <v>50377.14</v>
      </c>
      <c r="AM40" s="178">
        <f>IFERROR(INDEX('Operations Forecast_new'!$8:$8,MATCH(DB[[#This Row],[Datum]],'Operations Forecast_new'!$2:$2,0)),0)</f>
        <v>47.2</v>
      </c>
      <c r="AN40" s="859">
        <f>IFERROR(INDEX('Operations Forecast_new'!$20:$20,MATCH(DB[[#This Row],[Datum]],'Operations Forecast_new'!$2:$2,0)),0)</f>
        <v>49.5</v>
      </c>
      <c r="AO40" s="44">
        <f t="shared" si="35"/>
        <v>46.728000000000002</v>
      </c>
      <c r="AP40" s="404">
        <f t="shared" si="36"/>
        <v>49.005000000000003</v>
      </c>
      <c r="AQ40" s="44">
        <f t="shared" si="13"/>
        <v>211502</v>
      </c>
      <c r="AR40" s="44" cm="1">
        <f t="array" ref="AR40">IFERROR(INDEX('ST Forecast'!$E$2:$RK$36,25,M40)+(INDEX('ST Forecast'!$E$2:$RK$36,29,M40)),"")</f>
        <v>91808.992802818568</v>
      </c>
      <c r="AS40" s="44" cm="1">
        <f t="array" ref="AS40">IFERROR(INDEX('ST Forecast'!$E$2:$RK$36,26,M40)+INDEX('ST Forecast'!$E$2:$RK$36,30,M40),"")</f>
        <v>65243.488832847499</v>
      </c>
      <c r="AT40" s="44" cm="1">
        <f t="array" ref="AT40">IFERROR(INDEX('ST Forecast'!$E$2:$RK$36,27,M40)+INDEX('ST Forecast'!$E$2:$RK$36,31,M40),"")</f>
        <v>47452.944732183918</v>
      </c>
      <c r="AU40" s="44" cm="1">
        <f t="array" ref="AU40">IFERROR(INDEX('ST Forecast'!$E$2:$RK$36,28,M40),"")</f>
        <v>6996.5736321500253</v>
      </c>
      <c r="AV40" s="44" cm="1">
        <f t="array" ref="AV40">IFERROR(INDEX('ST Forecast'!$E$2:$RK$36,29,M40),"")</f>
        <v>0</v>
      </c>
      <c r="AW40" s="44">
        <f>DB[[#This Row],[Inbound FC]]-DB[[#This Row],[Inbound Act - Ultrafresh2]]</f>
        <v>211502</v>
      </c>
      <c r="AX40" s="178" t="e">
        <f>#REF!</f>
        <v>#REF!</v>
      </c>
      <c r="AY40" s="178" t="e">
        <f>#REF!</f>
        <v>#REF!</v>
      </c>
      <c r="AZ40" s="178" t="e">
        <f>#REF!</f>
        <v>#REF!</v>
      </c>
      <c r="BA40" s="178">
        <f>MONTH(DB[[#This Row],[Datum]])</f>
        <v>2</v>
      </c>
    </row>
    <row r="41" spans="1:53" x14ac:dyDescent="0.3">
      <c r="A41" s="44">
        <f t="shared" si="23"/>
        <v>6</v>
      </c>
      <c r="B41" t="str">
        <f t="shared" si="24"/>
        <v>Wk 6</v>
      </c>
      <c r="C41" t="s">
        <v>114</v>
      </c>
      <c r="D41" s="313">
        <v>44600</v>
      </c>
      <c r="E41" s="44">
        <f>DB[[#This Row],[Sales-FC-Orders-Collect]]+DB[[#This Row],[Sales-FC-Orders-HD]]</f>
        <v>2700</v>
      </c>
      <c r="F41" s="402">
        <f>INDEX('LT Collect Forecast'!$K$1:$Q$55,MATCH(B41,'LT Collect Forecast'!$A:$A,0),MATCH(C41,'LT Collect Forecast'!$K$2:$Q$2,0))</f>
        <v>550</v>
      </c>
      <c r="G41" s="44">
        <f>INDEX('LT HD Forecast'!$K$1:$Q$55,MATCH(B41,'LT HD Forecast'!$A:$A,0),MATCH(C41,'LT HD Forecast'!$K$2:$Q$2,0))</f>
        <v>2150</v>
      </c>
      <c r="H41" s="44" cm="1">
        <f t="array" ref="H41">IFERROR(INDEX('ST Forecast'!$E$2:$RK$36,6,M41),"")</f>
        <v>45.968880828393679</v>
      </c>
      <c r="I41" s="44" cm="1">
        <f t="array" ref="I41">IFERROR(INDEX('ST Forecast'!$E$2:$RK$36,7,M41),"")</f>
        <v>48.371326132089855</v>
      </c>
      <c r="J41" s="44">
        <f>SUM(DB[[#This Row],[Sales-FC-Picks-Collect]:[Sales-FC-Picks-HD]])</f>
        <v>129281.23563960972</v>
      </c>
      <c r="K41" s="44">
        <f t="shared" si="25"/>
        <v>25282.884455616524</v>
      </c>
      <c r="L41" s="44">
        <f t="shared" si="26"/>
        <v>103998.35118399319</v>
      </c>
      <c r="M41" s="403">
        <f>IFERROR(IF(B41=B40,M40+1,MATCH(B41,'ST Forecast'!$E$2:$RK$2,0)+1),"")</f>
        <v>43</v>
      </c>
      <c r="N41">
        <f>SUM(DB[[#This Row],[Ops-FC-Orders-Collect]:[Ops-FC-Orders-HD]])</f>
        <v>2700</v>
      </c>
      <c r="O41" s="44" cm="1">
        <f t="array" ref="O41">IFERROR(INDEX('ST Forecast'!$E$2:$RK$36,13,M41),"")</f>
        <v>550</v>
      </c>
      <c r="P41" s="44">
        <f t="shared" si="27"/>
        <v>2150</v>
      </c>
      <c r="Q41" s="44" cm="1">
        <f t="array" ref="Q41">IFERROR(INDEX('ST Forecast'!$E$2:$RK$36,14,M41),"")</f>
        <v>1150</v>
      </c>
      <c r="R41" s="44" cm="1">
        <f t="array" ref="R41">IFERROR(INDEX('ST Forecast'!$E$2:$RK$36,15,M41),"")</f>
        <v>1000</v>
      </c>
      <c r="S41" s="312">
        <f>SUM(DB[[#This Row],[Ops-FC-Picks-Collect]:[Ops-FC-Picks-HD]])</f>
        <v>126695.61092681752</v>
      </c>
      <c r="T41" s="44">
        <f t="shared" si="28"/>
        <v>24777.226766504195</v>
      </c>
      <c r="U41" s="44">
        <f t="shared" si="29"/>
        <v>101918.38416031332</v>
      </c>
      <c r="V41" s="44">
        <f t="shared" si="30"/>
        <v>54514.484550865265</v>
      </c>
      <c r="W41" s="404">
        <f t="shared" si="31"/>
        <v>47403.899609448054</v>
      </c>
      <c r="X41" s="44">
        <f>SUM(DB[[#This Row],[Capped-Orders-Collect]:[Capped-Orders-HD]])</f>
        <v>90</v>
      </c>
      <c r="Y41">
        <f>INDEX('Operations Forecast'!$A$2:$BGY$47,3,MATCH(DB!D41,'Operations Forecast'!$A$2:$BGY$2))</f>
        <v>0</v>
      </c>
      <c r="Z41">
        <f t="shared" si="32"/>
        <v>90</v>
      </c>
      <c r="AA41">
        <f>INDEX('Operations Forecast'!$A$2:$BGY$47,10,MATCH(DB!D41,'Operations Forecast'!$A$2:$BGY$2))</f>
        <v>90</v>
      </c>
      <c r="AB41">
        <f>INDEX('Operations Forecast'!$A$2:$BGY$47,21,MATCH(DB!D41,'Operations Forecast'!$A$2:$BGY$2))</f>
        <v>0</v>
      </c>
      <c r="AC41" s="312">
        <f>SUM(DB[[#This Row],[Act-Orders-Collect]:[Act-Orders-HD]])</f>
        <v>2455</v>
      </c>
      <c r="AD41" s="858">
        <f>IFERROR(INDEX('Operations Forecast_new'!$7:$7,MATCH(DB[[#This Row],[Datum]],'Operations Forecast_new'!$2:$2,0)),0)</f>
        <v>475</v>
      </c>
      <c r="AE41" s="312">
        <f t="shared" si="33"/>
        <v>1980</v>
      </c>
      <c r="AF41" s="858">
        <f>IFERROR(INDEX('Operations Forecast_new'!$13:$13,MATCH(DB[[#This Row],[Datum]],'Operations Forecast_new'!$2:$2,0)),0)</f>
        <v>950</v>
      </c>
      <c r="AG41" s="858">
        <f>IFERROR(INDEX('Operations Forecast_new'!$19:$19,MATCH(DB[[#This Row],[Datum]],'Operations Forecast_new'!$2:$2,0)),0)</f>
        <v>1030</v>
      </c>
      <c r="AH41" s="312">
        <f t="shared" si="9"/>
        <v>114003.94500000001</v>
      </c>
      <c r="AI41" s="858">
        <f>IFERROR(INDEX('Operations Forecast_new'!$9:$9,MATCH(DB[[#This Row],[Datum]],'Operations Forecast_new'!$2:$2,0)),0)</f>
        <v>21678.525000000001</v>
      </c>
      <c r="AJ41" s="312">
        <f t="shared" si="34"/>
        <v>92325.420000000013</v>
      </c>
      <c r="AK41" s="858">
        <f>IFERROR(INDEX('Operations Forecast_new'!$15:$15,MATCH(DB[[#This Row],[Datum]],'Operations Forecast_new'!$2:$2,0)),0)</f>
        <v>44297.55</v>
      </c>
      <c r="AL41" s="858">
        <f>IFERROR(INDEX('Operations Forecast_new'!$21:$21,MATCH(DB[[#This Row],[Datum]],'Operations Forecast_new'!$2:$2,0)),0)</f>
        <v>48027.87</v>
      </c>
      <c r="AM41" s="178">
        <f>IFERROR(INDEX('Operations Forecast_new'!$8:$8,MATCH(DB[[#This Row],[Datum]],'Operations Forecast_new'!$2:$2,0)),0)</f>
        <v>46.1</v>
      </c>
      <c r="AN41" s="859">
        <f>IFERROR(INDEX('Operations Forecast_new'!$20:$20,MATCH(DB[[#This Row],[Datum]],'Operations Forecast_new'!$2:$2,0)),0)</f>
        <v>47.1</v>
      </c>
      <c r="AO41" s="44">
        <f t="shared" si="35"/>
        <v>45.639000000000003</v>
      </c>
      <c r="AP41" s="404">
        <f t="shared" si="36"/>
        <v>46.629000000000005</v>
      </c>
      <c r="AQ41" s="44">
        <f t="shared" si="13"/>
        <v>154887.00000000009</v>
      </c>
      <c r="AR41" s="44" cm="1">
        <f t="array" ref="AR41">IFERROR(INDEX('ST Forecast'!$E$2:$RK$36,25,M41)+(INDEX('ST Forecast'!$E$2:$RK$36,29,M41)),"")</f>
        <v>68560.124662202899</v>
      </c>
      <c r="AS41" s="44" cm="1">
        <f t="array" ref="AS41">IFERROR(INDEX('ST Forecast'!$E$2:$RK$36,26,M41)+INDEX('ST Forecast'!$E$2:$RK$36,30,M41),"")</f>
        <v>71911.372457809353</v>
      </c>
      <c r="AT41" s="44" cm="1">
        <f t="array" ref="AT41">IFERROR(INDEX('ST Forecast'!$E$2:$RK$36,27,M41)+INDEX('ST Forecast'!$E$2:$RK$36,31,M41),"")</f>
        <v>6766.4361008555497</v>
      </c>
      <c r="AU41" s="44" cm="1">
        <f t="array" ref="AU41">IFERROR(INDEX('ST Forecast'!$E$2:$RK$36,28,M41),"")</f>
        <v>7649.0667791322903</v>
      </c>
      <c r="AV41" s="44" cm="1">
        <f t="array" ref="AV41">IFERROR(INDEX('ST Forecast'!$E$2:$RK$36,29,M41),"")</f>
        <v>0</v>
      </c>
      <c r="AW41" s="44">
        <f>DB[[#This Row],[Inbound FC]]-DB[[#This Row],[Inbound Act - Ultrafresh2]]</f>
        <v>154887.00000000009</v>
      </c>
      <c r="AX41" s="178" t="e">
        <f>#REF!</f>
        <v>#REF!</v>
      </c>
      <c r="AY41" s="178" t="e">
        <f>#REF!</f>
        <v>#REF!</v>
      </c>
      <c r="AZ41" s="178" t="e">
        <f>#REF!</f>
        <v>#REF!</v>
      </c>
      <c r="BA41" s="178">
        <f>MONTH(DB[[#This Row],[Datum]])</f>
        <v>2</v>
      </c>
    </row>
    <row r="42" spans="1:53" x14ac:dyDescent="0.3">
      <c r="A42" s="44">
        <f t="shared" si="23"/>
        <v>6</v>
      </c>
      <c r="B42" t="str">
        <f t="shared" si="24"/>
        <v>Wk 6</v>
      </c>
      <c r="C42" t="s">
        <v>115</v>
      </c>
      <c r="D42" s="313">
        <v>44601</v>
      </c>
      <c r="E42" s="44">
        <f>DB[[#This Row],[Sales-FC-Orders-Collect]]+DB[[#This Row],[Sales-FC-Orders-HD]]</f>
        <v>2800</v>
      </c>
      <c r="F42" s="402">
        <f>INDEX('LT Collect Forecast'!$K$1:$Q$55,MATCH(B42,'LT Collect Forecast'!$A:$A,0),MATCH(C42,'LT Collect Forecast'!$K$2:$Q$2,0))</f>
        <v>600</v>
      </c>
      <c r="G42" s="44">
        <f>INDEX('LT HD Forecast'!$K$1:$Q$55,MATCH(B42,'LT HD Forecast'!$A:$A,0),MATCH(C42,'LT HD Forecast'!$K$2:$Q$2,0))</f>
        <v>2200</v>
      </c>
      <c r="H42" s="44" cm="1">
        <f t="array" ref="H42">IFERROR(INDEX('ST Forecast'!$E$2:$RK$36,6,M42),"")</f>
        <v>47.366626495783322</v>
      </c>
      <c r="I42" s="44" cm="1">
        <f t="array" ref="I42">IFERROR(INDEX('ST Forecast'!$E$2:$RK$36,7,M42),"")</f>
        <v>49.080688751709658</v>
      </c>
      <c r="J42" s="44">
        <f>SUM(DB[[#This Row],[Sales-FC-Picks-Collect]:[Sales-FC-Picks-HD]])</f>
        <v>136397.49115123122</v>
      </c>
      <c r="K42" s="44">
        <f t="shared" si="25"/>
        <v>28419.975897469994</v>
      </c>
      <c r="L42" s="44">
        <f t="shared" si="26"/>
        <v>107977.51525376124</v>
      </c>
      <c r="M42" s="403">
        <f>IFERROR(IF(B42=B41,M41+1,MATCH(B42,'ST Forecast'!$E$2:$RK$2,0)+1),"")</f>
        <v>44</v>
      </c>
      <c r="N42">
        <f>SUM(DB[[#This Row],[Ops-FC-Orders-Collect]:[Ops-FC-Orders-HD]])</f>
        <v>2800</v>
      </c>
      <c r="O42" s="44" cm="1">
        <f t="array" ref="O42">IFERROR(INDEX('ST Forecast'!$E$2:$RK$36,13,M42),"")</f>
        <v>600</v>
      </c>
      <c r="P42" s="44">
        <f t="shared" si="27"/>
        <v>2200</v>
      </c>
      <c r="Q42" s="44" cm="1">
        <f t="array" ref="Q42">IFERROR(INDEX('ST Forecast'!$E$2:$RK$36,14,M42),"")</f>
        <v>1150</v>
      </c>
      <c r="R42" s="44" cm="1">
        <f t="array" ref="R42">IFERROR(INDEX('ST Forecast'!$E$2:$RK$36,15,M42),"")</f>
        <v>1050</v>
      </c>
      <c r="S42" s="312">
        <f>SUM(DB[[#This Row],[Ops-FC-Picks-Collect]:[Ops-FC-Picks-HD]])</f>
        <v>133669.5413282066</v>
      </c>
      <c r="T42" s="44">
        <f t="shared" si="28"/>
        <v>27851.576379520593</v>
      </c>
      <c r="U42" s="44">
        <f t="shared" si="29"/>
        <v>105817.96494868601</v>
      </c>
      <c r="V42" s="44">
        <f t="shared" si="30"/>
        <v>55313.936223176781</v>
      </c>
      <c r="W42" s="404">
        <f t="shared" si="31"/>
        <v>50504.028725509233</v>
      </c>
      <c r="X42" s="44">
        <f>SUM(DB[[#This Row],[Capped-Orders-Collect]:[Capped-Orders-HD]])</f>
        <v>90</v>
      </c>
      <c r="Y42">
        <f>INDEX('Operations Forecast'!$A$2:$BGY$47,3,MATCH(DB!D42,'Operations Forecast'!$A$2:$BGY$2))</f>
        <v>0</v>
      </c>
      <c r="Z42">
        <f t="shared" si="32"/>
        <v>90</v>
      </c>
      <c r="AA42">
        <f>INDEX('Operations Forecast'!$A$2:$BGY$47,10,MATCH(DB!D42,'Operations Forecast'!$A$2:$BGY$2))</f>
        <v>90</v>
      </c>
      <c r="AB42">
        <f>INDEX('Operations Forecast'!$A$2:$BGY$47,21,MATCH(DB!D42,'Operations Forecast'!$A$2:$BGY$2))</f>
        <v>0</v>
      </c>
      <c r="AC42" s="312">
        <f>SUM(DB[[#This Row],[Act-Orders-Collect]:[Act-Orders-HD]])</f>
        <v>2386</v>
      </c>
      <c r="AD42" s="858">
        <f>IFERROR(INDEX('Operations Forecast_new'!$7:$7,MATCH(DB[[#This Row],[Datum]],'Operations Forecast_new'!$2:$2,0)),0)</f>
        <v>465</v>
      </c>
      <c r="AE42" s="312">
        <f t="shared" si="33"/>
        <v>1921</v>
      </c>
      <c r="AF42" s="858">
        <f>IFERROR(INDEX('Operations Forecast_new'!$13:$13,MATCH(DB[[#This Row],[Datum]],'Operations Forecast_new'!$2:$2,0)),0)</f>
        <v>921</v>
      </c>
      <c r="AG42" s="858">
        <f>IFERROR(INDEX('Operations Forecast_new'!$19:$19,MATCH(DB[[#This Row],[Datum]],'Operations Forecast_new'!$2:$2,0)),0)</f>
        <v>1000</v>
      </c>
      <c r="AH42" s="312">
        <f t="shared" si="9"/>
        <v>116002.95300000001</v>
      </c>
      <c r="AI42" s="858">
        <f>IFERROR(INDEX('Operations Forecast_new'!$9:$9,MATCH(DB[[#This Row],[Datum]],'Operations Forecast_new'!$2:$2,0)),0)</f>
        <v>23385.78</v>
      </c>
      <c r="AJ42" s="312">
        <f t="shared" si="34"/>
        <v>92617.17300000001</v>
      </c>
      <c r="AK42" s="858">
        <f>IFERROR(INDEX('Operations Forecast_new'!$15:$15,MATCH(DB[[#This Row],[Datum]],'Operations Forecast_new'!$2:$2,0)),0)</f>
        <v>44404.173000000003</v>
      </c>
      <c r="AL42" s="858">
        <f>IFERROR(INDEX('Operations Forecast_new'!$21:$21,MATCH(DB[[#This Row],[Datum]],'Operations Forecast_new'!$2:$2,0)),0)</f>
        <v>48213</v>
      </c>
      <c r="AM42" s="178">
        <f>IFERROR(INDEX('Operations Forecast_new'!$8:$8,MATCH(DB[[#This Row],[Datum]],'Operations Forecast_new'!$2:$2,0)),0)</f>
        <v>50.8</v>
      </c>
      <c r="AN42" s="859">
        <f>IFERROR(INDEX('Operations Forecast_new'!$20:$20,MATCH(DB[[#This Row],[Datum]],'Operations Forecast_new'!$2:$2,0)),0)</f>
        <v>48.7</v>
      </c>
      <c r="AO42" s="44">
        <f t="shared" si="35"/>
        <v>50.291999999999994</v>
      </c>
      <c r="AP42" s="404">
        <f t="shared" si="36"/>
        <v>48.213000000000008</v>
      </c>
      <c r="AQ42" s="44">
        <f t="shared" si="13"/>
        <v>156379.00000000009</v>
      </c>
      <c r="AR42" s="44" cm="1">
        <f t="array" ref="AR42">IFERROR(INDEX('ST Forecast'!$E$2:$RK$36,25,M42)+(INDEX('ST Forecast'!$E$2:$RK$36,29,M42)),"")</f>
        <v>65976.399445410803</v>
      </c>
      <c r="AS42" s="44" cm="1">
        <f t="array" ref="AS42">IFERROR(INDEX('ST Forecast'!$E$2:$RK$36,26,M42)+INDEX('ST Forecast'!$E$2:$RK$36,30,M42),"")</f>
        <v>66904.701252414525</v>
      </c>
      <c r="AT42" s="44" cm="1">
        <f t="array" ref="AT42">IFERROR(INDEX('ST Forecast'!$E$2:$RK$36,27,M42)+INDEX('ST Forecast'!$E$2:$RK$36,31,M42),"")</f>
        <v>13840.439312741029</v>
      </c>
      <c r="AU42" s="44" cm="1">
        <f t="array" ref="AU42">IFERROR(INDEX('ST Forecast'!$E$2:$RK$36,28,M42),"")</f>
        <v>9657.4599894337352</v>
      </c>
      <c r="AV42" s="44" cm="1">
        <f t="array" ref="AV42">IFERROR(INDEX('ST Forecast'!$E$2:$RK$36,29,M42),"")</f>
        <v>0</v>
      </c>
      <c r="AW42" s="44">
        <f>DB[[#This Row],[Inbound FC]]-DB[[#This Row],[Inbound Act - Ultrafresh2]]</f>
        <v>156379.00000000009</v>
      </c>
      <c r="AX42" s="178" t="e">
        <f>#REF!</f>
        <v>#REF!</v>
      </c>
      <c r="AY42" s="178" t="e">
        <f>#REF!</f>
        <v>#REF!</v>
      </c>
      <c r="AZ42" s="178" t="e">
        <f>#REF!</f>
        <v>#REF!</v>
      </c>
      <c r="BA42" s="178">
        <f>MONTH(DB[[#This Row],[Datum]])</f>
        <v>2</v>
      </c>
    </row>
    <row r="43" spans="1:53" x14ac:dyDescent="0.3">
      <c r="A43" s="44">
        <f t="shared" si="23"/>
        <v>6</v>
      </c>
      <c r="B43" t="str">
        <f t="shared" si="24"/>
        <v>Wk 6</v>
      </c>
      <c r="C43" t="s">
        <v>116</v>
      </c>
      <c r="D43" s="313">
        <v>44602</v>
      </c>
      <c r="E43" s="44">
        <f>DB[[#This Row],[Sales-FC-Orders-Collect]]+DB[[#This Row],[Sales-FC-Orders-HD]]</f>
        <v>2350</v>
      </c>
      <c r="F43" s="402" cm="1">
        <f t="array" ref="F43">INDEX('LT Collect Forecast'!$K$1:$Q$55,MATCH(B43,'LT Collect Forecast'!$A:$A,0)+1,MATCH(C43,'LT Collect Forecast'!$K$2:$Q$2,0))</f>
        <v>450</v>
      </c>
      <c r="G43" s="44" cm="1">
        <f t="array" ref="G43">INDEX('LT HD Forecast'!$K$1:$Q$55,MATCH(B43,'LT HD Forecast'!$A:$A,0)+1,MATCH(C43,'LT HD Forecast'!$K$2:$Q$2,0))</f>
        <v>1900</v>
      </c>
      <c r="H43" s="44" cm="1">
        <f t="array" ref="H43">IFERROR(INDEX('ST Forecast'!$E$2:$RK$36,6,M43),"")</f>
        <v>47.963250099108983</v>
      </c>
      <c r="I43" s="44" cm="1">
        <f t="array" ref="I43">IFERROR(INDEX('ST Forecast'!$E$2:$RK$36,7,M43),"")</f>
        <v>48.305614420574699</v>
      </c>
      <c r="J43" s="44">
        <f>SUM(DB[[#This Row],[Sales-FC-Picks-Collect]:[Sales-FC-Picks-HD]])</f>
        <v>113364.12994369096</v>
      </c>
      <c r="K43" s="44">
        <f t="shared" si="25"/>
        <v>21583.462544599042</v>
      </c>
      <c r="L43" s="44">
        <f t="shared" si="26"/>
        <v>91780.667399091923</v>
      </c>
      <c r="M43" s="403">
        <f>IFERROR(IF(B43=B42,M42+1,MATCH(B43,'ST Forecast'!$E$2:$RK$2,0)+1),"")</f>
        <v>45</v>
      </c>
      <c r="N43">
        <f>SUM(DB[[#This Row],[Ops-FC-Orders-Collect]:[Ops-FC-Orders-HD]])</f>
        <v>2600</v>
      </c>
      <c r="O43" s="44" cm="1">
        <f t="array" ref="O43">IFERROR(INDEX('ST Forecast'!$E$2:$RK$36,13,M43),"")</f>
        <v>450</v>
      </c>
      <c r="P43" s="44">
        <f t="shared" si="27"/>
        <v>2150</v>
      </c>
      <c r="Q43" s="44" cm="1">
        <f t="array" ref="Q43">IFERROR(INDEX('ST Forecast'!$E$2:$RK$36,14,M43),"")</f>
        <v>1150</v>
      </c>
      <c r="R43" s="44" cm="1">
        <f t="array" ref="R43">IFERROR(INDEX('ST Forecast'!$E$2:$RK$36,15,M43),"")</f>
        <v>1000</v>
      </c>
      <c r="S43" s="312">
        <f>SUM(DB[[#This Row],[Ops-FC-Picks-Collect]:[Ops-FC-Picks-HD]])</f>
        <v>122931.72287785794</v>
      </c>
      <c r="T43" s="44">
        <f t="shared" si="28"/>
        <v>21151.793293707062</v>
      </c>
      <c r="U43" s="44">
        <f t="shared" si="29"/>
        <v>101779.92958415089</v>
      </c>
      <c r="V43" s="44">
        <f t="shared" si="30"/>
        <v>54440.427451987685</v>
      </c>
      <c r="W43" s="404">
        <f t="shared" si="31"/>
        <v>47339.502132163201</v>
      </c>
      <c r="X43" s="44">
        <f>SUM(DB[[#This Row],[Capped-Orders-Collect]:[Capped-Orders-HD]])</f>
        <v>90</v>
      </c>
      <c r="Y43">
        <f>INDEX('Operations Forecast'!$A$2:$BGY$47,3,MATCH(DB!D43,'Operations Forecast'!$A$2:$BGY$2))</f>
        <v>0</v>
      </c>
      <c r="Z43">
        <f t="shared" si="32"/>
        <v>90</v>
      </c>
      <c r="AA43">
        <f>INDEX('Operations Forecast'!$A$2:$BGY$47,10,MATCH(DB!D43,'Operations Forecast'!$A$2:$BGY$2))</f>
        <v>90</v>
      </c>
      <c r="AB43">
        <f>INDEX('Operations Forecast'!$A$2:$BGY$47,21,MATCH(DB!D43,'Operations Forecast'!$A$2:$BGY$2))</f>
        <v>0</v>
      </c>
      <c r="AC43" s="312">
        <f>SUM(DB[[#This Row],[Act-Orders-Collect]:[Act-Orders-HD]])</f>
        <v>2217</v>
      </c>
      <c r="AD43" s="858">
        <f>IFERROR(INDEX('Operations Forecast_new'!$7:$7,MATCH(DB[[#This Row],[Datum]],'Operations Forecast_new'!$2:$2,0)),0)</f>
        <v>460</v>
      </c>
      <c r="AE43" s="312">
        <f t="shared" si="33"/>
        <v>1757</v>
      </c>
      <c r="AF43" s="858">
        <f>IFERROR(INDEX('Operations Forecast_new'!$13:$13,MATCH(DB[[#This Row],[Datum]],'Operations Forecast_new'!$2:$2,0)),0)</f>
        <v>810</v>
      </c>
      <c r="AG43" s="858">
        <f>IFERROR(INDEX('Operations Forecast_new'!$19:$19,MATCH(DB[[#This Row],[Datum]],'Operations Forecast_new'!$2:$2,0)),0)</f>
        <v>947</v>
      </c>
      <c r="AH43" s="312">
        <f t="shared" si="9"/>
        <v>107919.20699999999</v>
      </c>
      <c r="AI43" s="858">
        <f>IFERROR(INDEX('Operations Forecast_new'!$9:$9,MATCH(DB[[#This Row],[Datum]],'Operations Forecast_new'!$2:$2,0)),0)</f>
        <v>22861.079999999998</v>
      </c>
      <c r="AJ43" s="312">
        <f t="shared" si="34"/>
        <v>85058.126999999993</v>
      </c>
      <c r="AK43" s="858">
        <f>IFERROR(INDEX('Operations Forecast_new'!$15:$15,MATCH(DB[[#This Row],[Datum]],'Operations Forecast_new'!$2:$2,0)),0)</f>
        <v>39212.909999999996</v>
      </c>
      <c r="AL43" s="858">
        <f>IFERROR(INDEX('Operations Forecast_new'!$21:$21,MATCH(DB[[#This Row],[Datum]],'Operations Forecast_new'!$2:$2,0)),0)</f>
        <v>45845.216999999997</v>
      </c>
      <c r="AM43" s="178">
        <f>IFERROR(INDEX('Operations Forecast_new'!$8:$8,MATCH(DB[[#This Row],[Datum]],'Operations Forecast_new'!$2:$2,0)),0)</f>
        <v>50.2</v>
      </c>
      <c r="AN43" s="859">
        <f>IFERROR(INDEX('Operations Forecast_new'!$20:$20,MATCH(DB[[#This Row],[Datum]],'Operations Forecast_new'!$2:$2,0)),0)</f>
        <v>48.9</v>
      </c>
      <c r="AO43" s="44">
        <f t="shared" si="35"/>
        <v>49.697999999999993</v>
      </c>
      <c r="AP43" s="404">
        <f t="shared" si="36"/>
        <v>48.410999999999994</v>
      </c>
      <c r="AQ43" s="44">
        <f t="shared" si="13"/>
        <v>147455.00000000009</v>
      </c>
      <c r="AR43" s="44" cm="1">
        <f t="array" ref="AR43">IFERROR(INDEX('ST Forecast'!$E$2:$RK$36,25,M43)+(INDEX('ST Forecast'!$E$2:$RK$36,29,M43)),"")</f>
        <v>63125.758637437328</v>
      </c>
      <c r="AS43" s="44" cm="1">
        <f t="array" ref="AS43">IFERROR(INDEX('ST Forecast'!$E$2:$RK$36,26,M43)+INDEX('ST Forecast'!$E$2:$RK$36,30,M43),"")</f>
        <v>63063.405330367481</v>
      </c>
      <c r="AT43" s="44" cm="1">
        <f t="array" ref="AT43">IFERROR(INDEX('ST Forecast'!$E$2:$RK$36,27,M43)+INDEX('ST Forecast'!$E$2:$RK$36,31,M43),"")</f>
        <v>11075.09970070445</v>
      </c>
      <c r="AU43" s="44" cm="1">
        <f t="array" ref="AU43">IFERROR(INDEX('ST Forecast'!$E$2:$RK$36,28,M43),"")</f>
        <v>10190.736331490822</v>
      </c>
      <c r="AV43" s="44" cm="1">
        <f t="array" ref="AV43">IFERROR(INDEX('ST Forecast'!$E$2:$RK$36,29,M43),"")</f>
        <v>0</v>
      </c>
      <c r="AW43" s="44">
        <f>DB[[#This Row],[Inbound FC]]-DB[[#This Row],[Inbound Act - Ultrafresh2]]</f>
        <v>147455.00000000009</v>
      </c>
      <c r="AX43" s="178" t="e">
        <f>#REF!</f>
        <v>#REF!</v>
      </c>
      <c r="AY43" s="178" t="e">
        <f>#REF!</f>
        <v>#REF!</v>
      </c>
      <c r="AZ43" s="178" t="e">
        <f>#REF!</f>
        <v>#REF!</v>
      </c>
      <c r="BA43" s="178">
        <f>MONTH(DB[[#This Row],[Datum]])</f>
        <v>2</v>
      </c>
    </row>
    <row r="44" spans="1:53" x14ac:dyDescent="0.3">
      <c r="A44" s="44">
        <f t="shared" si="23"/>
        <v>6</v>
      </c>
      <c r="B44" t="str">
        <f t="shared" si="24"/>
        <v>Wk 6</v>
      </c>
      <c r="C44" t="s">
        <v>117</v>
      </c>
      <c r="D44" s="313">
        <v>44603</v>
      </c>
      <c r="E44" s="44">
        <f>DB[[#This Row],[Sales-FC-Orders-Collect]]+DB[[#This Row],[Sales-FC-Orders-HD]]</f>
        <v>3000</v>
      </c>
      <c r="F44" s="402" cm="1">
        <f t="array" ref="F44">INDEX('LT Collect Forecast'!$K$1:$Q$55,MATCH(B44,'LT Collect Forecast'!$A:$A,0)+1,MATCH(C44,'LT Collect Forecast'!$K$2:$Q$2,0))</f>
        <v>1000</v>
      </c>
      <c r="G44" s="44" cm="1">
        <f t="array" ref="G44">INDEX('LT HD Forecast'!$K$1:$Q$55,MATCH(B44,'LT HD Forecast'!$A:$A,0)+1,MATCH(C44,'LT HD Forecast'!$K$2:$Q$2,0))</f>
        <v>2000</v>
      </c>
      <c r="H44" s="44" cm="1">
        <f t="array" ref="H44">IFERROR(INDEX('ST Forecast'!$E$2:$RK$36,6,M44),"")</f>
        <v>51.194292961819038</v>
      </c>
      <c r="I44" s="44" cm="1">
        <f t="array" ref="I44">IFERROR(INDEX('ST Forecast'!$E$2:$RK$36,7,M44),"")</f>
        <v>50.543030329140635</v>
      </c>
      <c r="J44" s="44">
        <f>SUM(DB[[#This Row],[Sales-FC-Picks-Collect]:[Sales-FC-Picks-HD]])</f>
        <v>152280.3536201003</v>
      </c>
      <c r="K44" s="44">
        <f t="shared" si="25"/>
        <v>51194.292961819039</v>
      </c>
      <c r="L44" s="44">
        <f t="shared" si="26"/>
        <v>101086.06065828128</v>
      </c>
      <c r="M44" s="403">
        <f>IFERROR(IF(B44=B43,M43+1,MATCH(B44,'ST Forecast'!$E$2:$RK$2,0)+1),"")</f>
        <v>46</v>
      </c>
      <c r="N44">
        <f>SUM(DB[[#This Row],[Ops-FC-Orders-Collect]:[Ops-FC-Orders-HD]])</f>
        <v>3100</v>
      </c>
      <c r="O44" s="44" cm="1">
        <f t="array" ref="O44">IFERROR(INDEX('ST Forecast'!$E$2:$RK$36,13,M44),"")</f>
        <v>1000</v>
      </c>
      <c r="P44" s="44">
        <f t="shared" si="27"/>
        <v>2100</v>
      </c>
      <c r="Q44" s="44" cm="1">
        <f t="array" ref="Q44">IFERROR(INDEX('ST Forecast'!$E$2:$RK$36,14,M44),"")</f>
        <v>1100</v>
      </c>
      <c r="R44" s="44" cm="1">
        <f t="array" ref="R44">IFERROR(INDEX('ST Forecast'!$E$2:$RK$36,15,M44),"")</f>
        <v>1000</v>
      </c>
      <c r="S44" s="312">
        <f>SUM(DB[[#This Row],[Ops-FC-Picks-Collect]:[Ops-FC-Picks-HD]])</f>
        <v>154187.96351995409</v>
      </c>
      <c r="T44" s="44">
        <f t="shared" si="28"/>
        <v>50170.407102582656</v>
      </c>
      <c r="U44" s="44">
        <f t="shared" si="29"/>
        <v>104017.55641737144</v>
      </c>
      <c r="V44" s="44">
        <f t="shared" si="30"/>
        <v>54485.386694813606</v>
      </c>
      <c r="W44" s="404">
        <f t="shared" si="31"/>
        <v>49532.169722557825</v>
      </c>
      <c r="X44" s="44">
        <f>SUM(DB[[#This Row],[Capped-Orders-Collect]:[Capped-Orders-HD]])</f>
        <v>90</v>
      </c>
      <c r="Y44">
        <f>INDEX('Operations Forecast'!$A$2:$BGY$47,3,MATCH(DB!D44,'Operations Forecast'!$A$2:$BGY$2))</f>
        <v>0</v>
      </c>
      <c r="Z44">
        <f t="shared" si="32"/>
        <v>90</v>
      </c>
      <c r="AA44">
        <f>INDEX('Operations Forecast'!$A$2:$BGY$47,10,MATCH(DB!D44,'Operations Forecast'!$A$2:$BGY$2))</f>
        <v>90</v>
      </c>
      <c r="AB44">
        <f>INDEX('Operations Forecast'!$A$2:$BGY$47,21,MATCH(DB!D44,'Operations Forecast'!$A$2:$BGY$2))</f>
        <v>0</v>
      </c>
      <c r="AC44" s="312">
        <f>SUM(DB[[#This Row],[Act-Orders-Collect]:[Act-Orders-HD]])</f>
        <v>3026</v>
      </c>
      <c r="AD44" s="858">
        <f>IFERROR(INDEX('Operations Forecast_new'!$7:$7,MATCH(DB[[#This Row],[Datum]],'Operations Forecast_new'!$2:$2,0)),0)</f>
        <v>1125</v>
      </c>
      <c r="AE44" s="312">
        <f t="shared" si="33"/>
        <v>1901</v>
      </c>
      <c r="AF44" s="858">
        <f>IFERROR(INDEX('Operations Forecast_new'!$13:$13,MATCH(DB[[#This Row],[Datum]],'Operations Forecast_new'!$2:$2,0)),0)</f>
        <v>987</v>
      </c>
      <c r="AG44" s="858">
        <f>IFERROR(INDEX('Operations Forecast_new'!$19:$19,MATCH(DB[[#This Row],[Datum]],'Operations Forecast_new'!$2:$2,0)),0)</f>
        <v>914</v>
      </c>
      <c r="AH44" s="312">
        <f t="shared" si="9"/>
        <v>151284.87</v>
      </c>
      <c r="AI44" s="858">
        <f>IFERROR(INDEX('Operations Forecast_new'!$9:$9,MATCH(DB[[#This Row],[Datum]],'Operations Forecast_new'!$2:$2,0)),0)</f>
        <v>56244.375</v>
      </c>
      <c r="AJ44" s="312">
        <f t="shared" si="34"/>
        <v>95040.494999999995</v>
      </c>
      <c r="AK44" s="858">
        <f>IFERROR(INDEX('Operations Forecast_new'!$15:$15,MATCH(DB[[#This Row],[Datum]],'Operations Forecast_new'!$2:$2,0)),0)</f>
        <v>49345.065000000002</v>
      </c>
      <c r="AL44" s="858">
        <f>IFERROR(INDEX('Operations Forecast_new'!$21:$21,MATCH(DB[[#This Row],[Datum]],'Operations Forecast_new'!$2:$2,0)),0)</f>
        <v>45695.43</v>
      </c>
      <c r="AM44" s="178">
        <f>IFERROR(INDEX('Operations Forecast_new'!$8:$8,MATCH(DB[[#This Row],[Datum]],'Operations Forecast_new'!$2:$2,0)),0)</f>
        <v>50.5</v>
      </c>
      <c r="AN44" s="859">
        <f>IFERROR(INDEX('Operations Forecast_new'!$20:$20,MATCH(DB[[#This Row],[Datum]],'Operations Forecast_new'!$2:$2,0)),0)</f>
        <v>50.5</v>
      </c>
      <c r="AO44" s="44">
        <f t="shared" si="35"/>
        <v>49.994999999999997</v>
      </c>
      <c r="AP44" s="404">
        <f t="shared" si="36"/>
        <v>49.994999999999997</v>
      </c>
      <c r="AQ44" s="44">
        <f t="shared" si="13"/>
        <v>123413.00000000009</v>
      </c>
      <c r="AR44" s="44" cm="1">
        <f t="array" ref="AR44">IFERROR(INDEX('ST Forecast'!$E$2:$RK$36,25,M44)+(INDEX('ST Forecast'!$E$2:$RK$36,29,M44)),"")</f>
        <v>54086.482870414628</v>
      </c>
      <c r="AS44" s="44" cm="1">
        <f t="array" ref="AS44">IFERROR(INDEX('ST Forecast'!$E$2:$RK$36,26,M44)+INDEX('ST Forecast'!$E$2:$RK$36,30,M44),"")</f>
        <v>54150.473519549807</v>
      </c>
      <c r="AT44" s="44" cm="1">
        <f t="array" ref="AT44">IFERROR(INDEX('ST Forecast'!$E$2:$RK$36,27,M44)+INDEX('ST Forecast'!$E$2:$RK$36,31,M44),"")</f>
        <v>6561.9822756424928</v>
      </c>
      <c r="AU44" s="44" cm="1">
        <f t="array" ref="AU44">IFERROR(INDEX('ST Forecast'!$E$2:$RK$36,28,M44),"")</f>
        <v>8614.0613343931454</v>
      </c>
      <c r="AV44" s="44" cm="1">
        <f t="array" ref="AV44">IFERROR(INDEX('ST Forecast'!$E$2:$RK$36,29,M44),"")</f>
        <v>0</v>
      </c>
      <c r="AW44" s="44">
        <f>DB[[#This Row],[Inbound FC]]-DB[[#This Row],[Inbound Act - Ultrafresh2]]</f>
        <v>123413.00000000009</v>
      </c>
      <c r="AX44" s="178" t="e">
        <f>#REF!</f>
        <v>#REF!</v>
      </c>
      <c r="AY44" s="178" t="e">
        <f>#REF!</f>
        <v>#REF!</v>
      </c>
      <c r="AZ44" s="178" t="e">
        <f>#REF!</f>
        <v>#REF!</v>
      </c>
      <c r="BA44" s="178">
        <f>MONTH(DB[[#This Row],[Datum]])</f>
        <v>2</v>
      </c>
    </row>
    <row r="45" spans="1:53" x14ac:dyDescent="0.3">
      <c r="A45" s="44">
        <f t="shared" si="23"/>
        <v>6</v>
      </c>
      <c r="B45" t="str">
        <f t="shared" si="24"/>
        <v>Wk 6</v>
      </c>
      <c r="C45" t="s">
        <v>118</v>
      </c>
      <c r="D45" s="313">
        <v>44604</v>
      </c>
      <c r="E45" s="44">
        <f>DB[[#This Row],[Sales-FC-Orders-Collect]]+DB[[#This Row],[Sales-FC-Orders-HD]]</f>
        <v>2850</v>
      </c>
      <c r="F45" s="402" cm="1">
        <f t="array" ref="F45">INDEX('LT Collect Forecast'!$K$1:$Q$55,MATCH(B45,'LT Collect Forecast'!$A:$A,0)+1,MATCH(C45,'LT Collect Forecast'!$K$2:$Q$2,0))</f>
        <v>1000</v>
      </c>
      <c r="G45" s="44" cm="1">
        <f t="array" ref="G45">INDEX('LT HD Forecast'!$K$1:$Q$55,MATCH(B45,'LT HD Forecast'!$A:$A,0)+1,MATCH(C45,'LT HD Forecast'!$K$2:$Q$2,0))</f>
        <v>1850</v>
      </c>
      <c r="H45" s="44" cm="1">
        <f t="array" ref="H45">IFERROR(INDEX('ST Forecast'!$E$2:$RK$36,6,M45),"")</f>
        <v>50.40409999994187</v>
      </c>
      <c r="I45" s="44" cm="1">
        <f t="array" ref="I45">IFERROR(INDEX('ST Forecast'!$E$2:$RK$36,7,M45),"")</f>
        <v>50.424296425099875</v>
      </c>
      <c r="J45" s="44">
        <f>SUM(DB[[#This Row],[Sales-FC-Picks-Collect]:[Sales-FC-Picks-HD]])</f>
        <v>143689.04838637664</v>
      </c>
      <c r="K45" s="44">
        <f t="shared" si="25"/>
        <v>50404.099999941871</v>
      </c>
      <c r="L45" s="44">
        <f t="shared" si="26"/>
        <v>93284.948386434771</v>
      </c>
      <c r="M45" s="403">
        <f>IFERROR(IF(B45=B44,M44+1,MATCH(B45,'ST Forecast'!$E$2:$RK$2,0)+1),"")</f>
        <v>47</v>
      </c>
      <c r="N45">
        <f>SUM(DB[[#This Row],[Ops-FC-Orders-Collect]:[Ops-FC-Orders-HD]])</f>
        <v>2950</v>
      </c>
      <c r="O45" s="44" cm="1">
        <f t="array" ref="O45">IFERROR(INDEX('ST Forecast'!$E$2:$RK$36,13,M45),"")</f>
        <v>1000</v>
      </c>
      <c r="P45" s="44">
        <f t="shared" si="27"/>
        <v>1950</v>
      </c>
      <c r="Q45" s="44" cm="1">
        <f t="array" ref="Q45">IFERROR(INDEX('ST Forecast'!$E$2:$RK$36,14,M45),"")</f>
        <v>1000</v>
      </c>
      <c r="R45" s="44" cm="1">
        <f t="array" ref="R45">IFERROR(INDEX('ST Forecast'!$E$2:$RK$36,15,M45),"")</f>
        <v>950</v>
      </c>
      <c r="S45" s="312">
        <f>SUM(DB[[#This Row],[Ops-FC-Picks-Collect]:[Ops-FC-Picks-HD]])</f>
        <v>145756.84846830889</v>
      </c>
      <c r="T45" s="44">
        <f t="shared" si="28"/>
        <v>49396.017999943033</v>
      </c>
      <c r="U45" s="44">
        <f t="shared" si="29"/>
        <v>96360.830468365864</v>
      </c>
      <c r="V45" s="44">
        <f t="shared" si="30"/>
        <v>49415.810496597878</v>
      </c>
      <c r="W45" s="404">
        <f t="shared" si="31"/>
        <v>46945.019971767986</v>
      </c>
      <c r="X45" s="44">
        <f>SUM(DB[[#This Row],[Capped-Orders-Collect]:[Capped-Orders-HD]])</f>
        <v>90</v>
      </c>
      <c r="Y45">
        <f>INDEX('Operations Forecast'!$A$2:$BGY$47,3,MATCH(DB!D45,'Operations Forecast'!$A$2:$BGY$2))</f>
        <v>0</v>
      </c>
      <c r="Z45">
        <f t="shared" si="32"/>
        <v>90</v>
      </c>
      <c r="AA45">
        <f>INDEX('Operations Forecast'!$A$2:$BGY$47,10,MATCH(DB!D45,'Operations Forecast'!$A$2:$BGY$2))</f>
        <v>90</v>
      </c>
      <c r="AB45">
        <f>INDEX('Operations Forecast'!$A$2:$BGY$47,21,MATCH(DB!D45,'Operations Forecast'!$A$2:$BGY$2))</f>
        <v>0</v>
      </c>
      <c r="AC45" s="312">
        <f>SUM(DB[[#This Row],[Act-Orders-Collect]:[Act-Orders-HD]])</f>
        <v>2656</v>
      </c>
      <c r="AD45" s="858">
        <f>IFERROR(INDEX('Operations Forecast_new'!$7:$7,MATCH(DB[[#This Row],[Datum]],'Operations Forecast_new'!$2:$2,0)),0)</f>
        <v>960</v>
      </c>
      <c r="AE45" s="312">
        <f t="shared" si="33"/>
        <v>1696</v>
      </c>
      <c r="AF45" s="858">
        <f>IFERROR(INDEX('Operations Forecast_new'!$13:$13,MATCH(DB[[#This Row],[Datum]],'Operations Forecast_new'!$2:$2,0)),0)</f>
        <v>938</v>
      </c>
      <c r="AG45" s="858">
        <f>IFERROR(INDEX('Operations Forecast_new'!$19:$19,MATCH(DB[[#This Row],[Datum]],'Operations Forecast_new'!$2:$2,0)),0)</f>
        <v>758</v>
      </c>
      <c r="AH45" s="312">
        <f t="shared" si="9"/>
        <v>129602.87999999999</v>
      </c>
      <c r="AI45" s="858">
        <f>IFERROR(INDEX('Operations Forecast_new'!$9:$9,MATCH(DB[[#This Row],[Datum]],'Operations Forecast_new'!$2:$2,0)),0)</f>
        <v>47329.919999999998</v>
      </c>
      <c r="AJ45" s="312">
        <f t="shared" si="34"/>
        <v>82272.959999999992</v>
      </c>
      <c r="AK45" s="858">
        <f>IFERROR(INDEX('Operations Forecast_new'!$15:$15,MATCH(DB[[#This Row],[Datum]],'Operations Forecast_new'!$2:$2,0)),0)</f>
        <v>45502.38</v>
      </c>
      <c r="AL45" s="858">
        <f>IFERROR(INDEX('Operations Forecast_new'!$21:$21,MATCH(DB[[#This Row],[Datum]],'Operations Forecast_new'!$2:$2,0)),0)</f>
        <v>36770.58</v>
      </c>
      <c r="AM45" s="178">
        <f>IFERROR(INDEX('Operations Forecast_new'!$8:$8,MATCH(DB[[#This Row],[Datum]],'Operations Forecast_new'!$2:$2,0)),0)</f>
        <v>49.8</v>
      </c>
      <c r="AN45" s="859">
        <f>IFERROR(INDEX('Operations Forecast_new'!$20:$20,MATCH(DB[[#This Row],[Datum]],'Operations Forecast_new'!$2:$2,0)),0)</f>
        <v>49</v>
      </c>
      <c r="AO45" s="44">
        <f t="shared" si="35"/>
        <v>49.302</v>
      </c>
      <c r="AP45" s="404">
        <f t="shared" si="36"/>
        <v>48.51</v>
      </c>
      <c r="AQ45" s="44">
        <f t="shared" si="13"/>
        <v>117066.00000000001</v>
      </c>
      <c r="AR45" s="44" cm="1">
        <f t="array" ref="AR45">IFERROR(INDEX('ST Forecast'!$E$2:$RK$36,25,M45)+(INDEX('ST Forecast'!$E$2:$RK$36,29,M45)),"")</f>
        <v>61520.254785032565</v>
      </c>
      <c r="AS45" s="44" cm="1">
        <f t="array" ref="AS45">IFERROR(INDEX('ST Forecast'!$E$2:$RK$36,26,M45)+INDEX('ST Forecast'!$E$2:$RK$36,30,M45),"")</f>
        <v>43390.356013345445</v>
      </c>
      <c r="AT45" s="44" cm="1">
        <f t="array" ref="AT45">IFERROR(INDEX('ST Forecast'!$E$2:$RK$36,27,M45)+INDEX('ST Forecast'!$E$2:$RK$36,31,M45),"")</f>
        <v>5967.7678830113127</v>
      </c>
      <c r="AU45" s="44" cm="1">
        <f t="array" ref="AU45">IFERROR(INDEX('ST Forecast'!$E$2:$RK$36,28,M45),"")</f>
        <v>6187.6213186106907</v>
      </c>
      <c r="AV45" s="44" cm="1">
        <f t="array" ref="AV45">IFERROR(INDEX('ST Forecast'!$E$2:$RK$36,29,M45),"")</f>
        <v>0</v>
      </c>
      <c r="AW45" s="44">
        <f>DB[[#This Row],[Inbound FC]]-DB[[#This Row],[Inbound Act - Ultrafresh2]]</f>
        <v>117066.00000000001</v>
      </c>
      <c r="AX45" s="178" t="e">
        <f>#REF!</f>
        <v>#REF!</v>
      </c>
      <c r="AY45" s="178" t="e">
        <f>#REF!</f>
        <v>#REF!</v>
      </c>
      <c r="AZ45" s="178" t="e">
        <f>#REF!</f>
        <v>#REF!</v>
      </c>
      <c r="BA45" s="178">
        <f>MONTH(DB[[#This Row],[Datum]])</f>
        <v>2</v>
      </c>
    </row>
    <row r="46" spans="1:53" x14ac:dyDescent="0.3">
      <c r="A46" s="44">
        <f t="shared" si="23"/>
        <v>6</v>
      </c>
      <c r="B46" t="str">
        <f t="shared" si="24"/>
        <v>Wk 6</v>
      </c>
      <c r="C46" t="s">
        <v>119</v>
      </c>
      <c r="D46" s="313">
        <v>44605</v>
      </c>
      <c r="E46" s="44">
        <f>DB[[#This Row],[Sales-FC-Orders-Collect]]+DB[[#This Row],[Sales-FC-Orders-HD]]</f>
        <v>200</v>
      </c>
      <c r="F46" s="402" cm="1">
        <f t="array" ref="F46">INDEX('LT Collect Forecast'!$K$1:$Q$55,MATCH(B46,'LT Collect Forecast'!$A:$A,0)+1,MATCH(C46,'LT Collect Forecast'!$K$2:$Q$2,0))</f>
        <v>0</v>
      </c>
      <c r="G46" s="44" cm="1">
        <f t="array" ref="G46">INDEX('LT HD Forecast'!$K$1:$Q$55,MATCH(B46,'LT HD Forecast'!$A:$A,0)+1,MATCH(C46,'LT HD Forecast'!$K$2:$Q$2,0))</f>
        <v>200</v>
      </c>
      <c r="H46" s="44" cm="1">
        <f t="array" ref="H46">IFERROR(INDEX('ST Forecast'!$E$2:$RK$36,6,M46),"")</f>
        <v>0</v>
      </c>
      <c r="I46" s="44" cm="1">
        <f t="array" ref="I46">IFERROR(INDEX('ST Forecast'!$E$2:$RK$36,7,M46),"")</f>
        <v>53.52513125092981</v>
      </c>
      <c r="J46" s="44">
        <f>SUM(DB[[#This Row],[Sales-FC-Picks-Collect]:[Sales-FC-Picks-HD]])</f>
        <v>10705.026250185962</v>
      </c>
      <c r="K46" s="44">
        <f t="shared" si="25"/>
        <v>0</v>
      </c>
      <c r="L46" s="44">
        <f t="shared" si="26"/>
        <v>10705.026250185962</v>
      </c>
      <c r="M46" s="403">
        <f>IFERROR(IF(B46=B45,M45+1,MATCH(B46,'ST Forecast'!$E$2:$RK$2,0)+1),"")</f>
        <v>48</v>
      </c>
      <c r="N46">
        <f>SUM(DB[[#This Row],[Ops-FC-Orders-Collect]:[Ops-FC-Orders-HD]])</f>
        <v>200</v>
      </c>
      <c r="O46" s="44" cm="1">
        <f t="array" ref="O46">IFERROR(INDEX('ST Forecast'!$E$2:$RK$36,13,M46),"")</f>
        <v>0</v>
      </c>
      <c r="P46" s="44">
        <f t="shared" si="27"/>
        <v>200</v>
      </c>
      <c r="Q46" s="44" cm="1">
        <f t="array" ref="Q46">IFERROR(INDEX('ST Forecast'!$E$2:$RK$36,14,M46),"")</f>
        <v>200</v>
      </c>
      <c r="R46" s="44" cm="1">
        <f t="array" ref="R46">IFERROR(INDEX('ST Forecast'!$E$2:$RK$36,15,M46),"")</f>
        <v>0</v>
      </c>
      <c r="S46" s="312">
        <f>SUM(DB[[#This Row],[Ops-FC-Picks-Collect]:[Ops-FC-Picks-HD]])</f>
        <v>10490.925725182242</v>
      </c>
      <c r="T46" s="44">
        <f t="shared" si="28"/>
        <v>0</v>
      </c>
      <c r="U46" s="44">
        <f t="shared" si="29"/>
        <v>10490.925725182242</v>
      </c>
      <c r="V46" s="44">
        <f t="shared" si="30"/>
        <v>10490.925725182242</v>
      </c>
      <c r="W46" s="404">
        <f t="shared" si="31"/>
        <v>0</v>
      </c>
      <c r="X46" s="44">
        <f>SUM(DB[[#This Row],[Capped-Orders-Collect]:[Capped-Orders-HD]])</f>
        <v>90</v>
      </c>
      <c r="Y46">
        <f>INDEX('Operations Forecast'!$A$2:$BGY$47,3,MATCH(DB!D46,'Operations Forecast'!$A$2:$BGY$2))</f>
        <v>0</v>
      </c>
      <c r="Z46">
        <f t="shared" si="32"/>
        <v>90</v>
      </c>
      <c r="AA46">
        <f>INDEX('Operations Forecast'!$A$2:$BGY$47,10,MATCH(DB!D46,'Operations Forecast'!$A$2:$BGY$2))</f>
        <v>90</v>
      </c>
      <c r="AB46">
        <f>INDEX('Operations Forecast'!$A$2:$BGY$47,21,MATCH(DB!D46,'Operations Forecast'!$A$2:$BGY$2))</f>
        <v>0</v>
      </c>
      <c r="AC46" s="312">
        <f>SUM(DB[[#This Row],[Act-Orders-Collect]:[Act-Orders-HD]])</f>
        <v>100</v>
      </c>
      <c r="AD46" s="858">
        <f>IFERROR(INDEX('Operations Forecast_new'!$7:$7,MATCH(DB[[#This Row],[Datum]],'Operations Forecast_new'!$2:$2,0)),0)</f>
        <v>0</v>
      </c>
      <c r="AE46" s="312">
        <f t="shared" si="33"/>
        <v>100</v>
      </c>
      <c r="AF46" s="858">
        <f>IFERROR(INDEX('Operations Forecast_new'!$13:$13,MATCH(DB[[#This Row],[Datum]],'Operations Forecast_new'!$2:$2,0)),0)</f>
        <v>100</v>
      </c>
      <c r="AG46" s="858">
        <f>IFERROR(INDEX('Operations Forecast_new'!$19:$19,MATCH(DB[[#This Row],[Datum]],'Operations Forecast_new'!$2:$2,0)),0)</f>
        <v>0</v>
      </c>
      <c r="AH46" s="312">
        <f t="shared" si="9"/>
        <v>5068.8</v>
      </c>
      <c r="AI46" s="858">
        <f>IFERROR(INDEX('Operations Forecast_new'!$9:$9,MATCH(DB[[#This Row],[Datum]],'Operations Forecast_new'!$2:$2,0)),0)</f>
        <v>0</v>
      </c>
      <c r="AJ46" s="312">
        <f t="shared" si="34"/>
        <v>5068.8</v>
      </c>
      <c r="AK46" s="858">
        <f>IFERROR(INDEX('Operations Forecast_new'!$15:$15,MATCH(DB[[#This Row],[Datum]],'Operations Forecast_new'!$2:$2,0)),0)</f>
        <v>5068.8</v>
      </c>
      <c r="AL46" s="858">
        <f>IFERROR(INDEX('Operations Forecast_new'!$21:$21,MATCH(DB[[#This Row],[Datum]],'Operations Forecast_new'!$2:$2,0)),0)</f>
        <v>0</v>
      </c>
      <c r="AM46" s="178">
        <f>IFERROR(INDEX('Operations Forecast_new'!$8:$8,MATCH(DB[[#This Row],[Datum]],'Operations Forecast_new'!$2:$2,0)),0)</f>
        <v>0</v>
      </c>
      <c r="AN46" s="859">
        <f>IFERROR(INDEX('Operations Forecast_new'!$20:$20,MATCH(DB[[#This Row],[Datum]],'Operations Forecast_new'!$2:$2,0)),0)</f>
        <v>53.52513125092981</v>
      </c>
      <c r="AO46" s="44" t="str">
        <f t="shared" si="35"/>
        <v>-</v>
      </c>
      <c r="AP46" s="404">
        <f t="shared" si="36"/>
        <v>50.688000000000002</v>
      </c>
      <c r="AQ46" s="44">
        <f t="shared" si="13"/>
        <v>0</v>
      </c>
      <c r="AR46" s="44" cm="1">
        <f t="array" ref="AR46">IFERROR(INDEX('ST Forecast'!$E$2:$RK$36,25,M46)+(INDEX('ST Forecast'!$E$2:$RK$36,29,M46)),"")</f>
        <v>0</v>
      </c>
      <c r="AS46" s="44" cm="1">
        <f t="array" ref="AS46">IFERROR(INDEX('ST Forecast'!$E$2:$RK$36,26,M46)+INDEX('ST Forecast'!$E$2:$RK$36,30,M46),"")</f>
        <v>0</v>
      </c>
      <c r="AT46" s="44" cm="1">
        <f t="array" ref="AT46">IFERROR(INDEX('ST Forecast'!$E$2:$RK$36,27,M46)+INDEX('ST Forecast'!$E$2:$RK$36,31,M46),"")</f>
        <v>0</v>
      </c>
      <c r="AU46" s="44" cm="1">
        <f t="array" ref="AU46">IFERROR(INDEX('ST Forecast'!$E$2:$RK$36,28,M46),"")</f>
        <v>0</v>
      </c>
      <c r="AV46" s="44" cm="1">
        <f t="array" ref="AV46">IFERROR(INDEX('ST Forecast'!$E$2:$RK$36,29,M46),"")</f>
        <v>0</v>
      </c>
      <c r="AW46" s="44">
        <f>DB[[#This Row],[Inbound FC]]-DB[[#This Row],[Inbound Act - Ultrafresh2]]</f>
        <v>0</v>
      </c>
      <c r="AX46" s="178" t="e">
        <f>#REF!</f>
        <v>#REF!</v>
      </c>
      <c r="AY46" s="178" t="e">
        <f>#REF!</f>
        <v>#REF!</v>
      </c>
      <c r="AZ46" s="178" t="e">
        <f>#REF!</f>
        <v>#REF!</v>
      </c>
      <c r="BA46" s="178">
        <f>MONTH(DB[[#This Row],[Datum]])</f>
        <v>2</v>
      </c>
    </row>
    <row r="47" spans="1:53" x14ac:dyDescent="0.3">
      <c r="A47" s="44">
        <f t="shared" si="23"/>
        <v>7</v>
      </c>
      <c r="B47" t="str">
        <f t="shared" si="24"/>
        <v>Wk 7</v>
      </c>
      <c r="C47" t="s">
        <v>113</v>
      </c>
      <c r="D47" s="313">
        <v>44606</v>
      </c>
      <c r="E47" s="44">
        <f>DB[[#This Row],[Sales-FC-Orders-Collect]]+DB[[#This Row],[Sales-FC-Orders-HD]]</f>
        <v>2300</v>
      </c>
      <c r="F47" s="402">
        <f>INDEX('LT Collect Forecast'!$K$1:$Q$55,MATCH(B47,'LT Collect Forecast'!$A:$A,0),MATCH(C47,'LT Collect Forecast'!$K$2:$Q$2,0))</f>
        <v>750</v>
      </c>
      <c r="G47" s="44">
        <f>INDEX('LT HD Forecast'!$K$1:$Q$55,MATCH(B47,'LT HD Forecast'!$A:$A,0),MATCH(C47,'LT HD Forecast'!$K$2:$Q$2,0))</f>
        <v>1550</v>
      </c>
      <c r="H47" s="44" cm="1">
        <f t="array" ref="H47">IFERROR(INDEX('ST Forecast'!$E$2:$RK$36,6,M47),"")</f>
        <v>47.804943632674814</v>
      </c>
      <c r="I47" s="44" cm="1">
        <f t="array" ref="I47">IFERROR(INDEX('ST Forecast'!$E$2:$RK$36,7,M47),"")</f>
        <v>49.323862767677412</v>
      </c>
      <c r="J47" s="44">
        <f>SUM(DB[[#This Row],[Sales-FC-Picks-Collect]:[Sales-FC-Picks-HD]])</f>
        <v>112305.6950144061</v>
      </c>
      <c r="K47" s="44">
        <f t="shared" si="25"/>
        <v>35853.707724506108</v>
      </c>
      <c r="L47" s="44">
        <f t="shared" si="26"/>
        <v>76451.987289899989</v>
      </c>
      <c r="M47" s="403">
        <f>IFERROR(IF(B47=B46,M46+1,MATCH(B47,'ST Forecast'!$E$2:$RK$2,0)+1),"")</f>
        <v>50</v>
      </c>
      <c r="N47">
        <f>SUM(DB[[#This Row],[Ops-FC-Orders-Collect]:[Ops-FC-Orders-HD]])</f>
        <v>2300</v>
      </c>
      <c r="O47" s="44" cm="1">
        <f t="array" ref="O47">IFERROR(INDEX('ST Forecast'!$E$2:$RK$36,13,M47),"")</f>
        <v>750</v>
      </c>
      <c r="P47" s="44">
        <f t="shared" si="27"/>
        <v>1550</v>
      </c>
      <c r="Q47" s="44" cm="1">
        <f t="array" ref="Q47">IFERROR(INDEX('ST Forecast'!$E$2:$RK$36,14,M47),"")</f>
        <v>650</v>
      </c>
      <c r="R47" s="44" cm="1">
        <f t="array" ref="R47">IFERROR(INDEX('ST Forecast'!$E$2:$RK$36,15,M47),"")</f>
        <v>900</v>
      </c>
      <c r="S47" s="312">
        <f>SUM(DB[[#This Row],[Ops-FC-Picks-Collect]:[Ops-FC-Picks-HD]])</f>
        <v>110059.58111411797</v>
      </c>
      <c r="T47" s="44">
        <f t="shared" si="28"/>
        <v>35136.633570015983</v>
      </c>
      <c r="U47" s="44">
        <f t="shared" si="29"/>
        <v>74922.947544101989</v>
      </c>
      <c r="V47" s="44">
        <f t="shared" si="30"/>
        <v>31419.30058301051</v>
      </c>
      <c r="W47" s="404">
        <f t="shared" si="31"/>
        <v>43503.646961091479</v>
      </c>
      <c r="X47" s="44">
        <f>SUM(DB[[#This Row],[Capped-Orders-Collect]:[Capped-Orders-HD]])</f>
        <v>90</v>
      </c>
      <c r="Y47">
        <f>INDEX('Operations Forecast'!$A$2:$BGY$47,3,MATCH(DB!D47,'Operations Forecast'!$A$2:$BGY$2))</f>
        <v>0</v>
      </c>
      <c r="Z47">
        <f t="shared" si="32"/>
        <v>90</v>
      </c>
      <c r="AA47">
        <f>INDEX('Operations Forecast'!$A$2:$BGY$47,10,MATCH(DB!D47,'Operations Forecast'!$A$2:$BGY$2))</f>
        <v>90</v>
      </c>
      <c r="AB47">
        <f>INDEX('Operations Forecast'!$A$2:$BGY$47,21,MATCH(DB!D47,'Operations Forecast'!$A$2:$BGY$2))</f>
        <v>0</v>
      </c>
      <c r="AC47" s="312">
        <f>SUM(DB[[#This Row],[Act-Orders-Collect]:[Act-Orders-HD]])</f>
        <v>2230</v>
      </c>
      <c r="AD47" s="858">
        <f>IFERROR(INDEX('Operations Forecast_new'!$7:$7,MATCH(DB[[#This Row],[Datum]],'Operations Forecast_new'!$2:$2,0)),0)</f>
        <v>755</v>
      </c>
      <c r="AE47" s="312">
        <f t="shared" si="33"/>
        <v>1475</v>
      </c>
      <c r="AF47" s="858">
        <f>IFERROR(INDEX('Operations Forecast_new'!$13:$13,MATCH(DB[[#This Row],[Datum]],'Operations Forecast_new'!$2:$2,0)),0)</f>
        <v>546</v>
      </c>
      <c r="AG47" s="858">
        <f>IFERROR(INDEX('Operations Forecast_new'!$19:$19,MATCH(DB[[#This Row],[Datum]],'Operations Forecast_new'!$2:$2,0)),0)</f>
        <v>929</v>
      </c>
      <c r="AH47" s="312">
        <f t="shared" si="9"/>
        <v>105293.43</v>
      </c>
      <c r="AI47" s="858">
        <f>IFERROR(INDEX('Operations Forecast_new'!$9:$9,MATCH(DB[[#This Row],[Datum]],'Operations Forecast_new'!$2:$2,0)),0)</f>
        <v>35055.404999999999</v>
      </c>
      <c r="AJ47" s="312">
        <f t="shared" si="34"/>
        <v>70238.024999999994</v>
      </c>
      <c r="AK47" s="858">
        <f>IFERROR(INDEX('Operations Forecast_new'!$15:$15,MATCH(DB[[#This Row],[Datum]],'Operations Forecast_new'!$2:$2,0)),0)</f>
        <v>25999.974000000002</v>
      </c>
      <c r="AL47" s="858">
        <f>IFERROR(INDEX('Operations Forecast_new'!$21:$21,MATCH(DB[[#This Row],[Datum]],'Operations Forecast_new'!$2:$2,0)),0)</f>
        <v>44238.050999999999</v>
      </c>
      <c r="AM47" s="178">
        <f>IFERROR(INDEX('Operations Forecast_new'!$8:$8,MATCH(DB[[#This Row],[Datum]],'Operations Forecast_new'!$2:$2,0)),0)</f>
        <v>46.9</v>
      </c>
      <c r="AN47" s="859">
        <f>IFERROR(INDEX('Operations Forecast_new'!$20:$20,MATCH(DB[[#This Row],[Datum]],'Operations Forecast_new'!$2:$2,0)),0)</f>
        <v>48.1</v>
      </c>
      <c r="AO47" s="44">
        <f t="shared" si="35"/>
        <v>46.430999999999997</v>
      </c>
      <c r="AP47" s="404">
        <f t="shared" si="36"/>
        <v>47.618999999999993</v>
      </c>
      <c r="AQ47" s="44">
        <f t="shared" si="13"/>
        <v>342987.99999999971</v>
      </c>
      <c r="AR47" s="44" cm="1">
        <f t="array" ref="AR47">IFERROR(INDEX('ST Forecast'!$E$2:$RK$36,25,M47)+(INDEX('ST Forecast'!$E$2:$RK$36,29,M47)),"")</f>
        <v>147902.29841560099</v>
      </c>
      <c r="AS47" s="44" cm="1">
        <f t="array" ref="AS47">IFERROR(INDEX('ST Forecast'!$E$2:$RK$36,26,M47)+INDEX('ST Forecast'!$E$2:$RK$36,30,M47),"")</f>
        <v>67739.7527781549</v>
      </c>
      <c r="AT47" s="44" cm="1">
        <f t="array" ref="AT47">IFERROR(INDEX('ST Forecast'!$E$2:$RK$36,27,M47)+INDEX('ST Forecast'!$E$2:$RK$36,31,M47),"")</f>
        <v>120979.8186029417</v>
      </c>
      <c r="AU47" s="44" cm="1">
        <f t="array" ref="AU47">IFERROR(INDEX('ST Forecast'!$E$2:$RK$36,28,M47),"")</f>
        <v>6366.1302033021602</v>
      </c>
      <c r="AV47" s="44" cm="1">
        <f t="array" ref="AV47">IFERROR(INDEX('ST Forecast'!$E$2:$RK$36,29,M47),"")</f>
        <v>0</v>
      </c>
      <c r="AW47" s="44">
        <f>DB[[#This Row],[Inbound FC]]-DB[[#This Row],[Inbound Act - Ultrafresh2]]</f>
        <v>342987.99999999971</v>
      </c>
      <c r="AX47" s="178" t="e">
        <f>#REF!</f>
        <v>#REF!</v>
      </c>
      <c r="AY47" s="178" t="e">
        <f>#REF!</f>
        <v>#REF!</v>
      </c>
      <c r="AZ47" s="178" t="e">
        <f>#REF!</f>
        <v>#REF!</v>
      </c>
      <c r="BA47" s="178">
        <f>MONTH(DB[[#This Row],[Datum]])</f>
        <v>2</v>
      </c>
    </row>
    <row r="48" spans="1:53" x14ac:dyDescent="0.3">
      <c r="A48" s="44">
        <f t="shared" si="23"/>
        <v>7</v>
      </c>
      <c r="B48" t="str">
        <f t="shared" si="24"/>
        <v>Wk 7</v>
      </c>
      <c r="C48" t="s">
        <v>114</v>
      </c>
      <c r="D48" s="313">
        <v>44607</v>
      </c>
      <c r="E48" s="44">
        <f>DB[[#This Row],[Sales-FC-Orders-Collect]]+DB[[#This Row],[Sales-FC-Orders-HD]]</f>
        <v>2600</v>
      </c>
      <c r="F48" s="402">
        <f>INDEX('LT Collect Forecast'!$K$1:$Q$55,MATCH(B48,'LT Collect Forecast'!$A:$A,0),MATCH(C48,'LT Collect Forecast'!$K$2:$Q$2,0))</f>
        <v>550</v>
      </c>
      <c r="G48" s="44">
        <f>INDEX('LT HD Forecast'!$K$1:$Q$55,MATCH(B48,'LT HD Forecast'!$A:$A,0),MATCH(C48,'LT HD Forecast'!$K$2:$Q$2,0))</f>
        <v>2050</v>
      </c>
      <c r="H48" s="44" cm="1">
        <f t="array" ref="H48">IFERROR(INDEX('ST Forecast'!$E$2:$RK$36,6,M48),"")</f>
        <v>49.412713909918601</v>
      </c>
      <c r="I48" s="44" cm="1">
        <f t="array" ref="I48">IFERROR(INDEX('ST Forecast'!$E$2:$RK$36,7,M48),"")</f>
        <v>50.484437646418584</v>
      </c>
      <c r="J48" s="44">
        <f>SUM(DB[[#This Row],[Sales-FC-Picks-Collect]:[Sales-FC-Picks-HD]])</f>
        <v>130670.08982561332</v>
      </c>
      <c r="K48" s="44">
        <f t="shared" si="25"/>
        <v>27176.992650455231</v>
      </c>
      <c r="L48" s="44">
        <f t="shared" si="26"/>
        <v>103493.09717515809</v>
      </c>
      <c r="M48" s="403">
        <f>IFERROR(IF(B48=B47,M47+1,MATCH(B48,'ST Forecast'!$E$2:$RK$2,0)+1),"")</f>
        <v>51</v>
      </c>
      <c r="N48">
        <f>SUM(DB[[#This Row],[Ops-FC-Orders-Collect]:[Ops-FC-Orders-HD]])</f>
        <v>2600</v>
      </c>
      <c r="O48" s="44" cm="1">
        <f t="array" ref="O48">IFERROR(INDEX('ST Forecast'!$E$2:$RK$36,13,M48),"")</f>
        <v>500</v>
      </c>
      <c r="P48" s="44">
        <f t="shared" si="27"/>
        <v>2100</v>
      </c>
      <c r="Q48" s="44" cm="1">
        <f t="array" ref="Q48">IFERROR(INDEX('ST Forecast'!$E$2:$RK$36,14,M48),"")</f>
        <v>1100</v>
      </c>
      <c r="R48" s="44" cm="1">
        <f t="array" ref="R48">IFERROR(INDEX('ST Forecast'!$E$2:$RK$36,15,M48),"")</f>
        <v>1000</v>
      </c>
      <c r="S48" s="312">
        <f>SUM(DB[[#This Row],[Ops-FC-Picks-Collect]:[Ops-FC-Picks-HD]])</f>
        <v>128109.20249218956</v>
      </c>
      <c r="T48" s="44">
        <f t="shared" si="28"/>
        <v>24212.229815860115</v>
      </c>
      <c r="U48" s="44">
        <f t="shared" si="29"/>
        <v>103896.97267632945</v>
      </c>
      <c r="V48" s="44">
        <f t="shared" si="30"/>
        <v>54422.223782839232</v>
      </c>
      <c r="W48" s="404">
        <f t="shared" si="31"/>
        <v>49474.748893490214</v>
      </c>
      <c r="X48" s="44">
        <f>SUM(DB[[#This Row],[Capped-Orders-Collect]:[Capped-Orders-HD]])</f>
        <v>90</v>
      </c>
      <c r="Y48">
        <f>INDEX('Operations Forecast'!$A$2:$BGY$47,3,MATCH(DB!D48,'Operations Forecast'!$A$2:$BGY$2))</f>
        <v>0</v>
      </c>
      <c r="Z48">
        <f t="shared" si="32"/>
        <v>90</v>
      </c>
      <c r="AA48">
        <f>INDEX('Operations Forecast'!$A$2:$BGY$47,10,MATCH(DB!D48,'Operations Forecast'!$A$2:$BGY$2))</f>
        <v>90</v>
      </c>
      <c r="AB48">
        <f>INDEX('Operations Forecast'!$A$2:$BGY$47,21,MATCH(DB!D48,'Operations Forecast'!$A$2:$BGY$2))</f>
        <v>0</v>
      </c>
      <c r="AC48" s="312">
        <f>SUM(DB[[#This Row],[Act-Orders-Collect]:[Act-Orders-HD]])</f>
        <v>2410</v>
      </c>
      <c r="AD48" s="858">
        <f>IFERROR(INDEX('Operations Forecast_new'!$7:$7,MATCH(DB[[#This Row],[Datum]],'Operations Forecast_new'!$2:$2,0)),0)</f>
        <v>500</v>
      </c>
      <c r="AE48" s="312">
        <f t="shared" si="33"/>
        <v>1910</v>
      </c>
      <c r="AF48" s="858">
        <f>IFERROR(INDEX('Operations Forecast_new'!$13:$13,MATCH(DB[[#This Row],[Datum]],'Operations Forecast_new'!$2:$2,0)),0)</f>
        <v>870</v>
      </c>
      <c r="AG48" s="858">
        <f>IFERROR(INDEX('Operations Forecast_new'!$19:$19,MATCH(DB[[#This Row],[Datum]],'Operations Forecast_new'!$2:$2,0)),0)</f>
        <v>1040</v>
      </c>
      <c r="AH48" s="312">
        <f t="shared" si="9"/>
        <v>114595.47</v>
      </c>
      <c r="AI48" s="858">
        <f>IFERROR(INDEX('Operations Forecast_new'!$9:$9,MATCH(DB[[#This Row],[Datum]],'Operations Forecast_new'!$2:$2,0)),0)</f>
        <v>23265</v>
      </c>
      <c r="AJ48" s="312">
        <f t="shared" si="34"/>
        <v>91330.47</v>
      </c>
      <c r="AK48" s="858">
        <f>IFERROR(INDEX('Operations Forecast_new'!$15:$15,MATCH(DB[[#This Row],[Datum]],'Operations Forecast_new'!$2:$2,0)),0)</f>
        <v>41600.79</v>
      </c>
      <c r="AL48" s="858">
        <f>IFERROR(INDEX('Operations Forecast_new'!$21:$21,MATCH(DB[[#This Row],[Datum]],'Operations Forecast_new'!$2:$2,0)),0)</f>
        <v>49729.68</v>
      </c>
      <c r="AM48" s="178">
        <f>IFERROR(INDEX('Operations Forecast_new'!$8:$8,MATCH(DB[[#This Row],[Datum]],'Operations Forecast_new'!$2:$2,0)),0)</f>
        <v>47</v>
      </c>
      <c r="AN48" s="859">
        <f>IFERROR(INDEX('Operations Forecast_new'!$20:$20,MATCH(DB[[#This Row],[Datum]],'Operations Forecast_new'!$2:$2,0)),0)</f>
        <v>48.3</v>
      </c>
      <c r="AO48" s="44">
        <f t="shared" si="35"/>
        <v>46.53</v>
      </c>
      <c r="AP48" s="404">
        <f t="shared" si="36"/>
        <v>47.817</v>
      </c>
      <c r="AQ48" s="44">
        <f t="shared" si="13"/>
        <v>147310.00000000006</v>
      </c>
      <c r="AR48" s="44" cm="1">
        <f t="array" ref="AR48">IFERROR(INDEX('ST Forecast'!$E$2:$RK$36,25,M48)+(INDEX('ST Forecast'!$E$2:$RK$36,29,M48)),"")</f>
        <v>65206.195251952129</v>
      </c>
      <c r="AS48" s="44" cm="1">
        <f t="array" ref="AS48">IFERROR(INDEX('ST Forecast'!$E$2:$RK$36,26,M48)+INDEX('ST Forecast'!$E$2:$RK$36,30,M48),"")</f>
        <v>68393.501564107355</v>
      </c>
      <c r="AT48" s="44" cm="1">
        <f t="array" ref="AT48">IFERROR(INDEX('ST Forecast'!$E$2:$RK$36,27,M48)+INDEX('ST Forecast'!$E$2:$RK$36,31,M48),"")</f>
        <v>6435.4251939609594</v>
      </c>
      <c r="AU48" s="44" cm="1">
        <f t="array" ref="AU48">IFERROR(INDEX('ST Forecast'!$E$2:$RK$36,28,M48),"")</f>
        <v>7274.8779899796473</v>
      </c>
      <c r="AV48" s="44" cm="1">
        <f t="array" ref="AV48">IFERROR(INDEX('ST Forecast'!$E$2:$RK$36,29,M48),"")</f>
        <v>0</v>
      </c>
      <c r="AW48" s="44">
        <f>DB[[#This Row],[Inbound FC]]-DB[[#This Row],[Inbound Act - Ultrafresh2]]</f>
        <v>147310.00000000006</v>
      </c>
      <c r="AX48" s="178" t="e">
        <f>#REF!</f>
        <v>#REF!</v>
      </c>
      <c r="AY48" s="178" t="e">
        <f>#REF!</f>
        <v>#REF!</v>
      </c>
      <c r="AZ48" s="178" t="e">
        <f>#REF!</f>
        <v>#REF!</v>
      </c>
      <c r="BA48" s="178">
        <f>MONTH(DB[[#This Row],[Datum]])</f>
        <v>2</v>
      </c>
    </row>
    <row r="49" spans="1:53" x14ac:dyDescent="0.3">
      <c r="A49" s="44">
        <f t="shared" si="23"/>
        <v>7</v>
      </c>
      <c r="B49" t="str">
        <f t="shared" si="24"/>
        <v>Wk 7</v>
      </c>
      <c r="C49" t="s">
        <v>115</v>
      </c>
      <c r="D49" s="313">
        <v>44608</v>
      </c>
      <c r="E49" s="44">
        <f>DB[[#This Row],[Sales-FC-Orders-Collect]]+DB[[#This Row],[Sales-FC-Orders-HD]]</f>
        <v>2600</v>
      </c>
      <c r="F49" s="402">
        <f>INDEX('LT Collect Forecast'!$K$1:$Q$55,MATCH(B49,'LT Collect Forecast'!$A:$A,0),MATCH(C49,'LT Collect Forecast'!$K$2:$Q$2,0))</f>
        <v>550</v>
      </c>
      <c r="G49" s="44">
        <f>INDEX('LT HD Forecast'!$K$1:$Q$55,MATCH(B49,'LT HD Forecast'!$A:$A,0),MATCH(C49,'LT HD Forecast'!$K$2:$Q$2,0))</f>
        <v>2050</v>
      </c>
      <c r="H49" s="44" cm="1">
        <f t="array" ref="H49">IFERROR(INDEX('ST Forecast'!$E$2:$RK$36,6,M49),"")</f>
        <v>50.656071559667367</v>
      </c>
      <c r="I49" s="44" cm="1">
        <f t="array" ref="I49">IFERROR(INDEX('ST Forecast'!$E$2:$RK$36,7,M49),"")</f>
        <v>50.6252081971842</v>
      </c>
      <c r="J49" s="44">
        <f>SUM(DB[[#This Row],[Sales-FC-Picks-Collect]:[Sales-FC-Picks-HD]])</f>
        <v>131642.51616204466</v>
      </c>
      <c r="K49" s="44">
        <f t="shared" si="25"/>
        <v>27860.839357817051</v>
      </c>
      <c r="L49" s="44">
        <f t="shared" si="26"/>
        <v>103781.67680422761</v>
      </c>
      <c r="M49" s="403">
        <f>IFERROR(IF(B49=B48,M48+1,MATCH(B49,'ST Forecast'!$E$2:$RK$2,0)+1),"")</f>
        <v>52</v>
      </c>
      <c r="N49">
        <f>SUM(DB[[#This Row],[Ops-FC-Orders-Collect]:[Ops-FC-Orders-HD]])</f>
        <v>2600</v>
      </c>
      <c r="O49" s="44" cm="1">
        <f t="array" ref="O49">IFERROR(INDEX('ST Forecast'!$E$2:$RK$36,13,M49),"")</f>
        <v>500</v>
      </c>
      <c r="P49" s="44">
        <f t="shared" si="27"/>
        <v>2100</v>
      </c>
      <c r="Q49" s="44" cm="1">
        <f t="array" ref="Q49">IFERROR(INDEX('ST Forecast'!$E$2:$RK$36,14,M49),"")</f>
        <v>1100</v>
      </c>
      <c r="R49" s="44" cm="1">
        <f t="array" ref="R49">IFERROR(INDEX('ST Forecast'!$E$2:$RK$36,15,M49),"")</f>
        <v>1000</v>
      </c>
      <c r="S49" s="312">
        <f>SUM(DB[[#This Row],[Ops-FC-Picks-Collect]:[Ops-FC-Picks-HD]])</f>
        <v>129008.15353404208</v>
      </c>
      <c r="T49" s="44">
        <f t="shared" si="28"/>
        <v>24821.475064237009</v>
      </c>
      <c r="U49" s="44">
        <f t="shared" si="29"/>
        <v>104186.67846980508</v>
      </c>
      <c r="V49" s="44">
        <f t="shared" si="30"/>
        <v>54573.974436564567</v>
      </c>
      <c r="W49" s="404">
        <f t="shared" si="31"/>
        <v>49612.704033240516</v>
      </c>
      <c r="X49" s="44">
        <f>SUM(DB[[#This Row],[Capped-Orders-Collect]:[Capped-Orders-HD]])</f>
        <v>90</v>
      </c>
      <c r="Y49">
        <f>INDEX('Operations Forecast'!$A$2:$BGY$47,3,MATCH(DB!D49,'Operations Forecast'!$A$2:$BGY$2))</f>
        <v>0</v>
      </c>
      <c r="Z49">
        <f t="shared" si="32"/>
        <v>90</v>
      </c>
      <c r="AA49">
        <f>INDEX('Operations Forecast'!$A$2:$BGY$47,10,MATCH(DB!D49,'Operations Forecast'!$A$2:$BGY$2))</f>
        <v>90</v>
      </c>
      <c r="AB49">
        <f>INDEX('Operations Forecast'!$A$2:$BGY$47,21,MATCH(DB!D49,'Operations Forecast'!$A$2:$BGY$2))</f>
        <v>0</v>
      </c>
      <c r="AC49" s="312">
        <f>SUM(DB[[#This Row],[Act-Orders-Collect]:[Act-Orders-HD]])</f>
        <v>2226</v>
      </c>
      <c r="AD49" s="858">
        <f>IFERROR(INDEX('Operations Forecast_new'!$7:$7,MATCH(DB[[#This Row],[Datum]],'Operations Forecast_new'!$2:$2,0)),0)</f>
        <v>450</v>
      </c>
      <c r="AE49" s="312">
        <f t="shared" si="33"/>
        <v>1776</v>
      </c>
      <c r="AF49" s="858">
        <f>IFERROR(INDEX('Operations Forecast_new'!$13:$13,MATCH(DB[[#This Row],[Datum]],'Operations Forecast_new'!$2:$2,0)),0)</f>
        <v>866</v>
      </c>
      <c r="AG49" s="858">
        <f>IFERROR(INDEX('Operations Forecast_new'!$19:$19,MATCH(DB[[#This Row],[Datum]],'Operations Forecast_new'!$2:$2,0)),0)</f>
        <v>910</v>
      </c>
      <c r="AH49" s="312">
        <f t="shared" si="9"/>
        <v>106351.542</v>
      </c>
      <c r="AI49" s="858">
        <f>IFERROR(INDEX('Operations Forecast_new'!$9:$9,MATCH(DB[[#This Row],[Datum]],'Operations Forecast_new'!$2:$2,0)),0)</f>
        <v>21428.55</v>
      </c>
      <c r="AJ49" s="312">
        <f t="shared" si="34"/>
        <v>84922.991999999998</v>
      </c>
      <c r="AK49" s="858">
        <f>IFERROR(INDEX('Operations Forecast_new'!$15:$15,MATCH(DB[[#This Row],[Datum]],'Operations Forecast_new'!$2:$2,0)),0)</f>
        <v>41409.521999999997</v>
      </c>
      <c r="AL49" s="858">
        <f>IFERROR(INDEX('Operations Forecast_new'!$21:$21,MATCH(DB[[#This Row],[Datum]],'Operations Forecast_new'!$2:$2,0)),0)</f>
        <v>43513.47</v>
      </c>
      <c r="AM49" s="178">
        <f>IFERROR(INDEX('Operations Forecast_new'!$8:$8,MATCH(DB[[#This Row],[Datum]],'Operations Forecast_new'!$2:$2,0)),0)</f>
        <v>48.1</v>
      </c>
      <c r="AN49" s="859">
        <f>IFERROR(INDEX('Operations Forecast_new'!$20:$20,MATCH(DB[[#This Row],[Datum]],'Operations Forecast_new'!$2:$2,0)),0)</f>
        <v>48.3</v>
      </c>
      <c r="AO49" s="44">
        <f t="shared" si="35"/>
        <v>47.619</v>
      </c>
      <c r="AP49" s="404">
        <f t="shared" si="36"/>
        <v>47.817</v>
      </c>
      <c r="AQ49" s="44">
        <f t="shared" si="13"/>
        <v>151304.00000000009</v>
      </c>
      <c r="AR49" s="44" cm="1">
        <f t="array" ref="AR49">IFERROR(INDEX('ST Forecast'!$E$2:$RK$36,25,M49)+(INDEX('ST Forecast'!$E$2:$RK$36,29,M49)),"")</f>
        <v>60536.279021498696</v>
      </c>
      <c r="AS49" s="44" cm="1">
        <f t="array" ref="AS49">IFERROR(INDEX('ST Forecast'!$E$2:$RK$36,26,M49)+INDEX('ST Forecast'!$E$2:$RK$36,30,M49),"")</f>
        <v>61388.037190742783</v>
      </c>
      <c r="AT49" s="44" cm="1">
        <f t="array" ref="AT49">IFERROR(INDEX('ST Forecast'!$E$2:$RK$36,27,M49)+INDEX('ST Forecast'!$E$2:$RK$36,31,M49),"")</f>
        <v>20518.534991012835</v>
      </c>
      <c r="AU49" s="44" cm="1">
        <f t="array" ref="AU49">IFERROR(INDEX('ST Forecast'!$E$2:$RK$36,28,M49),"")</f>
        <v>8861.1487967457724</v>
      </c>
      <c r="AV49" s="44" cm="1">
        <f t="array" ref="AV49">IFERROR(INDEX('ST Forecast'!$E$2:$RK$36,29,M49),"")</f>
        <v>0</v>
      </c>
      <c r="AW49" s="44">
        <f>DB[[#This Row],[Inbound FC]]-DB[[#This Row],[Inbound Act - Ultrafresh2]]</f>
        <v>151304.00000000009</v>
      </c>
      <c r="AX49" s="178" t="e">
        <f>#REF!</f>
        <v>#REF!</v>
      </c>
      <c r="AY49" s="178" t="e">
        <f>#REF!</f>
        <v>#REF!</v>
      </c>
      <c r="AZ49" s="178" t="e">
        <f>#REF!</f>
        <v>#REF!</v>
      </c>
      <c r="BA49" s="178">
        <f>MONTH(DB[[#This Row],[Datum]])</f>
        <v>2</v>
      </c>
    </row>
    <row r="50" spans="1:53" x14ac:dyDescent="0.3">
      <c r="A50" s="44">
        <f t="shared" si="23"/>
        <v>7</v>
      </c>
      <c r="B50" t="str">
        <f t="shared" si="24"/>
        <v>Wk 7</v>
      </c>
      <c r="C50" t="s">
        <v>116</v>
      </c>
      <c r="D50" s="313">
        <v>44609</v>
      </c>
      <c r="E50" s="44">
        <f>DB[[#This Row],[Sales-FC-Orders-Collect]]+DB[[#This Row],[Sales-FC-Orders-HD]]</f>
        <v>2500</v>
      </c>
      <c r="F50" s="402" cm="1">
        <f t="array" ref="F50">INDEX('LT Collect Forecast'!$K$1:$Q$55,MATCH(B50,'LT Collect Forecast'!$A:$A,0)+1,MATCH(C50,'LT Collect Forecast'!$K$2:$Q$2,0))</f>
        <v>500</v>
      </c>
      <c r="G50" s="44" cm="1">
        <f t="array" ref="G50">INDEX('LT HD Forecast'!$K$1:$Q$55,MATCH(B50,'LT HD Forecast'!$A:$A,0)+1,MATCH(C50,'LT HD Forecast'!$K$2:$Q$2,0))</f>
        <v>2000</v>
      </c>
      <c r="H50" s="44" cm="1">
        <f t="array" ref="H50">IFERROR(INDEX('ST Forecast'!$E$2:$RK$36,6,M50),"")</f>
        <v>49.60583546338934</v>
      </c>
      <c r="I50" s="44" cm="1">
        <f t="array" ref="I50">IFERROR(INDEX('ST Forecast'!$E$2:$RK$36,7,M50),"")</f>
        <v>50.297197327742794</v>
      </c>
      <c r="J50" s="44">
        <f>SUM(DB[[#This Row],[Sales-FC-Picks-Collect]:[Sales-FC-Picks-HD]])</f>
        <v>125397.31238718027</v>
      </c>
      <c r="K50" s="44">
        <f t="shared" si="25"/>
        <v>24802.91773169467</v>
      </c>
      <c r="L50" s="44">
        <f t="shared" si="26"/>
        <v>100594.39465548559</v>
      </c>
      <c r="M50" s="403">
        <f>IFERROR(IF(B50=B49,M49+1,MATCH(B50,'ST Forecast'!$E$2:$RK$2,0)+1),"")</f>
        <v>53</v>
      </c>
      <c r="N50">
        <f>SUM(DB[[#This Row],[Ops-FC-Orders-Collect]:[Ops-FC-Orders-HD]])</f>
        <v>2500</v>
      </c>
      <c r="O50" s="44" cm="1">
        <f t="array" ref="O50">IFERROR(INDEX('ST Forecast'!$E$2:$RK$36,13,M50),"")</f>
        <v>500</v>
      </c>
      <c r="P50" s="44">
        <f t="shared" si="27"/>
        <v>2000</v>
      </c>
      <c r="Q50" s="44" cm="1">
        <f t="array" ref="Q50">IFERROR(INDEX('ST Forecast'!$E$2:$RK$36,14,M50),"")</f>
        <v>1050</v>
      </c>
      <c r="R50" s="44" cm="1">
        <f t="array" ref="R50">IFERROR(INDEX('ST Forecast'!$E$2:$RK$36,15,M50),"")</f>
        <v>950</v>
      </c>
      <c r="S50" s="312">
        <f>SUM(DB[[#This Row],[Ops-FC-Picks-Collect]:[Ops-FC-Picks-HD]])</f>
        <v>122889.36613943666</v>
      </c>
      <c r="T50" s="44">
        <f t="shared" si="28"/>
        <v>24306.859377060777</v>
      </c>
      <c r="U50" s="44">
        <f t="shared" si="29"/>
        <v>98582.50676237588</v>
      </c>
      <c r="V50" s="44">
        <f t="shared" si="30"/>
        <v>51755.816050247333</v>
      </c>
      <c r="W50" s="404">
        <f t="shared" si="31"/>
        <v>46826.69071212854</v>
      </c>
      <c r="X50" s="44">
        <f>SUM(DB[[#This Row],[Capped-Orders-Collect]:[Capped-Orders-HD]])</f>
        <v>90</v>
      </c>
      <c r="Y50">
        <f>INDEX('Operations Forecast'!$A$2:$BGY$47,3,MATCH(DB!D50,'Operations Forecast'!$A$2:$BGY$2))</f>
        <v>0</v>
      </c>
      <c r="Z50">
        <f t="shared" si="32"/>
        <v>90</v>
      </c>
      <c r="AA50">
        <f>INDEX('Operations Forecast'!$A$2:$BGY$47,10,MATCH(DB!D50,'Operations Forecast'!$A$2:$BGY$2))</f>
        <v>90</v>
      </c>
      <c r="AB50">
        <f>INDEX('Operations Forecast'!$A$2:$BGY$47,21,MATCH(DB!D50,'Operations Forecast'!$A$2:$BGY$2))</f>
        <v>0</v>
      </c>
      <c r="AC50" s="312">
        <f>SUM(DB[[#This Row],[Act-Orders-Collect]:[Act-Orders-HD]])</f>
        <v>2150</v>
      </c>
      <c r="AD50" s="858">
        <f>IFERROR(INDEX('Operations Forecast_new'!$7:$7,MATCH(DB[[#This Row],[Datum]],'Operations Forecast_new'!$2:$2,0)),0)</f>
        <v>480</v>
      </c>
      <c r="AE50" s="312">
        <f t="shared" si="33"/>
        <v>1670</v>
      </c>
      <c r="AF50" s="858">
        <f>IFERROR(INDEX('Operations Forecast_new'!$13:$13,MATCH(DB[[#This Row],[Datum]],'Operations Forecast_new'!$2:$2,0)),0)</f>
        <v>725</v>
      </c>
      <c r="AG50" s="858">
        <f>IFERROR(INDEX('Operations Forecast_new'!$19:$19,MATCH(DB[[#This Row],[Datum]],'Operations Forecast_new'!$2:$2,0)),0)</f>
        <v>945</v>
      </c>
      <c r="AH50" s="312">
        <f t="shared" si="9"/>
        <v>104788.53000000001</v>
      </c>
      <c r="AI50" s="858">
        <f>IFERROR(INDEX('Operations Forecast_new'!$9:$9,MATCH(DB[[#This Row],[Datum]],'Operations Forecast_new'!$2:$2,0)),0)</f>
        <v>22619.52</v>
      </c>
      <c r="AJ50" s="312">
        <f t="shared" si="34"/>
        <v>82169.010000000009</v>
      </c>
      <c r="AK50" s="858">
        <f>IFERROR(INDEX('Operations Forecast_new'!$15:$15,MATCH(DB[[#This Row],[Datum]],'Operations Forecast_new'!$2:$2,0)),0)</f>
        <v>35672.175000000003</v>
      </c>
      <c r="AL50" s="858">
        <f>IFERROR(INDEX('Operations Forecast_new'!$21:$21,MATCH(DB[[#This Row],[Datum]],'Operations Forecast_new'!$2:$2,0)),0)</f>
        <v>46496.834999999999</v>
      </c>
      <c r="AM50" s="178">
        <f>IFERROR(INDEX('Operations Forecast_new'!$8:$8,MATCH(DB[[#This Row],[Datum]],'Operations Forecast_new'!$2:$2,0)),0)</f>
        <v>47.6</v>
      </c>
      <c r="AN50" s="859">
        <f>IFERROR(INDEX('Operations Forecast_new'!$20:$20,MATCH(DB[[#This Row],[Datum]],'Operations Forecast_new'!$2:$2,0)),0)</f>
        <v>49.7</v>
      </c>
      <c r="AO50" s="44">
        <f t="shared" si="35"/>
        <v>47.124000000000002</v>
      </c>
      <c r="AP50" s="404">
        <f t="shared" si="36"/>
        <v>49.203000000000003</v>
      </c>
      <c r="AQ50" s="44">
        <f t="shared" si="13"/>
        <v>134488.00000000009</v>
      </c>
      <c r="AR50" s="44" cm="1">
        <f t="array" ref="AR50">IFERROR(INDEX('ST Forecast'!$E$2:$RK$36,25,M50)+(INDEX('ST Forecast'!$E$2:$RK$36,29,M50)),"")</f>
        <v>57180.579026895146</v>
      </c>
      <c r="AS50" s="44" cm="1">
        <f t="array" ref="AS50">IFERROR(INDEX('ST Forecast'!$E$2:$RK$36,26,M50)+INDEX('ST Forecast'!$E$2:$RK$36,30,M50),"")</f>
        <v>57124.098150000296</v>
      </c>
      <c r="AT50" s="44" cm="1">
        <f t="array" ref="AT50">IFERROR(INDEX('ST Forecast'!$E$2:$RK$36,27,M50)+INDEX('ST Forecast'!$E$2:$RK$36,31,M50),"")</f>
        <v>10952.349339017601</v>
      </c>
      <c r="AU50" s="44" cm="1">
        <f t="array" ref="AU50">IFERROR(INDEX('ST Forecast'!$E$2:$RK$36,28,M50),"")</f>
        <v>9230.9734840870406</v>
      </c>
      <c r="AV50" s="44" cm="1">
        <f t="array" ref="AV50">IFERROR(INDEX('ST Forecast'!$E$2:$RK$36,29,M50),"")</f>
        <v>0</v>
      </c>
      <c r="AW50" s="44">
        <f>DB[[#This Row],[Inbound FC]]-DB[[#This Row],[Inbound Act - Ultrafresh2]]</f>
        <v>134488.00000000009</v>
      </c>
      <c r="AX50" s="178" t="e">
        <f>#REF!</f>
        <v>#REF!</v>
      </c>
      <c r="AY50" s="178" t="e">
        <f>#REF!</f>
        <v>#REF!</v>
      </c>
      <c r="AZ50" s="178" t="e">
        <f>#REF!</f>
        <v>#REF!</v>
      </c>
      <c r="BA50" s="178">
        <f>MONTH(DB[[#This Row],[Datum]])</f>
        <v>2</v>
      </c>
    </row>
    <row r="51" spans="1:53" x14ac:dyDescent="0.3">
      <c r="A51" s="44">
        <f t="shared" si="23"/>
        <v>7</v>
      </c>
      <c r="B51" t="str">
        <f t="shared" si="24"/>
        <v>Wk 7</v>
      </c>
      <c r="C51" t="s">
        <v>117</v>
      </c>
      <c r="D51" s="313">
        <v>44610</v>
      </c>
      <c r="E51" s="44">
        <f>DB[[#This Row],[Sales-FC-Orders-Collect]]+DB[[#This Row],[Sales-FC-Orders-HD]]</f>
        <v>3050</v>
      </c>
      <c r="F51" s="402" cm="1">
        <f t="array" ref="F51">INDEX('LT Collect Forecast'!$K$1:$Q$55,MATCH(B51,'LT Collect Forecast'!$A:$A,0)+1,MATCH(C51,'LT Collect Forecast'!$K$2:$Q$2,0))</f>
        <v>1000</v>
      </c>
      <c r="G51" s="44" cm="1">
        <f t="array" ref="G51">INDEX('LT HD Forecast'!$K$1:$Q$55,MATCH(B51,'LT HD Forecast'!$A:$A,0)+1,MATCH(C51,'LT HD Forecast'!$K$2:$Q$2,0))</f>
        <v>2050</v>
      </c>
      <c r="H51" s="44" cm="1">
        <f t="array" ref="H51">IFERROR(INDEX('ST Forecast'!$E$2:$RK$36,6,M51),"")</f>
        <v>52.296486312906282</v>
      </c>
      <c r="I51" s="44" cm="1">
        <f t="array" ref="I51">IFERROR(INDEX('ST Forecast'!$E$2:$RK$36,7,M51),"")</f>
        <v>52.844192173725169</v>
      </c>
      <c r="J51" s="44">
        <f>SUM(DB[[#This Row],[Sales-FC-Picks-Collect]:[Sales-FC-Picks-HD]])</f>
        <v>160627.08026904287</v>
      </c>
      <c r="K51" s="44">
        <f t="shared" si="25"/>
        <v>52296.48631290628</v>
      </c>
      <c r="L51" s="44">
        <f t="shared" si="26"/>
        <v>108330.5939561366</v>
      </c>
      <c r="M51" s="403">
        <f>IFERROR(IF(B51=B50,M50+1,MATCH(B51,'ST Forecast'!$E$2:$RK$2,0)+1),"")</f>
        <v>54</v>
      </c>
      <c r="N51">
        <f>SUM(DB[[#This Row],[Ops-FC-Orders-Collect]:[Ops-FC-Orders-HD]])</f>
        <v>3050</v>
      </c>
      <c r="O51" s="44" cm="1">
        <f t="array" ref="O51">IFERROR(INDEX('ST Forecast'!$E$2:$RK$36,13,M51),"")</f>
        <v>1000</v>
      </c>
      <c r="P51" s="44">
        <f t="shared" si="27"/>
        <v>2050</v>
      </c>
      <c r="Q51" s="44" cm="1">
        <f t="array" ref="Q51">IFERROR(INDEX('ST Forecast'!$E$2:$RK$36,14,M51),"")</f>
        <v>1050</v>
      </c>
      <c r="R51" s="44" cm="1">
        <f t="array" ref="R51">IFERROR(INDEX('ST Forecast'!$E$2:$RK$36,15,M51),"")</f>
        <v>1000</v>
      </c>
      <c r="S51" s="312">
        <f>SUM(DB[[#This Row],[Ops-FC-Picks-Collect]:[Ops-FC-Picks-HD]])</f>
        <v>157414.53866366201</v>
      </c>
      <c r="T51" s="44">
        <f t="shared" si="28"/>
        <v>51250.556586648156</v>
      </c>
      <c r="U51" s="44">
        <f t="shared" si="29"/>
        <v>106163.98207701386</v>
      </c>
      <c r="V51" s="44">
        <f t="shared" si="30"/>
        <v>54376.673746763197</v>
      </c>
      <c r="W51" s="404">
        <f t="shared" si="31"/>
        <v>51787.308330250664</v>
      </c>
      <c r="X51" s="44">
        <f>SUM(DB[[#This Row],[Capped-Orders-Collect]:[Capped-Orders-HD]])</f>
        <v>90</v>
      </c>
      <c r="Y51">
        <f>INDEX('Operations Forecast'!$A$2:$BGY$47,3,MATCH(DB!D51,'Operations Forecast'!$A$2:$BGY$2))</f>
        <v>0</v>
      </c>
      <c r="Z51">
        <f t="shared" si="32"/>
        <v>90</v>
      </c>
      <c r="AA51">
        <f>INDEX('Operations Forecast'!$A$2:$BGY$47,10,MATCH(DB!D51,'Operations Forecast'!$A$2:$BGY$2))</f>
        <v>90</v>
      </c>
      <c r="AB51">
        <f>INDEX('Operations Forecast'!$A$2:$BGY$47,21,MATCH(DB!D51,'Operations Forecast'!$A$2:$BGY$2))</f>
        <v>0</v>
      </c>
      <c r="AC51" s="312">
        <f>SUM(DB[[#This Row],[Act-Orders-Collect]:[Act-Orders-HD]])</f>
        <v>2920</v>
      </c>
      <c r="AD51" s="858">
        <f>IFERROR(INDEX('Operations Forecast_new'!$7:$7,MATCH(DB[[#This Row],[Datum]],'Operations Forecast_new'!$2:$2,0)),0)</f>
        <v>1120</v>
      </c>
      <c r="AE51" s="312">
        <f t="shared" si="33"/>
        <v>1800</v>
      </c>
      <c r="AF51" s="858">
        <f>IFERROR(INDEX('Operations Forecast_new'!$13:$13,MATCH(DB[[#This Row],[Datum]],'Operations Forecast_new'!$2:$2,0)),0)</f>
        <v>925</v>
      </c>
      <c r="AG51" s="858">
        <f>IFERROR(INDEX('Operations Forecast_new'!$19:$19,MATCH(DB[[#This Row],[Datum]],'Operations Forecast_new'!$2:$2,0)),0)</f>
        <v>875</v>
      </c>
      <c r="AH51" s="312">
        <f t="shared" si="9"/>
        <v>144231.12</v>
      </c>
      <c r="AI51" s="858">
        <f>IFERROR(INDEX('Operations Forecast_new'!$9:$9,MATCH(DB[[#This Row],[Datum]],'Operations Forecast_new'!$2:$2,0)),0)</f>
        <v>54774.720000000001</v>
      </c>
      <c r="AJ51" s="312">
        <f t="shared" si="34"/>
        <v>89456.4</v>
      </c>
      <c r="AK51" s="858">
        <f>IFERROR(INDEX('Operations Forecast_new'!$15:$15,MATCH(DB[[#This Row],[Datum]],'Operations Forecast_new'!$2:$2,0)),0)</f>
        <v>45970.65</v>
      </c>
      <c r="AL51" s="858">
        <f>IFERROR(INDEX('Operations Forecast_new'!$21:$21,MATCH(DB[[#This Row],[Datum]],'Operations Forecast_new'!$2:$2,0)),0)</f>
        <v>43485.75</v>
      </c>
      <c r="AM51" s="178">
        <f>IFERROR(INDEX('Operations Forecast_new'!$8:$8,MATCH(DB[[#This Row],[Datum]],'Operations Forecast_new'!$2:$2,0)),0)</f>
        <v>49.4</v>
      </c>
      <c r="AN51" s="859">
        <f>IFERROR(INDEX('Operations Forecast_new'!$20:$20,MATCH(DB[[#This Row],[Datum]],'Operations Forecast_new'!$2:$2,0)),0)</f>
        <v>50.2</v>
      </c>
      <c r="AO51" s="44">
        <f t="shared" si="35"/>
        <v>48.905999999999999</v>
      </c>
      <c r="AP51" s="404">
        <f t="shared" si="36"/>
        <v>49.697999999999993</v>
      </c>
      <c r="AQ51" s="44">
        <f t="shared" si="13"/>
        <v>129418.00000000007</v>
      </c>
      <c r="AR51" s="44" cm="1">
        <f t="array" ref="AR51">IFERROR(INDEX('ST Forecast'!$E$2:$RK$36,25,M51)+(INDEX('ST Forecast'!$E$2:$RK$36,29,M51)),"")</f>
        <v>57286.371441973664</v>
      </c>
      <c r="AS51" s="44" cm="1">
        <f t="array" ref="AS51">IFERROR(INDEX('ST Forecast'!$E$2:$RK$36,26,M51)+INDEX('ST Forecast'!$E$2:$RK$36,30,M51),"")</f>
        <v>57354.147934372944</v>
      </c>
      <c r="AT51" s="44" cm="1">
        <f t="array" ref="AT51">IFERROR(INDEX('ST Forecast'!$E$2:$RK$36,27,M51)+INDEX('ST Forecast'!$E$2:$RK$36,31,M51),"")</f>
        <v>5653.7903587810697</v>
      </c>
      <c r="AU51" s="44" cm="1">
        <f t="array" ref="AU51">IFERROR(INDEX('ST Forecast'!$E$2:$RK$36,28,M51),"")</f>
        <v>9123.6902648723881</v>
      </c>
      <c r="AV51" s="44" cm="1">
        <f t="array" ref="AV51">IFERROR(INDEX('ST Forecast'!$E$2:$RK$36,29,M51),"")</f>
        <v>0</v>
      </c>
      <c r="AW51" s="44">
        <f>DB[[#This Row],[Inbound FC]]-DB[[#This Row],[Inbound Act - Ultrafresh2]]</f>
        <v>129418.00000000007</v>
      </c>
      <c r="AX51" s="178" t="e">
        <f>#REF!</f>
        <v>#REF!</v>
      </c>
      <c r="AY51" s="178" t="e">
        <f>#REF!</f>
        <v>#REF!</v>
      </c>
      <c r="AZ51" s="178" t="e">
        <f>#REF!</f>
        <v>#REF!</v>
      </c>
      <c r="BA51" s="178">
        <f>MONTH(DB[[#This Row],[Datum]])</f>
        <v>2</v>
      </c>
    </row>
    <row r="52" spans="1:53" x14ac:dyDescent="0.3">
      <c r="A52" s="44">
        <f t="shared" si="23"/>
        <v>7</v>
      </c>
      <c r="B52" t="str">
        <f t="shared" si="24"/>
        <v>Wk 7</v>
      </c>
      <c r="C52" t="s">
        <v>118</v>
      </c>
      <c r="D52" s="313">
        <v>44611</v>
      </c>
      <c r="E52" s="44">
        <f>DB[[#This Row],[Sales-FC-Orders-Collect]]+DB[[#This Row],[Sales-FC-Orders-HD]]</f>
        <v>2900</v>
      </c>
      <c r="F52" s="402" cm="1">
        <f t="array" ref="F52">INDEX('LT Collect Forecast'!$K$1:$Q$55,MATCH(B52,'LT Collect Forecast'!$A:$A,0)+1,MATCH(C52,'LT Collect Forecast'!$K$2:$Q$2,0))</f>
        <v>1000</v>
      </c>
      <c r="G52" s="44" cm="1">
        <f t="array" ref="G52">INDEX('LT HD Forecast'!$K$1:$Q$55,MATCH(B52,'LT HD Forecast'!$A:$A,0)+1,MATCH(C52,'LT HD Forecast'!$K$2:$Q$2,0))</f>
        <v>1900</v>
      </c>
      <c r="H52" s="44" cm="1">
        <f t="array" ref="H52">IFERROR(INDEX('ST Forecast'!$E$2:$RK$36,6,M52),"")</f>
        <v>50.873471249806904</v>
      </c>
      <c r="I52" s="44" cm="1">
        <f t="array" ref="I52">IFERROR(INDEX('ST Forecast'!$E$2:$RK$36,7,M52),"")</f>
        <v>52.265285018238252</v>
      </c>
      <c r="J52" s="44">
        <f>SUM(DB[[#This Row],[Sales-FC-Picks-Collect]:[Sales-FC-Picks-HD]])</f>
        <v>150177.5127844596</v>
      </c>
      <c r="K52" s="44">
        <f t="shared" si="25"/>
        <v>50873.471249806906</v>
      </c>
      <c r="L52" s="44">
        <f t="shared" si="26"/>
        <v>99304.041534652686</v>
      </c>
      <c r="M52" s="403">
        <f>IFERROR(IF(B52=B51,M51+1,MATCH(B52,'ST Forecast'!$E$2:$RK$2,0)+1),"")</f>
        <v>55</v>
      </c>
      <c r="N52">
        <f>SUM(DB[[#This Row],[Ops-FC-Orders-Collect]:[Ops-FC-Orders-HD]])</f>
        <v>2900</v>
      </c>
      <c r="O52" s="44" cm="1">
        <f t="array" ref="O52">IFERROR(INDEX('ST Forecast'!$E$2:$RK$36,13,M52),"")</f>
        <v>1000</v>
      </c>
      <c r="P52" s="44">
        <f t="shared" si="27"/>
        <v>1900</v>
      </c>
      <c r="Q52" s="44" cm="1">
        <f t="array" ref="Q52">IFERROR(INDEX('ST Forecast'!$E$2:$RK$36,14,M52),"")</f>
        <v>1000</v>
      </c>
      <c r="R52" s="44" cm="1">
        <f t="array" ref="R52">IFERROR(INDEX('ST Forecast'!$E$2:$RK$36,15,M52),"")</f>
        <v>900</v>
      </c>
      <c r="S52" s="312">
        <f>SUM(DB[[#This Row],[Ops-FC-Picks-Collect]:[Ops-FC-Picks-HD]])</f>
        <v>147173.96252877038</v>
      </c>
      <c r="T52" s="44">
        <f t="shared" si="28"/>
        <v>49856.001824810766</v>
      </c>
      <c r="U52" s="44">
        <f t="shared" si="29"/>
        <v>97317.96070395963</v>
      </c>
      <c r="V52" s="44">
        <f t="shared" si="30"/>
        <v>51219.979317873491</v>
      </c>
      <c r="W52" s="404">
        <f t="shared" si="31"/>
        <v>46097.98138608614</v>
      </c>
      <c r="X52" s="44">
        <f>SUM(DB[[#This Row],[Capped-Orders-Collect]:[Capped-Orders-HD]])</f>
        <v>90</v>
      </c>
      <c r="Y52">
        <f>INDEX('Operations Forecast'!$A$2:$BGY$47,3,MATCH(DB!D52,'Operations Forecast'!$A$2:$BGY$2))</f>
        <v>0</v>
      </c>
      <c r="Z52">
        <f t="shared" si="32"/>
        <v>90</v>
      </c>
      <c r="AA52">
        <f>INDEX('Operations Forecast'!$A$2:$BGY$47,10,MATCH(DB!D52,'Operations Forecast'!$A$2:$BGY$2))</f>
        <v>90</v>
      </c>
      <c r="AB52">
        <f>INDEX('Operations Forecast'!$A$2:$BGY$47,21,MATCH(DB!D52,'Operations Forecast'!$A$2:$BGY$2))</f>
        <v>0</v>
      </c>
      <c r="AC52" s="312">
        <f>SUM(DB[[#This Row],[Act-Orders-Collect]:[Act-Orders-HD]])</f>
        <v>2670</v>
      </c>
      <c r="AD52" s="858">
        <f>IFERROR(INDEX('Operations Forecast_new'!$7:$7,MATCH(DB[[#This Row],[Datum]],'Operations Forecast_new'!$2:$2,0)),0)</f>
        <v>970</v>
      </c>
      <c r="AE52" s="312">
        <f t="shared" si="33"/>
        <v>1700</v>
      </c>
      <c r="AF52" s="858">
        <f>IFERROR(INDEX('Operations Forecast_new'!$13:$13,MATCH(DB[[#This Row],[Datum]],'Operations Forecast_new'!$2:$2,0)),0)</f>
        <v>925</v>
      </c>
      <c r="AG52" s="858">
        <f>IFERROR(INDEX('Operations Forecast_new'!$19:$19,MATCH(DB[[#This Row],[Datum]],'Operations Forecast_new'!$2:$2,0)),0)</f>
        <v>775</v>
      </c>
      <c r="AH52" s="312">
        <f t="shared" si="9"/>
        <v>129523.68</v>
      </c>
      <c r="AI52" s="858">
        <f>IFERROR(INDEX('Operations Forecast_new'!$9:$9,MATCH(DB[[#This Row],[Datum]],'Operations Forecast_new'!$2:$2,0)),0)</f>
        <v>45710.28</v>
      </c>
      <c r="AJ52" s="312">
        <f t="shared" si="34"/>
        <v>83813.399999999994</v>
      </c>
      <c r="AK52" s="858">
        <f>IFERROR(INDEX('Operations Forecast_new'!$15:$15,MATCH(DB[[#This Row],[Datum]],'Operations Forecast_new'!$2:$2,0)),0)</f>
        <v>45604.35</v>
      </c>
      <c r="AL52" s="858">
        <f>IFERROR(INDEX('Operations Forecast_new'!$21:$21,MATCH(DB[[#This Row],[Datum]],'Operations Forecast_new'!$2:$2,0)),0)</f>
        <v>38209.050000000003</v>
      </c>
      <c r="AM52" s="178">
        <f>IFERROR(INDEX('Operations Forecast_new'!$8:$8,MATCH(DB[[#This Row],[Datum]],'Operations Forecast_new'!$2:$2,0)),0)</f>
        <v>47.6</v>
      </c>
      <c r="AN52" s="859">
        <f>IFERROR(INDEX('Operations Forecast_new'!$20:$20,MATCH(DB[[#This Row],[Datum]],'Operations Forecast_new'!$2:$2,0)),0)</f>
        <v>49.8</v>
      </c>
      <c r="AO52" s="44">
        <f t="shared" si="35"/>
        <v>47.124000000000002</v>
      </c>
      <c r="AP52" s="404">
        <f t="shared" si="36"/>
        <v>49.302</v>
      </c>
      <c r="AQ52" s="44">
        <f t="shared" si="13"/>
        <v>116030.00000000001</v>
      </c>
      <c r="AR52" s="44" cm="1">
        <f t="array" ref="AR52">IFERROR(INDEX('ST Forecast'!$E$2:$RK$36,25,M52)+(INDEX('ST Forecast'!$E$2:$RK$36,29,M52)),"")</f>
        <v>60975.818450338513</v>
      </c>
      <c r="AS52" s="44" cm="1">
        <f t="array" ref="AS52">IFERROR(INDEX('ST Forecast'!$E$2:$RK$36,26,M52)+INDEX('ST Forecast'!$E$2:$RK$36,30,M52),"")</f>
        <v>43006.364001746639</v>
      </c>
      <c r="AT52" s="44" cm="1">
        <f t="array" ref="AT52">IFERROR(INDEX('ST Forecast'!$E$2:$RK$36,27,M52)+INDEX('ST Forecast'!$E$2:$RK$36,31,M52),"")</f>
        <v>5914.9548755898604</v>
      </c>
      <c r="AU52" s="44" cm="1">
        <f t="array" ref="AU52">IFERROR(INDEX('ST Forecast'!$E$2:$RK$36,28,M52),"")</f>
        <v>6132.8626723249999</v>
      </c>
      <c r="AV52" s="44" cm="1">
        <f t="array" ref="AV52">IFERROR(INDEX('ST Forecast'!$E$2:$RK$36,29,M52),"")</f>
        <v>0</v>
      </c>
      <c r="AW52" s="44">
        <f>DB[[#This Row],[Inbound FC]]-DB[[#This Row],[Inbound Act - Ultrafresh2]]</f>
        <v>116030.00000000001</v>
      </c>
      <c r="AX52" s="178" t="e">
        <f>#REF!</f>
        <v>#REF!</v>
      </c>
      <c r="AY52" s="178" t="e">
        <f>#REF!</f>
        <v>#REF!</v>
      </c>
      <c r="AZ52" s="178" t="e">
        <f>#REF!</f>
        <v>#REF!</v>
      </c>
      <c r="BA52" s="178">
        <f>MONTH(DB[[#This Row],[Datum]])</f>
        <v>2</v>
      </c>
    </row>
    <row r="53" spans="1:53" x14ac:dyDescent="0.3">
      <c r="A53" s="44">
        <f t="shared" si="23"/>
        <v>7</v>
      </c>
      <c r="B53" t="str">
        <f t="shared" si="24"/>
        <v>Wk 7</v>
      </c>
      <c r="C53" t="s">
        <v>119</v>
      </c>
      <c r="D53" s="313">
        <v>44612</v>
      </c>
      <c r="E53" s="44">
        <f>DB[[#This Row],[Sales-FC-Orders-Collect]]+DB[[#This Row],[Sales-FC-Orders-HD]]</f>
        <v>100</v>
      </c>
      <c r="F53" s="402" cm="1">
        <f t="array" ref="F53">INDEX('LT Collect Forecast'!$K$1:$Q$55,MATCH(B53,'LT Collect Forecast'!$A:$A,0)+1,MATCH(C53,'LT Collect Forecast'!$K$2:$Q$2,0))</f>
        <v>0</v>
      </c>
      <c r="G53" s="44" cm="1">
        <f t="array" ref="G53">INDEX('LT HD Forecast'!$K$1:$Q$55,MATCH(B53,'LT HD Forecast'!$A:$A,0)+1,MATCH(C53,'LT HD Forecast'!$K$2:$Q$2,0))</f>
        <v>100</v>
      </c>
      <c r="H53" s="44" cm="1">
        <f t="array" ref="H53">IFERROR(INDEX('ST Forecast'!$E$2:$RK$36,6,M53),"")</f>
        <v>0</v>
      </c>
      <c r="I53" s="44" cm="1">
        <f t="array" ref="I53">IFERROR(INDEX('ST Forecast'!$E$2:$RK$36,7,M53),"")</f>
        <v>54.714699446368876</v>
      </c>
      <c r="J53" s="44">
        <f>SUM(DB[[#This Row],[Sales-FC-Picks-Collect]:[Sales-FC-Picks-HD]])</f>
        <v>5471.4699446368877</v>
      </c>
      <c r="K53" s="44">
        <f t="shared" si="25"/>
        <v>0</v>
      </c>
      <c r="L53" s="44">
        <f t="shared" si="26"/>
        <v>5471.4699446368877</v>
      </c>
      <c r="M53" s="403">
        <f>IFERROR(IF(B53=B52,M52+1,MATCH(B53,'ST Forecast'!$E$2:$RK$2,0)+1),"")</f>
        <v>56</v>
      </c>
      <c r="N53">
        <f>SUM(DB[[#This Row],[Ops-FC-Orders-Collect]:[Ops-FC-Orders-HD]])</f>
        <v>200</v>
      </c>
      <c r="O53" s="44" cm="1">
        <f t="array" ref="O53">IFERROR(INDEX('ST Forecast'!$E$2:$RK$36,13,M53),"")</f>
        <v>0</v>
      </c>
      <c r="P53" s="44">
        <f t="shared" si="27"/>
        <v>200</v>
      </c>
      <c r="Q53" s="44" cm="1">
        <f t="array" ref="Q53">IFERROR(INDEX('ST Forecast'!$E$2:$RK$36,14,M53),"")</f>
        <v>200</v>
      </c>
      <c r="R53" s="44" cm="1">
        <f t="array" ref="R53">IFERROR(INDEX('ST Forecast'!$E$2:$RK$36,15,M53),"")</f>
        <v>0</v>
      </c>
      <c r="S53" s="312">
        <f>SUM(DB[[#This Row],[Ops-FC-Picks-Collect]:[Ops-FC-Picks-HD]])</f>
        <v>10724.0810914883</v>
      </c>
      <c r="T53" s="44">
        <f t="shared" si="28"/>
        <v>0</v>
      </c>
      <c r="U53" s="44">
        <f t="shared" si="29"/>
        <v>10724.0810914883</v>
      </c>
      <c r="V53" s="44">
        <f t="shared" si="30"/>
        <v>10724.0810914883</v>
      </c>
      <c r="W53" s="404">
        <f t="shared" si="31"/>
        <v>0</v>
      </c>
      <c r="X53" s="44">
        <f>SUM(DB[[#This Row],[Capped-Orders-Collect]:[Capped-Orders-HD]])</f>
        <v>90</v>
      </c>
      <c r="Y53">
        <f>INDEX('Operations Forecast'!$A$2:$BGY$47,3,MATCH(DB!D53,'Operations Forecast'!$A$2:$BGY$2))</f>
        <v>0</v>
      </c>
      <c r="Z53">
        <f t="shared" si="32"/>
        <v>90</v>
      </c>
      <c r="AA53">
        <f>INDEX('Operations Forecast'!$A$2:$BGY$47,10,MATCH(DB!D53,'Operations Forecast'!$A$2:$BGY$2))</f>
        <v>90</v>
      </c>
      <c r="AB53">
        <f>INDEX('Operations Forecast'!$A$2:$BGY$47,21,MATCH(DB!D53,'Operations Forecast'!$A$2:$BGY$2))</f>
        <v>0</v>
      </c>
      <c r="AC53" s="312">
        <f>SUM(DB[[#This Row],[Act-Orders-Collect]:[Act-Orders-HD]])</f>
        <v>85</v>
      </c>
      <c r="AD53" s="858">
        <f>IFERROR(INDEX('Operations Forecast_new'!$7:$7,MATCH(DB[[#This Row],[Datum]],'Operations Forecast_new'!$2:$2,0)),0)</f>
        <v>0</v>
      </c>
      <c r="AE53" s="312">
        <f t="shared" si="33"/>
        <v>85</v>
      </c>
      <c r="AF53" s="858">
        <f>IFERROR(INDEX('Operations Forecast_new'!$13:$13,MATCH(DB[[#This Row],[Datum]],'Operations Forecast_new'!$2:$2,0)),0)</f>
        <v>85</v>
      </c>
      <c r="AG53" s="858">
        <f>IFERROR(INDEX('Operations Forecast_new'!$19:$19,MATCH(DB[[#This Row],[Datum]],'Operations Forecast_new'!$2:$2,0)),0)</f>
        <v>0</v>
      </c>
      <c r="AH53" s="312">
        <f t="shared" si="9"/>
        <v>4586.1750000000002</v>
      </c>
      <c r="AI53" s="858">
        <f>IFERROR(INDEX('Operations Forecast_new'!$9:$9,MATCH(DB[[#This Row],[Datum]],'Operations Forecast_new'!$2:$2,0)),0)</f>
        <v>0</v>
      </c>
      <c r="AJ53" s="312">
        <f t="shared" si="34"/>
        <v>4586.1750000000002</v>
      </c>
      <c r="AK53" s="858">
        <f>IFERROR(INDEX('Operations Forecast_new'!$15:$15,MATCH(DB[[#This Row],[Datum]],'Operations Forecast_new'!$2:$2,0)),0)</f>
        <v>4586.1750000000002</v>
      </c>
      <c r="AL53" s="858">
        <f>IFERROR(INDEX('Operations Forecast_new'!$21:$21,MATCH(DB[[#This Row],[Datum]],'Operations Forecast_new'!$2:$2,0)),0)</f>
        <v>0</v>
      </c>
      <c r="AM53" s="178">
        <f>IFERROR(INDEX('Operations Forecast_new'!$8:$8,MATCH(DB[[#This Row],[Datum]],'Operations Forecast_new'!$2:$2,0)),0)</f>
        <v>0</v>
      </c>
      <c r="AN53" s="859">
        <f>IFERROR(INDEX('Operations Forecast_new'!$20:$20,MATCH(DB[[#This Row],[Datum]],'Operations Forecast_new'!$2:$2,0)),0)</f>
        <v>54.714699446368876</v>
      </c>
      <c r="AO53" s="44" t="str">
        <f t="shared" si="35"/>
        <v>-</v>
      </c>
      <c r="AP53" s="404">
        <f t="shared" si="36"/>
        <v>53.955000000000005</v>
      </c>
      <c r="AQ53" s="44">
        <f t="shared" si="13"/>
        <v>0</v>
      </c>
      <c r="AR53" s="44" cm="1">
        <f t="array" ref="AR53">IFERROR(INDEX('ST Forecast'!$E$2:$RK$36,25,M53)+(INDEX('ST Forecast'!$E$2:$RK$36,29,M53)),"")</f>
        <v>0</v>
      </c>
      <c r="AS53" s="44" cm="1">
        <f t="array" ref="AS53">IFERROR(INDEX('ST Forecast'!$E$2:$RK$36,26,M53)+INDEX('ST Forecast'!$E$2:$RK$36,30,M53),"")</f>
        <v>0</v>
      </c>
      <c r="AT53" s="44" cm="1">
        <f t="array" ref="AT53">IFERROR(INDEX('ST Forecast'!$E$2:$RK$36,27,M53)+INDEX('ST Forecast'!$E$2:$RK$36,31,M53),"")</f>
        <v>0</v>
      </c>
      <c r="AU53" s="44" cm="1">
        <f t="array" ref="AU53">IFERROR(INDEX('ST Forecast'!$E$2:$RK$36,28,M53),"")</f>
        <v>0</v>
      </c>
      <c r="AV53" s="44" cm="1">
        <f t="array" ref="AV53">IFERROR(INDEX('ST Forecast'!$E$2:$RK$36,29,M53),"")</f>
        <v>0</v>
      </c>
      <c r="AW53" s="44">
        <f>DB[[#This Row],[Inbound FC]]-DB[[#This Row],[Inbound Act - Ultrafresh2]]</f>
        <v>0</v>
      </c>
      <c r="AX53" s="178" t="e">
        <f>#REF!</f>
        <v>#REF!</v>
      </c>
      <c r="AY53" s="178" t="e">
        <f>#REF!</f>
        <v>#REF!</v>
      </c>
      <c r="AZ53" s="178" t="e">
        <f>#REF!</f>
        <v>#REF!</v>
      </c>
      <c r="BA53" s="178">
        <f>MONTH(DB[[#This Row],[Datum]])</f>
        <v>2</v>
      </c>
    </row>
    <row r="54" spans="1:53" x14ac:dyDescent="0.3">
      <c r="A54" s="44">
        <f t="shared" si="23"/>
        <v>8</v>
      </c>
      <c r="B54" t="str">
        <f t="shared" si="24"/>
        <v>Wk 8</v>
      </c>
      <c r="C54" t="s">
        <v>113</v>
      </c>
      <c r="D54" s="313">
        <v>44613</v>
      </c>
      <c r="E54" s="44">
        <f>DB[[#This Row],[Sales-FC-Orders-Collect]]+DB[[#This Row],[Sales-FC-Orders-HD]]</f>
        <v>2350</v>
      </c>
      <c r="F54" s="402">
        <f>INDEX('LT Collect Forecast'!$K$1:$Q$55,MATCH(B54,'LT Collect Forecast'!$A:$A,0),MATCH(C54,'LT Collect Forecast'!$K$2:$Q$2,0))</f>
        <v>750</v>
      </c>
      <c r="G54" s="44">
        <f>INDEX('LT HD Forecast'!$K$1:$Q$55,MATCH(B54,'LT HD Forecast'!$A:$A,0),MATCH(C54,'LT HD Forecast'!$K$2:$Q$2,0))</f>
        <v>1600</v>
      </c>
      <c r="H54" s="44" cm="1">
        <f t="array" ref="H54">IFERROR(INDEX('ST Forecast'!$E$2:$RK$36,6,M54),"")</f>
        <v>48.627944905628581</v>
      </c>
      <c r="I54" s="44" cm="1">
        <f t="array" ref="I54">IFERROR(INDEX('ST Forecast'!$E$2:$RK$36,7,M54),"")</f>
        <v>50.909683743797316</v>
      </c>
      <c r="J54" s="44">
        <f>SUM(DB[[#This Row],[Sales-FC-Picks-Collect]:[Sales-FC-Picks-HD]])</f>
        <v>117926.45266929714</v>
      </c>
      <c r="K54" s="44">
        <f t="shared" si="25"/>
        <v>36470.95867922144</v>
      </c>
      <c r="L54" s="44">
        <f t="shared" si="26"/>
        <v>81455.493990075702</v>
      </c>
      <c r="M54" s="403">
        <f>IFERROR(IF(B54=B53,M53+1,MATCH(B54,'ST Forecast'!$E$2:$RK$2,0)+1),"")</f>
        <v>58</v>
      </c>
      <c r="N54">
        <f>SUM(DB[[#This Row],[Ops-FC-Orders-Collect]:[Ops-FC-Orders-HD]])</f>
        <v>2300</v>
      </c>
      <c r="O54" s="44" cm="1">
        <f t="array" ref="O54">IFERROR(INDEX('ST Forecast'!$E$2:$RK$36,13,M54),"")</f>
        <v>700</v>
      </c>
      <c r="P54" s="44">
        <f t="shared" si="27"/>
        <v>1600</v>
      </c>
      <c r="Q54" s="44" cm="1">
        <f t="array" ref="Q54">IFERROR(INDEX('ST Forecast'!$E$2:$RK$36,14,M54),"")</f>
        <v>700</v>
      </c>
      <c r="R54" s="44" cm="1">
        <f t="array" ref="R54">IFERROR(INDEX('ST Forecast'!$E$2:$RK$36,15,M54),"")</f>
        <v>900</v>
      </c>
      <c r="S54" s="312">
        <f>SUM(DB[[#This Row],[Ops-FC-Picks-Collect]:[Ops-FC-Picks-HD]])</f>
        <v>113185.15431553542</v>
      </c>
      <c r="T54" s="44">
        <f t="shared" si="28"/>
        <v>33358.770205261208</v>
      </c>
      <c r="U54" s="44">
        <f t="shared" si="29"/>
        <v>79826.384110274201</v>
      </c>
      <c r="V54" s="44">
        <f t="shared" si="30"/>
        <v>34924.043048244959</v>
      </c>
      <c r="W54" s="404">
        <f t="shared" si="31"/>
        <v>44902.341062029234</v>
      </c>
      <c r="X54" s="44">
        <f>SUM(DB[[#This Row],[Capped-Orders-Collect]:[Capped-Orders-HD]])</f>
        <v>90</v>
      </c>
      <c r="Y54">
        <f>INDEX('Operations Forecast'!$A$2:$BGY$47,3,MATCH(DB!D54,'Operations Forecast'!$A$2:$BGY$2))</f>
        <v>0</v>
      </c>
      <c r="Z54">
        <f t="shared" si="32"/>
        <v>90</v>
      </c>
      <c r="AA54">
        <f>INDEX('Operations Forecast'!$A$2:$BGY$47,10,MATCH(DB!D54,'Operations Forecast'!$A$2:$BGY$2))</f>
        <v>90</v>
      </c>
      <c r="AB54">
        <f>INDEX('Operations Forecast'!$A$2:$BGY$47,21,MATCH(DB!D54,'Operations Forecast'!$A$2:$BGY$2))</f>
        <v>0</v>
      </c>
      <c r="AC54" s="312">
        <f>SUM(DB[[#This Row],[Act-Orders-Collect]:[Act-Orders-HD]])</f>
        <v>2433</v>
      </c>
      <c r="AD54" s="858">
        <f>IFERROR(INDEX('Operations Forecast_new'!$7:$7,MATCH(DB[[#This Row],[Datum]],'Operations Forecast_new'!$2:$2,0)),0)</f>
        <v>800</v>
      </c>
      <c r="AE54" s="312">
        <f t="shared" si="33"/>
        <v>1633</v>
      </c>
      <c r="AF54" s="858">
        <f>IFERROR(INDEX('Operations Forecast_new'!$13:$13,MATCH(DB[[#This Row],[Datum]],'Operations Forecast_new'!$2:$2,0)),0)</f>
        <v>640</v>
      </c>
      <c r="AG54" s="858">
        <f>IFERROR(INDEX('Operations Forecast_new'!$19:$19,MATCH(DB[[#This Row],[Datum]],'Operations Forecast_new'!$2:$2,0)),0)</f>
        <v>993</v>
      </c>
      <c r="AH54" s="312">
        <f t="shared" si="9"/>
        <v>110989.89000000001</v>
      </c>
      <c r="AI54" s="858">
        <f>IFERROR(INDEX('Operations Forecast_new'!$9:$9,MATCH(DB[[#This Row],[Datum]],'Operations Forecast_new'!$2:$2,0)),0)</f>
        <v>35006.400000000001</v>
      </c>
      <c r="AJ54" s="312">
        <f t="shared" si="34"/>
        <v>75983.490000000005</v>
      </c>
      <c r="AK54" s="858">
        <f>IFERROR(INDEX('Operations Forecast_new'!$15:$15,MATCH(DB[[#This Row],[Datum]],'Operations Forecast_new'!$2:$2,0)),0)</f>
        <v>29779.200000000001</v>
      </c>
      <c r="AL54" s="858">
        <f>IFERROR(INDEX('Operations Forecast_new'!$21:$21,MATCH(DB[[#This Row],[Datum]],'Operations Forecast_new'!$2:$2,0)),0)</f>
        <v>46204.29</v>
      </c>
      <c r="AM54" s="178">
        <f>IFERROR(INDEX('Operations Forecast_new'!$8:$8,MATCH(DB[[#This Row],[Datum]],'Operations Forecast_new'!$2:$2,0)),0)</f>
        <v>44.2</v>
      </c>
      <c r="AN54" s="859">
        <f>IFERROR(INDEX('Operations Forecast_new'!$20:$20,MATCH(DB[[#This Row],[Datum]],'Operations Forecast_new'!$2:$2,0)),0)</f>
        <v>47</v>
      </c>
      <c r="AO54" s="44">
        <f t="shared" si="35"/>
        <v>43.758000000000003</v>
      </c>
      <c r="AP54" s="404">
        <f t="shared" si="36"/>
        <v>46.53</v>
      </c>
      <c r="AQ54" s="44">
        <f t="shared" si="13"/>
        <v>220237</v>
      </c>
      <c r="AR54" s="44" cm="1">
        <f t="array" ref="AR54">IFERROR(INDEX('ST Forecast'!$E$2:$RK$36,25,M54)+(INDEX('ST Forecast'!$E$2:$RK$36,29,M54)),"")</f>
        <v>91629</v>
      </c>
      <c r="AS54" s="44" cm="1">
        <f t="array" ref="AS54">IFERROR(INDEX('ST Forecast'!$E$2:$RK$36,26,M54)+INDEX('ST Forecast'!$E$2:$RK$36,30,M54),"")</f>
        <v>65115</v>
      </c>
      <c r="AT54" s="44" cm="1">
        <f t="array" ref="AT54">IFERROR(INDEX('ST Forecast'!$E$2:$RK$36,27,M54)+INDEX('ST Forecast'!$E$2:$RK$36,31,M54),"")</f>
        <v>56510</v>
      </c>
      <c r="AU54" s="44" cm="1">
        <f t="array" ref="AU54">IFERROR(INDEX('ST Forecast'!$E$2:$RK$36,28,M54),"")</f>
        <v>6983</v>
      </c>
      <c r="AV54" s="44" cm="1">
        <f t="array" ref="AV54">IFERROR(INDEX('ST Forecast'!$E$2:$RK$36,29,M54),"")</f>
        <v>0</v>
      </c>
      <c r="AW54" s="44">
        <f>DB[[#This Row],[Inbound FC]]-DB[[#This Row],[Inbound Act - Ultrafresh2]]</f>
        <v>220237</v>
      </c>
      <c r="AX54" s="178" t="e">
        <f>#REF!</f>
        <v>#REF!</v>
      </c>
      <c r="AY54" s="178" t="e">
        <f>#REF!</f>
        <v>#REF!</v>
      </c>
      <c r="AZ54" s="178" t="e">
        <f>#REF!</f>
        <v>#REF!</v>
      </c>
      <c r="BA54" s="178">
        <f>MONTH(DB[[#This Row],[Datum]])</f>
        <v>2</v>
      </c>
    </row>
    <row r="55" spans="1:53" x14ac:dyDescent="0.3">
      <c r="A55" s="44">
        <f t="shared" si="23"/>
        <v>8</v>
      </c>
      <c r="B55" t="str">
        <f t="shared" si="24"/>
        <v>Wk 8</v>
      </c>
      <c r="C55" t="s">
        <v>114</v>
      </c>
      <c r="D55" s="313">
        <v>44614</v>
      </c>
      <c r="E55" s="44">
        <f>DB[[#This Row],[Sales-FC-Orders-Collect]]+DB[[#This Row],[Sales-FC-Orders-HD]]</f>
        <v>2550</v>
      </c>
      <c r="F55" s="402">
        <f>INDEX('LT Collect Forecast'!$K$1:$Q$55,MATCH(B55,'LT Collect Forecast'!$A:$A,0),MATCH(C55,'LT Collect Forecast'!$K$2:$Q$2,0))</f>
        <v>550</v>
      </c>
      <c r="G55" s="44">
        <f>INDEX('LT HD Forecast'!$K$1:$Q$55,MATCH(B55,'LT HD Forecast'!$A:$A,0),MATCH(C55,'LT HD Forecast'!$K$2:$Q$2,0))</f>
        <v>2000</v>
      </c>
      <c r="H55" s="44" cm="1">
        <f t="array" ref="H55">IFERROR(INDEX('ST Forecast'!$E$2:$RK$36,6,M55),"")</f>
        <v>45.749039422813475</v>
      </c>
      <c r="I55" s="44" cm="1">
        <f t="array" ref="I55">IFERROR(INDEX('ST Forecast'!$E$2:$RK$36,7,M55),"")</f>
        <v>49.008794889752131</v>
      </c>
      <c r="J55" s="44">
        <f>SUM(DB[[#This Row],[Sales-FC-Picks-Collect]:[Sales-FC-Picks-HD]])</f>
        <v>123179.56146205167</v>
      </c>
      <c r="K55" s="44">
        <f t="shared" si="25"/>
        <v>25161.97168254741</v>
      </c>
      <c r="L55" s="44">
        <f t="shared" si="26"/>
        <v>98017.589779504269</v>
      </c>
      <c r="M55" s="403">
        <f>IFERROR(IF(B55=B54,M54+1,MATCH(B55,'ST Forecast'!$E$2:$RK$2,0)+1),"")</f>
        <v>59</v>
      </c>
      <c r="N55">
        <f>SUM(DB[[#This Row],[Ops-FC-Orders-Collect]:[Ops-FC-Orders-HD]])</f>
        <v>2550</v>
      </c>
      <c r="O55" s="44" cm="1">
        <f t="array" ref="O55">IFERROR(INDEX('ST Forecast'!$E$2:$RK$36,13,M55),"")</f>
        <v>550</v>
      </c>
      <c r="P55" s="44">
        <f t="shared" si="27"/>
        <v>2000</v>
      </c>
      <c r="Q55" s="44" cm="1">
        <f t="array" ref="Q55">IFERROR(INDEX('ST Forecast'!$E$2:$RK$36,14,M55),"")</f>
        <v>1050</v>
      </c>
      <c r="R55" s="44" cm="1">
        <f t="array" ref="R55">IFERROR(INDEX('ST Forecast'!$E$2:$RK$36,15,M55),"")</f>
        <v>950</v>
      </c>
      <c r="S55" s="312">
        <f>SUM(DB[[#This Row],[Ops-FC-Picks-Collect]:[Ops-FC-Picks-HD]])</f>
        <v>120715.97023281064</v>
      </c>
      <c r="T55" s="44">
        <f t="shared" si="28"/>
        <v>24658.73224889646</v>
      </c>
      <c r="U55" s="44">
        <f t="shared" si="29"/>
        <v>96057.237983914179</v>
      </c>
      <c r="V55" s="44">
        <f t="shared" si="30"/>
        <v>50430.049941554942</v>
      </c>
      <c r="W55" s="404">
        <f t="shared" si="31"/>
        <v>45627.188042359237</v>
      </c>
      <c r="X55" s="44">
        <f>SUM(DB[[#This Row],[Capped-Orders-Collect]:[Capped-Orders-HD]])</f>
        <v>90</v>
      </c>
      <c r="Y55">
        <f>INDEX('Operations Forecast'!$A$2:$BGY$47,3,MATCH(DB!D55,'Operations Forecast'!$A$2:$BGY$2))</f>
        <v>0</v>
      </c>
      <c r="Z55">
        <f t="shared" si="32"/>
        <v>90</v>
      </c>
      <c r="AA55">
        <f>INDEX('Operations Forecast'!$A$2:$BGY$47,10,MATCH(DB!D55,'Operations Forecast'!$A$2:$BGY$2))</f>
        <v>90</v>
      </c>
      <c r="AB55">
        <f>INDEX('Operations Forecast'!$A$2:$BGY$47,21,MATCH(DB!D55,'Operations Forecast'!$A$2:$BGY$2))</f>
        <v>0</v>
      </c>
      <c r="AC55" s="312">
        <f>SUM(DB[[#This Row],[Act-Orders-Collect]:[Act-Orders-HD]])</f>
        <v>2450</v>
      </c>
      <c r="AD55" s="858">
        <f>IFERROR(INDEX('Operations Forecast_new'!$7:$7,MATCH(DB[[#This Row],[Datum]],'Operations Forecast_new'!$2:$2,0)),0)</f>
        <v>475</v>
      </c>
      <c r="AE55" s="312">
        <f t="shared" si="33"/>
        <v>1975</v>
      </c>
      <c r="AF55" s="858">
        <f>IFERROR(INDEX('Operations Forecast_new'!$13:$13,MATCH(DB[[#This Row],[Datum]],'Operations Forecast_new'!$2:$2,0)),0)</f>
        <v>925</v>
      </c>
      <c r="AG55" s="858">
        <f>IFERROR(INDEX('Operations Forecast_new'!$19:$19,MATCH(DB[[#This Row],[Datum]],'Operations Forecast_new'!$2:$2,0)),0)</f>
        <v>1050</v>
      </c>
      <c r="AH55" s="312">
        <f t="shared" si="9"/>
        <v>111303.22500000001</v>
      </c>
      <c r="AI55" s="858">
        <f>IFERROR(INDEX('Operations Forecast_new'!$9:$9,MATCH(DB[[#This Row],[Datum]],'Operations Forecast_new'!$2:$2,0)),0)</f>
        <v>19797.525000000001</v>
      </c>
      <c r="AJ55" s="312">
        <f t="shared" si="34"/>
        <v>91505.7</v>
      </c>
      <c r="AK55" s="858">
        <f>IFERROR(INDEX('Operations Forecast_new'!$15:$15,MATCH(DB[[#This Row],[Datum]],'Operations Forecast_new'!$2:$2,0)),0)</f>
        <v>42857.1</v>
      </c>
      <c r="AL55" s="858">
        <f>IFERROR(INDEX('Operations Forecast_new'!$21:$21,MATCH(DB[[#This Row],[Datum]],'Operations Forecast_new'!$2:$2,0)),0)</f>
        <v>48648.6</v>
      </c>
      <c r="AM55" s="178">
        <f>IFERROR(INDEX('Operations Forecast_new'!$8:$8,MATCH(DB[[#This Row],[Datum]],'Operations Forecast_new'!$2:$2,0)),0)</f>
        <v>42.1</v>
      </c>
      <c r="AN55" s="859">
        <f>IFERROR(INDEX('Operations Forecast_new'!$20:$20,MATCH(DB[[#This Row],[Datum]],'Operations Forecast_new'!$2:$2,0)),0)</f>
        <v>46.8</v>
      </c>
      <c r="AO55" s="44">
        <f t="shared" si="35"/>
        <v>41.679000000000002</v>
      </c>
      <c r="AP55" s="404">
        <f t="shared" si="36"/>
        <v>46.332000000000001</v>
      </c>
      <c r="AQ55" s="44">
        <f t="shared" si="13"/>
        <v>147366</v>
      </c>
      <c r="AR55" s="44" cm="1">
        <f t="array" ref="AR55">IFERROR(INDEX('ST Forecast'!$E$2:$RK$36,25,M55)+(INDEX('ST Forecast'!$E$2:$RK$36,29,M55)),"")</f>
        <v>65231</v>
      </c>
      <c r="AS55" s="44" cm="1">
        <f t="array" ref="AS55">IFERROR(INDEX('ST Forecast'!$E$2:$RK$36,26,M55)+INDEX('ST Forecast'!$E$2:$RK$36,30,M55),"")</f>
        <v>68419</v>
      </c>
      <c r="AT55" s="44" cm="1">
        <f t="array" ref="AT55">IFERROR(INDEX('ST Forecast'!$E$2:$RK$36,27,M55)+INDEX('ST Forecast'!$E$2:$RK$36,31,M55),"")</f>
        <v>6438</v>
      </c>
      <c r="AU55" s="44" cm="1">
        <f t="array" ref="AU55">IFERROR(INDEX('ST Forecast'!$E$2:$RK$36,28,M55),"")</f>
        <v>7278</v>
      </c>
      <c r="AV55" s="44" cm="1">
        <f t="array" ref="AV55">IFERROR(INDEX('ST Forecast'!$E$2:$RK$36,29,M55),"")</f>
        <v>0</v>
      </c>
      <c r="AW55" s="44">
        <f>DB[[#This Row],[Inbound FC]]-DB[[#This Row],[Inbound Act - Ultrafresh2]]</f>
        <v>147366</v>
      </c>
      <c r="AX55" s="178" t="e">
        <f>#REF!</f>
        <v>#REF!</v>
      </c>
      <c r="AY55" s="178" t="e">
        <f>#REF!</f>
        <v>#REF!</v>
      </c>
      <c r="AZ55" s="178" t="e">
        <f>#REF!</f>
        <v>#REF!</v>
      </c>
      <c r="BA55" s="178">
        <f>MONTH(DB[[#This Row],[Datum]])</f>
        <v>2</v>
      </c>
    </row>
    <row r="56" spans="1:53" x14ac:dyDescent="0.3">
      <c r="A56" s="44">
        <f t="shared" si="23"/>
        <v>8</v>
      </c>
      <c r="B56" t="str">
        <f t="shared" si="24"/>
        <v>Wk 8</v>
      </c>
      <c r="C56" t="s">
        <v>115</v>
      </c>
      <c r="D56" s="313">
        <v>44615</v>
      </c>
      <c r="E56" s="44">
        <f>DB[[#This Row],[Sales-FC-Orders-Collect]]+DB[[#This Row],[Sales-FC-Orders-HD]]</f>
        <v>2500</v>
      </c>
      <c r="F56" s="402">
        <f>INDEX('LT Collect Forecast'!$K$1:$Q$55,MATCH(B56,'LT Collect Forecast'!$A:$A,0),MATCH(C56,'LT Collect Forecast'!$K$2:$Q$2,0))</f>
        <v>500</v>
      </c>
      <c r="G56" s="44">
        <f>INDEX('LT HD Forecast'!$K$1:$Q$55,MATCH(B56,'LT HD Forecast'!$A:$A,0),MATCH(C56,'LT HD Forecast'!$K$2:$Q$2,0))</f>
        <v>2000</v>
      </c>
      <c r="H56" s="44" cm="1">
        <f t="array" ref="H56">IFERROR(INDEX('ST Forecast'!$E$2:$RK$36,6,M56),"")</f>
        <v>47.958344728403056</v>
      </c>
      <c r="I56" s="44" cm="1">
        <f t="array" ref="I56">IFERROR(INDEX('ST Forecast'!$E$2:$RK$36,7,M56),"")</f>
        <v>49.877765520034295</v>
      </c>
      <c r="J56" s="44">
        <f>SUM(DB[[#This Row],[Sales-FC-Picks-Collect]:[Sales-FC-Picks-HD]])</f>
        <v>123734.70340427011</v>
      </c>
      <c r="K56" s="44">
        <f t="shared" si="25"/>
        <v>23979.172364201528</v>
      </c>
      <c r="L56" s="44">
        <f t="shared" si="26"/>
        <v>99755.531040068585</v>
      </c>
      <c r="M56" s="403">
        <f>IFERROR(IF(B56=B55,M55+1,MATCH(B56,'ST Forecast'!$E$2:$RK$2,0)+1),"")</f>
        <v>60</v>
      </c>
      <c r="N56">
        <f>SUM(DB[[#This Row],[Ops-FC-Orders-Collect]:[Ops-FC-Orders-HD]])</f>
        <v>2500</v>
      </c>
      <c r="O56" s="44" cm="1">
        <f t="array" ref="O56">IFERROR(INDEX('ST Forecast'!$E$2:$RK$36,13,M56),"")</f>
        <v>500</v>
      </c>
      <c r="P56" s="44">
        <f t="shared" si="27"/>
        <v>2000</v>
      </c>
      <c r="Q56" s="44" cm="1">
        <f t="array" ref="Q56">IFERROR(INDEX('ST Forecast'!$E$2:$RK$36,14,M56),"")</f>
        <v>1050</v>
      </c>
      <c r="R56" s="44" cm="1">
        <f t="array" ref="R56">IFERROR(INDEX('ST Forecast'!$E$2:$RK$36,15,M56),"")</f>
        <v>950</v>
      </c>
      <c r="S56" s="312">
        <f>SUM(DB[[#This Row],[Ops-FC-Picks-Collect]:[Ops-FC-Picks-HD]])</f>
        <v>121260.0093361847</v>
      </c>
      <c r="T56" s="44">
        <f t="shared" si="28"/>
        <v>23499.588916917495</v>
      </c>
      <c r="U56" s="44">
        <f t="shared" si="29"/>
        <v>97760.420419267204</v>
      </c>
      <c r="V56" s="44">
        <f t="shared" si="30"/>
        <v>51324.220720115285</v>
      </c>
      <c r="W56" s="404">
        <f t="shared" si="31"/>
        <v>46436.199699151926</v>
      </c>
      <c r="X56" s="44">
        <f>SUM(DB[[#This Row],[Capped-Orders-Collect]:[Capped-Orders-HD]])</f>
        <v>90</v>
      </c>
      <c r="Y56">
        <f>INDEX('Operations Forecast'!$A$2:$BGY$47,3,MATCH(DB!D56,'Operations Forecast'!$A$2:$BGY$2))</f>
        <v>0</v>
      </c>
      <c r="Z56">
        <f t="shared" si="32"/>
        <v>90</v>
      </c>
      <c r="AA56">
        <f>INDEX('Operations Forecast'!$A$2:$BGY$47,10,MATCH(DB!D56,'Operations Forecast'!$A$2:$BGY$2))</f>
        <v>90</v>
      </c>
      <c r="AB56">
        <f>INDEX('Operations Forecast'!$A$2:$BGY$47,21,MATCH(DB!D56,'Operations Forecast'!$A$2:$BGY$2))</f>
        <v>0</v>
      </c>
      <c r="AC56" s="312">
        <f>SUM(DB[[#This Row],[Act-Orders-Collect]:[Act-Orders-HD]])</f>
        <v>2225</v>
      </c>
      <c r="AD56" s="858">
        <f>IFERROR(INDEX('Operations Forecast_new'!$7:$7,MATCH(DB[[#This Row],[Datum]],'Operations Forecast_new'!$2:$2,0)),0)</f>
        <v>500</v>
      </c>
      <c r="AE56" s="312">
        <f t="shared" si="33"/>
        <v>1725</v>
      </c>
      <c r="AF56" s="858">
        <f>IFERROR(INDEX('Operations Forecast_new'!$13:$13,MATCH(DB[[#This Row],[Datum]],'Operations Forecast_new'!$2:$2,0)),0)</f>
        <v>800</v>
      </c>
      <c r="AG56" s="858">
        <f>IFERROR(INDEX('Operations Forecast_new'!$19:$19,MATCH(DB[[#This Row],[Datum]],'Operations Forecast_new'!$2:$2,0)),0)</f>
        <v>925</v>
      </c>
      <c r="AH56" s="312">
        <f t="shared" si="9"/>
        <v>102908.02499999999</v>
      </c>
      <c r="AI56" s="858">
        <f>IFERROR(INDEX('Operations Forecast_new'!$9:$9,MATCH(DB[[#This Row],[Datum]],'Operations Forecast_new'!$2:$2,0)),0)</f>
        <v>22473</v>
      </c>
      <c r="AJ56" s="312">
        <f t="shared" si="34"/>
        <v>80435.024999999994</v>
      </c>
      <c r="AK56" s="858">
        <f>IFERROR(INDEX('Operations Forecast_new'!$15:$15,MATCH(DB[[#This Row],[Datum]],'Operations Forecast_new'!$2:$2,0)),0)</f>
        <v>37303.199999999997</v>
      </c>
      <c r="AL56" s="858">
        <f>IFERROR(INDEX('Operations Forecast_new'!$21:$21,MATCH(DB[[#This Row],[Datum]],'Operations Forecast_new'!$2:$2,0)),0)</f>
        <v>43131.824999999997</v>
      </c>
      <c r="AM56" s="178">
        <f>IFERROR(INDEX('Operations Forecast_new'!$8:$8,MATCH(DB[[#This Row],[Datum]],'Operations Forecast_new'!$2:$2,0)),0)</f>
        <v>45.4</v>
      </c>
      <c r="AN56" s="859">
        <f>IFERROR(INDEX('Operations Forecast_new'!$20:$20,MATCH(DB[[#This Row],[Datum]],'Operations Forecast_new'!$2:$2,0)),0)</f>
        <v>47.1</v>
      </c>
      <c r="AO56" s="44">
        <f t="shared" si="35"/>
        <v>44.945999999999998</v>
      </c>
      <c r="AP56" s="404">
        <f t="shared" si="36"/>
        <v>46.628999999999998</v>
      </c>
      <c r="AQ56" s="44">
        <f t="shared" si="13"/>
        <v>150658</v>
      </c>
      <c r="AR56" s="44" cm="1">
        <f t="array" ref="AR56">IFERROR(INDEX('ST Forecast'!$E$2:$RK$36,25,M56)+(INDEX('ST Forecast'!$E$2:$RK$36,29,M56)),"")</f>
        <v>59137</v>
      </c>
      <c r="AS56" s="44" cm="1">
        <f t="array" ref="AS56">IFERROR(INDEX('ST Forecast'!$E$2:$RK$36,26,M56)+INDEX('ST Forecast'!$E$2:$RK$36,30,M56),"")</f>
        <v>59969</v>
      </c>
      <c r="AT56" s="44" cm="1">
        <f t="array" ref="AT56">IFERROR(INDEX('ST Forecast'!$E$2:$RK$36,27,M56)+INDEX('ST Forecast'!$E$2:$RK$36,31,M56),"")</f>
        <v>22896</v>
      </c>
      <c r="AU56" s="44" cm="1">
        <f t="array" ref="AU56">IFERROR(INDEX('ST Forecast'!$E$2:$RK$36,28,M56),"")</f>
        <v>8656</v>
      </c>
      <c r="AV56" s="44" cm="1">
        <f t="array" ref="AV56">IFERROR(INDEX('ST Forecast'!$E$2:$RK$36,29,M56),"")</f>
        <v>0</v>
      </c>
      <c r="AW56" s="44">
        <f>DB[[#This Row],[Inbound FC]]-DB[[#This Row],[Inbound Act - Ultrafresh2]]</f>
        <v>150658</v>
      </c>
      <c r="AX56" s="178" t="e">
        <f>#REF!</f>
        <v>#REF!</v>
      </c>
      <c r="AY56" s="178" t="e">
        <f>#REF!</f>
        <v>#REF!</v>
      </c>
      <c r="AZ56" s="178" t="e">
        <f>#REF!</f>
        <v>#REF!</v>
      </c>
      <c r="BA56" s="178">
        <f>MONTH(DB[[#This Row],[Datum]])</f>
        <v>2</v>
      </c>
    </row>
    <row r="57" spans="1:53" x14ac:dyDescent="0.3">
      <c r="A57" s="44">
        <f t="shared" si="23"/>
        <v>8</v>
      </c>
      <c r="B57" t="str">
        <f t="shared" si="24"/>
        <v>Wk 8</v>
      </c>
      <c r="C57" t="s">
        <v>116</v>
      </c>
      <c r="D57" s="313">
        <v>44616</v>
      </c>
      <c r="E57" s="44">
        <f>DB[[#This Row],[Sales-FC-Orders-Collect]]+DB[[#This Row],[Sales-FC-Orders-HD]]</f>
        <v>2275</v>
      </c>
      <c r="F57" s="402" cm="1">
        <f t="array" ref="F57">INDEX('LT Collect Forecast'!$K$1:$Q$55,MATCH(B57,'LT Collect Forecast'!$A:$A,0)+1,MATCH(C57,'LT Collect Forecast'!$K$2:$Q$2,0))</f>
        <v>500</v>
      </c>
      <c r="G57" s="44" cm="1">
        <f t="array" ref="G57">INDEX('LT HD Forecast'!$K$1:$Q$55,MATCH(B57,'LT HD Forecast'!$A:$A,0)+1,MATCH(C57,'LT HD Forecast'!$K$2:$Q$2,0))</f>
        <v>1775</v>
      </c>
      <c r="H57" s="44" cm="1">
        <f t="array" ref="H57">IFERROR(INDEX('ST Forecast'!$E$2:$RK$36,6,M57),"")</f>
        <v>49.228120184975303</v>
      </c>
      <c r="I57" s="44" cm="1">
        <f t="array" ref="I57">IFERROR(INDEX('ST Forecast'!$E$2:$RK$36,7,M57),"")</f>
        <v>50.84082878899401</v>
      </c>
      <c r="J57" s="44">
        <f>SUM(DB[[#This Row],[Sales-FC-Picks-Collect]:[Sales-FC-Picks-HD]])</f>
        <v>114856.53119295201</v>
      </c>
      <c r="K57" s="44">
        <f t="shared" si="25"/>
        <v>24614.060092487653</v>
      </c>
      <c r="L57" s="44">
        <f t="shared" si="26"/>
        <v>90242.471100464361</v>
      </c>
      <c r="M57" s="403">
        <f>IFERROR(IF(B57=B56,M56+1,MATCH(B57,'ST Forecast'!$E$2:$RK$2,0)+1),"")</f>
        <v>61</v>
      </c>
      <c r="N57">
        <f>SUM(DB[[#This Row],[Ops-FC-Orders-Collect]:[Ops-FC-Orders-HD]])</f>
        <v>2500</v>
      </c>
      <c r="O57" s="44" cm="1">
        <f t="array" ref="O57">IFERROR(INDEX('ST Forecast'!$E$2:$RK$36,13,M57),"")</f>
        <v>500</v>
      </c>
      <c r="P57" s="44">
        <f t="shared" si="27"/>
        <v>2000</v>
      </c>
      <c r="Q57" s="44" cm="1">
        <f t="array" ref="Q57">IFERROR(INDEX('ST Forecast'!$E$2:$RK$36,14,M57),"")</f>
        <v>1050</v>
      </c>
      <c r="R57" s="44" cm="1">
        <f t="array" ref="R57">IFERROR(INDEX('ST Forecast'!$E$2:$RK$36,15,M57),"")</f>
        <v>950</v>
      </c>
      <c r="S57" s="312">
        <f>SUM(DB[[#This Row],[Ops-FC-Picks-Collect]:[Ops-FC-Picks-HD]])</f>
        <v>123769.80331706615</v>
      </c>
      <c r="T57" s="44">
        <f t="shared" si="28"/>
        <v>24121.778890637899</v>
      </c>
      <c r="U57" s="44">
        <f t="shared" si="29"/>
        <v>99648.024426428252</v>
      </c>
      <c r="V57" s="44">
        <f t="shared" si="30"/>
        <v>52315.212823874834</v>
      </c>
      <c r="W57" s="404">
        <f t="shared" si="31"/>
        <v>47332.811602553425</v>
      </c>
      <c r="X57" s="44">
        <f>SUM(DB[[#This Row],[Capped-Orders-Collect]:[Capped-Orders-HD]])</f>
        <v>90</v>
      </c>
      <c r="Y57">
        <f>INDEX('Operations Forecast'!$A$2:$BGY$47,3,MATCH(DB!D57,'Operations Forecast'!$A$2:$BGY$2))</f>
        <v>0</v>
      </c>
      <c r="Z57">
        <f t="shared" si="32"/>
        <v>90</v>
      </c>
      <c r="AA57">
        <f>INDEX('Operations Forecast'!$A$2:$BGY$47,10,MATCH(DB!D57,'Operations Forecast'!$A$2:$BGY$2))</f>
        <v>90</v>
      </c>
      <c r="AB57">
        <f>INDEX('Operations Forecast'!$A$2:$BGY$47,21,MATCH(DB!D57,'Operations Forecast'!$A$2:$BGY$2))</f>
        <v>0</v>
      </c>
      <c r="AC57" s="312">
        <f>SUM(DB[[#This Row],[Act-Orders-Collect]:[Act-Orders-HD]])</f>
        <v>2130</v>
      </c>
      <c r="AD57" s="858">
        <f>IFERROR(INDEX('Operations Forecast_new'!$7:$7,MATCH(DB[[#This Row],[Datum]],'Operations Forecast_new'!$2:$2,0)),0)</f>
        <v>460</v>
      </c>
      <c r="AE57" s="312">
        <f t="shared" si="33"/>
        <v>1670</v>
      </c>
      <c r="AF57" s="858">
        <f>IFERROR(INDEX('Operations Forecast_new'!$13:$13,MATCH(DB[[#This Row],[Datum]],'Operations Forecast_new'!$2:$2,0)),0)</f>
        <v>730</v>
      </c>
      <c r="AG57" s="858">
        <f>IFERROR(INDEX('Operations Forecast_new'!$19:$19,MATCH(DB[[#This Row],[Datum]],'Operations Forecast_new'!$2:$2,0)),0)</f>
        <v>940</v>
      </c>
      <c r="AH57" s="312">
        <f t="shared" si="9"/>
        <v>103508.46</v>
      </c>
      <c r="AI57" s="858">
        <f>IFERROR(INDEX('Operations Forecast_new'!$9:$9,MATCH(DB[[#This Row],[Datum]],'Operations Forecast_new'!$2:$2,0)),0)</f>
        <v>22496.76</v>
      </c>
      <c r="AJ57" s="312">
        <f t="shared" si="34"/>
        <v>81011.700000000012</v>
      </c>
      <c r="AK57" s="858">
        <f>IFERROR(INDEX('Operations Forecast_new'!$15:$15,MATCH(DB[[#This Row],[Datum]],'Operations Forecast_new'!$2:$2,0)),0)</f>
        <v>35412.300000000003</v>
      </c>
      <c r="AL57" s="858">
        <f>IFERROR(INDEX('Operations Forecast_new'!$21:$21,MATCH(DB[[#This Row],[Datum]],'Operations Forecast_new'!$2:$2,0)),0)</f>
        <v>45599.4</v>
      </c>
      <c r="AM57" s="178">
        <f>IFERROR(INDEX('Operations Forecast_new'!$8:$8,MATCH(DB[[#This Row],[Datum]],'Operations Forecast_new'!$2:$2,0)),0)</f>
        <v>49.4</v>
      </c>
      <c r="AN57" s="859">
        <f>IFERROR(INDEX('Operations Forecast_new'!$20:$20,MATCH(DB[[#This Row],[Datum]],'Operations Forecast_new'!$2:$2,0)),0)</f>
        <v>49</v>
      </c>
      <c r="AO57" s="44">
        <f t="shared" si="35"/>
        <v>48.905999999999999</v>
      </c>
      <c r="AP57" s="404">
        <f t="shared" si="36"/>
        <v>48.510000000000005</v>
      </c>
      <c r="AQ57" s="44">
        <f t="shared" si="13"/>
        <v>131296</v>
      </c>
      <c r="AR57" s="44" cm="1">
        <f t="array" ref="AR57">IFERROR(INDEX('ST Forecast'!$E$2:$RK$36,25,M57)+(INDEX('ST Forecast'!$E$2:$RK$36,29,M57)),"")</f>
        <v>56059</v>
      </c>
      <c r="AS57" s="44" cm="1">
        <f t="array" ref="AS57">IFERROR(INDEX('ST Forecast'!$E$2:$RK$36,26,M57)+INDEX('ST Forecast'!$E$2:$RK$36,30,M57),"")</f>
        <v>56004</v>
      </c>
      <c r="AT57" s="44" cm="1">
        <f t="array" ref="AT57">IFERROR(INDEX('ST Forecast'!$E$2:$RK$36,27,M57)+INDEX('ST Forecast'!$E$2:$RK$36,31,M57),"")</f>
        <v>10183</v>
      </c>
      <c r="AU57" s="44" cm="1">
        <f t="array" ref="AU57">IFERROR(INDEX('ST Forecast'!$E$2:$RK$36,28,M57),"")</f>
        <v>9050</v>
      </c>
      <c r="AV57" s="44" cm="1">
        <f t="array" ref="AV57">IFERROR(INDEX('ST Forecast'!$E$2:$RK$36,29,M57),"")</f>
        <v>0</v>
      </c>
      <c r="AW57" s="44">
        <f>DB[[#This Row],[Inbound FC]]-DB[[#This Row],[Inbound Act - Ultrafresh2]]</f>
        <v>131296</v>
      </c>
      <c r="AX57" s="178" t="e">
        <f>#REF!</f>
        <v>#REF!</v>
      </c>
      <c r="AY57" s="178" t="e">
        <f>#REF!</f>
        <v>#REF!</v>
      </c>
      <c r="AZ57" s="178" t="e">
        <f>#REF!</f>
        <v>#REF!</v>
      </c>
      <c r="BA57" s="178">
        <f>MONTH(DB[[#This Row],[Datum]])</f>
        <v>2</v>
      </c>
    </row>
    <row r="58" spans="1:53" x14ac:dyDescent="0.3">
      <c r="A58" s="44">
        <f t="shared" si="23"/>
        <v>8</v>
      </c>
      <c r="B58" t="str">
        <f t="shared" si="24"/>
        <v>Wk 8</v>
      </c>
      <c r="C58" t="s">
        <v>117</v>
      </c>
      <c r="D58" s="313">
        <v>44617</v>
      </c>
      <c r="E58" s="44">
        <f>DB[[#This Row],[Sales-FC-Orders-Collect]]+DB[[#This Row],[Sales-FC-Orders-HD]]</f>
        <v>3150</v>
      </c>
      <c r="F58" s="402" cm="1">
        <f t="array" ref="F58">INDEX('LT Collect Forecast'!$K$1:$Q$55,MATCH(B58,'LT Collect Forecast'!$A:$A,0)+1,MATCH(C58,'LT Collect Forecast'!$K$2:$Q$2,0))</f>
        <v>1100</v>
      </c>
      <c r="G58" s="44" cm="1">
        <f t="array" ref="G58">INDEX('LT HD Forecast'!$K$1:$Q$55,MATCH(B58,'LT HD Forecast'!$A:$A,0)+1,MATCH(C58,'LT HD Forecast'!$K$2:$Q$2,0))</f>
        <v>2050</v>
      </c>
      <c r="H58" s="44" cm="1">
        <f t="array" ref="H58">IFERROR(INDEX('ST Forecast'!$E$2:$RK$36,6,M58),"")</f>
        <v>51.589574892283395</v>
      </c>
      <c r="I58" s="44" cm="1">
        <f t="array" ref="I58">IFERROR(INDEX('ST Forecast'!$E$2:$RK$36,7,M58),"")</f>
        <v>52.889608435368629</v>
      </c>
      <c r="J58" s="44">
        <f>SUM(DB[[#This Row],[Sales-FC-Picks-Collect]:[Sales-FC-Picks-HD]])</f>
        <v>165172.22967401744</v>
      </c>
      <c r="K58" s="44">
        <f>F58*H58</f>
        <v>56748.532381511737</v>
      </c>
      <c r="L58" s="44">
        <f t="shared" si="26"/>
        <v>108423.69729250569</v>
      </c>
      <c r="M58" s="403">
        <f>IFERROR(IF(B58=B57,M57+1,MATCH(B58,'ST Forecast'!$E$2:$RK$2,0)+1),"")</f>
        <v>62</v>
      </c>
      <c r="N58">
        <f>SUM(DB[[#This Row],[Ops-FC-Orders-Collect]:[Ops-FC-Orders-HD]])</f>
        <v>3050</v>
      </c>
      <c r="O58" s="44" cm="1">
        <f t="array" ref="O58">IFERROR(INDEX('ST Forecast'!$E$2:$RK$36,13,M58),"")</f>
        <v>1000</v>
      </c>
      <c r="P58" s="44">
        <f t="shared" si="27"/>
        <v>2050</v>
      </c>
      <c r="Q58" s="44" cm="1">
        <f t="array" ref="Q58">IFERROR(INDEX('ST Forecast'!$E$2:$RK$36,14,M58),"")</f>
        <v>1050</v>
      </c>
      <c r="R58" s="44" cm="1">
        <f t="array" ref="R58">IFERROR(INDEX('ST Forecast'!$E$2:$RK$36,15,M58),"")</f>
        <v>1000</v>
      </c>
      <c r="S58" s="312">
        <f>SUM(DB[[#This Row],[Ops-FC-Picks-Collect]:[Ops-FC-Picks-HD]])</f>
        <v>156813.0067410933</v>
      </c>
      <c r="T58" s="44">
        <f t="shared" si="28"/>
        <v>50557.783394437727</v>
      </c>
      <c r="U58" s="44">
        <f t="shared" si="29"/>
        <v>106255.22334665558</v>
      </c>
      <c r="V58" s="44">
        <f t="shared" si="30"/>
        <v>54423.407079994315</v>
      </c>
      <c r="W58" s="404">
        <f t="shared" si="31"/>
        <v>51831.816266661255</v>
      </c>
      <c r="X58" s="44">
        <f>SUM(DB[[#This Row],[Capped-Orders-Collect]:[Capped-Orders-HD]])</f>
        <v>90</v>
      </c>
      <c r="Y58">
        <f>INDEX('Operations Forecast'!$A$2:$BGY$47,3,MATCH(DB!D58,'Operations Forecast'!$A$2:$BGY$2))</f>
        <v>0</v>
      </c>
      <c r="Z58">
        <f t="shared" si="32"/>
        <v>90</v>
      </c>
      <c r="AA58">
        <f>INDEX('Operations Forecast'!$A$2:$BGY$47,10,MATCH(DB!D58,'Operations Forecast'!$A$2:$BGY$2))</f>
        <v>90</v>
      </c>
      <c r="AB58">
        <f>INDEX('Operations Forecast'!$A$2:$BGY$47,21,MATCH(DB!D58,'Operations Forecast'!$A$2:$BGY$2))</f>
        <v>0</v>
      </c>
      <c r="AC58" s="312">
        <f>SUM(DB[[#This Row],[Act-Orders-Collect]:[Act-Orders-HD]])</f>
        <v>3030</v>
      </c>
      <c r="AD58" s="858">
        <f>IFERROR(INDEX('Operations Forecast_new'!$7:$7,MATCH(DB[[#This Row],[Datum]],'Operations Forecast_new'!$2:$2,0)),0)</f>
        <v>1090</v>
      </c>
      <c r="AE58" s="312">
        <f t="shared" si="33"/>
        <v>1940</v>
      </c>
      <c r="AF58" s="858">
        <f>IFERROR(INDEX('Operations Forecast_new'!$13:$13,MATCH(DB[[#This Row],[Datum]],'Operations Forecast_new'!$2:$2,0)),0)</f>
        <v>1020</v>
      </c>
      <c r="AG58" s="858">
        <f>IFERROR(INDEX('Operations Forecast_new'!$19:$19,MATCH(DB[[#This Row],[Datum]],'Operations Forecast_new'!$2:$2,0)),0)</f>
        <v>920</v>
      </c>
      <c r="AH58" s="312">
        <f t="shared" si="9"/>
        <v>156633.84</v>
      </c>
      <c r="AI58" s="858">
        <f>IFERROR(INDEX('Operations Forecast_new'!$9:$9,MATCH(DB[[#This Row],[Datum]],'Operations Forecast_new'!$2:$2,0)),0)</f>
        <v>55034.1</v>
      </c>
      <c r="AJ58" s="312">
        <f t="shared" si="34"/>
        <v>101599.73999999999</v>
      </c>
      <c r="AK58" s="858">
        <f>IFERROR(INDEX('Operations Forecast_new'!$15:$15,MATCH(DB[[#This Row],[Datum]],'Operations Forecast_new'!$2:$2,0)),0)</f>
        <v>53418.42</v>
      </c>
      <c r="AL58" s="858">
        <f>IFERROR(INDEX('Operations Forecast_new'!$21:$21,MATCH(DB[[#This Row],[Datum]],'Operations Forecast_new'!$2:$2,0)),0)</f>
        <v>48181.32</v>
      </c>
      <c r="AM58" s="178">
        <f>IFERROR(INDEX('Operations Forecast_new'!$8:$8,MATCH(DB[[#This Row],[Datum]],'Operations Forecast_new'!$2:$2,0)),0)</f>
        <v>51</v>
      </c>
      <c r="AN58" s="859">
        <f>IFERROR(INDEX('Operations Forecast_new'!$20:$20,MATCH(DB[[#This Row],[Datum]],'Operations Forecast_new'!$2:$2,0)),0)</f>
        <v>52.9</v>
      </c>
      <c r="AO58" s="44">
        <f t="shared" si="35"/>
        <v>50.49</v>
      </c>
      <c r="AP58" s="404">
        <f t="shared" si="36"/>
        <v>52.370999999999995</v>
      </c>
      <c r="AQ58" s="44">
        <f t="shared" si="13"/>
        <v>121062</v>
      </c>
      <c r="AR58" s="44" cm="1">
        <f t="array" ref="AR58">IFERROR(INDEX('ST Forecast'!$E$2:$RK$36,25,M58)+(INDEX('ST Forecast'!$E$2:$RK$36,29,M58)),"")</f>
        <v>52533</v>
      </c>
      <c r="AS58" s="44" cm="1">
        <f t="array" ref="AS58">IFERROR(INDEX('ST Forecast'!$E$2:$RK$36,26,M58)+INDEX('ST Forecast'!$E$2:$RK$36,30,M58),"")</f>
        <v>52595</v>
      </c>
      <c r="AT58" s="44" cm="1">
        <f t="array" ref="AT58">IFERROR(INDEX('ST Forecast'!$E$2:$RK$36,27,M58)+INDEX('ST Forecast'!$E$2:$RK$36,31,M58),"")</f>
        <v>7567</v>
      </c>
      <c r="AU58" s="44" cm="1">
        <f t="array" ref="AU58">IFERROR(INDEX('ST Forecast'!$E$2:$RK$36,28,M58),"")</f>
        <v>8367</v>
      </c>
      <c r="AV58" s="44" cm="1">
        <f t="array" ref="AV58">IFERROR(INDEX('ST Forecast'!$E$2:$RK$36,29,M58),"")</f>
        <v>0</v>
      </c>
      <c r="AW58" s="44">
        <f>DB[[#This Row],[Inbound FC]]-DB[[#This Row],[Inbound Act - Ultrafresh2]]</f>
        <v>121062</v>
      </c>
      <c r="AX58" s="178" t="e">
        <f>#REF!</f>
        <v>#REF!</v>
      </c>
      <c r="AY58" s="178" t="e">
        <f>#REF!</f>
        <v>#REF!</v>
      </c>
      <c r="AZ58" s="178" t="e">
        <f>#REF!</f>
        <v>#REF!</v>
      </c>
      <c r="BA58" s="178">
        <f>MONTH(DB[[#This Row],[Datum]])</f>
        <v>2</v>
      </c>
    </row>
    <row r="59" spans="1:53" x14ac:dyDescent="0.3">
      <c r="A59" s="44">
        <f t="shared" si="23"/>
        <v>8</v>
      </c>
      <c r="B59" t="str">
        <f t="shared" si="24"/>
        <v>Wk 8</v>
      </c>
      <c r="C59" t="s">
        <v>118</v>
      </c>
      <c r="D59" s="313">
        <v>44618</v>
      </c>
      <c r="E59" s="44">
        <f>DB[[#This Row],[Sales-FC-Orders-Collect]]+DB[[#This Row],[Sales-FC-Orders-HD]]</f>
        <v>3000</v>
      </c>
      <c r="F59" s="402" cm="1">
        <f t="array" ref="F59">INDEX('LT Collect Forecast'!$K$1:$Q$55,MATCH(B59,'LT Collect Forecast'!$A:$A,0)+1,MATCH(C59,'LT Collect Forecast'!$K$2:$Q$2,0))</f>
        <v>1000</v>
      </c>
      <c r="G59" s="44" cm="1">
        <f t="array" ref="G59">INDEX('LT HD Forecast'!$K$1:$Q$55,MATCH(B59,'LT HD Forecast'!$A:$A,0)+1,MATCH(C59,'LT HD Forecast'!$K$2:$Q$2,0))</f>
        <v>2000</v>
      </c>
      <c r="H59" s="44" cm="1">
        <f t="array" ref="H59">IFERROR(INDEX('ST Forecast'!$E$2:$RK$36,6,M59),"")</f>
        <v>49.835195994840348</v>
      </c>
      <c r="I59" s="44" cm="1">
        <f t="array" ref="I59">IFERROR(INDEX('ST Forecast'!$E$2:$RK$36,7,M59),"")</f>
        <v>52.015748789611045</v>
      </c>
      <c r="J59" s="44">
        <f>SUM(DB[[#This Row],[Sales-FC-Picks-Collect]:[Sales-FC-Picks-HD]])</f>
        <v>153866.69357406243</v>
      </c>
      <c r="K59" s="44">
        <f t="shared" si="25"/>
        <v>49835.195994840346</v>
      </c>
      <c r="L59" s="44">
        <f t="shared" si="26"/>
        <v>104031.49757922209</v>
      </c>
      <c r="M59" s="403">
        <f>IFERROR(IF(B59=B58,M58+1,MATCH(B59,'ST Forecast'!$E$2:$RK$2,0)+1),"")</f>
        <v>63</v>
      </c>
      <c r="N59">
        <f>SUM(DB[[#This Row],[Ops-FC-Orders-Collect]:[Ops-FC-Orders-HD]])</f>
        <v>3000</v>
      </c>
      <c r="O59" s="44" cm="1">
        <f t="array" ref="O59">IFERROR(INDEX('ST Forecast'!$E$2:$RK$36,13,M59),"")</f>
        <v>1000</v>
      </c>
      <c r="P59" s="44">
        <f t="shared" si="27"/>
        <v>2000</v>
      </c>
      <c r="Q59" s="44" cm="1">
        <f t="array" ref="Q59">IFERROR(INDEX('ST Forecast'!$E$2:$RK$36,14,M59),"")</f>
        <v>1050</v>
      </c>
      <c r="R59" s="44" cm="1">
        <f t="array" ref="R59">IFERROR(INDEX('ST Forecast'!$E$2:$RK$36,15,M59),"")</f>
        <v>950</v>
      </c>
      <c r="S59" s="312">
        <f>SUM(DB[[#This Row],[Ops-FC-Picks-Collect]:[Ops-FC-Picks-HD]])</f>
        <v>150789.35970258119</v>
      </c>
      <c r="T59" s="44">
        <f t="shared" si="28"/>
        <v>48838.492074943541</v>
      </c>
      <c r="U59" s="44">
        <f t="shared" si="29"/>
        <v>101950.86762763764</v>
      </c>
      <c r="V59" s="44">
        <f t="shared" si="30"/>
        <v>53524.205504509759</v>
      </c>
      <c r="W59" s="404">
        <f t="shared" si="31"/>
        <v>48426.662123127884</v>
      </c>
      <c r="X59" s="44">
        <f>SUM(DB[[#This Row],[Capped-Orders-Collect]:[Capped-Orders-HD]])</f>
        <v>90</v>
      </c>
      <c r="Y59">
        <f>INDEX('Operations Forecast'!$A$2:$BGY$47,3,MATCH(DB!D59,'Operations Forecast'!$A$2:$BGY$2))</f>
        <v>0</v>
      </c>
      <c r="Z59">
        <f t="shared" si="32"/>
        <v>90</v>
      </c>
      <c r="AA59">
        <f>INDEX('Operations Forecast'!$A$2:$BGY$47,10,MATCH(DB!D59,'Operations Forecast'!$A$2:$BGY$2))</f>
        <v>90</v>
      </c>
      <c r="AB59">
        <f>INDEX('Operations Forecast'!$A$2:$BGY$47,21,MATCH(DB!D59,'Operations Forecast'!$A$2:$BGY$2))</f>
        <v>0</v>
      </c>
      <c r="AC59" s="312">
        <f>SUM(DB[[#This Row],[Act-Orders-Collect]:[Act-Orders-HD]])</f>
        <v>2796</v>
      </c>
      <c r="AD59" s="858">
        <f>IFERROR(INDEX('Operations Forecast_new'!$7:$7,MATCH(DB[[#This Row],[Datum]],'Operations Forecast_new'!$2:$2,0)),0)</f>
        <v>1050</v>
      </c>
      <c r="AE59" s="312">
        <f t="shared" si="33"/>
        <v>1746</v>
      </c>
      <c r="AF59" s="858">
        <f>IFERROR(INDEX('Operations Forecast_new'!$13:$13,MATCH(DB[[#This Row],[Datum]],'Operations Forecast_new'!$2:$2,0)),0)</f>
        <v>971</v>
      </c>
      <c r="AG59" s="858">
        <f>IFERROR(INDEX('Operations Forecast_new'!$19:$19,MATCH(DB[[#This Row],[Datum]],'Operations Forecast_new'!$2:$2,0)),0)</f>
        <v>775</v>
      </c>
      <c r="AH59" s="312">
        <f t="shared" si="9"/>
        <v>144832.644</v>
      </c>
      <c r="AI59" s="858">
        <f>IFERROR(INDEX('Operations Forecast_new'!$9:$9,MATCH(DB[[#This Row],[Datum]],'Operations Forecast_new'!$2:$2,0)),0)</f>
        <v>52182.9</v>
      </c>
      <c r="AJ59" s="312">
        <f t="shared" si="34"/>
        <v>92649.744000000006</v>
      </c>
      <c r="AK59" s="858">
        <f>IFERROR(INDEX('Operations Forecast_new'!$15:$15,MATCH(DB[[#This Row],[Datum]],'Operations Forecast_new'!$2:$2,0)),0)</f>
        <v>51525.144</v>
      </c>
      <c r="AL59" s="858">
        <f>IFERROR(INDEX('Operations Forecast_new'!$21:$21,MATCH(DB[[#This Row],[Datum]],'Operations Forecast_new'!$2:$2,0)),0)</f>
        <v>41124.6</v>
      </c>
      <c r="AM59" s="178">
        <f>IFERROR(INDEX('Operations Forecast_new'!$8:$8,MATCH(DB[[#This Row],[Datum]],'Operations Forecast_new'!$2:$2,0)),0)</f>
        <v>50.2</v>
      </c>
      <c r="AN59" s="859">
        <f>IFERROR(INDEX('Operations Forecast_new'!$20:$20,MATCH(DB[[#This Row],[Datum]],'Operations Forecast_new'!$2:$2,0)),0)</f>
        <v>53.6</v>
      </c>
      <c r="AO59" s="44">
        <f t="shared" si="35"/>
        <v>49.698</v>
      </c>
      <c r="AP59" s="404">
        <f t="shared" si="36"/>
        <v>53.064</v>
      </c>
      <c r="AQ59" s="44">
        <f t="shared" si="13"/>
        <v>118680</v>
      </c>
      <c r="AR59" s="44" cm="1">
        <f t="array" ref="AR59">IFERROR(INDEX('ST Forecast'!$E$2:$RK$36,25,M59)+(INDEX('ST Forecast'!$E$2:$RK$36,29,M59)),"")</f>
        <v>62368</v>
      </c>
      <c r="AS59" s="44" cm="1">
        <f t="array" ref="AS59">IFERROR(INDEX('ST Forecast'!$E$2:$RK$36,26,M59)+INDEX('ST Forecast'!$E$2:$RK$36,30,M59),"")</f>
        <v>43989</v>
      </c>
      <c r="AT59" s="44" cm="1">
        <f t="array" ref="AT59">IFERROR(INDEX('ST Forecast'!$E$2:$RK$36,27,M59)+INDEX('ST Forecast'!$E$2:$RK$36,31,M59),"")</f>
        <v>6050</v>
      </c>
      <c r="AU59" s="44" cm="1">
        <f t="array" ref="AU59">IFERROR(INDEX('ST Forecast'!$E$2:$RK$36,28,M59),"")</f>
        <v>6273</v>
      </c>
      <c r="AV59" s="44" cm="1">
        <f t="array" ref="AV59">IFERROR(INDEX('ST Forecast'!$E$2:$RK$36,29,M59),"")</f>
        <v>0</v>
      </c>
      <c r="AW59" s="44">
        <f>DB[[#This Row],[Inbound FC]]-DB[[#This Row],[Inbound Act - Ultrafresh2]]</f>
        <v>118680</v>
      </c>
      <c r="AX59" s="178" t="e">
        <f>#REF!</f>
        <v>#REF!</v>
      </c>
      <c r="AY59" s="178" t="e">
        <f>#REF!</f>
        <v>#REF!</v>
      </c>
      <c r="AZ59" s="178" t="e">
        <f>#REF!</f>
        <v>#REF!</v>
      </c>
      <c r="BA59" s="178">
        <f>MONTH(DB[[#This Row],[Datum]])</f>
        <v>2</v>
      </c>
    </row>
    <row r="60" spans="1:53" x14ac:dyDescent="0.3">
      <c r="A60" s="44">
        <f t="shared" si="23"/>
        <v>8</v>
      </c>
      <c r="B60" t="str">
        <f t="shared" si="24"/>
        <v>Wk 8</v>
      </c>
      <c r="C60" t="s">
        <v>119</v>
      </c>
      <c r="D60" s="313">
        <v>44619</v>
      </c>
      <c r="E60" s="44">
        <f>DB[[#This Row],[Sales-FC-Orders-Collect]]+DB[[#This Row],[Sales-FC-Orders-HD]]</f>
        <v>100</v>
      </c>
      <c r="F60" s="402" cm="1">
        <f t="array" ref="F60">INDEX('LT Collect Forecast'!$K$1:$Q$55,MATCH(B60,'LT Collect Forecast'!$A:$A,0)+1,MATCH(C60,'LT Collect Forecast'!$K$2:$Q$2,0))</f>
        <v>0</v>
      </c>
      <c r="G60" s="44" cm="1">
        <f t="array" ref="G60">INDEX('LT HD Forecast'!$K$1:$Q$55,MATCH(B60,'LT HD Forecast'!$A:$A,0)+1,MATCH(C60,'LT HD Forecast'!$K$2:$Q$2,0))</f>
        <v>100</v>
      </c>
      <c r="H60" s="44" cm="1">
        <f t="array" ref="H60">IFERROR(INDEX('ST Forecast'!$E$2:$RK$36,6,M60),"")</f>
        <v>0</v>
      </c>
      <c r="I60" s="44" cm="1">
        <f t="array" ref="I60">IFERROR(INDEX('ST Forecast'!$E$2:$RK$36,7,M60),"")</f>
        <v>54.513742556911666</v>
      </c>
      <c r="J60" s="44">
        <f>SUM(DB[[#This Row],[Sales-FC-Picks-Collect]:[Sales-FC-Picks-HD]])</f>
        <v>5451.3742556911666</v>
      </c>
      <c r="K60" s="44">
        <f t="shared" si="25"/>
        <v>0</v>
      </c>
      <c r="L60" s="44">
        <f t="shared" si="26"/>
        <v>5451.3742556911666</v>
      </c>
      <c r="M60" s="403">
        <f>IFERROR(IF(B60=B59,M59+1,MATCH(B60,'ST Forecast'!$E$2:$RK$2,0)+1),"")</f>
        <v>64</v>
      </c>
      <c r="N60">
        <f>SUM(DB[[#This Row],[Ops-FC-Orders-Collect]:[Ops-FC-Orders-HD]])</f>
        <v>100</v>
      </c>
      <c r="O60" s="44" cm="1">
        <f t="array" ref="O60">IFERROR(INDEX('ST Forecast'!$E$2:$RK$36,13,M60),"")</f>
        <v>0</v>
      </c>
      <c r="P60" s="44">
        <f t="shared" si="27"/>
        <v>100</v>
      </c>
      <c r="Q60" s="44" cm="1">
        <f t="array" ref="Q60">IFERROR(INDEX('ST Forecast'!$E$2:$RK$36,14,M60),"")</f>
        <v>100</v>
      </c>
      <c r="R60" s="44" cm="1">
        <f t="array" ref="R60">IFERROR(INDEX('ST Forecast'!$E$2:$RK$36,15,M60),"")</f>
        <v>0</v>
      </c>
      <c r="S60" s="312">
        <f>SUM(DB[[#This Row],[Ops-FC-Picks-Collect]:[Ops-FC-Picks-HD]])</f>
        <v>5342.3467705773428</v>
      </c>
      <c r="T60" s="44">
        <f t="shared" si="28"/>
        <v>0</v>
      </c>
      <c r="U60" s="44">
        <f t="shared" si="29"/>
        <v>5342.3467705773428</v>
      </c>
      <c r="V60" s="44">
        <f t="shared" si="30"/>
        <v>5342.3467705773428</v>
      </c>
      <c r="W60" s="404">
        <f t="shared" si="31"/>
        <v>0</v>
      </c>
      <c r="X60" s="44">
        <f>SUM(DB[[#This Row],[Capped-Orders-Collect]:[Capped-Orders-HD]])</f>
        <v>90</v>
      </c>
      <c r="Y60">
        <f>INDEX('Operations Forecast'!$A$2:$BGY$47,3,MATCH(DB!D60,'Operations Forecast'!$A$2:$BGY$2))</f>
        <v>0</v>
      </c>
      <c r="Z60">
        <f t="shared" si="32"/>
        <v>90</v>
      </c>
      <c r="AA60">
        <f>INDEX('Operations Forecast'!$A$2:$BGY$47,10,MATCH(DB!D60,'Operations Forecast'!$A$2:$BGY$2))</f>
        <v>90</v>
      </c>
      <c r="AB60">
        <f>INDEX('Operations Forecast'!$A$2:$BGY$47,21,MATCH(DB!D60,'Operations Forecast'!$A$2:$BGY$2))</f>
        <v>0</v>
      </c>
      <c r="AC60" s="312">
        <f>SUM(DB[[#This Row],[Act-Orders-Collect]:[Act-Orders-HD]])</f>
        <v>90</v>
      </c>
      <c r="AD60" s="858">
        <f>IFERROR(INDEX('Operations Forecast_new'!$7:$7,MATCH(DB[[#This Row],[Datum]],'Operations Forecast_new'!$2:$2,0)),0)</f>
        <v>0</v>
      </c>
      <c r="AE60" s="312">
        <f t="shared" si="33"/>
        <v>90</v>
      </c>
      <c r="AF60" s="858">
        <f>IFERROR(INDEX('Operations Forecast_new'!$13:$13,MATCH(DB[[#This Row],[Datum]],'Operations Forecast_new'!$2:$2,0)),0)</f>
        <v>90</v>
      </c>
      <c r="AG60" s="858">
        <f>IFERROR(INDEX('Operations Forecast_new'!$19:$19,MATCH(DB[[#This Row],[Datum]],'Operations Forecast_new'!$2:$2,0)),0)</f>
        <v>0</v>
      </c>
      <c r="AH60" s="312">
        <f t="shared" si="9"/>
        <v>5550.93</v>
      </c>
      <c r="AI60" s="858">
        <f>IFERROR(INDEX('Operations Forecast_new'!$9:$9,MATCH(DB[[#This Row],[Datum]],'Operations Forecast_new'!$2:$2,0)),0)</f>
        <v>0</v>
      </c>
      <c r="AJ60" s="312">
        <f t="shared" si="34"/>
        <v>5550.93</v>
      </c>
      <c r="AK60" s="858">
        <f>IFERROR(INDEX('Operations Forecast_new'!$15:$15,MATCH(DB[[#This Row],[Datum]],'Operations Forecast_new'!$2:$2,0)),0)</f>
        <v>5550.93</v>
      </c>
      <c r="AL60" s="858">
        <f>IFERROR(INDEX('Operations Forecast_new'!$21:$21,MATCH(DB[[#This Row],[Datum]],'Operations Forecast_new'!$2:$2,0)),0)</f>
        <v>0</v>
      </c>
      <c r="AM60" s="178">
        <f>IFERROR(INDEX('Operations Forecast_new'!$8:$8,MATCH(DB[[#This Row],[Datum]],'Operations Forecast_new'!$2:$2,0)),0)</f>
        <v>0</v>
      </c>
      <c r="AN60" s="859">
        <f>IFERROR(INDEX('Operations Forecast_new'!$20:$20,MATCH(DB[[#This Row],[Datum]],'Operations Forecast_new'!$2:$2,0)),0)</f>
        <v>54.513742556911666</v>
      </c>
      <c r="AO60" s="44" t="str">
        <f t="shared" si="35"/>
        <v>-</v>
      </c>
      <c r="AP60" s="404">
        <f t="shared" si="36"/>
        <v>61.677000000000007</v>
      </c>
      <c r="AQ60" s="44">
        <f t="shared" si="13"/>
        <v>0</v>
      </c>
      <c r="AR60" s="44" cm="1">
        <f t="array" ref="AR60">IFERROR(INDEX('ST Forecast'!$E$2:$RK$36,25,M60)+(INDEX('ST Forecast'!$E$2:$RK$36,29,M60)),"")</f>
        <v>0</v>
      </c>
      <c r="AS60" s="44" cm="1">
        <f t="array" ref="AS60">IFERROR(INDEX('ST Forecast'!$E$2:$RK$36,26,M60)+INDEX('ST Forecast'!$E$2:$RK$36,30,M60),"")</f>
        <v>0</v>
      </c>
      <c r="AT60" s="44" cm="1">
        <f t="array" ref="AT60">IFERROR(INDEX('ST Forecast'!$E$2:$RK$36,27,M60)+INDEX('ST Forecast'!$E$2:$RK$36,31,M60),"")</f>
        <v>0</v>
      </c>
      <c r="AU60" s="44" cm="1">
        <f t="array" ref="AU60">IFERROR(INDEX('ST Forecast'!$E$2:$RK$36,28,M60),"")</f>
        <v>0</v>
      </c>
      <c r="AV60" s="44" cm="1">
        <f t="array" ref="AV60">IFERROR(INDEX('ST Forecast'!$E$2:$RK$36,29,M60),"")</f>
        <v>0</v>
      </c>
      <c r="AW60" s="44">
        <f>DB[[#This Row],[Inbound FC]]-DB[[#This Row],[Inbound Act - Ultrafresh2]]</f>
        <v>0</v>
      </c>
      <c r="AX60" s="178" t="e">
        <f>#REF!</f>
        <v>#REF!</v>
      </c>
      <c r="AY60" s="178" t="e">
        <f>#REF!</f>
        <v>#REF!</v>
      </c>
      <c r="AZ60" s="178" t="e">
        <f>#REF!</f>
        <v>#REF!</v>
      </c>
      <c r="BA60" s="178">
        <f>MONTH(DB[[#This Row],[Datum]])</f>
        <v>2</v>
      </c>
    </row>
    <row r="61" spans="1:53" x14ac:dyDescent="0.3">
      <c r="A61" s="44">
        <f t="shared" si="23"/>
        <v>9</v>
      </c>
      <c r="B61" t="str">
        <f t="shared" si="24"/>
        <v>Wk 9</v>
      </c>
      <c r="C61" t="s">
        <v>113</v>
      </c>
      <c r="D61" s="313">
        <v>44620</v>
      </c>
      <c r="E61" s="44">
        <f>DB[[#This Row],[Sales-FC-Orders-Collect]]+DB[[#This Row],[Sales-FC-Orders-HD]]</f>
        <v>2450</v>
      </c>
      <c r="F61" s="402">
        <f>INDEX('LT Collect Forecast'!$K$1:$Q$55,MATCH(B61,'LT Collect Forecast'!$A:$A,0),MATCH(C61,'LT Collect Forecast'!$K$2:$Q$2,0))</f>
        <v>800</v>
      </c>
      <c r="G61" s="44">
        <f>INDEX('LT HD Forecast'!$K$1:$Q$55,MATCH(B61,'LT HD Forecast'!$A:$A,0),MATCH(C61,'LT HD Forecast'!$K$2:$Q$2,0))</f>
        <v>1650</v>
      </c>
      <c r="H61" s="44" cm="1">
        <f t="array" ref="H61">IFERROR(INDEX('ST Forecast'!$E$2:$RK$36,6,M61),"")</f>
        <v>47.451199931484496</v>
      </c>
      <c r="I61" s="44" cm="1">
        <f t="array" ref="I61">IFERROR(INDEX('ST Forecast'!$E$2:$RK$36,7,M61),"")</f>
        <v>50.332263027690772</v>
      </c>
      <c r="J61" s="44">
        <f>SUM(DB[[#This Row],[Sales-FC-Picks-Collect]:[Sales-FC-Picks-HD]])</f>
        <v>121009.19394087738</v>
      </c>
      <c r="K61" s="44">
        <f t="shared" si="25"/>
        <v>37960.959945187598</v>
      </c>
      <c r="L61" s="44">
        <f t="shared" si="26"/>
        <v>83048.233995689778</v>
      </c>
      <c r="M61" s="403">
        <f>IFERROR(IF(B61=B60,M60+1,MATCH(B61,'ST Forecast'!$E$2:$RK$2,0)+1),"")</f>
        <v>66</v>
      </c>
      <c r="N61">
        <f>SUM(DB[[#This Row],[Ops-FC-Orders-Collect]:[Ops-FC-Orders-HD]])</f>
        <v>2450</v>
      </c>
      <c r="O61" s="44" cm="1">
        <f t="array" ref="O61">IFERROR(INDEX('ST Forecast'!$E$2:$RK$36,13,M61),"")</f>
        <v>800</v>
      </c>
      <c r="P61" s="44">
        <f t="shared" si="27"/>
        <v>1650</v>
      </c>
      <c r="Q61" s="44" cm="1">
        <f t="array" ref="Q61">IFERROR(INDEX('ST Forecast'!$E$2:$RK$36,14,M61),"")</f>
        <v>700</v>
      </c>
      <c r="R61" s="44" cm="1">
        <f t="array" ref="R61">IFERROR(INDEX('ST Forecast'!$E$2:$RK$36,15,M61),"")</f>
        <v>950</v>
      </c>
      <c r="S61" s="312">
        <f>SUM(DB[[#This Row],[Ops-FC-Picks-Collect]:[Ops-FC-Picks-HD]])</f>
        <v>118589.01006205982</v>
      </c>
      <c r="T61" s="44">
        <f t="shared" si="28"/>
        <v>37201.740746283846</v>
      </c>
      <c r="U61" s="44">
        <f t="shared" si="29"/>
        <v>81387.269315775979</v>
      </c>
      <c r="V61" s="44">
        <f t="shared" si="30"/>
        <v>34527.932436995863</v>
      </c>
      <c r="W61" s="404">
        <f t="shared" si="31"/>
        <v>46859.336878780108</v>
      </c>
      <c r="X61" s="44">
        <f>SUM(DB[[#This Row],[Capped-Orders-Collect]:[Capped-Orders-HD]])</f>
        <v>90</v>
      </c>
      <c r="Y61">
        <f>INDEX('Operations Forecast'!$A$2:$BGY$47,3,MATCH(DB!D61,'Operations Forecast'!$A$2:$BGY$2))</f>
        <v>0</v>
      </c>
      <c r="Z61">
        <f t="shared" si="32"/>
        <v>90</v>
      </c>
      <c r="AA61">
        <f>INDEX('Operations Forecast'!$A$2:$BGY$47,10,MATCH(DB!D61,'Operations Forecast'!$A$2:$BGY$2))</f>
        <v>90</v>
      </c>
      <c r="AB61">
        <f>INDEX('Operations Forecast'!$A$2:$BGY$47,21,MATCH(DB!D61,'Operations Forecast'!$A$2:$BGY$2))</f>
        <v>0</v>
      </c>
      <c r="AC61" s="312">
        <f>SUM(DB[[#This Row],[Act-Orders-Collect]:[Act-Orders-HD]])</f>
        <v>2365</v>
      </c>
      <c r="AD61" s="858">
        <f>IFERROR(INDEX('Operations Forecast_new'!$7:$7,MATCH(DB[[#This Row],[Datum]],'Operations Forecast_new'!$2:$2,0)),0)</f>
        <v>765</v>
      </c>
      <c r="AE61" s="312">
        <f t="shared" si="33"/>
        <v>1600</v>
      </c>
      <c r="AF61" s="858">
        <f>IFERROR(INDEX('Operations Forecast_new'!$13:$13,MATCH(DB[[#This Row],[Datum]],'Operations Forecast_new'!$2:$2,0)),0)</f>
        <v>690</v>
      </c>
      <c r="AG61" s="858">
        <f>IFERROR(INDEX('Operations Forecast_new'!$19:$19,MATCH(DB[[#This Row],[Datum]],'Operations Forecast_new'!$2:$2,0)),0)</f>
        <v>910</v>
      </c>
      <c r="AH61" s="312">
        <f t="shared" si="9"/>
        <v>121076.00999999998</v>
      </c>
      <c r="AI61" s="858">
        <f>IFERROR(INDEX('Operations Forecast_new'!$9:$9,MATCH(DB[[#This Row],[Datum]],'Operations Forecast_new'!$2:$2,0)),0)</f>
        <v>36807.21</v>
      </c>
      <c r="AJ61" s="312">
        <f t="shared" si="34"/>
        <v>84268.799999999988</v>
      </c>
      <c r="AK61" s="858">
        <f>IFERROR(INDEX('Operations Forecast_new'!$15:$15,MATCH(DB[[#This Row],[Datum]],'Operations Forecast_new'!$2:$2,0)),0)</f>
        <v>36340.92</v>
      </c>
      <c r="AL61" s="858">
        <f>IFERROR(INDEX('Operations Forecast_new'!$21:$21,MATCH(DB[[#This Row],[Datum]],'Operations Forecast_new'!$2:$2,0)),0)</f>
        <v>47927.88</v>
      </c>
      <c r="AM61" s="178">
        <f>IFERROR(INDEX('Operations Forecast_new'!$8:$8,MATCH(DB[[#This Row],[Datum]],'Operations Forecast_new'!$2:$2,0)),0)</f>
        <v>48.6</v>
      </c>
      <c r="AN61" s="859">
        <f>IFERROR(INDEX('Operations Forecast_new'!$20:$20,MATCH(DB[[#This Row],[Datum]],'Operations Forecast_new'!$2:$2,0)),0)</f>
        <v>53.2</v>
      </c>
      <c r="AO61" s="44">
        <f t="shared" si="35"/>
        <v>48.113999999999997</v>
      </c>
      <c r="AP61" s="404">
        <f t="shared" si="36"/>
        <v>52.667999999999992</v>
      </c>
      <c r="AQ61" s="44">
        <f t="shared" si="13"/>
        <v>202124.00000000003</v>
      </c>
      <c r="AR61" s="44" cm="1">
        <f t="array" ref="AR61">IFERROR(INDEX('ST Forecast'!$E$2:$RK$36,25,M61)+(INDEX('ST Forecast'!$E$2:$RK$36,29,M61)),"")</f>
        <v>87292.693709806335</v>
      </c>
      <c r="AS61" s="44" cm="1">
        <f t="array" ref="AS61">IFERROR(INDEX('ST Forecast'!$E$2:$RK$36,26,M61)+INDEX('ST Forecast'!$E$2:$RK$36,30,M61),"")</f>
        <v>62034.009015618787</v>
      </c>
      <c r="AT61" s="44" cm="1">
        <f t="array" ref="AT61">IFERROR(INDEX('ST Forecast'!$E$2:$RK$36,27,M61)+INDEX('ST Forecast'!$E$2:$RK$36,31,M61),"")</f>
        <v>46144.901464056544</v>
      </c>
      <c r="AU61" s="44" cm="1">
        <f t="array" ref="AU61">IFERROR(INDEX('ST Forecast'!$E$2:$RK$36,28,M61),"")</f>
        <v>6652.3958105183474</v>
      </c>
      <c r="AV61" s="44" cm="1">
        <f t="array" ref="AV61">IFERROR(INDEX('ST Forecast'!$E$2:$RK$36,29,M61),"")</f>
        <v>0</v>
      </c>
      <c r="AW61" s="44">
        <f>DB[[#This Row],[Inbound FC]]-DB[[#This Row],[Inbound Act - Ultrafresh2]]</f>
        <v>202124.00000000003</v>
      </c>
      <c r="AX61" s="178" t="e">
        <f>#REF!</f>
        <v>#REF!</v>
      </c>
      <c r="AY61" s="178" t="e">
        <f>#REF!</f>
        <v>#REF!</v>
      </c>
      <c r="AZ61" s="178" t="e">
        <f>#REF!</f>
        <v>#REF!</v>
      </c>
      <c r="BA61" s="178">
        <f>MONTH(DB[[#This Row],[Datum]])</f>
        <v>2</v>
      </c>
    </row>
    <row r="62" spans="1:53" x14ac:dyDescent="0.3">
      <c r="A62" s="44">
        <f t="shared" si="23"/>
        <v>9</v>
      </c>
      <c r="B62" t="str">
        <f t="shared" si="24"/>
        <v>Wk 9</v>
      </c>
      <c r="C62" t="s">
        <v>114</v>
      </c>
      <c r="D62" s="313">
        <v>44621</v>
      </c>
      <c r="E62" s="44">
        <f>DB[[#This Row],[Sales-FC-Orders-Collect]]+DB[[#This Row],[Sales-FC-Orders-HD]]</f>
        <v>2568.8402625820568</v>
      </c>
      <c r="F62" s="402">
        <f>INDEX('LT Collect Forecast'!$K$1:$Q$55,MATCH(B62,'LT Collect Forecast'!$A:$A,0),MATCH(C62,'LT Collect Forecast'!$K$2:$Q$2,0))</f>
        <v>500</v>
      </c>
      <c r="G62" s="44">
        <f>INDEX('LT HD Forecast'!$K$1:$Q$55,MATCH(B62,'LT HD Forecast'!$A:$A,0),MATCH(C62,'LT HD Forecast'!$K$2:$Q$2,0))</f>
        <v>2068.8402625820568</v>
      </c>
      <c r="H62" s="44" cm="1">
        <f t="array" ref="H62">IFERROR(INDEX('ST Forecast'!$E$2:$RK$36,6,M62),"")</f>
        <v>45.284946988980224</v>
      </c>
      <c r="I62" s="44" cm="1">
        <f t="array" ref="I62">IFERROR(INDEX('ST Forecast'!$E$2:$RK$36,7,M62),"")</f>
        <v>48.833005283226392</v>
      </c>
      <c r="J62" s="44">
        <f>SUM(DB[[#This Row],[Sales-FC-Picks-Collect]:[Sales-FC-Picks-HD]])</f>
        <v>123670.16096731117</v>
      </c>
      <c r="K62" s="44">
        <f t="shared" si="25"/>
        <v>22642.47349449011</v>
      </c>
      <c r="L62" s="44">
        <f t="shared" si="26"/>
        <v>101027.68747282105</v>
      </c>
      <c r="M62" s="403">
        <f>IFERROR(IF(B62=B61,M61+1,MATCH(B62,'ST Forecast'!$E$2:$RK$2,0)+1),"")</f>
        <v>67</v>
      </c>
      <c r="N62">
        <f>SUM(DB[[#This Row],[Ops-FC-Orders-Collect]:[Ops-FC-Orders-HD]])</f>
        <v>2450</v>
      </c>
      <c r="O62" s="44" cm="1">
        <f t="array" ref="O62">IFERROR(INDEX('ST Forecast'!$E$2:$RK$36,13,M62),"")</f>
        <v>500</v>
      </c>
      <c r="P62" s="44">
        <f t="shared" si="27"/>
        <v>1950</v>
      </c>
      <c r="Q62" s="44" cm="1">
        <f t="array" ref="Q62">IFERROR(INDEX('ST Forecast'!$E$2:$RK$36,14,M62),"")</f>
        <v>950</v>
      </c>
      <c r="R62" s="44" cm="1">
        <f t="array" ref="R62">IFERROR(INDEX('ST Forecast'!$E$2:$RK$36,15,M62),"")</f>
        <v>1000</v>
      </c>
      <c r="S62" s="312">
        <f>SUM(DB[[#This Row],[Ops-FC-Picks-Collect]:[Ops-FC-Picks-HD]])</f>
        <v>115509.49712084595</v>
      </c>
      <c r="T62" s="44">
        <f t="shared" si="28"/>
        <v>22189.624024600307</v>
      </c>
      <c r="U62" s="44">
        <f t="shared" si="29"/>
        <v>93319.873096245632</v>
      </c>
      <c r="V62" s="44">
        <f t="shared" si="30"/>
        <v>45463.527918683772</v>
      </c>
      <c r="W62" s="404">
        <f t="shared" si="31"/>
        <v>47856.34517756186</v>
      </c>
      <c r="X62" s="44">
        <f>SUM(DB[[#This Row],[Capped-Orders-Collect]:[Capped-Orders-HD]])</f>
        <v>90</v>
      </c>
      <c r="Y62">
        <f>INDEX('Operations Forecast'!$A$2:$BGY$47,3,MATCH(DB!D62,'Operations Forecast'!$A$2:$BGY$2))</f>
        <v>0</v>
      </c>
      <c r="Z62">
        <f t="shared" si="32"/>
        <v>90</v>
      </c>
      <c r="AA62">
        <f>INDEX('Operations Forecast'!$A$2:$BGY$47,10,MATCH(DB!D62,'Operations Forecast'!$A$2:$BGY$2))</f>
        <v>90</v>
      </c>
      <c r="AB62">
        <f>INDEX('Operations Forecast'!$A$2:$BGY$47,21,MATCH(DB!D62,'Operations Forecast'!$A$2:$BGY$2))</f>
        <v>0</v>
      </c>
      <c r="AC62" s="312">
        <f>SUM(DB[[#This Row],[Act-Orders-Collect]:[Act-Orders-HD]])</f>
        <v>2392</v>
      </c>
      <c r="AD62" s="858">
        <f>IFERROR(INDEX('Operations Forecast_new'!$7:$7,MATCH(DB[[#This Row],[Datum]],'Operations Forecast_new'!$2:$2,0)),0)</f>
        <v>475</v>
      </c>
      <c r="AE62" s="312">
        <f t="shared" si="33"/>
        <v>1917</v>
      </c>
      <c r="AF62" s="858">
        <f>IFERROR(INDEX('Operations Forecast_new'!$13:$13,MATCH(DB[[#This Row],[Datum]],'Operations Forecast_new'!$2:$2,0)),0)</f>
        <v>950</v>
      </c>
      <c r="AG62" s="858">
        <f>IFERROR(INDEX('Operations Forecast_new'!$19:$19,MATCH(DB[[#This Row],[Datum]],'Operations Forecast_new'!$2:$2,0)),0)</f>
        <v>967</v>
      </c>
      <c r="AH62" s="312">
        <f t="shared" si="9"/>
        <v>118506.46500000001</v>
      </c>
      <c r="AI62" s="858">
        <f>IFERROR(INDEX('Operations Forecast_new'!$9:$9,MATCH(DB[[#This Row],[Datum]],'Operations Forecast_new'!$2:$2,0)),0)</f>
        <v>22666.05</v>
      </c>
      <c r="AJ62" s="312">
        <f t="shared" si="34"/>
        <v>95840.415000000008</v>
      </c>
      <c r="AK62" s="858">
        <f>IFERROR(INDEX('Operations Forecast_new'!$15:$15,MATCH(DB[[#This Row],[Datum]],'Operations Forecast_new'!$2:$2,0)),0)</f>
        <v>47495.25</v>
      </c>
      <c r="AL62" s="858">
        <f>IFERROR(INDEX('Operations Forecast_new'!$21:$21,MATCH(DB[[#This Row],[Datum]],'Operations Forecast_new'!$2:$2,0)),0)</f>
        <v>48345.165000000001</v>
      </c>
      <c r="AM62" s="178">
        <f>IFERROR(INDEX('Operations Forecast_new'!$8:$8,MATCH(DB[[#This Row],[Datum]],'Operations Forecast_new'!$2:$2,0)),0)</f>
        <v>48.2</v>
      </c>
      <c r="AN62" s="859">
        <f>IFERROR(INDEX('Operations Forecast_new'!$20:$20,MATCH(DB[[#This Row],[Datum]],'Operations Forecast_new'!$2:$2,0)),0)</f>
        <v>50.5</v>
      </c>
      <c r="AO62" s="44">
        <f t="shared" si="35"/>
        <v>47.717999999999996</v>
      </c>
      <c r="AP62" s="404">
        <f t="shared" si="36"/>
        <v>49.995000000000005</v>
      </c>
      <c r="AQ62" s="44">
        <f t="shared" si="13"/>
        <v>147268.00000000009</v>
      </c>
      <c r="AR62" s="44" cm="1">
        <f t="array" ref="AR62">IFERROR(INDEX('ST Forecast'!$E$2:$RK$36,25,M62)+(INDEX('ST Forecast'!$E$2:$RK$36,29,M62)),"")</f>
        <v>65187.604116247952</v>
      </c>
      <c r="AS62" s="44" cm="1">
        <f t="array" ref="AS62">IFERROR(INDEX('ST Forecast'!$E$2:$RK$36,26,M62)+INDEX('ST Forecast'!$E$2:$RK$36,30,M62),"")</f>
        <v>68374.001685852709</v>
      </c>
      <c r="AT62" s="44" cm="1">
        <f t="array" ref="AT62">IFERROR(INDEX('ST Forecast'!$E$2:$RK$36,27,M62)+INDEX('ST Forecast'!$E$2:$RK$36,31,M62),"")</f>
        <v>6433.5903704041984</v>
      </c>
      <c r="AU62" s="44" cm="1">
        <f t="array" ref="AU62">IFERROR(INDEX('ST Forecast'!$E$2:$RK$36,28,M62),"")</f>
        <v>7272.8038274952323</v>
      </c>
      <c r="AV62" s="44" cm="1">
        <f t="array" ref="AV62">IFERROR(INDEX('ST Forecast'!$E$2:$RK$36,29,M62),"")</f>
        <v>0</v>
      </c>
      <c r="AW62" s="44">
        <f>DB[[#This Row],[Inbound FC]]-DB[[#This Row],[Inbound Act - Ultrafresh2]]</f>
        <v>147268.00000000009</v>
      </c>
      <c r="AX62" s="178" t="e">
        <f>#REF!</f>
        <v>#REF!</v>
      </c>
      <c r="AY62" s="178" t="e">
        <f>#REF!</f>
        <v>#REF!</v>
      </c>
      <c r="AZ62" s="178" t="e">
        <f>#REF!</f>
        <v>#REF!</v>
      </c>
      <c r="BA62" s="178">
        <f>MONTH(DB[[#This Row],[Datum]])</f>
        <v>3</v>
      </c>
    </row>
    <row r="63" spans="1:53" x14ac:dyDescent="0.3">
      <c r="A63" s="44">
        <f t="shared" si="23"/>
        <v>9</v>
      </c>
      <c r="B63" t="str">
        <f t="shared" si="24"/>
        <v>Wk 9</v>
      </c>
      <c r="C63" t="s">
        <v>115</v>
      </c>
      <c r="D63" s="313">
        <v>44622</v>
      </c>
      <c r="E63" s="44">
        <f>DB[[#This Row],[Sales-FC-Orders-Collect]]+DB[[#This Row],[Sales-FC-Orders-HD]]</f>
        <v>2467.4617067833697</v>
      </c>
      <c r="F63" s="402">
        <f>INDEX('LT Collect Forecast'!$K$1:$Q$55,MATCH(B63,'LT Collect Forecast'!$A:$A,0),MATCH(C63,'LT Collect Forecast'!$K$2:$Q$2,0))</f>
        <v>550</v>
      </c>
      <c r="G63" s="44">
        <f>INDEX('LT HD Forecast'!$K$1:$Q$55,MATCH(B63,'LT HD Forecast'!$A:$A,0),MATCH(C63,'LT HD Forecast'!$K$2:$Q$2,0))</f>
        <v>1917.4617067833699</v>
      </c>
      <c r="H63" s="44" cm="1">
        <f t="array" ref="H63">IFERROR(INDEX('ST Forecast'!$E$2:$RK$36,6,M63),"")</f>
        <v>47.460910003845655</v>
      </c>
      <c r="I63" s="44" cm="1">
        <f t="array" ref="I63">IFERROR(INDEX('ST Forecast'!$E$2:$RK$36,7,M63),"")</f>
        <v>49.635866422797029</v>
      </c>
      <c r="J63" s="44">
        <f>SUM(DB[[#This Row],[Sales-FC-Picks-Collect]:[Sales-FC-Picks-HD]])</f>
        <v>121278.37365084287</v>
      </c>
      <c r="K63" s="44">
        <f t="shared" si="25"/>
        <v>26103.500502115108</v>
      </c>
      <c r="L63" s="44">
        <f t="shared" si="26"/>
        <v>95174.873148727755</v>
      </c>
      <c r="M63" s="403">
        <f>IFERROR(IF(B63=B62,M62+1,MATCH(B63,'ST Forecast'!$E$2:$RK$2,0)+1),"")</f>
        <v>68</v>
      </c>
      <c r="N63">
        <f>SUM(DB[[#This Row],[Ops-FC-Orders-Collect]:[Ops-FC-Orders-HD]])</f>
        <v>2450</v>
      </c>
      <c r="O63" s="44" cm="1">
        <f t="array" ref="O63">IFERROR(INDEX('ST Forecast'!$E$2:$RK$36,13,M63),"")</f>
        <v>500</v>
      </c>
      <c r="P63" s="44">
        <f t="shared" si="27"/>
        <v>1950</v>
      </c>
      <c r="Q63" s="44" cm="1">
        <f t="array" ref="Q63">IFERROR(INDEX('ST Forecast'!$E$2:$RK$36,14,M63),"")</f>
        <v>950</v>
      </c>
      <c r="R63" s="44" cm="1">
        <f t="array" ref="R63">IFERROR(INDEX('ST Forecast'!$E$2:$RK$36,15,M63),"")</f>
        <v>1000</v>
      </c>
      <c r="S63" s="312">
        <f>SUM(DB[[#This Row],[Ops-FC-Picks-Collect]:[Ops-FC-Picks-HD]])</f>
        <v>118109.98663584949</v>
      </c>
      <c r="T63" s="44">
        <f t="shared" si="28"/>
        <v>23255.845901884368</v>
      </c>
      <c r="U63" s="44">
        <f t="shared" si="29"/>
        <v>94854.14073396512</v>
      </c>
      <c r="V63" s="44">
        <f t="shared" si="30"/>
        <v>46210.991639624037</v>
      </c>
      <c r="W63" s="404">
        <f t="shared" si="31"/>
        <v>48643.14909434109</v>
      </c>
      <c r="X63" s="44">
        <f>SUM(DB[[#This Row],[Capped-Orders-Collect]:[Capped-Orders-HD]])</f>
        <v>90</v>
      </c>
      <c r="Y63">
        <f>INDEX('Operations Forecast'!$A$2:$BGY$47,3,MATCH(DB!D63,'Operations Forecast'!$A$2:$BGY$2))</f>
        <v>0</v>
      </c>
      <c r="Z63">
        <f t="shared" si="32"/>
        <v>90</v>
      </c>
      <c r="AA63">
        <f>INDEX('Operations Forecast'!$A$2:$BGY$47,10,MATCH(DB!D63,'Operations Forecast'!$A$2:$BGY$2))</f>
        <v>90</v>
      </c>
      <c r="AB63">
        <f>INDEX('Operations Forecast'!$A$2:$BGY$47,21,MATCH(DB!D63,'Operations Forecast'!$A$2:$BGY$2))</f>
        <v>0</v>
      </c>
      <c r="AC63" s="312">
        <f>SUM(DB[[#This Row],[Act-Orders-Collect]:[Act-Orders-HD]])</f>
        <v>2322</v>
      </c>
      <c r="AD63" s="858">
        <f>IFERROR(INDEX('Operations Forecast_new'!$7:$7,MATCH(DB[[#This Row],[Datum]],'Operations Forecast_new'!$2:$2,0)),0)</f>
        <v>450</v>
      </c>
      <c r="AE63" s="312">
        <f t="shared" si="33"/>
        <v>1872</v>
      </c>
      <c r="AF63" s="858">
        <f>IFERROR(INDEX('Operations Forecast_new'!$13:$13,MATCH(DB[[#This Row],[Datum]],'Operations Forecast_new'!$2:$2,0)),0)</f>
        <v>952</v>
      </c>
      <c r="AG63" s="858">
        <f>IFERROR(INDEX('Operations Forecast_new'!$19:$19,MATCH(DB[[#This Row],[Datum]],'Operations Forecast_new'!$2:$2,0)),0)</f>
        <v>920</v>
      </c>
      <c r="AH63" s="312">
        <f t="shared" si="9"/>
        <v>122056.308</v>
      </c>
      <c r="AI63" s="858">
        <f>IFERROR(INDEX('Operations Forecast_new'!$9:$9,MATCH(DB[[#This Row],[Datum]],'Operations Forecast_new'!$2:$2,0)),0)</f>
        <v>22720.5</v>
      </c>
      <c r="AJ63" s="312">
        <f t="shared" si="34"/>
        <v>99335.808000000005</v>
      </c>
      <c r="AK63" s="858">
        <f>IFERROR(INDEX('Operations Forecast_new'!$15:$15,MATCH(DB[[#This Row],[Datum]],'Operations Forecast_new'!$2:$2,0)),0)</f>
        <v>50516.928000000007</v>
      </c>
      <c r="AL63" s="858">
        <f>IFERROR(INDEX('Operations Forecast_new'!$21:$21,MATCH(DB[[#This Row],[Datum]],'Operations Forecast_new'!$2:$2,0)),0)</f>
        <v>48818.879999999997</v>
      </c>
      <c r="AM63" s="178">
        <f>IFERROR(INDEX('Operations Forecast_new'!$8:$8,MATCH(DB[[#This Row],[Datum]],'Operations Forecast_new'!$2:$2,0)),0)</f>
        <v>51</v>
      </c>
      <c r="AN63" s="859">
        <f>IFERROR(INDEX('Operations Forecast_new'!$20:$20,MATCH(DB[[#This Row],[Datum]],'Operations Forecast_new'!$2:$2,0)),0)</f>
        <v>53.6</v>
      </c>
      <c r="AO63" s="44">
        <f t="shared" si="35"/>
        <v>50.49</v>
      </c>
      <c r="AP63" s="404">
        <f t="shared" si="36"/>
        <v>53.064</v>
      </c>
      <c r="AQ63" s="44">
        <f t="shared" si="13"/>
        <v>149832.00000000012</v>
      </c>
      <c r="AR63" s="44" cm="1">
        <f t="array" ref="AR63">IFERROR(INDEX('ST Forecast'!$E$2:$RK$36,25,M63)+(INDEX('ST Forecast'!$E$2:$RK$36,29,M63)),"")</f>
        <v>62730.918326767714</v>
      </c>
      <c r="AS63" s="44" cm="1">
        <f t="array" ref="AS63">IFERROR(INDEX('ST Forecast'!$E$2:$RK$36,26,M63)+INDEX('ST Forecast'!$E$2:$RK$36,30,M63),"")</f>
        <v>63613.555532302467</v>
      </c>
      <c r="AT63" s="44" cm="1">
        <f t="array" ref="AT63">IFERROR(INDEX('ST Forecast'!$E$2:$RK$36,27,M63)+INDEX('ST Forecast'!$E$2:$RK$36,31,M63),"")</f>
        <v>14305.131543260874</v>
      </c>
      <c r="AU63" s="44" cm="1">
        <f t="array" ref="AU63">IFERROR(INDEX('ST Forecast'!$E$2:$RK$36,28,M63),"")</f>
        <v>9182.3945976690375</v>
      </c>
      <c r="AV63" s="44" cm="1">
        <f t="array" ref="AV63">IFERROR(INDEX('ST Forecast'!$E$2:$RK$36,29,M63),"")</f>
        <v>0</v>
      </c>
      <c r="AW63" s="44">
        <f>DB[[#This Row],[Inbound FC]]-DB[[#This Row],[Inbound Act - Ultrafresh2]]</f>
        <v>149832.00000000012</v>
      </c>
      <c r="AX63" s="178" t="e">
        <f>#REF!</f>
        <v>#REF!</v>
      </c>
      <c r="AY63" s="178" t="e">
        <f>#REF!</f>
        <v>#REF!</v>
      </c>
      <c r="AZ63" s="178" t="e">
        <f>#REF!</f>
        <v>#REF!</v>
      </c>
      <c r="BA63" s="178">
        <f>MONTH(DB[[#This Row],[Datum]])</f>
        <v>3</v>
      </c>
    </row>
    <row r="64" spans="1:53" x14ac:dyDescent="0.3">
      <c r="A64" s="44">
        <f t="shared" si="23"/>
        <v>9</v>
      </c>
      <c r="B64" t="str">
        <f t="shared" si="24"/>
        <v>Wk 9</v>
      </c>
      <c r="C64" t="s">
        <v>116</v>
      </c>
      <c r="D64" s="313">
        <v>44623</v>
      </c>
      <c r="E64" s="44">
        <f>DB[[#This Row],[Sales-FC-Orders-Collect]]+DB[[#This Row],[Sales-FC-Orders-HD]]</f>
        <v>2325</v>
      </c>
      <c r="F64" s="402" cm="1">
        <f t="array" ref="F64">INDEX('LT Collect Forecast'!$K$1:$Q$55,MATCH(B64,'LT Collect Forecast'!$A:$A,0)+1,MATCH(C64,'LT Collect Forecast'!$K$2:$Q$2,0))</f>
        <v>450</v>
      </c>
      <c r="G64" s="44" cm="1">
        <f t="array" ref="G64">INDEX('LT HD Forecast'!$K$1:$Q$55,MATCH(B64,'LT HD Forecast'!$A:$A,0)+1,MATCH(C64,'LT HD Forecast'!$K$2:$Q$2,0))</f>
        <v>1875</v>
      </c>
      <c r="H64" s="44" cm="1">
        <f t="array" ref="H64">IFERROR(INDEX('ST Forecast'!$E$2:$RK$36,6,M64),"")</f>
        <v>48.968819177924793</v>
      </c>
      <c r="I64" s="44" cm="1">
        <f t="array" ref="I64">IFERROR(INDEX('ST Forecast'!$E$2:$RK$36,7,M64),"")</f>
        <v>50.913196389697404</v>
      </c>
      <c r="J64" s="44">
        <f>SUM(DB[[#This Row],[Sales-FC-Picks-Collect]:[Sales-FC-Picks-HD]])</f>
        <v>117498.21186074879</v>
      </c>
      <c r="K64" s="44">
        <f t="shared" si="25"/>
        <v>22035.968630066156</v>
      </c>
      <c r="L64" s="44">
        <f t="shared" si="26"/>
        <v>95462.243230682638</v>
      </c>
      <c r="M64" s="403">
        <f>IFERROR(IF(B64=B63,M63+1,MATCH(B64,'ST Forecast'!$E$2:$RK$2,0)+1),"")</f>
        <v>69</v>
      </c>
      <c r="N64">
        <f>SUM(DB[[#This Row],[Ops-FC-Orders-Collect]:[Ops-FC-Orders-HD]])</f>
        <v>2400</v>
      </c>
      <c r="O64" s="44" cm="1">
        <f t="array" ref="O64">IFERROR(INDEX('ST Forecast'!$E$2:$RK$36,13,M64),"")</f>
        <v>450</v>
      </c>
      <c r="P64" s="44">
        <f t="shared" si="27"/>
        <v>1950</v>
      </c>
      <c r="Q64" s="44" cm="1">
        <f t="array" ref="Q64">IFERROR(INDEX('ST Forecast'!$E$2:$RK$36,14,M64),"")</f>
        <v>950</v>
      </c>
      <c r="R64" s="44" cm="1">
        <f t="array" ref="R64">IFERROR(INDEX('ST Forecast'!$E$2:$RK$36,15,M64),"")</f>
        <v>1000</v>
      </c>
      <c r="S64" s="312">
        <f>SUM(DB[[#This Row],[Ops-FC-Picks-Collect]:[Ops-FC-Picks-HD]])</f>
        <v>118890.36755817657</v>
      </c>
      <c r="T64" s="44">
        <f t="shared" si="28"/>
        <v>21595.249257464831</v>
      </c>
      <c r="U64" s="44">
        <f t="shared" si="29"/>
        <v>97295.118300711736</v>
      </c>
      <c r="V64" s="44">
        <f t="shared" si="30"/>
        <v>47400.185838808284</v>
      </c>
      <c r="W64" s="404">
        <f t="shared" si="31"/>
        <v>49894.932461903452</v>
      </c>
      <c r="X64" s="44">
        <f>SUM(DB[[#This Row],[Capped-Orders-Collect]:[Capped-Orders-HD]])</f>
        <v>90</v>
      </c>
      <c r="Y64">
        <f>INDEX('Operations Forecast'!$A$2:$BGY$47,3,MATCH(DB!D64,'Operations Forecast'!$A$2:$BGY$2))</f>
        <v>0</v>
      </c>
      <c r="Z64">
        <f t="shared" si="32"/>
        <v>90</v>
      </c>
      <c r="AA64">
        <f>INDEX('Operations Forecast'!$A$2:$BGY$47,10,MATCH(DB!D64,'Operations Forecast'!$A$2:$BGY$2))</f>
        <v>90</v>
      </c>
      <c r="AB64">
        <f>INDEX('Operations Forecast'!$A$2:$BGY$47,21,MATCH(DB!D64,'Operations Forecast'!$A$2:$BGY$2))</f>
        <v>0</v>
      </c>
      <c r="AC64" s="312">
        <f>SUM(DB[[#This Row],[Act-Orders-Collect]:[Act-Orders-HD]])</f>
        <v>2287</v>
      </c>
      <c r="AD64" s="858">
        <f>IFERROR(INDEX('Operations Forecast_new'!$7:$7,MATCH(DB[[#This Row],[Datum]],'Operations Forecast_new'!$2:$2,0)),0)</f>
        <v>505</v>
      </c>
      <c r="AE64" s="312">
        <f t="shared" si="33"/>
        <v>1782</v>
      </c>
      <c r="AF64" s="858">
        <f>IFERROR(INDEX('Operations Forecast_new'!$13:$13,MATCH(DB[[#This Row],[Datum]],'Operations Forecast_new'!$2:$2,0)),0)</f>
        <v>777</v>
      </c>
      <c r="AG64" s="858">
        <f>IFERROR(INDEX('Operations Forecast_new'!$19:$19,MATCH(DB[[#This Row],[Datum]],'Operations Forecast_new'!$2:$2,0)),0)</f>
        <v>1005</v>
      </c>
      <c r="AH64" s="312">
        <f t="shared" si="9"/>
        <v>114697.143</v>
      </c>
      <c r="AI64" s="858">
        <f>IFERROR(INDEX('Operations Forecast_new'!$9:$9,MATCH(DB[[#This Row],[Datum]],'Operations Forecast_new'!$2:$2,0)),0)</f>
        <v>24547.544999999998</v>
      </c>
      <c r="AJ64" s="312">
        <f t="shared" si="34"/>
        <v>90149.597999999998</v>
      </c>
      <c r="AK64" s="858">
        <f>IFERROR(INDEX('Operations Forecast_new'!$15:$15,MATCH(DB[[#This Row],[Datum]],'Operations Forecast_new'!$2:$2,0)),0)</f>
        <v>39307.653000000006</v>
      </c>
      <c r="AL64" s="858">
        <f>IFERROR(INDEX('Operations Forecast_new'!$21:$21,MATCH(DB[[#This Row],[Datum]],'Operations Forecast_new'!$2:$2,0)),0)</f>
        <v>50841.945</v>
      </c>
      <c r="AM64" s="178">
        <f>IFERROR(INDEX('Operations Forecast_new'!$8:$8,MATCH(DB[[#This Row],[Datum]],'Operations Forecast_new'!$2:$2,0)),0)</f>
        <v>49.1</v>
      </c>
      <c r="AN64" s="859">
        <f>IFERROR(INDEX('Operations Forecast_new'!$20:$20,MATCH(DB[[#This Row],[Datum]],'Operations Forecast_new'!$2:$2,0)),0)</f>
        <v>51.1</v>
      </c>
      <c r="AO64" s="44">
        <f t="shared" si="35"/>
        <v>48.608999999999995</v>
      </c>
      <c r="AP64" s="404">
        <f t="shared" si="36"/>
        <v>50.588999999999999</v>
      </c>
      <c r="AQ64" s="44">
        <f t="shared" si="13"/>
        <v>143171.00000000006</v>
      </c>
      <c r="AR64" s="44" cm="1">
        <f t="array" ref="AR64">IFERROR(INDEX('ST Forecast'!$E$2:$RK$36,25,M64)+(INDEX('ST Forecast'!$E$2:$RK$36,29,M64)),"")</f>
        <v>60020.153682663746</v>
      </c>
      <c r="AS64" s="44" cm="1">
        <f t="array" ref="AS64">IFERROR(INDEX('ST Forecast'!$E$2:$RK$36,26,M64)+INDEX('ST Forecast'!$E$2:$RK$36,30,M64),"")</f>
        <v>59960.867978163158</v>
      </c>
      <c r="AT64" s="44" cm="1">
        <f t="array" ref="AT64">IFERROR(INDEX('ST Forecast'!$E$2:$RK$36,27,M64)+INDEX('ST Forecast'!$E$2:$RK$36,31,M64),"")</f>
        <v>13500.596794175157</v>
      </c>
      <c r="AU64" s="44" cm="1">
        <f t="array" ref="AU64">IFERROR(INDEX('ST Forecast'!$E$2:$RK$36,28,M64),"")</f>
        <v>9689.3815449980102</v>
      </c>
      <c r="AV64" s="44" cm="1">
        <f t="array" ref="AV64">IFERROR(INDEX('ST Forecast'!$E$2:$RK$36,29,M64),"")</f>
        <v>0</v>
      </c>
      <c r="AW64" s="44">
        <f>DB[[#This Row],[Inbound FC]]-DB[[#This Row],[Inbound Act - Ultrafresh2]]</f>
        <v>143171.00000000006</v>
      </c>
      <c r="AX64" s="178" t="e">
        <f>#REF!</f>
        <v>#REF!</v>
      </c>
      <c r="AY64" s="178" t="e">
        <f>#REF!</f>
        <v>#REF!</v>
      </c>
      <c r="AZ64" s="178" t="e">
        <f>#REF!</f>
        <v>#REF!</v>
      </c>
      <c r="BA64" s="178">
        <f>MONTH(DB[[#This Row],[Datum]])</f>
        <v>3</v>
      </c>
    </row>
    <row r="65" spans="1:53" x14ac:dyDescent="0.3">
      <c r="A65" s="44">
        <f t="shared" si="23"/>
        <v>9</v>
      </c>
      <c r="B65" t="str">
        <f t="shared" si="24"/>
        <v>Wk 9</v>
      </c>
      <c r="C65" t="s">
        <v>117</v>
      </c>
      <c r="D65" s="313">
        <v>44624</v>
      </c>
      <c r="E65" s="44">
        <f>DB[[#This Row],[Sales-FC-Orders-Collect]]+DB[[#This Row],[Sales-FC-Orders-HD]]</f>
        <v>3050</v>
      </c>
      <c r="F65" s="402" cm="1">
        <f t="array" ref="F65">INDEX('LT Collect Forecast'!$K$1:$Q$55,MATCH(B65,'LT Collect Forecast'!$A:$A,0)+1,MATCH(C65,'LT Collect Forecast'!$K$2:$Q$2,0))</f>
        <v>1100</v>
      </c>
      <c r="G65" s="44" cm="1">
        <f t="array" ref="G65">INDEX('LT HD Forecast'!$K$1:$Q$55,MATCH(B65,'LT HD Forecast'!$A:$A,0)+1,MATCH(C65,'LT HD Forecast'!$K$2:$Q$2,0))</f>
        <v>1950</v>
      </c>
      <c r="H65" s="44" cm="1">
        <f t="array" ref="H65">IFERROR(INDEX('ST Forecast'!$E$2:$RK$36,6,M65),"")</f>
        <v>50.619953014848441</v>
      </c>
      <c r="I65" s="44" cm="1">
        <f t="array" ref="I65">IFERROR(INDEX('ST Forecast'!$E$2:$RK$36,7,M65),"")</f>
        <v>53.296415923921735</v>
      </c>
      <c r="J65" s="44">
        <f>SUM(DB[[#This Row],[Sales-FC-Picks-Collect]:[Sales-FC-Picks-HD]])</f>
        <v>159609.95936798066</v>
      </c>
      <c r="K65" s="44">
        <f t="shared" si="25"/>
        <v>55681.948316333284</v>
      </c>
      <c r="L65" s="44">
        <f t="shared" si="26"/>
        <v>103928.01105164738</v>
      </c>
      <c r="M65" s="403">
        <f>IFERROR(IF(B65=B64,M64+1,MATCH(B65,'ST Forecast'!$E$2:$RK$2,0)+1),"")</f>
        <v>70</v>
      </c>
      <c r="N65">
        <f>SUM(DB[[#This Row],[Ops-FC-Orders-Collect]:[Ops-FC-Orders-HD]])</f>
        <v>3050</v>
      </c>
      <c r="O65" s="44" cm="1">
        <f t="array" ref="O65">IFERROR(INDEX('ST Forecast'!$E$2:$RK$36,13,M65),"")</f>
        <v>1100</v>
      </c>
      <c r="P65" s="44">
        <f t="shared" si="27"/>
        <v>1950</v>
      </c>
      <c r="Q65" s="44" cm="1">
        <f t="array" ref="Q65">IFERROR(INDEX('ST Forecast'!$E$2:$RK$36,14,M65),"")</f>
        <v>950</v>
      </c>
      <c r="R65" s="44" cm="1">
        <f t="array" ref="R65">IFERROR(INDEX('ST Forecast'!$E$2:$RK$36,15,M65),"")</f>
        <v>1000</v>
      </c>
      <c r="S65" s="312">
        <f>SUM(DB[[#This Row],[Ops-FC-Picks-Collect]:[Ops-FC-Picks-HD]])</f>
        <v>156417.76018062106</v>
      </c>
      <c r="T65" s="44">
        <f t="shared" si="28"/>
        <v>54568.309350006617</v>
      </c>
      <c r="U65" s="44">
        <f t="shared" si="29"/>
        <v>101849.45083061443</v>
      </c>
      <c r="V65" s="44">
        <f t="shared" si="30"/>
        <v>49618.96322517113</v>
      </c>
      <c r="W65" s="404">
        <f t="shared" si="31"/>
        <v>52230.487605443297</v>
      </c>
      <c r="X65" s="44">
        <f>SUM(DB[[#This Row],[Capped-Orders-Collect]:[Capped-Orders-HD]])</f>
        <v>90</v>
      </c>
      <c r="Y65">
        <f>INDEX('Operations Forecast'!$A$2:$BGY$47,3,MATCH(DB!D65,'Operations Forecast'!$A$2:$BGY$2))</f>
        <v>0</v>
      </c>
      <c r="Z65">
        <f t="shared" si="32"/>
        <v>90</v>
      </c>
      <c r="AA65">
        <f>INDEX('Operations Forecast'!$A$2:$BGY$47,10,MATCH(DB!D65,'Operations Forecast'!$A$2:$BGY$2))</f>
        <v>90</v>
      </c>
      <c r="AB65">
        <f>INDEX('Operations Forecast'!$A$2:$BGY$47,21,MATCH(DB!D65,'Operations Forecast'!$A$2:$BGY$2))</f>
        <v>0</v>
      </c>
      <c r="AC65" s="312">
        <f>SUM(DB[[#This Row],[Act-Orders-Collect]:[Act-Orders-HD]])</f>
        <v>2955</v>
      </c>
      <c r="AD65" s="858">
        <f>IFERROR(INDEX('Operations Forecast_new'!$7:$7,MATCH(DB[[#This Row],[Datum]],'Operations Forecast_new'!$2:$2,0)),0)</f>
        <v>960</v>
      </c>
      <c r="AE65" s="312">
        <f t="shared" si="33"/>
        <v>1995</v>
      </c>
      <c r="AF65" s="858">
        <f>IFERROR(INDEX('Operations Forecast_new'!$13:$13,MATCH(DB[[#This Row],[Datum]],'Operations Forecast_new'!$2:$2,0)),0)</f>
        <v>1085</v>
      </c>
      <c r="AG65" s="858">
        <f>IFERROR(INDEX('Operations Forecast_new'!$19:$19,MATCH(DB[[#This Row],[Datum]],'Operations Forecast_new'!$2:$2,0)),0)</f>
        <v>910</v>
      </c>
      <c r="AH65" s="312">
        <f t="shared" si="9"/>
        <v>150097.85999999999</v>
      </c>
      <c r="AI65" s="858">
        <f>IFERROR(INDEX('Operations Forecast_new'!$9:$9,MATCH(DB[[#This Row],[Datum]],'Operations Forecast_new'!$2:$2,0)),0)</f>
        <v>48185.279999999999</v>
      </c>
      <c r="AJ65" s="312">
        <f t="shared" si="34"/>
        <v>101912.58</v>
      </c>
      <c r="AK65" s="858">
        <f>IFERROR(INDEX('Operations Forecast_new'!$15:$15,MATCH(DB[[#This Row],[Datum]],'Operations Forecast_new'!$2:$2,0)),0)</f>
        <v>55426.14</v>
      </c>
      <c r="AL65" s="858">
        <f>IFERROR(INDEX('Operations Forecast_new'!$21:$21,MATCH(DB[[#This Row],[Datum]],'Operations Forecast_new'!$2:$2,0)),0)</f>
        <v>46486.44</v>
      </c>
      <c r="AM65" s="178">
        <f>IFERROR(INDEX('Operations Forecast_new'!$8:$8,MATCH(DB[[#This Row],[Datum]],'Operations Forecast_new'!$2:$2,0)),0)</f>
        <v>50.7</v>
      </c>
      <c r="AN65" s="859">
        <f>IFERROR(INDEX('Operations Forecast_new'!$20:$20,MATCH(DB[[#This Row],[Datum]],'Operations Forecast_new'!$2:$2,0)),0)</f>
        <v>51.6</v>
      </c>
      <c r="AO65" s="44">
        <f t="shared" si="35"/>
        <v>50.192999999999998</v>
      </c>
      <c r="AP65" s="404">
        <f t="shared" si="36"/>
        <v>51.084000000000003</v>
      </c>
      <c r="AQ65" s="44">
        <f t="shared" si="13"/>
        <v>116258.00000000007</v>
      </c>
      <c r="AR65" s="44" cm="1">
        <f t="array" ref="AR65">IFERROR(INDEX('ST Forecast'!$E$2:$RK$36,25,M65)+(INDEX('ST Forecast'!$E$2:$RK$36,29,M65)),"")</f>
        <v>51425.737234276654</v>
      </c>
      <c r="AS65" s="44" cm="1">
        <f t="array" ref="AS65">IFERROR(INDEX('ST Forecast'!$E$2:$RK$36,26,M65)+INDEX('ST Forecast'!$E$2:$RK$36,30,M65),"")</f>
        <v>51486.579909437489</v>
      </c>
      <c r="AT65" s="44" cm="1">
        <f t="array" ref="AT65">IFERROR(INDEX('ST Forecast'!$E$2:$RK$36,27,M65)+INDEX('ST Forecast'!$E$2:$RK$36,31,M65),"")</f>
        <v>5155.3840756499649</v>
      </c>
      <c r="AU65" s="44" cm="1">
        <f t="array" ref="AU65">IFERROR(INDEX('ST Forecast'!$E$2:$RK$36,28,M65),"")</f>
        <v>8190.298780635957</v>
      </c>
      <c r="AV65" s="44" cm="1">
        <f t="array" ref="AV65">IFERROR(INDEX('ST Forecast'!$E$2:$RK$36,29,M65),"")</f>
        <v>0</v>
      </c>
      <c r="AW65" s="44">
        <f>DB[[#This Row],[Inbound FC]]-DB[[#This Row],[Inbound Act - Ultrafresh2]]</f>
        <v>116258.00000000007</v>
      </c>
      <c r="AX65" s="178" t="e">
        <f>#REF!</f>
        <v>#REF!</v>
      </c>
      <c r="AY65" s="178" t="e">
        <f>#REF!</f>
        <v>#REF!</v>
      </c>
      <c r="AZ65" s="178" t="e">
        <f>#REF!</f>
        <v>#REF!</v>
      </c>
      <c r="BA65" s="178">
        <f>MONTH(DB[[#This Row],[Datum]])</f>
        <v>3</v>
      </c>
    </row>
    <row r="66" spans="1:53" x14ac:dyDescent="0.3">
      <c r="A66" s="44">
        <f t="shared" si="23"/>
        <v>9</v>
      </c>
      <c r="B66" t="str">
        <f t="shared" si="24"/>
        <v>Wk 9</v>
      </c>
      <c r="C66" t="s">
        <v>118</v>
      </c>
      <c r="D66" s="313">
        <v>44625</v>
      </c>
      <c r="E66" s="44">
        <f>DB[[#This Row],[Sales-FC-Orders-Collect]]+DB[[#This Row],[Sales-FC-Orders-HD]]</f>
        <v>2950</v>
      </c>
      <c r="F66" s="402" cm="1">
        <f t="array" ref="F66">INDEX('LT Collect Forecast'!$K$1:$Q$55,MATCH(B66,'LT Collect Forecast'!$A:$A,0)+1,MATCH(C66,'LT Collect Forecast'!$K$2:$Q$2,0))</f>
        <v>1000</v>
      </c>
      <c r="G66" s="44" cm="1">
        <f t="array" ref="G66">INDEX('LT HD Forecast'!$K$1:$Q$55,MATCH(B66,'LT HD Forecast'!$A:$A,0)+1,MATCH(C66,'LT HD Forecast'!$K$2:$Q$2,0))</f>
        <v>1950</v>
      </c>
      <c r="H66" s="44" cm="1">
        <f t="array" ref="H66">IFERROR(INDEX('ST Forecast'!$E$2:$RK$36,6,M66),"")</f>
        <v>49.083264211340556</v>
      </c>
      <c r="I66" s="44" cm="1">
        <f t="array" ref="I66">IFERROR(INDEX('ST Forecast'!$E$2:$RK$36,7,M66),"")</f>
        <v>52.182291072020377</v>
      </c>
      <c r="J66" s="44">
        <f>SUM(DB[[#This Row],[Sales-FC-Picks-Collect]:[Sales-FC-Picks-HD]])</f>
        <v>150838.73180178029</v>
      </c>
      <c r="K66" s="44">
        <f t="shared" si="25"/>
        <v>49083.264211340553</v>
      </c>
      <c r="L66" s="44">
        <f t="shared" si="26"/>
        <v>101755.46759043973</v>
      </c>
      <c r="M66" s="403">
        <f>IFERROR(IF(B66=B65,M65+1,MATCH(B66,'ST Forecast'!$E$2:$RK$2,0)+1),"")</f>
        <v>71</v>
      </c>
      <c r="N66">
        <f>SUM(DB[[#This Row],[Ops-FC-Orders-Collect]:[Ops-FC-Orders-HD]])</f>
        <v>2950</v>
      </c>
      <c r="O66" s="44" cm="1">
        <f t="array" ref="O66">IFERROR(INDEX('ST Forecast'!$E$2:$RK$36,13,M66),"")</f>
        <v>1000</v>
      </c>
      <c r="P66" s="44">
        <f t="shared" si="27"/>
        <v>1950</v>
      </c>
      <c r="Q66" s="44" cm="1">
        <f t="array" ref="Q66">IFERROR(INDEX('ST Forecast'!$E$2:$RK$36,14,M66),"")</f>
        <v>950</v>
      </c>
      <c r="R66" s="44" cm="1">
        <f t="array" ref="R66">IFERROR(INDEX('ST Forecast'!$E$2:$RK$36,15,M66),"")</f>
        <v>1000</v>
      </c>
      <c r="S66" s="312">
        <f>SUM(DB[[#This Row],[Ops-FC-Picks-Collect]:[Ops-FC-Picks-HD]])</f>
        <v>147821.95716574468</v>
      </c>
      <c r="T66" s="44">
        <f t="shared" si="28"/>
        <v>48101.598927113744</v>
      </c>
      <c r="U66" s="44">
        <f t="shared" si="29"/>
        <v>99720.358238630928</v>
      </c>
      <c r="V66" s="44">
        <f t="shared" si="30"/>
        <v>48581.712988050967</v>
      </c>
      <c r="W66" s="404">
        <f t="shared" si="31"/>
        <v>51138.645250579968</v>
      </c>
      <c r="X66" s="44">
        <f>SUM(DB[[#This Row],[Capped-Orders-Collect]:[Capped-Orders-HD]])</f>
        <v>90</v>
      </c>
      <c r="Y66">
        <f>INDEX('Operations Forecast'!$A$2:$BGY$47,3,MATCH(DB!D66,'Operations Forecast'!$A$2:$BGY$2))</f>
        <v>0</v>
      </c>
      <c r="Z66">
        <f t="shared" si="32"/>
        <v>90</v>
      </c>
      <c r="AA66">
        <f>INDEX('Operations Forecast'!$A$2:$BGY$47,10,MATCH(DB!D66,'Operations Forecast'!$A$2:$BGY$2))</f>
        <v>90</v>
      </c>
      <c r="AB66">
        <f>INDEX('Operations Forecast'!$A$2:$BGY$47,21,MATCH(DB!D66,'Operations Forecast'!$A$2:$BGY$2))</f>
        <v>0</v>
      </c>
      <c r="AC66" s="312">
        <f>SUM(DB[[#This Row],[Act-Orders-Collect]:[Act-Orders-HD]])</f>
        <v>2800</v>
      </c>
      <c r="AD66" s="858">
        <f>IFERROR(INDEX('Operations Forecast_new'!$7:$7,MATCH(DB[[#This Row],[Datum]],'Operations Forecast_new'!$2:$2,0)),0)</f>
        <v>900</v>
      </c>
      <c r="AE66" s="312">
        <f t="shared" si="33"/>
        <v>1900</v>
      </c>
      <c r="AF66" s="858">
        <f>IFERROR(INDEX('Operations Forecast_new'!$13:$13,MATCH(DB[[#This Row],[Datum]],'Operations Forecast_new'!$2:$2,0)),0)</f>
        <v>1050</v>
      </c>
      <c r="AG66" s="858">
        <f>IFERROR(INDEX('Operations Forecast_new'!$19:$19,MATCH(DB[[#This Row],[Datum]],'Operations Forecast_new'!$2:$2,0)),0)</f>
        <v>850</v>
      </c>
      <c r="AH66" s="312">
        <f t="shared" si="9"/>
        <v>141401.70000000001</v>
      </c>
      <c r="AI66" s="858">
        <f>IFERROR(INDEX('Operations Forecast_new'!$9:$9,MATCH(DB[[#This Row],[Datum]],'Operations Forecast_new'!$2:$2,0)),0)</f>
        <v>43213.5</v>
      </c>
      <c r="AJ66" s="312">
        <f t="shared" si="34"/>
        <v>98188.200000000012</v>
      </c>
      <c r="AK66" s="858">
        <f>IFERROR(INDEX('Operations Forecast_new'!$15:$15,MATCH(DB[[#This Row],[Datum]],'Operations Forecast_new'!$2:$2,0)),0)</f>
        <v>54261.9</v>
      </c>
      <c r="AL66" s="858">
        <f>IFERROR(INDEX('Operations Forecast_new'!$21:$21,MATCH(DB[[#This Row],[Datum]],'Operations Forecast_new'!$2:$2,0)),0)</f>
        <v>43926.3</v>
      </c>
      <c r="AM66" s="178">
        <f>IFERROR(INDEX('Operations Forecast_new'!$8:$8,MATCH(DB[[#This Row],[Datum]],'Operations Forecast_new'!$2:$2,0)),0)</f>
        <v>48.5</v>
      </c>
      <c r="AN66" s="859">
        <f>IFERROR(INDEX('Operations Forecast_new'!$20:$20,MATCH(DB[[#This Row],[Datum]],'Operations Forecast_new'!$2:$2,0)),0)</f>
        <v>52.2</v>
      </c>
      <c r="AO66" s="44">
        <f t="shared" si="35"/>
        <v>48.015000000000001</v>
      </c>
      <c r="AP66" s="404">
        <f t="shared" si="36"/>
        <v>51.678000000000004</v>
      </c>
      <c r="AQ66" s="44">
        <f t="shared" si="13"/>
        <v>111308</v>
      </c>
      <c r="AR66" s="44" cm="1">
        <f t="array" ref="AR66">IFERROR(INDEX('ST Forecast'!$E$2:$RK$36,25,M66)+(INDEX('ST Forecast'!$E$2:$RK$36,29,M66)),"")</f>
        <v>58494.323882360419</v>
      </c>
      <c r="AS66" s="44" cm="1">
        <f t="array" ref="AS66">IFERROR(INDEX('ST Forecast'!$E$2:$RK$36,26,M66)+INDEX('ST Forecast'!$E$2:$RK$36,30,M66),"")</f>
        <v>41256.161029961346</v>
      </c>
      <c r="AT66" s="44" cm="1">
        <f t="array" ref="AT66">IFERROR(INDEX('ST Forecast'!$E$2:$RK$36,27,M66)+INDEX('ST Forecast'!$E$2:$RK$36,31,M66),"")</f>
        <v>5674.2376738098437</v>
      </c>
      <c r="AU66" s="44" cm="1">
        <f t="array" ref="AU66">IFERROR(INDEX('ST Forecast'!$E$2:$RK$36,28,M66),"")</f>
        <v>5883.2774138684053</v>
      </c>
      <c r="AV66" s="44" cm="1">
        <f t="array" ref="AV66">IFERROR(INDEX('ST Forecast'!$E$2:$RK$36,29,M66),"")</f>
        <v>0</v>
      </c>
      <c r="AW66" s="44">
        <f>DB[[#This Row],[Inbound FC]]-DB[[#This Row],[Inbound Act - Ultrafresh2]]</f>
        <v>111308</v>
      </c>
      <c r="AX66" s="178" t="e">
        <f>#REF!</f>
        <v>#REF!</v>
      </c>
      <c r="AY66" s="178" t="e">
        <f>#REF!</f>
        <v>#REF!</v>
      </c>
      <c r="AZ66" s="178" t="e">
        <f>#REF!</f>
        <v>#REF!</v>
      </c>
      <c r="BA66" s="178">
        <f>MONTH(DB[[#This Row],[Datum]])</f>
        <v>3</v>
      </c>
    </row>
    <row r="67" spans="1:53" x14ac:dyDescent="0.3">
      <c r="A67" s="44">
        <f t="shared" si="23"/>
        <v>9</v>
      </c>
      <c r="B67" t="str">
        <f t="shared" si="24"/>
        <v>Wk 9</v>
      </c>
      <c r="C67" t="s">
        <v>119</v>
      </c>
      <c r="D67" s="313">
        <v>44626</v>
      </c>
      <c r="E67" s="44">
        <f>DB[[#This Row],[Sales-FC-Orders-Collect]]+DB[[#This Row],[Sales-FC-Orders-HD]]</f>
        <v>100</v>
      </c>
      <c r="F67" s="402" cm="1">
        <f t="array" ref="F67">INDEX('LT Collect Forecast'!$K$1:$Q$55,MATCH(B67,'LT Collect Forecast'!$A:$A,0)+1,MATCH(C67,'LT Collect Forecast'!$K$2:$Q$2,0))</f>
        <v>0</v>
      </c>
      <c r="G67" s="44" cm="1">
        <f t="array" ref="G67">INDEX('LT HD Forecast'!$K$1:$Q$55,MATCH(B67,'LT HD Forecast'!$A:$A,0)+1,MATCH(C67,'LT HD Forecast'!$K$2:$Q$2,0))</f>
        <v>100</v>
      </c>
      <c r="H67" s="44" cm="1">
        <f t="array" ref="H67">IFERROR(INDEX('ST Forecast'!$E$2:$RK$36,6,M67),"")</f>
        <v>0</v>
      </c>
      <c r="I67" s="44" cm="1">
        <f t="array" ref="I67">IFERROR(INDEX('ST Forecast'!$E$2:$RK$36,7,M67),"")</f>
        <v>55.690427427293777</v>
      </c>
      <c r="J67" s="44">
        <f>SUM(DB[[#This Row],[Sales-FC-Picks-Collect]:[Sales-FC-Picks-HD]])</f>
        <v>5569.042742729378</v>
      </c>
      <c r="K67" s="44">
        <f t="shared" si="25"/>
        <v>0</v>
      </c>
      <c r="L67" s="44">
        <f t="shared" si="26"/>
        <v>5569.042742729378</v>
      </c>
      <c r="M67" s="403">
        <f>IFERROR(IF(B67=B66,M66+1,MATCH(B67,'ST Forecast'!$E$2:$RK$2,0)+1),"")</f>
        <v>72</v>
      </c>
      <c r="N67">
        <f>SUM(DB[[#This Row],[Ops-FC-Orders-Collect]:[Ops-FC-Orders-HD]])</f>
        <v>100</v>
      </c>
      <c r="O67" s="44" cm="1">
        <f t="array" ref="O67">IFERROR(INDEX('ST Forecast'!$E$2:$RK$36,13,M67),"")</f>
        <v>0</v>
      </c>
      <c r="P67" s="44">
        <f t="shared" si="27"/>
        <v>100</v>
      </c>
      <c r="Q67" s="44" cm="1">
        <f t="array" ref="Q67">IFERROR(INDEX('ST Forecast'!$E$2:$RK$36,14,M67),"")</f>
        <v>100</v>
      </c>
      <c r="R67" s="44" cm="1">
        <f t="array" ref="R67">IFERROR(INDEX('ST Forecast'!$E$2:$RK$36,15,M67),"")</f>
        <v>0</v>
      </c>
      <c r="S67" s="312">
        <f>SUM(DB[[#This Row],[Ops-FC-Picks-Collect]:[Ops-FC-Picks-HD]])</f>
        <v>5457.6618878747904</v>
      </c>
      <c r="T67" s="44">
        <f t="shared" si="28"/>
        <v>0</v>
      </c>
      <c r="U67" s="44">
        <f t="shared" si="29"/>
        <v>5457.6618878747904</v>
      </c>
      <c r="V67" s="44">
        <f t="shared" si="30"/>
        <v>5457.6618878747904</v>
      </c>
      <c r="W67" s="404">
        <f t="shared" si="31"/>
        <v>0</v>
      </c>
      <c r="X67" s="44">
        <f>SUM(DB[[#This Row],[Capped-Orders-Collect]:[Capped-Orders-HD]])</f>
        <v>90</v>
      </c>
      <c r="Y67">
        <f>INDEX('Operations Forecast'!$A$2:$BGY$47,3,MATCH(DB!D67,'Operations Forecast'!$A$2:$BGY$2))</f>
        <v>0</v>
      </c>
      <c r="Z67">
        <f t="shared" si="32"/>
        <v>90</v>
      </c>
      <c r="AA67">
        <f>INDEX('Operations Forecast'!$A$2:$BGY$47,10,MATCH(DB!D67,'Operations Forecast'!$A$2:$BGY$2))</f>
        <v>90</v>
      </c>
      <c r="AB67">
        <f>INDEX('Operations Forecast'!$A$2:$BGY$47,21,MATCH(DB!D67,'Operations Forecast'!$A$2:$BGY$2))</f>
        <v>0</v>
      </c>
      <c r="AC67" s="312">
        <f>SUM(DB[[#This Row],[Act-Orders-Collect]:[Act-Orders-HD]])</f>
        <v>105</v>
      </c>
      <c r="AD67" s="858">
        <f>IFERROR(INDEX('Operations Forecast_new'!$7:$7,MATCH(DB[[#This Row],[Datum]],'Operations Forecast_new'!$2:$2,0)),0)</f>
        <v>0</v>
      </c>
      <c r="AE67" s="312">
        <f t="shared" si="33"/>
        <v>105</v>
      </c>
      <c r="AF67" s="858">
        <f>IFERROR(INDEX('Operations Forecast_new'!$13:$13,MATCH(DB[[#This Row],[Datum]],'Operations Forecast_new'!$2:$2,0)),0)</f>
        <v>105</v>
      </c>
      <c r="AG67" s="858">
        <f>IFERROR(INDEX('Operations Forecast_new'!$19:$19,MATCH(DB[[#This Row],[Datum]],'Operations Forecast_new'!$2:$2,0)),0)</f>
        <v>0</v>
      </c>
      <c r="AH67" s="312">
        <f t="shared" ref="AH67:AH130" si="37">AI67+AJ67</f>
        <v>6029.1</v>
      </c>
      <c r="AI67" s="858">
        <f>IFERROR(INDEX('Operations Forecast_new'!$9:$9,MATCH(DB[[#This Row],[Datum]],'Operations Forecast_new'!$2:$2,0)),0)</f>
        <v>0</v>
      </c>
      <c r="AJ67" s="312">
        <f t="shared" si="34"/>
        <v>6029.1</v>
      </c>
      <c r="AK67" s="858">
        <f>IFERROR(INDEX('Operations Forecast_new'!$15:$15,MATCH(DB[[#This Row],[Datum]],'Operations Forecast_new'!$2:$2,0)),0)</f>
        <v>6029.1</v>
      </c>
      <c r="AL67" s="858">
        <f>IFERROR(INDEX('Operations Forecast_new'!$21:$21,MATCH(DB[[#This Row],[Datum]],'Operations Forecast_new'!$2:$2,0)),0)</f>
        <v>0</v>
      </c>
      <c r="AM67" s="178">
        <f>IFERROR(INDEX('Operations Forecast_new'!$8:$8,MATCH(DB[[#This Row],[Datum]],'Operations Forecast_new'!$2:$2,0)),0)</f>
        <v>0</v>
      </c>
      <c r="AN67" s="859">
        <f>IFERROR(INDEX('Operations Forecast_new'!$20:$20,MATCH(DB[[#This Row],[Datum]],'Operations Forecast_new'!$2:$2,0)),0)</f>
        <v>55.690427427293777</v>
      </c>
      <c r="AO67" s="44" t="str">
        <f t="shared" si="35"/>
        <v>-</v>
      </c>
      <c r="AP67" s="404">
        <f t="shared" si="36"/>
        <v>57.42</v>
      </c>
      <c r="AQ67" s="44">
        <f t="shared" ref="AQ67:AQ130" si="38">SUM(AR67:AU67)</f>
        <v>0</v>
      </c>
      <c r="AR67" s="44" cm="1">
        <f t="array" ref="AR67">IFERROR(INDEX('ST Forecast'!$E$2:$RK$36,25,M67)+(INDEX('ST Forecast'!$E$2:$RK$36,29,M67)),"")</f>
        <v>0</v>
      </c>
      <c r="AS67" s="44" cm="1">
        <f t="array" ref="AS67">IFERROR(INDEX('ST Forecast'!$E$2:$RK$36,26,M67)+INDEX('ST Forecast'!$E$2:$RK$36,30,M67),"")</f>
        <v>0</v>
      </c>
      <c r="AT67" s="44" cm="1">
        <f t="array" ref="AT67">IFERROR(INDEX('ST Forecast'!$E$2:$RK$36,27,M67)+INDEX('ST Forecast'!$E$2:$RK$36,31,M67),"")</f>
        <v>0</v>
      </c>
      <c r="AU67" s="44" cm="1">
        <f t="array" ref="AU67">IFERROR(INDEX('ST Forecast'!$E$2:$RK$36,28,M67),"")</f>
        <v>0</v>
      </c>
      <c r="AV67" s="44" cm="1">
        <f t="array" ref="AV67">IFERROR(INDEX('ST Forecast'!$E$2:$RK$36,29,M67),"")</f>
        <v>0</v>
      </c>
      <c r="AW67" s="44">
        <f>DB[[#This Row],[Inbound FC]]-DB[[#This Row],[Inbound Act - Ultrafresh2]]</f>
        <v>0</v>
      </c>
      <c r="AX67" s="178" t="e">
        <f>#REF!</f>
        <v>#REF!</v>
      </c>
      <c r="AY67" s="178" t="e">
        <f>#REF!</f>
        <v>#REF!</v>
      </c>
      <c r="AZ67" s="178" t="e">
        <f>#REF!</f>
        <v>#REF!</v>
      </c>
      <c r="BA67" s="178">
        <f>MONTH(DB[[#This Row],[Datum]])</f>
        <v>3</v>
      </c>
    </row>
    <row r="68" spans="1:53" x14ac:dyDescent="0.3">
      <c r="A68" s="44">
        <f t="shared" si="23"/>
        <v>10</v>
      </c>
      <c r="B68" t="str">
        <f t="shared" si="24"/>
        <v>Wk 10</v>
      </c>
      <c r="C68" t="s">
        <v>113</v>
      </c>
      <c r="D68" s="313">
        <v>44627</v>
      </c>
      <c r="E68" s="44">
        <f>DB[[#This Row],[Sales-FC-Orders-Collect]]+DB[[#This Row],[Sales-FC-Orders-HD]]</f>
        <v>2300</v>
      </c>
      <c r="F68" s="402">
        <f>INDEX('LT Collect Forecast'!$K$1:$Q$55,MATCH(B68,'LT Collect Forecast'!$A:$A,0),MATCH(C68,'LT Collect Forecast'!$K$2:$Q$2,0))</f>
        <v>750</v>
      </c>
      <c r="G68" s="44">
        <f>INDEX('LT HD Forecast'!$K$1:$Q$55,MATCH(B68,'LT HD Forecast'!$A:$A,0),MATCH(C68,'LT HD Forecast'!$K$2:$Q$2,0))</f>
        <v>1550</v>
      </c>
      <c r="H68" s="44" cm="1">
        <f t="array" ref="H68">IFERROR(INDEX('ST Forecast'!$E$2:$RK$36,6,M68),"")</f>
        <v>47.506718726138502</v>
      </c>
      <c r="I68" s="44" cm="1">
        <f t="array" ref="I68">IFERROR(INDEX('ST Forecast'!$E$2:$RK$36,7,M68),"")</f>
        <v>50.676062236534342</v>
      </c>
      <c r="J68" s="44">
        <f>SUM(DB[[#This Row],[Sales-FC-Picks-Collect]:[Sales-FC-Picks-HD]])</f>
        <v>114177.93551123209</v>
      </c>
      <c r="K68" s="44">
        <f t="shared" si="25"/>
        <v>35630.039044603873</v>
      </c>
      <c r="L68" s="44">
        <f t="shared" si="26"/>
        <v>78547.896466628226</v>
      </c>
      <c r="M68" s="403">
        <f>IFERROR(IF(B68=B67,M67+1,MATCH(B68,'ST Forecast'!$E$2:$RK$2,0)+1),"")</f>
        <v>74</v>
      </c>
      <c r="N68">
        <f>SUM(DB[[#This Row],[Ops-FC-Orders-Collect]:[Ops-FC-Orders-HD]])</f>
        <v>2300</v>
      </c>
      <c r="O68" s="44" cm="1">
        <f t="array" ref="O68">IFERROR(INDEX('ST Forecast'!$E$2:$RK$36,13,M68),"")</f>
        <v>750</v>
      </c>
      <c r="P68" s="44">
        <f t="shared" si="27"/>
        <v>1550</v>
      </c>
      <c r="Q68" s="44" cm="1">
        <f t="array" ref="Q68">IFERROR(INDEX('ST Forecast'!$E$2:$RK$36,14,M68),"")</f>
        <v>700</v>
      </c>
      <c r="R68" s="44" cm="1">
        <f t="array" ref="R68">IFERROR(INDEX('ST Forecast'!$E$2:$RK$36,15,M68),"")</f>
        <v>850</v>
      </c>
      <c r="S68" s="312">
        <f>SUM(DB[[#This Row],[Ops-FC-Picks-Collect]:[Ops-FC-Picks-HD]])</f>
        <v>111894.37680100747</v>
      </c>
      <c r="T68" s="44">
        <f t="shared" si="28"/>
        <v>34917.438263711796</v>
      </c>
      <c r="U68" s="44">
        <f t="shared" si="29"/>
        <v>76976.938537295675</v>
      </c>
      <c r="V68" s="44">
        <f t="shared" si="30"/>
        <v>34763.778694262561</v>
      </c>
      <c r="W68" s="404">
        <f t="shared" si="31"/>
        <v>42213.159843033107</v>
      </c>
      <c r="X68" s="44">
        <f>SUM(DB[[#This Row],[Capped-Orders-Collect]:[Capped-Orders-HD]])</f>
        <v>90</v>
      </c>
      <c r="Y68">
        <f>INDEX('Operations Forecast'!$A$2:$BGY$47,3,MATCH(DB!D68,'Operations Forecast'!$A$2:$BGY$2))</f>
        <v>0</v>
      </c>
      <c r="Z68">
        <f t="shared" si="32"/>
        <v>90</v>
      </c>
      <c r="AA68">
        <f>INDEX('Operations Forecast'!$A$2:$BGY$47,10,MATCH(DB!D68,'Operations Forecast'!$A$2:$BGY$2))</f>
        <v>90</v>
      </c>
      <c r="AB68">
        <f>INDEX('Operations Forecast'!$A$2:$BGY$47,21,MATCH(DB!D68,'Operations Forecast'!$A$2:$BGY$2))</f>
        <v>0</v>
      </c>
      <c r="AC68" s="312">
        <f>SUM(DB[[#This Row],[Act-Orders-Collect]:[Act-Orders-HD]])</f>
        <v>2307</v>
      </c>
      <c r="AD68" s="858">
        <f>IFERROR(INDEX('Operations Forecast_new'!$7:$7,MATCH(DB[[#This Row],[Datum]],'Operations Forecast_new'!$2:$2,0)),0)</f>
        <v>750</v>
      </c>
      <c r="AE68" s="312">
        <f t="shared" si="33"/>
        <v>1557</v>
      </c>
      <c r="AF68" s="858">
        <f>IFERROR(INDEX('Operations Forecast_new'!$13:$13,MATCH(DB[[#This Row],[Datum]],'Operations Forecast_new'!$2:$2,0)),0)</f>
        <v>657</v>
      </c>
      <c r="AG68" s="858">
        <f>IFERROR(INDEX('Operations Forecast_new'!$19:$19,MATCH(DB[[#This Row],[Datum]],'Operations Forecast_new'!$2:$2,0)),0)</f>
        <v>900</v>
      </c>
      <c r="AH68" s="312">
        <f t="shared" si="37"/>
        <v>117707.04000000001</v>
      </c>
      <c r="AI68" s="858">
        <f>IFERROR(INDEX('Operations Forecast_new'!$9:$9,MATCH(DB[[#This Row],[Datum]],'Operations Forecast_new'!$2:$2,0)),0)</f>
        <v>36011.25</v>
      </c>
      <c r="AJ68" s="312">
        <f t="shared" si="34"/>
        <v>81695.790000000008</v>
      </c>
      <c r="AK68" s="858">
        <f>IFERROR(INDEX('Operations Forecast_new'!$15:$15,MATCH(DB[[#This Row],[Datum]],'Operations Forecast_new'!$2:$2,0)),0)</f>
        <v>34472.79</v>
      </c>
      <c r="AL68" s="858">
        <f>IFERROR(INDEX('Operations Forecast_new'!$21:$21,MATCH(DB[[#This Row],[Datum]],'Operations Forecast_new'!$2:$2,0)),0)</f>
        <v>47223</v>
      </c>
      <c r="AM68" s="178">
        <f>IFERROR(INDEX('Operations Forecast_new'!$8:$8,MATCH(DB[[#This Row],[Datum]],'Operations Forecast_new'!$2:$2,0)),0)</f>
        <v>48.5</v>
      </c>
      <c r="AN68" s="859">
        <f>IFERROR(INDEX('Operations Forecast_new'!$20:$20,MATCH(DB[[#This Row],[Datum]],'Operations Forecast_new'!$2:$2,0)),0)</f>
        <v>53</v>
      </c>
      <c r="AO68" s="44">
        <f t="shared" si="35"/>
        <v>48.015000000000001</v>
      </c>
      <c r="AP68" s="404">
        <f t="shared" si="36"/>
        <v>52.470000000000006</v>
      </c>
      <c r="AQ68" s="44">
        <f t="shared" si="38"/>
        <v>222648.00000000003</v>
      </c>
      <c r="AR68" s="44" cm="1">
        <f t="array" ref="AR68">IFERROR(INDEX('ST Forecast'!$E$2:$RK$36,25,M68)+(INDEX('ST Forecast'!$E$2:$RK$36,29,M68)),"")</f>
        <v>92645.616977367725</v>
      </c>
      <c r="AS68" s="44" cm="1">
        <f t="array" ref="AS68">IFERROR(INDEX('ST Forecast'!$E$2:$RK$36,26,M68)+INDEX('ST Forecast'!$E$2:$RK$36,30,M68),"")</f>
        <v>65838.030590937808</v>
      </c>
      <c r="AT68" s="44" cm="1">
        <f t="array" ref="AT68">IFERROR(INDEX('ST Forecast'!$E$2:$RK$36,27,M68)+INDEX('ST Forecast'!$E$2:$RK$36,31,M68),"")</f>
        <v>57104.021399958961</v>
      </c>
      <c r="AU68" s="44" cm="1">
        <f t="array" ref="AU68">IFERROR(INDEX('ST Forecast'!$E$2:$RK$36,28,M68),"")</f>
        <v>7060.3310317355072</v>
      </c>
      <c r="AV68" s="44" cm="1">
        <f t="array" ref="AV68">IFERROR(INDEX('ST Forecast'!$E$2:$RK$36,29,M68),"")</f>
        <v>0</v>
      </c>
      <c r="AW68" s="44">
        <f>DB[[#This Row],[Inbound FC]]-DB[[#This Row],[Inbound Act - Ultrafresh2]]</f>
        <v>222648.00000000003</v>
      </c>
      <c r="AX68" s="178" t="e">
        <f>#REF!</f>
        <v>#REF!</v>
      </c>
      <c r="AY68" s="178" t="e">
        <f>#REF!</f>
        <v>#REF!</v>
      </c>
      <c r="AZ68" s="178" t="e">
        <f>#REF!</f>
        <v>#REF!</v>
      </c>
      <c r="BA68" s="178">
        <f>MONTH(DB[[#This Row],[Datum]])</f>
        <v>3</v>
      </c>
    </row>
    <row r="69" spans="1:53" x14ac:dyDescent="0.3">
      <c r="A69" s="44">
        <f t="shared" si="23"/>
        <v>10</v>
      </c>
      <c r="B69" t="str">
        <f t="shared" si="24"/>
        <v>Wk 10</v>
      </c>
      <c r="C69" t="s">
        <v>114</v>
      </c>
      <c r="D69" s="313">
        <v>44628</v>
      </c>
      <c r="E69" s="44">
        <f>DB[[#This Row],[Sales-FC-Orders-Collect]]+DB[[#This Row],[Sales-FC-Orders-HD]]</f>
        <v>2400</v>
      </c>
      <c r="F69" s="402">
        <f>INDEX('LT Collect Forecast'!$K$1:$Q$55,MATCH(B69,'LT Collect Forecast'!$A:$A,0),MATCH(C69,'LT Collect Forecast'!$K$2:$Q$2,0))</f>
        <v>500</v>
      </c>
      <c r="G69" s="44">
        <f>INDEX('LT HD Forecast'!$K$1:$Q$55,MATCH(B69,'LT HD Forecast'!$A:$A,0),MATCH(C69,'LT HD Forecast'!$K$2:$Q$2,0))</f>
        <v>1900</v>
      </c>
      <c r="H69" s="44" cm="1">
        <f t="array" ref="H69">IFERROR(INDEX('ST Forecast'!$E$2:$RK$36,6,M69),"")</f>
        <v>48.05691816081567</v>
      </c>
      <c r="I69" s="44" cm="1">
        <f t="array" ref="I69">IFERROR(INDEX('ST Forecast'!$E$2:$RK$36,7,M69),"")</f>
        <v>50.950802658366037</v>
      </c>
      <c r="J69" s="44">
        <f>SUM(DB[[#This Row],[Sales-FC-Picks-Collect]:[Sales-FC-Picks-HD]])</f>
        <v>120834.9841313033</v>
      </c>
      <c r="K69" s="44">
        <f t="shared" si="25"/>
        <v>24028.459080407836</v>
      </c>
      <c r="L69" s="44">
        <f t="shared" si="26"/>
        <v>96806.525050895463</v>
      </c>
      <c r="M69" s="403">
        <f>IFERROR(IF(B69=B68,M68+1,MATCH(B69,'ST Forecast'!$E$2:$RK$2,0)+1),"")</f>
        <v>75</v>
      </c>
      <c r="N69">
        <f>SUM(DB[[#This Row],[Ops-FC-Orders-Collect]:[Ops-FC-Orders-HD]])</f>
        <v>2400</v>
      </c>
      <c r="O69" s="44" cm="1">
        <f t="array" ref="O69">IFERROR(INDEX('ST Forecast'!$E$2:$RK$36,13,M69),"")</f>
        <v>500</v>
      </c>
      <c r="P69" s="44">
        <f t="shared" si="27"/>
        <v>1900</v>
      </c>
      <c r="Q69" s="44" cm="1">
        <f t="array" ref="Q69">IFERROR(INDEX('ST Forecast'!$E$2:$RK$36,14,M69),"")</f>
        <v>950</v>
      </c>
      <c r="R69" s="44" cm="1">
        <f t="array" ref="R69">IFERROR(INDEX('ST Forecast'!$E$2:$RK$36,15,M69),"")</f>
        <v>950</v>
      </c>
      <c r="S69" s="312">
        <f>SUM(DB[[#This Row],[Ops-FC-Picks-Collect]:[Ops-FC-Picks-HD]])</f>
        <v>118418.28444867724</v>
      </c>
      <c r="T69" s="44">
        <f t="shared" si="28"/>
        <v>23547.88989879968</v>
      </c>
      <c r="U69" s="44">
        <f t="shared" si="29"/>
        <v>94870.394549877557</v>
      </c>
      <c r="V69" s="44">
        <f t="shared" si="30"/>
        <v>47435.197274938779</v>
      </c>
      <c r="W69" s="404">
        <f t="shared" si="31"/>
        <v>47435.197274938779</v>
      </c>
      <c r="X69" s="44">
        <f>SUM(DB[[#This Row],[Capped-Orders-Collect]:[Capped-Orders-HD]])</f>
        <v>90</v>
      </c>
      <c r="Y69">
        <f>INDEX('Operations Forecast'!$A$2:$BGY$47,3,MATCH(DB!D69,'Operations Forecast'!$A$2:$BGY$2))</f>
        <v>0</v>
      </c>
      <c r="Z69">
        <f t="shared" si="32"/>
        <v>90</v>
      </c>
      <c r="AA69">
        <f>INDEX('Operations Forecast'!$A$2:$BGY$47,10,MATCH(DB!D69,'Operations Forecast'!$A$2:$BGY$2))</f>
        <v>90</v>
      </c>
      <c r="AB69">
        <f>INDEX('Operations Forecast'!$A$2:$BGY$47,21,MATCH(DB!D69,'Operations Forecast'!$A$2:$BGY$2))</f>
        <v>0</v>
      </c>
      <c r="AC69" s="312">
        <f>SUM(DB[[#This Row],[Act-Orders-Collect]:[Act-Orders-HD]])</f>
        <v>2452</v>
      </c>
      <c r="AD69" s="858">
        <f>IFERROR(INDEX('Operations Forecast_new'!$7:$7,MATCH(DB[[#This Row],[Datum]],'Operations Forecast_new'!$2:$2,0)),0)</f>
        <v>520</v>
      </c>
      <c r="AE69" s="312">
        <f t="shared" si="33"/>
        <v>1932</v>
      </c>
      <c r="AF69" s="858">
        <f>IFERROR(INDEX('Operations Forecast_new'!$13:$13,MATCH(DB[[#This Row],[Datum]],'Operations Forecast_new'!$2:$2,0)),0)</f>
        <v>922</v>
      </c>
      <c r="AG69" s="858">
        <f>IFERROR(INDEX('Operations Forecast_new'!$19:$19,MATCH(DB[[#This Row],[Datum]],'Operations Forecast_new'!$2:$2,0)),0)</f>
        <v>1010</v>
      </c>
      <c r="AH69" s="312">
        <f t="shared" si="37"/>
        <v>121580.31600000001</v>
      </c>
      <c r="AI69" s="858">
        <f>IFERROR(INDEX('Operations Forecast_new'!$9:$9,MATCH(DB[[#This Row],[Datum]],'Operations Forecast_new'!$2:$2,0)),0)</f>
        <v>24607.439999999999</v>
      </c>
      <c r="AJ69" s="312">
        <f t="shared" si="34"/>
        <v>96972.876000000004</v>
      </c>
      <c r="AK69" s="858">
        <f>IFERROR(INDEX('Operations Forecast_new'!$15:$15,MATCH(DB[[#This Row],[Datum]],'Operations Forecast_new'!$2:$2,0)),0)</f>
        <v>46277.946000000004</v>
      </c>
      <c r="AL69" s="858">
        <f>IFERROR(INDEX('Operations Forecast_new'!$21:$21,MATCH(DB[[#This Row],[Datum]],'Operations Forecast_new'!$2:$2,0)),0)</f>
        <v>50694.93</v>
      </c>
      <c r="AM69" s="178">
        <f>IFERROR(INDEX('Operations Forecast_new'!$8:$8,MATCH(DB[[#This Row],[Datum]],'Operations Forecast_new'!$2:$2,0)),0)</f>
        <v>47.8</v>
      </c>
      <c r="AN69" s="859">
        <f>IFERROR(INDEX('Operations Forecast_new'!$20:$20,MATCH(DB[[#This Row],[Datum]],'Operations Forecast_new'!$2:$2,0)),0)</f>
        <v>50.7</v>
      </c>
      <c r="AO69" s="44">
        <f t="shared" si="35"/>
        <v>47.321999999999996</v>
      </c>
      <c r="AP69" s="404">
        <f t="shared" si="36"/>
        <v>50.193000000000005</v>
      </c>
      <c r="AQ69" s="44">
        <f t="shared" si="38"/>
        <v>147977.00000000006</v>
      </c>
      <c r="AR69" s="44" cm="1">
        <f t="array" ref="AR69">IFERROR(INDEX('ST Forecast'!$E$2:$RK$36,25,M69)+(INDEX('ST Forecast'!$E$2:$RK$36,29,M69)),"")</f>
        <v>64396.595556644133</v>
      </c>
      <c r="AS69" s="44" cm="1">
        <f t="array" ref="AS69">IFERROR(INDEX('ST Forecast'!$E$2:$RK$36,26,M69)+INDEX('ST Forecast'!$E$2:$RK$36,30,M69),"")</f>
        <v>67544.328294398889</v>
      </c>
      <c r="AT69" s="44" cm="1">
        <f t="array" ref="AT69">IFERROR(INDEX('ST Forecast'!$E$2:$RK$36,27,M69)+INDEX('ST Forecast'!$E$2:$RK$36,31,M69),"")</f>
        <v>8851.5229966915649</v>
      </c>
      <c r="AU69" s="44" cm="1">
        <f t="array" ref="AU69">IFERROR(INDEX('ST Forecast'!$E$2:$RK$36,28,M69),"")</f>
        <v>7184.5531522654883</v>
      </c>
      <c r="AV69" s="44" cm="1">
        <f t="array" ref="AV69">IFERROR(INDEX('ST Forecast'!$E$2:$RK$36,29,M69),"")</f>
        <v>0</v>
      </c>
      <c r="AW69" s="44">
        <f>DB[[#This Row],[Inbound FC]]-DB[[#This Row],[Inbound Act - Ultrafresh2]]</f>
        <v>147977.00000000006</v>
      </c>
      <c r="AX69" s="178" t="e">
        <f>#REF!</f>
        <v>#REF!</v>
      </c>
      <c r="AY69" s="178" t="e">
        <f>#REF!</f>
        <v>#REF!</v>
      </c>
      <c r="AZ69" s="178" t="e">
        <f>#REF!</f>
        <v>#REF!</v>
      </c>
      <c r="BA69" s="178">
        <f>MONTH(DB[[#This Row],[Datum]])</f>
        <v>3</v>
      </c>
    </row>
    <row r="70" spans="1:53" x14ac:dyDescent="0.3">
      <c r="A70" s="44">
        <f t="shared" si="23"/>
        <v>10</v>
      </c>
      <c r="B70" t="str">
        <f t="shared" si="24"/>
        <v>Wk 10</v>
      </c>
      <c r="C70" t="s">
        <v>115</v>
      </c>
      <c r="D70" s="313">
        <v>44629</v>
      </c>
      <c r="E70" s="44">
        <f>DB[[#This Row],[Sales-FC-Orders-Collect]]+DB[[#This Row],[Sales-FC-Orders-HD]]</f>
        <v>2350</v>
      </c>
      <c r="F70" s="402">
        <f>INDEX('LT Collect Forecast'!$K$1:$Q$55,MATCH(B70,'LT Collect Forecast'!$A:$A,0),MATCH(C70,'LT Collect Forecast'!$K$2:$Q$2,0))</f>
        <v>500</v>
      </c>
      <c r="G70" s="44">
        <f>INDEX('LT HD Forecast'!$K$1:$Q$55,MATCH(B70,'LT HD Forecast'!$A:$A,0),MATCH(C70,'LT HD Forecast'!$K$2:$Q$2,0))</f>
        <v>1850</v>
      </c>
      <c r="H70" s="44" cm="1">
        <f t="array" ref="H70">IFERROR(INDEX('ST Forecast'!$E$2:$RK$36,6,M70),"")</f>
        <v>48.622742470437608</v>
      </c>
      <c r="I70" s="44" cm="1">
        <f t="array" ref="I70">IFERROR(INDEX('ST Forecast'!$E$2:$RK$36,7,M70),"")</f>
        <v>51.233513400073036</v>
      </c>
      <c r="J70" s="44">
        <f>SUM(DB[[#This Row],[Sales-FC-Picks-Collect]:[Sales-FC-Picks-HD]])</f>
        <v>119093.37102535392</v>
      </c>
      <c r="K70" s="44">
        <f t="shared" si="25"/>
        <v>24311.371235218805</v>
      </c>
      <c r="L70" s="44">
        <f t="shared" si="26"/>
        <v>94781.999790135116</v>
      </c>
      <c r="M70" s="403">
        <f>IFERROR(IF(B70=B69,M69+1,MATCH(B70,'ST Forecast'!$E$2:$RK$2,0)+1),"")</f>
        <v>76</v>
      </c>
      <c r="N70">
        <f>SUM(DB[[#This Row],[Ops-FC-Orders-Collect]:[Ops-FC-Orders-HD]])</f>
        <v>2350</v>
      </c>
      <c r="O70" s="44" cm="1">
        <f t="array" ref="O70">IFERROR(INDEX('ST Forecast'!$E$2:$RK$36,13,M70),"")</f>
        <v>500</v>
      </c>
      <c r="P70" s="44">
        <f t="shared" si="27"/>
        <v>1850</v>
      </c>
      <c r="Q70" s="44" cm="1">
        <f t="array" ref="Q70">IFERROR(INDEX('ST Forecast'!$E$2:$RK$36,14,M70),"")</f>
        <v>900</v>
      </c>
      <c r="R70" s="44" cm="1">
        <f t="array" ref="R70">IFERROR(INDEX('ST Forecast'!$E$2:$RK$36,15,M70),"")</f>
        <v>950</v>
      </c>
      <c r="S70" s="312">
        <f>SUM(DB[[#This Row],[Ops-FC-Picks-Collect]:[Ops-FC-Picks-HD]])</f>
        <v>116711.50360484685</v>
      </c>
      <c r="T70" s="44">
        <f t="shared" si="28"/>
        <v>23825.14381051443</v>
      </c>
      <c r="U70" s="44">
        <f t="shared" si="29"/>
        <v>92886.359794332413</v>
      </c>
      <c r="V70" s="44">
        <f t="shared" si="30"/>
        <v>45187.958818864419</v>
      </c>
      <c r="W70" s="404">
        <f t="shared" si="31"/>
        <v>47698.400975467994</v>
      </c>
      <c r="X70" s="44">
        <f>SUM(DB[[#This Row],[Capped-Orders-Collect]:[Capped-Orders-HD]])</f>
        <v>90</v>
      </c>
      <c r="Y70">
        <f>INDEX('Operations Forecast'!$A$2:$BGY$47,3,MATCH(DB!D70,'Operations Forecast'!$A$2:$BGY$2))</f>
        <v>0</v>
      </c>
      <c r="Z70">
        <f t="shared" si="32"/>
        <v>90</v>
      </c>
      <c r="AA70">
        <f>INDEX('Operations Forecast'!$A$2:$BGY$47,10,MATCH(DB!D70,'Operations Forecast'!$A$2:$BGY$2))</f>
        <v>90</v>
      </c>
      <c r="AB70">
        <f>INDEX('Operations Forecast'!$A$2:$BGY$47,21,MATCH(DB!D70,'Operations Forecast'!$A$2:$BGY$2))</f>
        <v>0</v>
      </c>
      <c r="AC70" s="312">
        <f>SUM(DB[[#This Row],[Act-Orders-Collect]:[Act-Orders-HD]])</f>
        <v>2411</v>
      </c>
      <c r="AD70" s="858">
        <f>IFERROR(INDEX('Operations Forecast_new'!$7:$7,MATCH(DB[[#This Row],[Datum]],'Operations Forecast_new'!$2:$2,0)),0)</f>
        <v>477</v>
      </c>
      <c r="AE70" s="312">
        <f t="shared" si="33"/>
        <v>1934</v>
      </c>
      <c r="AF70" s="858">
        <f>IFERROR(INDEX('Operations Forecast_new'!$13:$13,MATCH(DB[[#This Row],[Datum]],'Operations Forecast_new'!$2:$2,0)),0)</f>
        <v>954</v>
      </c>
      <c r="AG70" s="858">
        <f>IFERROR(INDEX('Operations Forecast_new'!$19:$19,MATCH(DB[[#This Row],[Datum]],'Operations Forecast_new'!$2:$2,0)),0)</f>
        <v>980</v>
      </c>
      <c r="AH70" s="312">
        <f t="shared" si="37"/>
        <v>120403.99800000001</v>
      </c>
      <c r="AI70" s="858">
        <f>IFERROR(INDEX('Operations Forecast_new'!$9:$9,MATCH(DB[[#This Row],[Datum]],'Operations Forecast_new'!$2:$2,0)),0)</f>
        <v>23139.27</v>
      </c>
      <c r="AJ70" s="312">
        <f t="shared" si="34"/>
        <v>97264.728000000003</v>
      </c>
      <c r="AK70" s="858">
        <f>IFERROR(INDEX('Operations Forecast_new'!$15:$15,MATCH(DB[[#This Row],[Datum]],'Operations Forecast_new'!$2:$2,0)),0)</f>
        <v>47978.567999999999</v>
      </c>
      <c r="AL70" s="858">
        <f>IFERROR(INDEX('Operations Forecast_new'!$21:$21,MATCH(DB[[#This Row],[Datum]],'Operations Forecast_new'!$2:$2,0)),0)</f>
        <v>49286.159999999996</v>
      </c>
      <c r="AM70" s="178">
        <f>IFERROR(INDEX('Operations Forecast_new'!$8:$8,MATCH(DB[[#This Row],[Datum]],'Operations Forecast_new'!$2:$2,0)),0)</f>
        <v>49</v>
      </c>
      <c r="AN70" s="859">
        <f>IFERROR(INDEX('Operations Forecast_new'!$20:$20,MATCH(DB[[#This Row],[Datum]],'Operations Forecast_new'!$2:$2,0)),0)</f>
        <v>50.8</v>
      </c>
      <c r="AO70" s="44">
        <f t="shared" si="35"/>
        <v>48.51</v>
      </c>
      <c r="AP70" s="404">
        <f t="shared" si="36"/>
        <v>50.292000000000002</v>
      </c>
      <c r="AQ70" s="44">
        <f t="shared" si="38"/>
        <v>135329.00000000006</v>
      </c>
      <c r="AR70" s="44" cm="1">
        <f t="array" ref="AR70">IFERROR(INDEX('ST Forecast'!$E$2:$RK$36,25,M70)+(INDEX('ST Forecast'!$E$2:$RK$36,29,M70)),"")</f>
        <v>55362.188896591571</v>
      </c>
      <c r="AS70" s="44" cm="1">
        <f t="array" ref="AS70">IFERROR(INDEX('ST Forecast'!$E$2:$RK$36,26,M70)+INDEX('ST Forecast'!$E$2:$RK$36,30,M70),"")</f>
        <v>56141.146530296792</v>
      </c>
      <c r="AT70" s="44" cm="1">
        <f t="array" ref="AT70">IFERROR(INDEX('ST Forecast'!$E$2:$RK$36,27,M70)+INDEX('ST Forecast'!$E$2:$RK$36,31,M70),"")</f>
        <v>15721.886120656378</v>
      </c>
      <c r="AU70" s="44" cm="1">
        <f t="array" ref="AU70">IFERROR(INDEX('ST Forecast'!$E$2:$RK$36,28,M70),"")</f>
        <v>8103.7784524553281</v>
      </c>
      <c r="AV70" s="44" cm="1">
        <f t="array" ref="AV70">IFERROR(INDEX('ST Forecast'!$E$2:$RK$36,29,M70),"")</f>
        <v>0</v>
      </c>
      <c r="AW70" s="44">
        <f>DB[[#This Row],[Inbound FC]]-DB[[#This Row],[Inbound Act - Ultrafresh2]]</f>
        <v>135329.00000000006</v>
      </c>
      <c r="AX70" s="178" t="e">
        <f>#REF!</f>
        <v>#REF!</v>
      </c>
      <c r="AY70" s="178" t="e">
        <f>#REF!</f>
        <v>#REF!</v>
      </c>
      <c r="AZ70" s="178" t="e">
        <f>#REF!</f>
        <v>#REF!</v>
      </c>
      <c r="BA70" s="178">
        <f>MONTH(DB[[#This Row],[Datum]])</f>
        <v>3</v>
      </c>
    </row>
    <row r="71" spans="1:53" x14ac:dyDescent="0.3">
      <c r="A71" s="44">
        <f t="shared" ref="A71:A134" si="39">(WEEKNUM(D71,2))-1</f>
        <v>10</v>
      </c>
      <c r="B71" t="str">
        <f t="shared" si="24"/>
        <v>Wk 10</v>
      </c>
      <c r="C71" t="s">
        <v>116</v>
      </c>
      <c r="D71" s="313">
        <v>44630</v>
      </c>
      <c r="E71" s="44">
        <f>DB[[#This Row],[Sales-FC-Orders-Collect]]+DB[[#This Row],[Sales-FC-Orders-HD]]</f>
        <v>2216.7808219178082</v>
      </c>
      <c r="F71" s="402" cm="1">
        <f t="array" ref="F71">INDEX('LT Collect Forecast'!$K$1:$Q$55,MATCH(B71,'LT Collect Forecast'!$A:$A,0)+1,MATCH(C71,'LT Collect Forecast'!$K$2:$Q$2,0))</f>
        <v>450</v>
      </c>
      <c r="G71" s="44" cm="1">
        <f t="array" ref="G71">INDEX('LT HD Forecast'!$K$1:$Q$55,MATCH(B71,'LT HD Forecast'!$A:$A,0)+1,MATCH(C71,'LT HD Forecast'!$K$2:$Q$2,0))</f>
        <v>1766.7808219178082</v>
      </c>
      <c r="H71" s="44" cm="1">
        <f t="array" ref="H71">IFERROR(INDEX('ST Forecast'!$E$2:$RK$36,6,M71),"")</f>
        <v>49.090899756043285</v>
      </c>
      <c r="I71" s="44" cm="1">
        <f t="array" ref="I71">IFERROR(INDEX('ST Forecast'!$E$2:$RK$36,7,M71),"")</f>
        <v>51.121604184200493</v>
      </c>
      <c r="J71" s="44">
        <f>SUM(DB[[#This Row],[Sales-FC-Picks-Collect]:[Sales-FC-Picks-HD]])</f>
        <v>112411.57474853809</v>
      </c>
      <c r="K71" s="44">
        <f t="shared" si="25"/>
        <v>22090.904890219477</v>
      </c>
      <c r="L71" s="44">
        <f t="shared" si="26"/>
        <v>90320.669858318608</v>
      </c>
      <c r="M71" s="403">
        <f>IFERROR(IF(B71=B70,M70+1,MATCH(B71,'ST Forecast'!$E$2:$RK$2,0)+1),"")</f>
        <v>77</v>
      </c>
      <c r="N71">
        <f>SUM(DB[[#This Row],[Ops-FC-Orders-Collect]:[Ops-FC-Orders-HD]])</f>
        <v>2200</v>
      </c>
      <c r="O71" s="44" cm="1">
        <f t="array" ref="O71">IFERROR(INDEX('ST Forecast'!$E$2:$RK$36,13,M71),"")</f>
        <v>450</v>
      </c>
      <c r="P71" s="44">
        <f t="shared" si="27"/>
        <v>1750</v>
      </c>
      <c r="Q71" s="44" cm="1">
        <f t="array" ref="Q71">IFERROR(INDEX('ST Forecast'!$E$2:$RK$36,14,M71),"")</f>
        <v>850</v>
      </c>
      <c r="R71" s="44" cm="1">
        <f t="array" ref="R71">IFERROR(INDEX('ST Forecast'!$E$2:$RK$36,15,M71),"")</f>
        <v>900</v>
      </c>
      <c r="S71" s="312">
        <f>SUM(DB[[#This Row],[Ops-FC-Picks-Collect]:[Ops-FC-Picks-HD]])</f>
        <v>109322.63796831894</v>
      </c>
      <c r="T71" s="44">
        <f t="shared" si="28"/>
        <v>21649.086792415088</v>
      </c>
      <c r="U71" s="44">
        <f t="shared" si="29"/>
        <v>87673.551175903849</v>
      </c>
      <c r="V71" s="44">
        <f t="shared" si="30"/>
        <v>42584.296285439006</v>
      </c>
      <c r="W71" s="404">
        <f t="shared" si="31"/>
        <v>45089.254890464836</v>
      </c>
      <c r="X71" s="44">
        <f>SUM(DB[[#This Row],[Capped-Orders-Collect]:[Capped-Orders-HD]])</f>
        <v>90</v>
      </c>
      <c r="Y71">
        <f>INDEX('Operations Forecast'!$A$2:$BGY$47,3,MATCH(DB!D71,'Operations Forecast'!$A$2:$BGY$2))</f>
        <v>0</v>
      </c>
      <c r="Z71">
        <f t="shared" si="32"/>
        <v>90</v>
      </c>
      <c r="AA71">
        <f>INDEX('Operations Forecast'!$A$2:$BGY$47,10,MATCH(DB!D71,'Operations Forecast'!$A$2:$BGY$2))</f>
        <v>90</v>
      </c>
      <c r="AB71">
        <f>INDEX('Operations Forecast'!$A$2:$BGY$47,21,MATCH(DB!D71,'Operations Forecast'!$A$2:$BGY$2))</f>
        <v>0</v>
      </c>
      <c r="AC71" s="312">
        <f>SUM(DB[[#This Row],[Act-Orders-Collect]:[Act-Orders-HD]])</f>
        <v>2225</v>
      </c>
      <c r="AD71" s="858">
        <f>IFERROR(INDEX('Operations Forecast_new'!$7:$7,MATCH(DB[[#This Row],[Datum]],'Operations Forecast_new'!$2:$2,0)),0)</f>
        <v>425</v>
      </c>
      <c r="AE71" s="312">
        <f t="shared" si="33"/>
        <v>1800</v>
      </c>
      <c r="AF71" s="858">
        <f>IFERROR(INDEX('Operations Forecast_new'!$13:$13,MATCH(DB[[#This Row],[Datum]],'Operations Forecast_new'!$2:$2,0)),0)</f>
        <v>900</v>
      </c>
      <c r="AG71" s="858">
        <f>IFERROR(INDEX('Operations Forecast_new'!$19:$19,MATCH(DB[[#This Row],[Datum]],'Operations Forecast_new'!$2:$2,0)),0)</f>
        <v>900</v>
      </c>
      <c r="AH71" s="312">
        <f t="shared" si="37"/>
        <v>115384.5</v>
      </c>
      <c r="AI71" s="858">
        <f>IFERROR(INDEX('Operations Forecast_new'!$9:$9,MATCH(DB[[#This Row],[Datum]],'Operations Forecast_new'!$2:$2,0)),0)</f>
        <v>22720.5</v>
      </c>
      <c r="AJ71" s="312">
        <f t="shared" si="34"/>
        <v>92664</v>
      </c>
      <c r="AK71" s="858">
        <f>IFERROR(INDEX('Operations Forecast_new'!$15:$15,MATCH(DB[[#This Row],[Datum]],'Operations Forecast_new'!$2:$2,0)),0)</f>
        <v>46332</v>
      </c>
      <c r="AL71" s="858">
        <f>IFERROR(INDEX('Operations Forecast_new'!$21:$21,MATCH(DB[[#This Row],[Datum]],'Operations Forecast_new'!$2:$2,0)),0)</f>
        <v>46332</v>
      </c>
      <c r="AM71" s="178">
        <f>IFERROR(INDEX('Operations Forecast_new'!$8:$8,MATCH(DB[[#This Row],[Datum]],'Operations Forecast_new'!$2:$2,0)),0)</f>
        <v>54</v>
      </c>
      <c r="AN71" s="859">
        <f>IFERROR(INDEX('Operations Forecast_new'!$20:$20,MATCH(DB[[#This Row],[Datum]],'Operations Forecast_new'!$2:$2,0)),0)</f>
        <v>52</v>
      </c>
      <c r="AO71" s="44">
        <f t="shared" si="35"/>
        <v>53.46</v>
      </c>
      <c r="AP71" s="404">
        <f t="shared" si="36"/>
        <v>51.48</v>
      </c>
      <c r="AQ71" s="44">
        <f t="shared" si="38"/>
        <v>118253.00000000007</v>
      </c>
      <c r="AR71" s="44" cm="1">
        <f t="array" ref="AR71">IFERROR(INDEX('ST Forecast'!$E$2:$RK$36,25,M71)+(INDEX('ST Forecast'!$E$2:$RK$36,29,M71)),"")</f>
        <v>50640.925719907566</v>
      </c>
      <c r="AS71" s="44" cm="1">
        <f t="array" ref="AS71">IFERROR(INDEX('ST Forecast'!$E$2:$RK$36,26,M71)+INDEX('ST Forecast'!$E$2:$RK$36,30,M71),"")</f>
        <v>50590.904472482238</v>
      </c>
      <c r="AT71" s="44" cm="1">
        <f t="array" ref="AT71">IFERROR(INDEX('ST Forecast'!$E$2:$RK$36,27,M71)+INDEX('ST Forecast'!$E$2:$RK$36,31,M71),"")</f>
        <v>8845.9283097895823</v>
      </c>
      <c r="AU71" s="44" cm="1">
        <f t="array" ref="AU71">IFERROR(INDEX('ST Forecast'!$E$2:$RK$36,28,M71),"")</f>
        <v>8175.2414978206816</v>
      </c>
      <c r="AV71" s="44" cm="1">
        <f t="array" ref="AV71">IFERROR(INDEX('ST Forecast'!$E$2:$RK$36,29,M71),"")</f>
        <v>0</v>
      </c>
      <c r="AW71" s="44">
        <f>DB[[#This Row],[Inbound FC]]-DB[[#This Row],[Inbound Act - Ultrafresh2]]</f>
        <v>118253.00000000007</v>
      </c>
      <c r="AX71" s="178" t="e">
        <f>#REF!</f>
        <v>#REF!</v>
      </c>
      <c r="AY71" s="178" t="e">
        <f>#REF!</f>
        <v>#REF!</v>
      </c>
      <c r="AZ71" s="178" t="e">
        <f>#REF!</f>
        <v>#REF!</v>
      </c>
      <c r="BA71" s="178">
        <f>MONTH(DB[[#This Row],[Datum]])</f>
        <v>3</v>
      </c>
    </row>
    <row r="72" spans="1:53" x14ac:dyDescent="0.3">
      <c r="A72" s="44">
        <f t="shared" si="39"/>
        <v>10</v>
      </c>
      <c r="B72" t="str">
        <f t="shared" si="24"/>
        <v>Wk 10</v>
      </c>
      <c r="C72" t="s">
        <v>117</v>
      </c>
      <c r="D72" s="313">
        <v>44631</v>
      </c>
      <c r="E72" s="44">
        <f>DB[[#This Row],[Sales-FC-Orders-Collect]]+DB[[#This Row],[Sales-FC-Orders-HD]]</f>
        <v>3018.6986301369861</v>
      </c>
      <c r="F72" s="402" cm="1">
        <f t="array" ref="F72">INDEX('LT Collect Forecast'!$K$1:$Q$55,MATCH(B72,'LT Collect Forecast'!$A:$A,0)+1,MATCH(C72,'LT Collect Forecast'!$K$2:$Q$2,0))</f>
        <v>1050</v>
      </c>
      <c r="G72" s="44" cm="1">
        <f t="array" ref="G72">INDEX('LT HD Forecast'!$K$1:$Q$55,MATCH(B72,'LT HD Forecast'!$A:$A,0)+1,MATCH(C72,'LT HD Forecast'!$K$2:$Q$2,0))</f>
        <v>1968.6986301369861</v>
      </c>
      <c r="H72" s="44" cm="1">
        <f t="array" ref="H72">IFERROR(INDEX('ST Forecast'!$E$2:$RK$36,6,M72),"")</f>
        <v>50.74614991385738</v>
      </c>
      <c r="I72" s="44" cm="1">
        <f t="array" ref="I72">IFERROR(INDEX('ST Forecast'!$E$2:$RK$36,7,M72),"")</f>
        <v>53.513732329026361</v>
      </c>
      <c r="J72" s="44">
        <f>SUM(DB[[#This Row],[Sales-FC-Picks-Collect]:[Sales-FC-Picks-HD]])</f>
        <v>158635.86893922178</v>
      </c>
      <c r="K72" s="44">
        <f t="shared" si="25"/>
        <v>53283.457409550247</v>
      </c>
      <c r="L72" s="44">
        <f t="shared" si="26"/>
        <v>105352.41152967155</v>
      </c>
      <c r="M72" s="403">
        <f>IFERROR(IF(B72=B71,M71+1,MATCH(B72,'ST Forecast'!$E$2:$RK$2,0)+1),"")</f>
        <v>78</v>
      </c>
      <c r="N72">
        <f>SUM(DB[[#This Row],[Ops-FC-Orders-Collect]:[Ops-FC-Orders-HD]])</f>
        <v>3050</v>
      </c>
      <c r="O72" s="44" cm="1">
        <f t="array" ref="O72">IFERROR(INDEX('ST Forecast'!$E$2:$RK$36,13,M72),"")</f>
        <v>1050</v>
      </c>
      <c r="P72" s="44">
        <f t="shared" si="27"/>
        <v>2000</v>
      </c>
      <c r="Q72" s="44" cm="1">
        <f t="array" ref="Q72">IFERROR(INDEX('ST Forecast'!$E$2:$RK$36,14,M72),"")</f>
        <v>950</v>
      </c>
      <c r="R72" s="44" cm="1">
        <f t="array" ref="R72">IFERROR(INDEX('ST Forecast'!$E$2:$RK$36,15,M72),"")</f>
        <v>1050</v>
      </c>
      <c r="S72" s="312">
        <f>SUM(DB[[#This Row],[Ops-FC-Picks-Collect]:[Ops-FC-Picks-HD]])</f>
        <v>157104.70362625091</v>
      </c>
      <c r="T72" s="44">
        <f t="shared" si="28"/>
        <v>52217.788261359237</v>
      </c>
      <c r="U72" s="44">
        <f t="shared" si="29"/>
        <v>104886.91536489167</v>
      </c>
      <c r="V72" s="44">
        <f t="shared" si="30"/>
        <v>49821.284798323541</v>
      </c>
      <c r="W72" s="404">
        <f t="shared" si="31"/>
        <v>55065.630566568121</v>
      </c>
      <c r="X72" s="44">
        <f>SUM(DB[[#This Row],[Capped-Orders-Collect]:[Capped-Orders-HD]])</f>
        <v>90</v>
      </c>
      <c r="Y72">
        <f>INDEX('Operations Forecast'!$A$2:$BGY$47,3,MATCH(DB!D72,'Operations Forecast'!$A$2:$BGY$2))</f>
        <v>0</v>
      </c>
      <c r="Z72">
        <f t="shared" si="32"/>
        <v>90</v>
      </c>
      <c r="AA72">
        <f>INDEX('Operations Forecast'!$A$2:$BGY$47,10,MATCH(DB!D72,'Operations Forecast'!$A$2:$BGY$2))</f>
        <v>90</v>
      </c>
      <c r="AB72">
        <f>INDEX('Operations Forecast'!$A$2:$BGY$47,21,MATCH(DB!D72,'Operations Forecast'!$A$2:$BGY$2))</f>
        <v>0</v>
      </c>
      <c r="AC72" s="312">
        <f>SUM(DB[[#This Row],[Act-Orders-Collect]:[Act-Orders-HD]])</f>
        <v>3049</v>
      </c>
      <c r="AD72" s="858">
        <f>IFERROR(INDEX('Operations Forecast_new'!$7:$7,MATCH(DB[[#This Row],[Datum]],'Operations Forecast_new'!$2:$2,0)),0)</f>
        <v>1050</v>
      </c>
      <c r="AE72" s="312">
        <f t="shared" si="33"/>
        <v>1999</v>
      </c>
      <c r="AF72" s="858">
        <f>IFERROR(INDEX('Operations Forecast_new'!$13:$13,MATCH(DB[[#This Row],[Datum]],'Operations Forecast_new'!$2:$2,0)),0)</f>
        <v>1033</v>
      </c>
      <c r="AG72" s="858">
        <f>IFERROR(INDEX('Operations Forecast_new'!$19:$19,MATCH(DB[[#This Row],[Datum]],'Operations Forecast_new'!$2:$2,0)),0)</f>
        <v>966</v>
      </c>
      <c r="AH72" s="312">
        <f t="shared" si="37"/>
        <v>151737.10200000001</v>
      </c>
      <c r="AI72" s="858">
        <f>IFERROR(INDEX('Operations Forecast_new'!$9:$9,MATCH(DB[[#This Row],[Datum]],'Operations Forecast_new'!$2:$2,0)),0)</f>
        <v>52390.8</v>
      </c>
      <c r="AJ72" s="312">
        <f t="shared" si="34"/>
        <v>99346.302000000011</v>
      </c>
      <c r="AK72" s="858">
        <f>IFERROR(INDEX('Operations Forecast_new'!$15:$15,MATCH(DB[[#This Row],[Datum]],'Operations Forecast_new'!$2:$2,0)),0)</f>
        <v>51338.034000000007</v>
      </c>
      <c r="AL72" s="858">
        <f>IFERROR(INDEX('Operations Forecast_new'!$21:$21,MATCH(DB[[#This Row],[Datum]],'Operations Forecast_new'!$2:$2,0)),0)</f>
        <v>48008.268000000004</v>
      </c>
      <c r="AM72" s="178">
        <f>IFERROR(INDEX('Operations Forecast_new'!$8:$8,MATCH(DB[[#This Row],[Datum]],'Operations Forecast_new'!$2:$2,0)),0)</f>
        <v>50.4</v>
      </c>
      <c r="AN72" s="859">
        <f>IFERROR(INDEX('Operations Forecast_new'!$20:$20,MATCH(DB[[#This Row],[Datum]],'Operations Forecast_new'!$2:$2,0)),0)</f>
        <v>50.2</v>
      </c>
      <c r="AO72" s="44">
        <f t="shared" si="35"/>
        <v>49.896000000000001</v>
      </c>
      <c r="AP72" s="404">
        <f t="shared" si="36"/>
        <v>49.698000000000008</v>
      </c>
      <c r="AQ72" s="44">
        <f t="shared" si="38"/>
        <v>113826.00000000006</v>
      </c>
      <c r="AR72" s="44" cm="1">
        <f t="array" ref="AR72">IFERROR(INDEX('ST Forecast'!$E$2:$RK$36,25,M72)+(INDEX('ST Forecast'!$E$2:$RK$36,29,M72)),"")</f>
        <v>50384.633634842867</v>
      </c>
      <c r="AS72" s="44" cm="1">
        <f t="array" ref="AS72">IFERROR(INDEX('ST Forecast'!$E$2:$RK$36,26,M72)+INDEX('ST Forecast'!$E$2:$RK$36,30,M72),"")</f>
        <v>50444.24456240968</v>
      </c>
      <c r="AT72" s="44" cm="1">
        <f t="array" ref="AT72">IFERROR(INDEX('ST Forecast'!$E$2:$RK$36,27,M72)+INDEX('ST Forecast'!$E$2:$RK$36,31,M72),"")</f>
        <v>4972.633956471388</v>
      </c>
      <c r="AU72" s="44" cm="1">
        <f t="array" ref="AU72">IFERROR(INDEX('ST Forecast'!$E$2:$RK$36,28,M72),"")</f>
        <v>8024.4878462761317</v>
      </c>
      <c r="AV72" s="44" cm="1">
        <f t="array" ref="AV72">IFERROR(INDEX('ST Forecast'!$E$2:$RK$36,29,M72),"")</f>
        <v>0</v>
      </c>
      <c r="AW72" s="44">
        <f>DB[[#This Row],[Inbound FC]]-DB[[#This Row],[Inbound Act - Ultrafresh2]]</f>
        <v>113826.00000000006</v>
      </c>
      <c r="AX72" s="178" t="e">
        <f>#REF!</f>
        <v>#REF!</v>
      </c>
      <c r="AY72" s="178" t="e">
        <f>#REF!</f>
        <v>#REF!</v>
      </c>
      <c r="AZ72" s="178" t="e">
        <f>#REF!</f>
        <v>#REF!</v>
      </c>
      <c r="BA72" s="178">
        <f>MONTH(DB[[#This Row],[Datum]])</f>
        <v>3</v>
      </c>
    </row>
    <row r="73" spans="1:53" x14ac:dyDescent="0.3">
      <c r="A73" s="44">
        <f t="shared" si="39"/>
        <v>10</v>
      </c>
      <c r="B73" t="str">
        <f t="shared" si="24"/>
        <v>Wk 10</v>
      </c>
      <c r="C73" t="s">
        <v>118</v>
      </c>
      <c r="D73" s="313">
        <v>44632</v>
      </c>
      <c r="E73" s="44">
        <f>DB[[#This Row],[Sales-FC-Orders-Collect]]+DB[[#This Row],[Sales-FC-Orders-HD]]</f>
        <v>2968.2191780821918</v>
      </c>
      <c r="F73" s="402" cm="1">
        <f t="array" ref="F73">INDEX('LT Collect Forecast'!$K$1:$Q$55,MATCH(B73,'LT Collect Forecast'!$A:$A,0)+1,MATCH(C73,'LT Collect Forecast'!$K$2:$Q$2,0))</f>
        <v>1050</v>
      </c>
      <c r="G73" s="44" cm="1">
        <f t="array" ref="G73">INDEX('LT HD Forecast'!$K$1:$Q$55,MATCH(B73,'LT HD Forecast'!$A:$A,0)+1,MATCH(C73,'LT HD Forecast'!$K$2:$Q$2,0))</f>
        <v>1918.2191780821918</v>
      </c>
      <c r="H73" s="44" cm="1">
        <f t="array" ref="H73">IFERROR(INDEX('ST Forecast'!$E$2:$RK$36,6,M73),"")</f>
        <v>49.205630103993414</v>
      </c>
      <c r="I73" s="44" cm="1">
        <f t="array" ref="I73">IFERROR(INDEX('ST Forecast'!$E$2:$RK$36,7,M73),"")</f>
        <v>52.395442814858448</v>
      </c>
      <c r="J73" s="44">
        <f>SUM(DB[[#This Row],[Sales-FC-Picks-Collect]:[Sales-FC-Picks-HD]])</f>
        <v>152171.85486076333</v>
      </c>
      <c r="K73" s="44">
        <f t="shared" si="25"/>
        <v>51665.911609193085</v>
      </c>
      <c r="L73" s="44">
        <f t="shared" si="26"/>
        <v>100505.94325157025</v>
      </c>
      <c r="M73" s="403">
        <f>IFERROR(IF(B73=B72,M72+1,MATCH(B73,'ST Forecast'!$E$2:$RK$2,0)+1),"")</f>
        <v>79</v>
      </c>
      <c r="N73">
        <f>SUM(DB[[#This Row],[Ops-FC-Orders-Collect]:[Ops-FC-Orders-HD]])</f>
        <v>2950</v>
      </c>
      <c r="O73" s="44" cm="1">
        <f t="array" ref="O73">IFERROR(INDEX('ST Forecast'!$E$2:$RK$36,13,M73),"")</f>
        <v>1050</v>
      </c>
      <c r="P73" s="44">
        <f t="shared" si="27"/>
        <v>1900</v>
      </c>
      <c r="Q73" s="44" cm="1">
        <f t="array" ref="Q73">IFERROR(INDEX('ST Forecast'!$E$2:$RK$36,14,M73),"")</f>
        <v>950</v>
      </c>
      <c r="R73" s="44" cm="1">
        <f t="array" ref="R73">IFERROR(INDEX('ST Forecast'!$E$2:$RK$36,15,M73),"")</f>
        <v>950</v>
      </c>
      <c r="S73" s="312">
        <f>SUM(DB[[#This Row],[Ops-FC-Picks-Collect]:[Ops-FC-Picks-HD]])</f>
        <v>148192.90789827565</v>
      </c>
      <c r="T73" s="44">
        <f t="shared" si="28"/>
        <v>50632.593377009223</v>
      </c>
      <c r="U73" s="44">
        <f t="shared" si="29"/>
        <v>97560.314521266439</v>
      </c>
      <c r="V73" s="44">
        <f t="shared" si="30"/>
        <v>48780.157260633219</v>
      </c>
      <c r="W73" s="404">
        <f t="shared" si="31"/>
        <v>48780.157260633219</v>
      </c>
      <c r="X73" s="44">
        <f>SUM(DB[[#This Row],[Capped-Orders-Collect]:[Capped-Orders-HD]])</f>
        <v>90</v>
      </c>
      <c r="Y73">
        <f>INDEX('Operations Forecast'!$A$2:$BGY$47,3,MATCH(DB!D73,'Operations Forecast'!$A$2:$BGY$2))</f>
        <v>0</v>
      </c>
      <c r="Z73">
        <f t="shared" si="32"/>
        <v>90</v>
      </c>
      <c r="AA73">
        <f>INDEX('Operations Forecast'!$A$2:$BGY$47,10,MATCH(DB!D73,'Operations Forecast'!$A$2:$BGY$2))</f>
        <v>90</v>
      </c>
      <c r="AB73">
        <f>INDEX('Operations Forecast'!$A$2:$BGY$47,21,MATCH(DB!D73,'Operations Forecast'!$A$2:$BGY$2))</f>
        <v>0</v>
      </c>
      <c r="AC73" s="312">
        <f>SUM(DB[[#This Row],[Act-Orders-Collect]:[Act-Orders-HD]])</f>
        <v>2636</v>
      </c>
      <c r="AD73" s="858">
        <f>IFERROR(INDEX('Operations Forecast_new'!$7:$7,MATCH(DB[[#This Row],[Datum]],'Operations Forecast_new'!$2:$2,0)),0)</f>
        <v>805</v>
      </c>
      <c r="AE73" s="312">
        <f t="shared" si="33"/>
        <v>1831</v>
      </c>
      <c r="AF73" s="858">
        <f>IFERROR(INDEX('Operations Forecast_new'!$13:$13,MATCH(DB[[#This Row],[Datum]],'Operations Forecast_new'!$2:$2,0)),0)</f>
        <v>1008</v>
      </c>
      <c r="AG73" s="858">
        <f>IFERROR(INDEX('Operations Forecast_new'!$19:$19,MATCH(DB[[#This Row],[Datum]],'Operations Forecast_new'!$2:$2,0)),0)</f>
        <v>823</v>
      </c>
      <c r="AH73" s="312">
        <f t="shared" si="37"/>
        <v>132669.70199999999</v>
      </c>
      <c r="AI73" s="858">
        <f>IFERROR(INDEX('Operations Forecast_new'!$9:$9,MATCH(DB[[#This Row],[Datum]],'Operations Forecast_new'!$2:$2,0)),0)</f>
        <v>42397.74</v>
      </c>
      <c r="AJ73" s="312">
        <f t="shared" si="34"/>
        <v>90271.961999999985</v>
      </c>
      <c r="AK73" s="858">
        <f>IFERROR(INDEX('Operations Forecast_new'!$15:$15,MATCH(DB[[#This Row],[Datum]],'Operations Forecast_new'!$2:$2,0)),0)</f>
        <v>49696.41599999999</v>
      </c>
      <c r="AL73" s="858">
        <f>IFERROR(INDEX('Operations Forecast_new'!$21:$21,MATCH(DB[[#This Row],[Datum]],'Operations Forecast_new'!$2:$2,0)),0)</f>
        <v>40575.545999999995</v>
      </c>
      <c r="AM73" s="178">
        <f>IFERROR(INDEX('Operations Forecast_new'!$8:$8,MATCH(DB[[#This Row],[Datum]],'Operations Forecast_new'!$2:$2,0)),0)</f>
        <v>53.2</v>
      </c>
      <c r="AN73" s="859">
        <f>IFERROR(INDEX('Operations Forecast_new'!$20:$20,MATCH(DB[[#This Row],[Datum]],'Operations Forecast_new'!$2:$2,0)),0)</f>
        <v>49.8</v>
      </c>
      <c r="AO73" s="44">
        <f t="shared" si="35"/>
        <v>52.667999999999999</v>
      </c>
      <c r="AP73" s="404">
        <f t="shared" si="36"/>
        <v>49.301999999999992</v>
      </c>
      <c r="AQ73" s="44">
        <f t="shared" si="38"/>
        <v>117778.00000000001</v>
      </c>
      <c r="AR73" s="44" cm="1">
        <f t="array" ref="AR73">IFERROR(INDEX('ST Forecast'!$E$2:$RK$36,25,M73)+(INDEX('ST Forecast'!$E$2:$RK$36,29,M73)),"")</f>
        <v>61894.423385710325</v>
      </c>
      <c r="AS73" s="44" cm="1">
        <f t="array" ref="AS73">IFERROR(INDEX('ST Forecast'!$E$2:$RK$36,26,M73)+INDEX('ST Forecast'!$E$2:$RK$36,30,M73),"")</f>
        <v>43654.257859154663</v>
      </c>
      <c r="AT73" s="44" cm="1">
        <f t="array" ref="AT73">IFERROR(INDEX('ST Forecast'!$E$2:$RK$36,27,M73)+INDEX('ST Forecast'!$E$2:$RK$36,31,M73),"")</f>
        <v>6004.0640811619633</v>
      </c>
      <c r="AU73" s="44" cm="1">
        <f t="array" ref="AU73">IFERROR(INDEX('ST Forecast'!$E$2:$RK$36,28,M73),"")</f>
        <v>6225.2546739730578</v>
      </c>
      <c r="AV73" s="44" cm="1">
        <f t="array" ref="AV73">IFERROR(INDEX('ST Forecast'!$E$2:$RK$36,29,M73),"")</f>
        <v>0</v>
      </c>
      <c r="AW73" s="44">
        <f>DB[[#This Row],[Inbound FC]]-DB[[#This Row],[Inbound Act - Ultrafresh2]]</f>
        <v>117778.00000000001</v>
      </c>
      <c r="AX73" s="178" t="e">
        <f>#REF!</f>
        <v>#REF!</v>
      </c>
      <c r="AY73" s="178" t="e">
        <f>#REF!</f>
        <v>#REF!</v>
      </c>
      <c r="AZ73" s="178" t="e">
        <f>#REF!</f>
        <v>#REF!</v>
      </c>
      <c r="BA73" s="178">
        <f>MONTH(DB[[#This Row],[Datum]])</f>
        <v>3</v>
      </c>
    </row>
    <row r="74" spans="1:53" x14ac:dyDescent="0.3">
      <c r="A74" s="44">
        <f t="shared" si="39"/>
        <v>10</v>
      </c>
      <c r="B74" t="str">
        <f t="shared" si="24"/>
        <v>Wk 10</v>
      </c>
      <c r="C74" t="s">
        <v>119</v>
      </c>
      <c r="D74" s="313">
        <v>44633</v>
      </c>
      <c r="E74" s="44">
        <f>DB[[#This Row],[Sales-FC-Orders-Collect]]+DB[[#This Row],[Sales-FC-Orders-HD]]</f>
        <v>100</v>
      </c>
      <c r="F74" s="402" cm="1">
        <f t="array" ref="F74">INDEX('LT Collect Forecast'!$K$1:$Q$55,MATCH(B74,'LT Collect Forecast'!$A:$A,0)+1,MATCH(C74,'LT Collect Forecast'!$K$2:$Q$2,0))</f>
        <v>0</v>
      </c>
      <c r="G74" s="44" cm="1">
        <f t="array" ref="G74">INDEX('LT HD Forecast'!$K$1:$Q$55,MATCH(B74,'LT HD Forecast'!$A:$A,0)+1,MATCH(C74,'LT HD Forecast'!$K$2:$Q$2,0))</f>
        <v>100</v>
      </c>
      <c r="H74" s="44" cm="1">
        <f t="array" ref="H74">IFERROR(INDEX('ST Forecast'!$E$2:$RK$36,6,M74),"")</f>
        <v>0</v>
      </c>
      <c r="I74" s="44" cm="1">
        <f t="array" ref="I74">IFERROR(INDEX('ST Forecast'!$E$2:$RK$36,7,M74),"")</f>
        <v>55.949211292628334</v>
      </c>
      <c r="J74" s="44">
        <f>SUM(DB[[#This Row],[Sales-FC-Picks-Collect]:[Sales-FC-Picks-HD]])</f>
        <v>5594.9211292628333</v>
      </c>
      <c r="K74" s="44">
        <f t="shared" si="25"/>
        <v>0</v>
      </c>
      <c r="L74" s="44">
        <f t="shared" si="26"/>
        <v>5594.9211292628333</v>
      </c>
      <c r="M74" s="403">
        <f>IFERROR(IF(B74=B73,M73+1,MATCH(B74,'ST Forecast'!$E$2:$RK$2,0)+1),"")</f>
        <v>80</v>
      </c>
      <c r="N74">
        <f>SUM(DB[[#This Row],[Ops-FC-Orders-Collect]:[Ops-FC-Orders-HD]])</f>
        <v>100</v>
      </c>
      <c r="O74" s="44" cm="1">
        <f t="array" ref="O74">IFERROR(INDEX('ST Forecast'!$E$2:$RK$36,13,M74),"")</f>
        <v>0</v>
      </c>
      <c r="P74" s="44">
        <f t="shared" si="27"/>
        <v>100</v>
      </c>
      <c r="Q74" s="44" cm="1">
        <f t="array" ref="Q74">IFERROR(INDEX('ST Forecast'!$E$2:$RK$36,14,M74),"")</f>
        <v>100</v>
      </c>
      <c r="R74" s="44" cm="1">
        <f t="array" ref="R74">IFERROR(INDEX('ST Forecast'!$E$2:$RK$36,15,M74),"")</f>
        <v>0</v>
      </c>
      <c r="S74" s="312">
        <f>SUM(DB[[#This Row],[Ops-FC-Picks-Collect]:[Ops-FC-Picks-HD]])</f>
        <v>5483.0227066775769</v>
      </c>
      <c r="T74" s="44">
        <f t="shared" si="28"/>
        <v>0</v>
      </c>
      <c r="U74" s="44">
        <f t="shared" si="29"/>
        <v>5483.0227066775769</v>
      </c>
      <c r="V74" s="44">
        <f t="shared" si="30"/>
        <v>5483.0227066775769</v>
      </c>
      <c r="W74" s="404">
        <f t="shared" si="31"/>
        <v>0</v>
      </c>
      <c r="X74" s="44">
        <f>SUM(DB[[#This Row],[Capped-Orders-Collect]:[Capped-Orders-HD]])</f>
        <v>90</v>
      </c>
      <c r="Y74">
        <f>INDEX('Operations Forecast'!$A$2:$BGY$47,3,MATCH(DB!D74,'Operations Forecast'!$A$2:$BGY$2))</f>
        <v>0</v>
      </c>
      <c r="Z74">
        <f t="shared" si="32"/>
        <v>90</v>
      </c>
      <c r="AA74">
        <f>INDEX('Operations Forecast'!$A$2:$BGY$47,10,MATCH(DB!D74,'Operations Forecast'!$A$2:$BGY$2))</f>
        <v>90</v>
      </c>
      <c r="AB74">
        <f>INDEX('Operations Forecast'!$A$2:$BGY$47,21,MATCH(DB!D74,'Operations Forecast'!$A$2:$BGY$2))</f>
        <v>0</v>
      </c>
      <c r="AC74" s="312">
        <f>SUM(DB[[#This Row],[Act-Orders-Collect]:[Act-Orders-HD]])</f>
        <v>92</v>
      </c>
      <c r="AD74" s="858">
        <f>IFERROR(INDEX('Operations Forecast_new'!$7:$7,MATCH(DB[[#This Row],[Datum]],'Operations Forecast_new'!$2:$2,0)),0)</f>
        <v>0</v>
      </c>
      <c r="AE74" s="312">
        <f t="shared" si="33"/>
        <v>92</v>
      </c>
      <c r="AF74" s="858">
        <f>IFERROR(INDEX('Operations Forecast_new'!$13:$13,MATCH(DB[[#This Row],[Datum]],'Operations Forecast_new'!$2:$2,0)),0)</f>
        <v>92</v>
      </c>
      <c r="AG74" s="858">
        <f>IFERROR(INDEX('Operations Forecast_new'!$19:$19,MATCH(DB[[#This Row],[Datum]],'Operations Forecast_new'!$2:$2,0)),0)</f>
        <v>0</v>
      </c>
      <c r="AH74" s="312">
        <f t="shared" si="37"/>
        <v>5437.4760000000006</v>
      </c>
      <c r="AI74" s="858">
        <f>IFERROR(INDEX('Operations Forecast_new'!$9:$9,MATCH(DB[[#This Row],[Datum]],'Operations Forecast_new'!$2:$2,0)),0)</f>
        <v>0</v>
      </c>
      <c r="AJ74" s="312">
        <f t="shared" si="34"/>
        <v>5437.4760000000006</v>
      </c>
      <c r="AK74" s="858">
        <f>IFERROR(INDEX('Operations Forecast_new'!$15:$15,MATCH(DB[[#This Row],[Datum]],'Operations Forecast_new'!$2:$2,0)),0)</f>
        <v>5437.4760000000006</v>
      </c>
      <c r="AL74" s="858">
        <f>IFERROR(INDEX('Operations Forecast_new'!$21:$21,MATCH(DB[[#This Row],[Datum]],'Operations Forecast_new'!$2:$2,0)),0)</f>
        <v>0</v>
      </c>
      <c r="AM74" s="178">
        <f>IFERROR(INDEX('Operations Forecast_new'!$8:$8,MATCH(DB[[#This Row],[Datum]],'Operations Forecast_new'!$2:$2,0)),0)</f>
        <v>0</v>
      </c>
      <c r="AN74" s="859">
        <f>IFERROR(INDEX('Operations Forecast_new'!$20:$20,MATCH(DB[[#This Row],[Datum]],'Operations Forecast_new'!$2:$2,0)),0)</f>
        <v>55.949211292628334</v>
      </c>
      <c r="AO74" s="44" t="str">
        <f t="shared" si="35"/>
        <v>-</v>
      </c>
      <c r="AP74" s="404">
        <f t="shared" si="36"/>
        <v>59.103000000000009</v>
      </c>
      <c r="AQ74" s="44">
        <f t="shared" si="38"/>
        <v>0</v>
      </c>
      <c r="AR74" s="44" cm="1">
        <f t="array" ref="AR74">IFERROR(INDEX('ST Forecast'!$E$2:$RK$36,25,M74)+(INDEX('ST Forecast'!$E$2:$RK$36,29,M74)),"")</f>
        <v>0</v>
      </c>
      <c r="AS74" s="44" cm="1">
        <f t="array" ref="AS74">IFERROR(INDEX('ST Forecast'!$E$2:$RK$36,26,M74)+INDEX('ST Forecast'!$E$2:$RK$36,30,M74),"")</f>
        <v>0</v>
      </c>
      <c r="AT74" s="44" cm="1">
        <f t="array" ref="AT74">IFERROR(INDEX('ST Forecast'!$E$2:$RK$36,27,M74)+INDEX('ST Forecast'!$E$2:$RK$36,31,M74),"")</f>
        <v>0</v>
      </c>
      <c r="AU74" s="44" cm="1">
        <f t="array" ref="AU74">IFERROR(INDEX('ST Forecast'!$E$2:$RK$36,28,M74),"")</f>
        <v>0</v>
      </c>
      <c r="AV74" s="44" cm="1">
        <f t="array" ref="AV74">IFERROR(INDEX('ST Forecast'!$E$2:$RK$36,29,M74),"")</f>
        <v>0</v>
      </c>
      <c r="AW74" s="44">
        <f>DB[[#This Row],[Inbound FC]]-DB[[#This Row],[Inbound Act - Ultrafresh2]]</f>
        <v>0</v>
      </c>
      <c r="AX74" s="178" t="e">
        <f>#REF!</f>
        <v>#REF!</v>
      </c>
      <c r="AY74" s="178" t="e">
        <f>#REF!</f>
        <v>#REF!</v>
      </c>
      <c r="AZ74" s="178" t="e">
        <f>#REF!</f>
        <v>#REF!</v>
      </c>
      <c r="BA74" s="178">
        <f>MONTH(DB[[#This Row],[Datum]])</f>
        <v>3</v>
      </c>
    </row>
    <row r="75" spans="1:53" x14ac:dyDescent="0.3">
      <c r="A75" s="44">
        <f t="shared" si="39"/>
        <v>11</v>
      </c>
      <c r="B75" t="str">
        <f t="shared" si="24"/>
        <v>Wk 11</v>
      </c>
      <c r="C75" t="s">
        <v>113</v>
      </c>
      <c r="D75" s="313">
        <v>44634</v>
      </c>
      <c r="E75" s="44">
        <f>DB[[#This Row],[Sales-FC-Orders-Collect]]+DB[[#This Row],[Sales-FC-Orders-HD]]</f>
        <v>2365.3424657534247</v>
      </c>
      <c r="F75" s="402">
        <f>INDEX('LT Collect Forecast'!$K$1:$Q$55,MATCH(B75,'LT Collect Forecast'!$A:$A,0),MATCH(C75,'LT Collect Forecast'!$K$2:$Q$2,0))</f>
        <v>750</v>
      </c>
      <c r="G75" s="44">
        <f>INDEX('LT HD Forecast'!$K$1:$Q$55,MATCH(B75,'LT HD Forecast'!$A:$A,0),MATCH(C75,'LT HD Forecast'!$K$2:$Q$2,0))</f>
        <v>1615.3424657534247</v>
      </c>
      <c r="H75" s="44" cm="1">
        <f t="array" ref="H75">IFERROR(INDEX('ST Forecast'!$E$2:$RK$36,6,M75),"")</f>
        <v>47.625154248660017</v>
      </c>
      <c r="I75" s="44" cm="1">
        <f t="array" ref="I75">IFERROR(INDEX('ST Forecast'!$E$2:$RK$36,7,M75),"")</f>
        <v>50.883583610042415</v>
      </c>
      <c r="J75" s="44">
        <f>SUM(DB[[#This Row],[Sales-FC-Picks-Collect]:[Sales-FC-Picks-HD]])</f>
        <v>117913.27910151146</v>
      </c>
      <c r="K75" s="44">
        <f t="shared" si="25"/>
        <v>35718.86568649501</v>
      </c>
      <c r="L75" s="44">
        <f t="shared" si="26"/>
        <v>82194.413415016461</v>
      </c>
      <c r="M75" s="403">
        <f>IFERROR(IF(B75=B74,M74+1,MATCH(B75,'ST Forecast'!$E$2:$RK$2,0)+1),"")</f>
        <v>82</v>
      </c>
      <c r="N75">
        <f>SUM(DB[[#This Row],[Ops-FC-Orders-Collect]:[Ops-FC-Orders-HD]])</f>
        <v>2350</v>
      </c>
      <c r="O75" s="44" cm="1">
        <f t="array" ref="O75">IFERROR(INDEX('ST Forecast'!$E$2:$RK$36,13,M75),"")</f>
        <v>750</v>
      </c>
      <c r="P75" s="44">
        <f t="shared" si="27"/>
        <v>1600</v>
      </c>
      <c r="Q75" s="44" cm="1">
        <f t="array" ref="Q75">IFERROR(INDEX('ST Forecast'!$E$2:$RK$36,14,M75),"")</f>
        <v>800</v>
      </c>
      <c r="R75" s="44" cm="1">
        <f t="array" ref="R75">IFERROR(INDEX('ST Forecast'!$E$2:$RK$36,15,M75),"")</f>
        <v>800</v>
      </c>
      <c r="S75" s="312">
        <f>SUM(DB[[#This Row],[Ops-FC-Picks-Collect]:[Ops-FC-Picks-HD]])</f>
        <v>114789.94747331162</v>
      </c>
      <c r="T75" s="44">
        <f t="shared" si="28"/>
        <v>35004.48837276511</v>
      </c>
      <c r="U75" s="44">
        <f t="shared" si="29"/>
        <v>79785.459100546504</v>
      </c>
      <c r="V75" s="44">
        <f t="shared" si="30"/>
        <v>39892.729550273252</v>
      </c>
      <c r="W75" s="404">
        <f t="shared" si="31"/>
        <v>39892.729550273252</v>
      </c>
      <c r="X75" s="44">
        <f>SUM(DB[[#This Row],[Capped-Orders-Collect]:[Capped-Orders-HD]])</f>
        <v>90</v>
      </c>
      <c r="Y75">
        <f>INDEX('Operations Forecast'!$A$2:$BGY$47,3,MATCH(DB!D75,'Operations Forecast'!$A$2:$BGY$2))</f>
        <v>0</v>
      </c>
      <c r="Z75">
        <f t="shared" si="32"/>
        <v>90</v>
      </c>
      <c r="AA75">
        <f>INDEX('Operations Forecast'!$A$2:$BGY$47,10,MATCH(DB!D75,'Operations Forecast'!$A$2:$BGY$2))</f>
        <v>90</v>
      </c>
      <c r="AB75">
        <f>INDEX('Operations Forecast'!$A$2:$BGY$47,21,MATCH(DB!D75,'Operations Forecast'!$A$2:$BGY$2))</f>
        <v>0</v>
      </c>
      <c r="AC75" s="312">
        <f>SUM(DB[[#This Row],[Act-Orders-Collect]:[Act-Orders-HD]])</f>
        <v>2294</v>
      </c>
      <c r="AD75" s="858">
        <f>IFERROR(INDEX('Operations Forecast_new'!$7:$7,MATCH(DB[[#This Row],[Datum]],'Operations Forecast_new'!$2:$2,0)),0)</f>
        <v>730</v>
      </c>
      <c r="AE75" s="312">
        <f t="shared" si="33"/>
        <v>1564</v>
      </c>
      <c r="AF75" s="858">
        <f>IFERROR(INDEX('Operations Forecast_new'!$13:$13,MATCH(DB[[#This Row],[Datum]],'Operations Forecast_new'!$2:$2,0)),0)</f>
        <v>697</v>
      </c>
      <c r="AG75" s="858">
        <f>IFERROR(INDEX('Operations Forecast_new'!$19:$19,MATCH(DB[[#This Row],[Datum]],'Operations Forecast_new'!$2:$2,0)),0)</f>
        <v>867</v>
      </c>
      <c r="AH75" s="312">
        <f t="shared" si="37"/>
        <v>113480.53200000001</v>
      </c>
      <c r="AI75" s="858">
        <f>IFERROR(INDEX('Operations Forecast_new'!$9:$9,MATCH(DB[[#This Row],[Datum]],'Operations Forecast_new'!$2:$2,0)),0)</f>
        <v>34978.68</v>
      </c>
      <c r="AJ75" s="312">
        <f t="shared" si="34"/>
        <v>78501.851999999999</v>
      </c>
      <c r="AK75" s="858">
        <f>IFERROR(INDEX('Operations Forecast_new'!$15:$15,MATCH(DB[[#This Row],[Datum]],'Operations Forecast_new'!$2:$2,0)),0)</f>
        <v>34984.521000000001</v>
      </c>
      <c r="AL75" s="858">
        <f>IFERROR(INDEX('Operations Forecast_new'!$21:$21,MATCH(DB[[#This Row],[Datum]],'Operations Forecast_new'!$2:$2,0)),0)</f>
        <v>43517.330999999998</v>
      </c>
      <c r="AM75" s="178">
        <f>IFERROR(INDEX('Operations Forecast_new'!$8:$8,MATCH(DB[[#This Row],[Datum]],'Operations Forecast_new'!$2:$2,0)),0)</f>
        <v>48.4</v>
      </c>
      <c r="AN75" s="859">
        <f>IFERROR(INDEX('Operations Forecast_new'!$20:$20,MATCH(DB[[#This Row],[Datum]],'Operations Forecast_new'!$2:$2,0)),0)</f>
        <v>50.7</v>
      </c>
      <c r="AO75" s="44">
        <f t="shared" si="35"/>
        <v>47.916000000000004</v>
      </c>
      <c r="AP75" s="404">
        <f t="shared" si="36"/>
        <v>50.192999999999998</v>
      </c>
      <c r="AQ75" s="44">
        <f t="shared" si="38"/>
        <v>225593.00000000003</v>
      </c>
      <c r="AR75" s="44" cm="1">
        <f t="array" ref="AR75">IFERROR(INDEX('ST Forecast'!$E$2:$RK$36,25,M75)+(INDEX('ST Forecast'!$E$2:$RK$36,29,M75)),"")</f>
        <v>92825.344029940476</v>
      </c>
      <c r="AS75" s="44" cm="1">
        <f t="array" ref="AS75">IFERROR(INDEX('ST Forecast'!$E$2:$RK$36,26,M75)+INDEX('ST Forecast'!$E$2:$RK$36,30,M75),"")</f>
        <v>65965.752501281328</v>
      </c>
      <c r="AT75" s="44" cm="1">
        <f t="array" ref="AT75">IFERROR(INDEX('ST Forecast'!$E$2:$RK$36,27,M75)+INDEX('ST Forecast'!$E$2:$RK$36,31,M75),"")</f>
        <v>59727.875809744815</v>
      </c>
      <c r="AU75" s="44" cm="1">
        <f t="array" ref="AU75">IFERROR(INDEX('ST Forecast'!$E$2:$RK$36,28,M75),"")</f>
        <v>7074.0276590333933</v>
      </c>
      <c r="AV75" s="44" cm="1">
        <f t="array" ref="AV75">IFERROR(INDEX('ST Forecast'!$E$2:$RK$36,29,M75),"")</f>
        <v>0</v>
      </c>
      <c r="AW75" s="44">
        <f>DB[[#This Row],[Inbound FC]]-DB[[#This Row],[Inbound Act - Ultrafresh2]]</f>
        <v>225593.00000000003</v>
      </c>
      <c r="AX75" s="178" t="e">
        <f>#REF!</f>
        <v>#REF!</v>
      </c>
      <c r="AY75" s="178" t="e">
        <f>#REF!</f>
        <v>#REF!</v>
      </c>
      <c r="AZ75" s="178" t="e">
        <f>#REF!</f>
        <v>#REF!</v>
      </c>
      <c r="BA75" s="178">
        <f>MONTH(DB[[#This Row],[Datum]])</f>
        <v>3</v>
      </c>
    </row>
    <row r="76" spans="1:53" x14ac:dyDescent="0.3">
      <c r="A76" s="44">
        <f t="shared" si="39"/>
        <v>11</v>
      </c>
      <c r="B76" t="str">
        <f t="shared" si="24"/>
        <v>Wk 11</v>
      </c>
      <c r="C76" t="s">
        <v>114</v>
      </c>
      <c r="D76" s="313">
        <v>44635</v>
      </c>
      <c r="E76" s="44">
        <f>DB[[#This Row],[Sales-FC-Orders-Collect]]+DB[[#This Row],[Sales-FC-Orders-HD]]</f>
        <v>2379.7232876712328</v>
      </c>
      <c r="F76" s="402">
        <f>INDEX('LT Collect Forecast'!$K$1:$Q$55,MATCH(B76,'LT Collect Forecast'!$A:$A,0),MATCH(C76,'LT Collect Forecast'!$K$2:$Q$2,0))</f>
        <v>450</v>
      </c>
      <c r="G76" s="44">
        <f>INDEX('LT HD Forecast'!$K$1:$Q$55,MATCH(B76,'LT HD Forecast'!$A:$A,0),MATCH(C76,'LT HD Forecast'!$K$2:$Q$2,0))</f>
        <v>1929.7232876712328</v>
      </c>
      <c r="H76" s="44" cm="1">
        <f t="array" ref="H76">IFERROR(INDEX('ST Forecast'!$E$2:$RK$36,6,M76),"")</f>
        <v>45.909179356188965</v>
      </c>
      <c r="I76" s="44" cm="1">
        <f t="array" ref="I76">IFERROR(INDEX('ST Forecast'!$E$2:$RK$36,7,M76),"")</f>
        <v>49.669959917440295</v>
      </c>
      <c r="J76" s="44">
        <f>SUM(DB[[#This Row],[Sales-FC-Picks-Collect]:[Sales-FC-Picks-HD]])</f>
        <v>116508.40906066628</v>
      </c>
      <c r="K76" s="44">
        <f t="shared" si="25"/>
        <v>20659.130710285033</v>
      </c>
      <c r="L76" s="44">
        <f t="shared" si="26"/>
        <v>95849.278350381239</v>
      </c>
      <c r="M76" s="403">
        <f>IFERROR(IF(B76=B75,M75+1,MATCH(B76,'ST Forecast'!$E$2:$RK$2,0)+1),"")</f>
        <v>83</v>
      </c>
      <c r="N76">
        <f>SUM(DB[[#This Row],[Ops-FC-Orders-Collect]:[Ops-FC-Orders-HD]])</f>
        <v>2350</v>
      </c>
      <c r="O76" s="44" cm="1">
        <f t="array" ref="O76">IFERROR(INDEX('ST Forecast'!$E$2:$RK$36,13,M76),"")</f>
        <v>450</v>
      </c>
      <c r="P76" s="44">
        <f t="shared" si="27"/>
        <v>1900</v>
      </c>
      <c r="Q76" s="44" cm="1">
        <f t="array" ref="Q76">IFERROR(INDEX('ST Forecast'!$E$2:$RK$36,14,M76),"")</f>
        <v>900</v>
      </c>
      <c r="R76" s="44" cm="1">
        <f t="array" ref="R76">IFERROR(INDEX('ST Forecast'!$E$2:$RK$36,15,M76),"")</f>
        <v>1000</v>
      </c>
      <c r="S76" s="312">
        <f>SUM(DB[[#This Row],[Ops-FC-Picks-Collect]:[Ops-FC-Picks-HD]])</f>
        <v>112731.41346235316</v>
      </c>
      <c r="T76" s="44">
        <f t="shared" si="28"/>
        <v>20245.948096079333</v>
      </c>
      <c r="U76" s="44">
        <f t="shared" si="29"/>
        <v>92485.465366273827</v>
      </c>
      <c r="V76" s="44">
        <f t="shared" si="30"/>
        <v>43808.904647182339</v>
      </c>
      <c r="W76" s="404">
        <f t="shared" si="31"/>
        <v>48676.560719091489</v>
      </c>
      <c r="X76" s="44">
        <f>SUM(DB[[#This Row],[Capped-Orders-Collect]:[Capped-Orders-HD]])</f>
        <v>90</v>
      </c>
      <c r="Y76">
        <f>INDEX('Operations Forecast'!$A$2:$BGY$47,3,MATCH(DB!D76,'Operations Forecast'!$A$2:$BGY$2))</f>
        <v>0</v>
      </c>
      <c r="Z76">
        <f t="shared" si="32"/>
        <v>90</v>
      </c>
      <c r="AA76">
        <f>INDEX('Operations Forecast'!$A$2:$BGY$47,10,MATCH(DB!D76,'Operations Forecast'!$A$2:$BGY$2))</f>
        <v>90</v>
      </c>
      <c r="AB76">
        <f>INDEX('Operations Forecast'!$A$2:$BGY$47,21,MATCH(DB!D76,'Operations Forecast'!$A$2:$BGY$2))</f>
        <v>0</v>
      </c>
      <c r="AC76" s="312">
        <f>SUM(DB[[#This Row],[Act-Orders-Collect]:[Act-Orders-HD]])</f>
        <v>2377</v>
      </c>
      <c r="AD76" s="858">
        <f>IFERROR(INDEX('Operations Forecast_new'!$7:$7,MATCH(DB[[#This Row],[Datum]],'Operations Forecast_new'!$2:$2,0)),0)</f>
        <v>450</v>
      </c>
      <c r="AE76" s="312">
        <f t="shared" si="33"/>
        <v>1927</v>
      </c>
      <c r="AF76" s="858">
        <f>IFERROR(INDEX('Operations Forecast_new'!$13:$13,MATCH(DB[[#This Row],[Datum]],'Operations Forecast_new'!$2:$2,0)),0)</f>
        <v>930</v>
      </c>
      <c r="AG76" s="858">
        <f>IFERROR(INDEX('Operations Forecast_new'!$19:$19,MATCH(DB[[#This Row],[Datum]],'Operations Forecast_new'!$2:$2,0)),0)</f>
        <v>997</v>
      </c>
      <c r="AH76" s="312">
        <f t="shared" si="37"/>
        <v>111936.13199999998</v>
      </c>
      <c r="AI76" s="858">
        <f>IFERROR(INDEX('Operations Forecast_new'!$9:$9,MATCH(DB[[#This Row],[Datum]],'Operations Forecast_new'!$2:$2,0)),0)</f>
        <v>19602</v>
      </c>
      <c r="AJ76" s="312">
        <f t="shared" si="34"/>
        <v>92334.131999999983</v>
      </c>
      <c r="AK76" s="858">
        <f>IFERROR(INDEX('Operations Forecast_new'!$15:$15,MATCH(DB[[#This Row],[Datum]],'Operations Forecast_new'!$2:$2,0)),0)</f>
        <v>44561.88</v>
      </c>
      <c r="AL76" s="858">
        <f>IFERROR(INDEX('Operations Forecast_new'!$21:$21,MATCH(DB[[#This Row],[Datum]],'Operations Forecast_new'!$2:$2,0)),0)</f>
        <v>47772.251999999993</v>
      </c>
      <c r="AM76" s="178">
        <f>IFERROR(INDEX('Operations Forecast_new'!$8:$8,MATCH(DB[[#This Row],[Datum]],'Operations Forecast_new'!$2:$2,0)),0)</f>
        <v>44</v>
      </c>
      <c r="AN76" s="859">
        <f>IFERROR(INDEX('Operations Forecast_new'!$20:$20,MATCH(DB[[#This Row],[Datum]],'Operations Forecast_new'!$2:$2,0)),0)</f>
        <v>48.4</v>
      </c>
      <c r="AO76" s="44">
        <f t="shared" si="35"/>
        <v>43.56</v>
      </c>
      <c r="AP76" s="404">
        <f t="shared" si="36"/>
        <v>47.91599999999999</v>
      </c>
      <c r="AQ76" s="44">
        <f t="shared" si="38"/>
        <v>145764.00000000012</v>
      </c>
      <c r="AR76" s="44" cm="1">
        <f t="array" ref="AR76">IFERROR(INDEX('ST Forecast'!$E$2:$RK$36,25,M76)+(INDEX('ST Forecast'!$E$2:$RK$36,29,M76)),"")</f>
        <v>64521.864399603219</v>
      </c>
      <c r="AS76" s="44" cm="1">
        <f t="array" ref="AS76">IFERROR(INDEX('ST Forecast'!$E$2:$RK$36,26,M76)+INDEX('ST Forecast'!$E$2:$RK$36,30,M76),"")</f>
        <v>67675.720331210003</v>
      </c>
      <c r="AT76" s="44" cm="1">
        <f t="array" ref="AT76">IFERROR(INDEX('ST Forecast'!$E$2:$RK$36,27,M76)+INDEX('ST Forecast'!$E$2:$RK$36,31,M76),"")</f>
        <v>6367.8862125621154</v>
      </c>
      <c r="AU76" s="44" cm="1">
        <f t="array" ref="AU76">IFERROR(INDEX('ST Forecast'!$E$2:$RK$36,28,M76),"")</f>
        <v>7198.5290566247595</v>
      </c>
      <c r="AV76" s="44" cm="1">
        <f t="array" ref="AV76">IFERROR(INDEX('ST Forecast'!$E$2:$RK$36,29,M76),"")</f>
        <v>0</v>
      </c>
      <c r="AW76" s="44">
        <f>DB[[#This Row],[Inbound FC]]-DB[[#This Row],[Inbound Act - Ultrafresh2]]</f>
        <v>145764.00000000012</v>
      </c>
      <c r="AX76" s="178" t="e">
        <f>#REF!</f>
        <v>#REF!</v>
      </c>
      <c r="AY76" s="178" t="e">
        <f>#REF!</f>
        <v>#REF!</v>
      </c>
      <c r="AZ76" s="178" t="e">
        <f>#REF!</f>
        <v>#REF!</v>
      </c>
      <c r="BA76" s="178">
        <f>MONTH(DB[[#This Row],[Datum]])</f>
        <v>3</v>
      </c>
    </row>
    <row r="77" spans="1:53" x14ac:dyDescent="0.3">
      <c r="A77" s="44">
        <f t="shared" si="39"/>
        <v>11</v>
      </c>
      <c r="B77" t="str">
        <f t="shared" ref="B77:B140" si="40">"Wk "&amp;A77</f>
        <v>Wk 11</v>
      </c>
      <c r="C77" t="s">
        <v>115</v>
      </c>
      <c r="D77" s="313">
        <v>44636</v>
      </c>
      <c r="E77" s="44">
        <f>DB[[#This Row],[Sales-FC-Orders-Collect]]+DB[[#This Row],[Sales-FC-Orders-HD]]</f>
        <v>2328.9410958904109</v>
      </c>
      <c r="F77" s="402">
        <f>INDEX('LT Collect Forecast'!$K$1:$Q$55,MATCH(B77,'LT Collect Forecast'!$A:$A,0),MATCH(C77,'LT Collect Forecast'!$K$2:$Q$2,0))</f>
        <v>450</v>
      </c>
      <c r="G77" s="44">
        <f>INDEX('LT HD Forecast'!$K$1:$Q$55,MATCH(B77,'LT HD Forecast'!$A:$A,0),MATCH(C77,'LT HD Forecast'!$K$2:$Q$2,0))</f>
        <v>1878.9410958904111</v>
      </c>
      <c r="H77" s="44" cm="1">
        <f t="array" ref="H77">IFERROR(INDEX('ST Forecast'!$E$2:$RK$36,6,M77),"")</f>
        <v>48.335649558515634</v>
      </c>
      <c r="I77" s="44" cm="1">
        <f t="array" ref="I77">IFERROR(INDEX('ST Forecast'!$E$2:$RK$36,7,M77),"")</f>
        <v>51.187440984537126</v>
      </c>
      <c r="J77" s="44">
        <f>SUM(DB[[#This Row],[Sales-FC-Picks-Collect]:[Sales-FC-Picks-HD]])</f>
        <v>117929.22876064398</v>
      </c>
      <c r="K77" s="44">
        <f t="shared" ref="K77:K129" si="41">F77*H77</f>
        <v>21751.042301332036</v>
      </c>
      <c r="L77" s="44">
        <f t="shared" ref="L77:L129" si="42">G77*I77</f>
        <v>96178.186459311939</v>
      </c>
      <c r="M77" s="403">
        <f>IFERROR(IF(B77=B76,M76+1,MATCH(B77,'ST Forecast'!$E$2:$RK$2,0)+1),"")</f>
        <v>84</v>
      </c>
      <c r="N77">
        <f>SUM(DB[[#This Row],[Ops-FC-Orders-Collect]:[Ops-FC-Orders-HD]])</f>
        <v>2350</v>
      </c>
      <c r="O77" s="44" cm="1">
        <f t="array" ref="O77">IFERROR(INDEX('ST Forecast'!$E$2:$RK$36,13,M77),"")</f>
        <v>450</v>
      </c>
      <c r="P77" s="44">
        <f t="shared" ref="P77:P140" si="43">IFERROR(Q77+R77,"")</f>
        <v>1900</v>
      </c>
      <c r="Q77" s="44" cm="1">
        <f t="array" ref="Q77">IFERROR(INDEX('ST Forecast'!$E$2:$RK$36,14,M77),"")</f>
        <v>950</v>
      </c>
      <c r="R77" s="44" cm="1">
        <f t="array" ref="R77">IFERROR(INDEX('ST Forecast'!$E$2:$RK$36,15,M77),"")</f>
        <v>950</v>
      </c>
      <c r="S77" s="312">
        <f>SUM(DB[[#This Row],[Ops-FC-Picks-Collect]:[Ops-FC-Picks-HD]])</f>
        <v>116627.03656851353</v>
      </c>
      <c r="T77" s="44">
        <f t="shared" ref="T77:T140" si="44">IFERROR(O77*H77*$B$1,"")</f>
        <v>21316.021455305396</v>
      </c>
      <c r="U77" s="44">
        <f t="shared" ref="U77:U140" si="45">IFERROR(V77+W77,"")</f>
        <v>95311.015113208137</v>
      </c>
      <c r="V77" s="44">
        <f t="shared" ref="V77:V140" si="46">IFERROR(Q77*I77*$B$1,"")</f>
        <v>47655.507556604069</v>
      </c>
      <c r="W77" s="404">
        <f t="shared" ref="W77:W140" si="47">IFERROR(R77*I77*$B$1,"")</f>
        <v>47655.507556604069</v>
      </c>
      <c r="X77" s="44">
        <f>SUM(DB[[#This Row],[Capped-Orders-Collect]:[Capped-Orders-HD]])</f>
        <v>90</v>
      </c>
      <c r="Y77">
        <f>INDEX('Operations Forecast'!$A$2:$BGY$47,3,MATCH(DB!D77,'Operations Forecast'!$A$2:$BGY$2))</f>
        <v>0</v>
      </c>
      <c r="Z77">
        <f t="shared" ref="Z77:Z140" si="48">SUM(AA77:AB77)</f>
        <v>90</v>
      </c>
      <c r="AA77">
        <f>INDEX('Operations Forecast'!$A$2:$BGY$47,10,MATCH(DB!D77,'Operations Forecast'!$A$2:$BGY$2))</f>
        <v>90</v>
      </c>
      <c r="AB77">
        <f>INDEX('Operations Forecast'!$A$2:$BGY$47,21,MATCH(DB!D77,'Operations Forecast'!$A$2:$BGY$2))</f>
        <v>0</v>
      </c>
      <c r="AC77" s="312">
        <f>SUM(DB[[#This Row],[Act-Orders-Collect]:[Act-Orders-HD]])</f>
        <v>2310</v>
      </c>
      <c r="AD77" s="858">
        <f>IFERROR(INDEX('Operations Forecast_new'!$7:$7,MATCH(DB[[#This Row],[Datum]],'Operations Forecast_new'!$2:$2,0)),0)</f>
        <v>450</v>
      </c>
      <c r="AE77" s="312">
        <f t="shared" ref="AE77:AE140" si="49">AF77+AG77</f>
        <v>1860</v>
      </c>
      <c r="AF77" s="858">
        <f>IFERROR(INDEX('Operations Forecast_new'!$13:$13,MATCH(DB[[#This Row],[Datum]],'Operations Forecast_new'!$2:$2,0)),0)</f>
        <v>979</v>
      </c>
      <c r="AG77" s="858">
        <f>IFERROR(INDEX('Operations Forecast_new'!$19:$19,MATCH(DB[[#This Row],[Datum]],'Operations Forecast_new'!$2:$2,0)),0)</f>
        <v>881</v>
      </c>
      <c r="AH77" s="312">
        <f t="shared" si="37"/>
        <v>109985.04000000001</v>
      </c>
      <c r="AI77" s="858">
        <f>IFERROR(INDEX('Operations Forecast_new'!$9:$9,MATCH(DB[[#This Row],[Datum]],'Operations Forecast_new'!$2:$2,0)),0)</f>
        <v>20493</v>
      </c>
      <c r="AJ77" s="312">
        <f t="shared" ref="AJ77:AJ140" si="50">AK77+AL77</f>
        <v>89492.040000000008</v>
      </c>
      <c r="AK77" s="858">
        <f>IFERROR(INDEX('Operations Forecast_new'!$15:$15,MATCH(DB[[#This Row],[Datum]],'Operations Forecast_new'!$2:$2,0)),0)</f>
        <v>47103.606</v>
      </c>
      <c r="AL77" s="858">
        <f>IFERROR(INDEX('Operations Forecast_new'!$21:$21,MATCH(DB[[#This Row],[Datum]],'Operations Forecast_new'!$2:$2,0)),0)</f>
        <v>42388.434000000001</v>
      </c>
      <c r="AM77" s="178">
        <f>IFERROR(INDEX('Operations Forecast_new'!$8:$8,MATCH(DB[[#This Row],[Datum]],'Operations Forecast_new'!$2:$2,0)),0)</f>
        <v>46</v>
      </c>
      <c r="AN77" s="859">
        <f>IFERROR(INDEX('Operations Forecast_new'!$20:$20,MATCH(DB[[#This Row],[Datum]],'Operations Forecast_new'!$2:$2,0)),0)</f>
        <v>48.6</v>
      </c>
      <c r="AO77" s="44">
        <f t="shared" ref="AO77:AO140" si="51">IFERROR(AI77/AD77,"-")</f>
        <v>45.54</v>
      </c>
      <c r="AP77" s="404">
        <f t="shared" ref="AP77:AP140" si="52">IFERROR(AJ77/AE77,"-")</f>
        <v>48.114000000000004</v>
      </c>
      <c r="AQ77" s="44">
        <f t="shared" si="38"/>
        <v>141958.00000000009</v>
      </c>
      <c r="AR77" s="44" cm="1">
        <f t="array" ref="AR77">IFERROR(INDEX('ST Forecast'!$E$2:$RK$36,25,M77)+(INDEX('ST Forecast'!$E$2:$RK$36,29,M77)),"")</f>
        <v>55469.75189602287</v>
      </c>
      <c r="AS77" s="44" cm="1">
        <f t="array" ref="AS77">IFERROR(INDEX('ST Forecast'!$E$2:$RK$36,26,M77)+INDEX('ST Forecast'!$E$2:$RK$36,30,M77),"")</f>
        <v>56250.222963737499</v>
      </c>
      <c r="AT77" s="44" cm="1">
        <f t="array" ref="AT77">IFERROR(INDEX('ST Forecast'!$E$2:$RK$36,27,M77)+INDEX('ST Forecast'!$E$2:$RK$36,31,M77),"")</f>
        <v>22118.501885520491</v>
      </c>
      <c r="AU77" s="44" cm="1">
        <f t="array" ref="AU77">IFERROR(INDEX('ST Forecast'!$E$2:$RK$36,28,M77),"")</f>
        <v>8119.5232547192154</v>
      </c>
      <c r="AV77" s="44" cm="1">
        <f t="array" ref="AV77">IFERROR(INDEX('ST Forecast'!$E$2:$RK$36,29,M77),"")</f>
        <v>0</v>
      </c>
      <c r="AW77" s="44">
        <f>DB[[#This Row],[Inbound FC]]-DB[[#This Row],[Inbound Act - Ultrafresh2]]</f>
        <v>141958.00000000009</v>
      </c>
      <c r="AX77" s="178" t="e">
        <f>#REF!</f>
        <v>#REF!</v>
      </c>
      <c r="AY77" s="178" t="e">
        <f>#REF!</f>
        <v>#REF!</v>
      </c>
      <c r="AZ77" s="178" t="e">
        <f>#REF!</f>
        <v>#REF!</v>
      </c>
      <c r="BA77" s="178">
        <f>MONTH(DB[[#This Row],[Datum]])</f>
        <v>3</v>
      </c>
    </row>
    <row r="78" spans="1:53" x14ac:dyDescent="0.3">
      <c r="A78" s="44">
        <f t="shared" si="39"/>
        <v>11</v>
      </c>
      <c r="B78" t="str">
        <f t="shared" si="40"/>
        <v>Wk 11</v>
      </c>
      <c r="C78" t="s">
        <v>116</v>
      </c>
      <c r="D78" s="313">
        <v>44637</v>
      </c>
      <c r="E78" s="44">
        <f>DB[[#This Row],[Sales-FC-Orders-Collect]]+DB[[#This Row],[Sales-FC-Orders-HD]]</f>
        <v>2214.126696832579</v>
      </c>
      <c r="F78" s="402" cm="1">
        <f t="array" ref="F78">INDEX('LT Collect Forecast'!$K$1:$Q$55,MATCH(B78,'LT Collect Forecast'!$A:$A,0)+1,MATCH(C78,'LT Collect Forecast'!$K$2:$Q$2,0))</f>
        <v>450</v>
      </c>
      <c r="G78" s="44" cm="1">
        <f t="array" ref="G78">INDEX('LT HD Forecast'!$K$1:$Q$55,MATCH(B78,'LT HD Forecast'!$A:$A,0)+1,MATCH(C78,'LT HD Forecast'!$K$2:$Q$2,0))</f>
        <v>1764.1266968325792</v>
      </c>
      <c r="H78" s="44" cm="1">
        <f t="array" ref="H78">IFERROR(INDEX('ST Forecast'!$E$2:$RK$36,6,M78),"")</f>
        <v>47.582425992349663</v>
      </c>
      <c r="I78" s="44" cm="1">
        <f t="array" ref="I78">IFERROR(INDEX('ST Forecast'!$E$2:$RK$36,7,M78),"")</f>
        <v>49.926581964984102</v>
      </c>
      <c r="J78" s="44">
        <f>SUM(DB[[#This Row],[Sales-FC-Picks-Collect]:[Sales-FC-Picks-HD]])</f>
        <v>109488.90782258578</v>
      </c>
      <c r="K78" s="44">
        <f t="shared" si="41"/>
        <v>21412.091696557349</v>
      </c>
      <c r="L78" s="44">
        <f t="shared" si="42"/>
        <v>88076.816126028425</v>
      </c>
      <c r="M78" s="403">
        <f>IFERROR(IF(B78=B77,M77+1,MATCH(B78,'ST Forecast'!$E$2:$RK$2,0)+1),"")</f>
        <v>85</v>
      </c>
      <c r="N78">
        <f>SUM(DB[[#This Row],[Ops-FC-Orders-Collect]:[Ops-FC-Orders-HD]])</f>
        <v>2200</v>
      </c>
      <c r="O78" s="44" cm="1">
        <f t="array" ref="O78">IFERROR(INDEX('ST Forecast'!$E$2:$RK$36,13,M78),"")</f>
        <v>450</v>
      </c>
      <c r="P78" s="44">
        <f t="shared" si="43"/>
        <v>1750</v>
      </c>
      <c r="Q78" s="44" cm="1">
        <f t="array" ref="Q78">IFERROR(INDEX('ST Forecast'!$E$2:$RK$36,14,M78),"")</f>
        <v>900</v>
      </c>
      <c r="R78" s="44" cm="1">
        <f t="array" ref="R78">IFERROR(INDEX('ST Forecast'!$E$2:$RK$36,15,M78),"")</f>
        <v>850</v>
      </c>
      <c r="S78" s="312">
        <f>SUM(DB[[#This Row],[Ops-FC-Picks-Collect]:[Ops-FC-Picks-HD]])</f>
        <v>106607.93793257393</v>
      </c>
      <c r="T78" s="44">
        <f t="shared" si="44"/>
        <v>20983.849862626201</v>
      </c>
      <c r="U78" s="44">
        <f t="shared" si="45"/>
        <v>85624.088069947727</v>
      </c>
      <c r="V78" s="44">
        <f t="shared" si="46"/>
        <v>44035.245293115979</v>
      </c>
      <c r="W78" s="404">
        <f t="shared" si="47"/>
        <v>41588.842776831756</v>
      </c>
      <c r="X78" s="44">
        <f>SUM(DB[[#This Row],[Capped-Orders-Collect]:[Capped-Orders-HD]])</f>
        <v>90</v>
      </c>
      <c r="Y78">
        <f>INDEX('Operations Forecast'!$A$2:$BGY$47,3,MATCH(DB!D78,'Operations Forecast'!$A$2:$BGY$2))</f>
        <v>0</v>
      </c>
      <c r="Z78">
        <f t="shared" si="48"/>
        <v>90</v>
      </c>
      <c r="AA78">
        <f>INDEX('Operations Forecast'!$A$2:$BGY$47,10,MATCH(DB!D78,'Operations Forecast'!$A$2:$BGY$2))</f>
        <v>90</v>
      </c>
      <c r="AB78">
        <f>INDEX('Operations Forecast'!$A$2:$BGY$47,21,MATCH(DB!D78,'Operations Forecast'!$A$2:$BGY$2))</f>
        <v>0</v>
      </c>
      <c r="AC78" s="312">
        <f>SUM(DB[[#This Row],[Act-Orders-Collect]:[Act-Orders-HD]])</f>
        <v>2107</v>
      </c>
      <c r="AD78" s="858">
        <f>IFERROR(INDEX('Operations Forecast_new'!$7:$7,MATCH(DB[[#This Row],[Datum]],'Operations Forecast_new'!$2:$2,0)),0)</f>
        <v>415</v>
      </c>
      <c r="AE78" s="312">
        <f t="shared" si="49"/>
        <v>1692</v>
      </c>
      <c r="AF78" s="858">
        <f>IFERROR(INDEX('Operations Forecast_new'!$13:$13,MATCH(DB[[#This Row],[Datum]],'Operations Forecast_new'!$2:$2,0)),0)</f>
        <v>842</v>
      </c>
      <c r="AG78" s="858">
        <f>IFERROR(INDEX('Operations Forecast_new'!$19:$19,MATCH(DB[[#This Row],[Datum]],'Operations Forecast_new'!$2:$2,0)),0)</f>
        <v>850</v>
      </c>
      <c r="AH78" s="312">
        <f t="shared" si="37"/>
        <v>103010.193</v>
      </c>
      <c r="AI78" s="858">
        <f>IFERROR(INDEX('Operations Forecast_new'!$9:$9,MATCH(DB[[#This Row],[Datum]],'Operations Forecast_new'!$2:$2,0)),0)</f>
        <v>19926.224999999999</v>
      </c>
      <c r="AJ78" s="312">
        <f t="shared" si="50"/>
        <v>83083.968000000008</v>
      </c>
      <c r="AK78" s="858">
        <f>IFERROR(INDEX('Operations Forecast_new'!$15:$15,MATCH(DB[[#This Row],[Datum]],'Operations Forecast_new'!$2:$2,0)),0)</f>
        <v>41345.568000000007</v>
      </c>
      <c r="AL78" s="858">
        <f>IFERROR(INDEX('Operations Forecast_new'!$21:$21,MATCH(DB[[#This Row],[Datum]],'Operations Forecast_new'!$2:$2,0)),0)</f>
        <v>41738.400000000001</v>
      </c>
      <c r="AM78" s="178">
        <f>IFERROR(INDEX('Operations Forecast_new'!$8:$8,MATCH(DB[[#This Row],[Datum]],'Operations Forecast_new'!$2:$2,0)),0)</f>
        <v>48.5</v>
      </c>
      <c r="AN78" s="859">
        <f>IFERROR(INDEX('Operations Forecast_new'!$20:$20,MATCH(DB[[#This Row],[Datum]],'Operations Forecast_new'!$2:$2,0)),0)</f>
        <v>49.6</v>
      </c>
      <c r="AO78" s="44">
        <f t="shared" si="51"/>
        <v>48.014999999999993</v>
      </c>
      <c r="AP78" s="404">
        <f t="shared" si="52"/>
        <v>49.104000000000006</v>
      </c>
      <c r="AQ78" s="44">
        <f t="shared" si="38"/>
        <v>125353.00000000007</v>
      </c>
      <c r="AR78" s="44" cm="1">
        <f t="array" ref="AR78">IFERROR(INDEX('ST Forecast'!$E$2:$RK$36,25,M78)+(INDEX('ST Forecast'!$E$2:$RK$36,29,M78)),"")</f>
        <v>50739.193151486776</v>
      </c>
      <c r="AS78" s="44" cm="1">
        <f t="array" ref="AS78">IFERROR(INDEX('ST Forecast'!$E$2:$RK$36,26,M78)+INDEX('ST Forecast'!$E$2:$RK$36,30,M78),"")</f>
        <v>50689.074839099878</v>
      </c>
      <c r="AT78" s="44" cm="1">
        <f t="array" ref="AT78">IFERROR(INDEX('ST Forecast'!$E$2:$RK$36,27,M78)+INDEX('ST Forecast'!$E$2:$RK$36,31,M78),"")</f>
        <v>15733.626662875316</v>
      </c>
      <c r="AU78" s="44" cm="1">
        <f t="array" ref="AU78">IFERROR(INDEX('ST Forecast'!$E$2:$RK$36,28,M78),"")</f>
        <v>8191.1053465380992</v>
      </c>
      <c r="AV78" s="44" cm="1">
        <f t="array" ref="AV78">IFERROR(INDEX('ST Forecast'!$E$2:$RK$36,29,M78),"")</f>
        <v>0</v>
      </c>
      <c r="AW78" s="44">
        <f>DB[[#This Row],[Inbound FC]]-DB[[#This Row],[Inbound Act - Ultrafresh2]]</f>
        <v>125353.00000000007</v>
      </c>
      <c r="AX78" s="178" t="e">
        <f>#REF!</f>
        <v>#REF!</v>
      </c>
      <c r="AY78" s="178" t="e">
        <f>#REF!</f>
        <v>#REF!</v>
      </c>
      <c r="AZ78" s="178" t="e">
        <f>#REF!</f>
        <v>#REF!</v>
      </c>
      <c r="BA78" s="178">
        <f>MONTH(DB[[#This Row],[Datum]])</f>
        <v>3</v>
      </c>
    </row>
    <row r="79" spans="1:53" x14ac:dyDescent="0.3">
      <c r="A79" s="44">
        <f t="shared" si="39"/>
        <v>11</v>
      </c>
      <c r="B79" t="str">
        <f t="shared" si="40"/>
        <v>Wk 11</v>
      </c>
      <c r="C79" t="s">
        <v>117</v>
      </c>
      <c r="D79" s="313">
        <v>44638</v>
      </c>
      <c r="E79" s="44">
        <f>DB[[#This Row],[Sales-FC-Orders-Collect]]+DB[[#This Row],[Sales-FC-Orders-HD]]</f>
        <v>2965.7411764705885</v>
      </c>
      <c r="F79" s="402" cm="1">
        <f t="array" ref="F79">INDEX('LT Collect Forecast'!$K$1:$Q$55,MATCH(B79,'LT Collect Forecast'!$A:$A,0)+1,MATCH(C79,'LT Collect Forecast'!$K$2:$Q$2,0))</f>
        <v>1000</v>
      </c>
      <c r="G79" s="44" cm="1">
        <f t="array" ref="G79">INDEX('LT HD Forecast'!$K$1:$Q$55,MATCH(B79,'LT HD Forecast'!$A:$A,0)+1,MATCH(C79,'LT HD Forecast'!$K$2:$Q$2,0))</f>
        <v>1965.7411764705882</v>
      </c>
      <c r="H79" s="44" cm="1">
        <f t="array" ref="H79">IFERROR(INDEX('ST Forecast'!$E$2:$RK$36,6,M79),"")</f>
        <v>48.716428359018387</v>
      </c>
      <c r="I79" s="44" cm="1">
        <f t="array" ref="I79">IFERROR(INDEX('ST Forecast'!$E$2:$RK$36,7,M79),"")</f>
        <v>51.214764054271875</v>
      </c>
      <c r="J79" s="44">
        <f>SUM(DB[[#This Row],[Sales-FC-Picks-Collect]:[Sales-FC-Picks-HD]])</f>
        <v>149391.39890372637</v>
      </c>
      <c r="K79" s="44">
        <f t="shared" si="41"/>
        <v>48716.428359018384</v>
      </c>
      <c r="L79" s="44">
        <f t="shared" si="42"/>
        <v>100674.97054470799</v>
      </c>
      <c r="M79" s="403">
        <f>IFERROR(IF(B79=B78,M78+1,MATCH(B79,'ST Forecast'!$E$2:$RK$2,0)+1),"")</f>
        <v>86</v>
      </c>
      <c r="N79">
        <f>SUM(DB[[#This Row],[Ops-FC-Orders-Collect]:[Ops-FC-Orders-HD]])</f>
        <v>2950</v>
      </c>
      <c r="O79" s="44" cm="1">
        <f t="array" ref="O79">IFERROR(INDEX('ST Forecast'!$E$2:$RK$36,13,M79),"")</f>
        <v>1000</v>
      </c>
      <c r="P79" s="44">
        <f t="shared" si="43"/>
        <v>1950</v>
      </c>
      <c r="Q79" s="44" cm="1">
        <f t="array" ref="Q79">IFERROR(INDEX('ST Forecast'!$E$2:$RK$36,14,M79),"")</f>
        <v>1000</v>
      </c>
      <c r="R79" s="44" cm="1">
        <f t="array" ref="R79">IFERROR(INDEX('ST Forecast'!$E$2:$RK$36,15,M79),"")</f>
        <v>950</v>
      </c>
      <c r="S79" s="312">
        <f>SUM(DB[[#This Row],[Ops-FC-Picks-Collect]:[Ops-FC-Picks-HD]])</f>
        <v>145613.51389955159</v>
      </c>
      <c r="T79" s="44">
        <f t="shared" si="44"/>
        <v>47742.099791838016</v>
      </c>
      <c r="U79" s="44">
        <f t="shared" si="45"/>
        <v>97871.414107713557</v>
      </c>
      <c r="V79" s="44">
        <f t="shared" si="46"/>
        <v>50190.468773186432</v>
      </c>
      <c r="W79" s="404">
        <f t="shared" si="47"/>
        <v>47680.945334527118</v>
      </c>
      <c r="X79" s="44">
        <f>SUM(DB[[#This Row],[Capped-Orders-Collect]:[Capped-Orders-HD]])</f>
        <v>90</v>
      </c>
      <c r="Y79">
        <f>INDEX('Operations Forecast'!$A$2:$BGY$47,3,MATCH(DB!D79,'Operations Forecast'!$A$2:$BGY$2))</f>
        <v>0</v>
      </c>
      <c r="Z79">
        <f t="shared" si="48"/>
        <v>90</v>
      </c>
      <c r="AA79">
        <f>INDEX('Operations Forecast'!$A$2:$BGY$47,10,MATCH(DB!D79,'Operations Forecast'!$A$2:$BGY$2))</f>
        <v>90</v>
      </c>
      <c r="AB79">
        <f>INDEX('Operations Forecast'!$A$2:$BGY$47,21,MATCH(DB!D79,'Operations Forecast'!$A$2:$BGY$2))</f>
        <v>0</v>
      </c>
      <c r="AC79" s="312">
        <f>SUM(DB[[#This Row],[Act-Orders-Collect]:[Act-Orders-HD]])</f>
        <v>2967</v>
      </c>
      <c r="AD79" s="858">
        <f>IFERROR(INDEX('Operations Forecast_new'!$7:$7,MATCH(DB[[#This Row],[Datum]],'Operations Forecast_new'!$2:$2,0)),0)</f>
        <v>980</v>
      </c>
      <c r="AE79" s="312">
        <f t="shared" si="49"/>
        <v>1987</v>
      </c>
      <c r="AF79" s="858">
        <f>IFERROR(INDEX('Operations Forecast_new'!$13:$13,MATCH(DB[[#This Row],[Datum]],'Operations Forecast_new'!$2:$2,0)),0)</f>
        <v>1021</v>
      </c>
      <c r="AG79" s="858">
        <f>IFERROR(INDEX('Operations Forecast_new'!$19:$19,MATCH(DB[[#This Row],[Datum]],'Operations Forecast_new'!$2:$2,0)),0)</f>
        <v>966</v>
      </c>
      <c r="AH79" s="312">
        <f t="shared" si="37"/>
        <v>150970.74299999999</v>
      </c>
      <c r="AI79" s="858">
        <f>IFERROR(INDEX('Operations Forecast_new'!$9:$9,MATCH(DB[[#This Row],[Datum]],'Operations Forecast_new'!$2:$2,0)),0)</f>
        <v>50450.400000000001</v>
      </c>
      <c r="AJ79" s="312">
        <f t="shared" si="50"/>
        <v>100520.34299999999</v>
      </c>
      <c r="AK79" s="858">
        <f>IFERROR(INDEX('Operations Forecast_new'!$15:$15,MATCH(DB[[#This Row],[Datum]],'Operations Forecast_new'!$2:$2,0)),0)</f>
        <v>51651.368999999999</v>
      </c>
      <c r="AL79" s="858">
        <f>IFERROR(INDEX('Operations Forecast_new'!$21:$21,MATCH(DB[[#This Row],[Datum]],'Operations Forecast_new'!$2:$2,0)),0)</f>
        <v>48868.973999999995</v>
      </c>
      <c r="AM79" s="178">
        <f>IFERROR(INDEX('Operations Forecast_new'!$8:$8,MATCH(DB[[#This Row],[Datum]],'Operations Forecast_new'!$2:$2,0)),0)</f>
        <v>52</v>
      </c>
      <c r="AN79" s="859">
        <f>IFERROR(INDEX('Operations Forecast_new'!$20:$20,MATCH(DB[[#This Row],[Datum]],'Operations Forecast_new'!$2:$2,0)),0)</f>
        <v>51.1</v>
      </c>
      <c r="AO79" s="44">
        <f t="shared" si="51"/>
        <v>51.480000000000004</v>
      </c>
      <c r="AP79" s="404">
        <f t="shared" si="52"/>
        <v>50.588999999999999</v>
      </c>
      <c r="AQ79" s="44">
        <f t="shared" si="38"/>
        <v>114047.00000000006</v>
      </c>
      <c r="AR79" s="44" cm="1">
        <f t="array" ref="AR79">IFERROR(INDEX('ST Forecast'!$E$2:$RK$36,25,M79)+(INDEX('ST Forecast'!$E$2:$RK$36,29,M79)),"")</f>
        <v>50482.458420333882</v>
      </c>
      <c r="AS79" s="44" cm="1">
        <f t="array" ref="AS79">IFERROR(INDEX('ST Forecast'!$E$2:$RK$36,26,M79)+INDEX('ST Forecast'!$E$2:$RK$36,30,M79),"")</f>
        <v>50542.185086088735</v>
      </c>
      <c r="AT79" s="44" cm="1">
        <f t="array" ref="AT79">IFERROR(INDEX('ST Forecast'!$E$2:$RK$36,27,M79)+INDEX('ST Forecast'!$E$2:$RK$36,31,M79),"")</f>
        <v>4982.2886232819601</v>
      </c>
      <c r="AU79" s="44" cm="1">
        <f t="array" ref="AU79">IFERROR(INDEX('ST Forecast'!$E$2:$RK$36,28,M79),"")</f>
        <v>8040.0678702954865</v>
      </c>
      <c r="AV79" s="44" cm="1">
        <f t="array" ref="AV79">IFERROR(INDEX('ST Forecast'!$E$2:$RK$36,29,M79),"")</f>
        <v>0</v>
      </c>
      <c r="AW79" s="44">
        <f>DB[[#This Row],[Inbound FC]]-DB[[#This Row],[Inbound Act - Ultrafresh2]]</f>
        <v>114047.00000000006</v>
      </c>
      <c r="AX79" s="178" t="e">
        <f>#REF!</f>
        <v>#REF!</v>
      </c>
      <c r="AY79" s="178" t="e">
        <f>#REF!</f>
        <v>#REF!</v>
      </c>
      <c r="AZ79" s="178" t="e">
        <f>#REF!</f>
        <v>#REF!</v>
      </c>
      <c r="BA79" s="178">
        <f>MONTH(DB[[#This Row],[Datum]])</f>
        <v>3</v>
      </c>
    </row>
    <row r="80" spans="1:53" x14ac:dyDescent="0.3">
      <c r="A80" s="44">
        <f t="shared" si="39"/>
        <v>11</v>
      </c>
      <c r="B80" t="str">
        <f t="shared" si="40"/>
        <v>Wk 11</v>
      </c>
      <c r="C80" t="s">
        <v>118</v>
      </c>
      <c r="D80" s="313">
        <v>44639</v>
      </c>
      <c r="E80" s="44">
        <f>DB[[#This Row],[Sales-FC-Orders-Collect]]+DB[[#This Row],[Sales-FC-Orders-HD]]</f>
        <v>2965.3375565610859</v>
      </c>
      <c r="F80" s="402" cm="1">
        <f t="array" ref="F80">INDEX('LT Collect Forecast'!$K$1:$Q$55,MATCH(B80,'LT Collect Forecast'!$A:$A,0)+1,MATCH(C80,'LT Collect Forecast'!$K$2:$Q$2,0))</f>
        <v>1050</v>
      </c>
      <c r="G80" s="44" cm="1">
        <f t="array" ref="G80">INDEX('LT HD Forecast'!$K$1:$Q$55,MATCH(B80,'LT HD Forecast'!$A:$A,0)+1,MATCH(C80,'LT HD Forecast'!$K$2:$Q$2,0))</f>
        <v>1915.3375565610859</v>
      </c>
      <c r="H80" s="44" cm="1">
        <f t="array" ref="H80">IFERROR(INDEX('ST Forecast'!$E$2:$RK$36,6,M80),"")</f>
        <v>47.719188143339551</v>
      </c>
      <c r="I80" s="44" cm="1">
        <f t="array" ref="I80">IFERROR(INDEX('ST Forecast'!$E$2:$RK$36,7,M80),"")</f>
        <v>51.17956252920559</v>
      </c>
      <c r="J80" s="44">
        <f>SUM(DB[[#This Row],[Sales-FC-Picks-Collect]:[Sales-FC-Picks-HD]])</f>
        <v>148131.28579106048</v>
      </c>
      <c r="K80" s="44">
        <f t="shared" si="41"/>
        <v>50105.147550506532</v>
      </c>
      <c r="L80" s="44">
        <f t="shared" si="42"/>
        <v>98026.138240553948</v>
      </c>
      <c r="M80" s="403">
        <f>IFERROR(IF(B80=B79,M79+1,MATCH(B80,'ST Forecast'!$E$2:$RK$2,0)+1),"")</f>
        <v>87</v>
      </c>
      <c r="N80">
        <f>SUM(DB[[#This Row],[Ops-FC-Orders-Collect]:[Ops-FC-Orders-HD]])</f>
        <v>2950</v>
      </c>
      <c r="O80" s="44" cm="1">
        <f t="array" ref="O80">IFERROR(INDEX('ST Forecast'!$E$2:$RK$36,13,M80),"")</f>
        <v>1050</v>
      </c>
      <c r="P80" s="44">
        <f t="shared" si="43"/>
        <v>1900</v>
      </c>
      <c r="Q80" s="44" cm="1">
        <f t="array" ref="Q80">IFERROR(INDEX('ST Forecast'!$E$2:$RK$36,14,M80),"")</f>
        <v>1000</v>
      </c>
      <c r="R80" s="44" cm="1">
        <f t="array" ref="R80">IFERROR(INDEX('ST Forecast'!$E$2:$RK$36,15,M80),"")</f>
        <v>900</v>
      </c>
      <c r="S80" s="312">
        <f>SUM(DB[[#This Row],[Ops-FC-Picks-Collect]:[Ops-FC-Picks-HD]])</f>
        <v>144399.39002887721</v>
      </c>
      <c r="T80" s="44">
        <f t="shared" si="44"/>
        <v>49103.044599496403</v>
      </c>
      <c r="U80" s="44">
        <f t="shared" si="45"/>
        <v>95296.345429380803</v>
      </c>
      <c r="V80" s="44">
        <f t="shared" si="46"/>
        <v>50155.97127862148</v>
      </c>
      <c r="W80" s="404">
        <f t="shared" si="47"/>
        <v>45140.374150759329</v>
      </c>
      <c r="X80" s="44">
        <f>SUM(DB[[#This Row],[Capped-Orders-Collect]:[Capped-Orders-HD]])</f>
        <v>90</v>
      </c>
      <c r="Y80">
        <f>INDEX('Operations Forecast'!$A$2:$BGY$47,3,MATCH(DB!D80,'Operations Forecast'!$A$2:$BGY$2))</f>
        <v>0</v>
      </c>
      <c r="Z80">
        <f t="shared" si="48"/>
        <v>90</v>
      </c>
      <c r="AA80">
        <f>INDEX('Operations Forecast'!$A$2:$BGY$47,10,MATCH(DB!D80,'Operations Forecast'!$A$2:$BGY$2))</f>
        <v>90</v>
      </c>
      <c r="AB80">
        <f>INDEX('Operations Forecast'!$A$2:$BGY$47,21,MATCH(DB!D80,'Operations Forecast'!$A$2:$BGY$2))</f>
        <v>0</v>
      </c>
      <c r="AC80" s="312">
        <f>SUM(DB[[#This Row],[Act-Orders-Collect]:[Act-Orders-HD]])</f>
        <v>2640</v>
      </c>
      <c r="AD80" s="858">
        <f>IFERROR(INDEX('Operations Forecast_new'!$7:$7,MATCH(DB[[#This Row],[Datum]],'Operations Forecast_new'!$2:$2,0)),0)</f>
        <v>867</v>
      </c>
      <c r="AE80" s="312">
        <f t="shared" si="49"/>
        <v>1773</v>
      </c>
      <c r="AF80" s="858">
        <f>IFERROR(INDEX('Operations Forecast_new'!$13:$13,MATCH(DB[[#This Row],[Datum]],'Operations Forecast_new'!$2:$2,0)),0)</f>
        <v>975</v>
      </c>
      <c r="AG80" s="858">
        <f>IFERROR(INDEX('Operations Forecast_new'!$19:$19,MATCH(DB[[#This Row],[Datum]],'Operations Forecast_new'!$2:$2,0)),0)</f>
        <v>798</v>
      </c>
      <c r="AH80" s="312">
        <f t="shared" si="37"/>
        <v>133207.76699999999</v>
      </c>
      <c r="AI80" s="858">
        <f>IFERROR(INDEX('Operations Forecast_new'!$9:$9,MATCH(DB[[#This Row],[Datum]],'Operations Forecast_new'!$2:$2,0)),0)</f>
        <v>43688.996999999996</v>
      </c>
      <c r="AJ80" s="312">
        <f t="shared" si="50"/>
        <v>89518.76999999999</v>
      </c>
      <c r="AK80" s="858">
        <f>IFERROR(INDEX('Operations Forecast_new'!$15:$15,MATCH(DB[[#This Row],[Datum]],'Operations Forecast_new'!$2:$2,0)),0)</f>
        <v>49227.75</v>
      </c>
      <c r="AL80" s="858">
        <f>IFERROR(INDEX('Operations Forecast_new'!$21:$21,MATCH(DB[[#This Row],[Datum]],'Operations Forecast_new'!$2:$2,0)),0)</f>
        <v>40291.019999999997</v>
      </c>
      <c r="AM80" s="178">
        <f>IFERROR(INDEX('Operations Forecast_new'!$8:$8,MATCH(DB[[#This Row],[Datum]],'Operations Forecast_new'!$2:$2,0)),0)</f>
        <v>50.9</v>
      </c>
      <c r="AN80" s="859">
        <f>IFERROR(INDEX('Operations Forecast_new'!$20:$20,MATCH(DB[[#This Row],[Datum]],'Operations Forecast_new'!$2:$2,0)),0)</f>
        <v>51</v>
      </c>
      <c r="AO80" s="44">
        <f t="shared" si="51"/>
        <v>50.390999999999998</v>
      </c>
      <c r="AP80" s="404">
        <f t="shared" si="52"/>
        <v>50.489999999999995</v>
      </c>
      <c r="AQ80" s="44">
        <f t="shared" si="38"/>
        <v>118007.00000000003</v>
      </c>
      <c r="AR80" s="44" cm="1">
        <f t="array" ref="AR80">IFERROR(INDEX('ST Forecast'!$E$2:$RK$36,25,M80)+(INDEX('ST Forecast'!$E$2:$RK$36,29,M80)),"")</f>
        <v>62014.766938456407</v>
      </c>
      <c r="AS80" s="44" cm="1">
        <f t="array" ref="AS80">IFERROR(INDEX('ST Forecast'!$E$2:$RK$36,26,M80)+INDEX('ST Forecast'!$E$2:$RK$36,30,M80),"")</f>
        <v>43739.136402259035</v>
      </c>
      <c r="AT80" s="44" cm="1">
        <f t="array" ref="AT80">IFERROR(INDEX('ST Forecast'!$E$2:$RK$36,27,M80)+INDEX('ST Forecast'!$E$2:$RK$36,31,M80),"")</f>
        <v>6015.7379988255852</v>
      </c>
      <c r="AU80" s="44" cm="1">
        <f t="array" ref="AU80">IFERROR(INDEX('ST Forecast'!$E$2:$RK$36,28,M80),"")</f>
        <v>6237.3586604589873</v>
      </c>
      <c r="AV80" s="44" cm="1">
        <f t="array" ref="AV80">IFERROR(INDEX('ST Forecast'!$E$2:$RK$36,29,M80),"")</f>
        <v>0</v>
      </c>
      <c r="AW80" s="44">
        <f>DB[[#This Row],[Inbound FC]]-DB[[#This Row],[Inbound Act - Ultrafresh2]]</f>
        <v>118007.00000000003</v>
      </c>
      <c r="AX80" s="178" t="e">
        <f>#REF!</f>
        <v>#REF!</v>
      </c>
      <c r="AY80" s="178" t="e">
        <f>#REF!</f>
        <v>#REF!</v>
      </c>
      <c r="AZ80" s="178" t="e">
        <f>#REF!</f>
        <v>#REF!</v>
      </c>
      <c r="BA80" s="178">
        <f>MONTH(DB[[#This Row],[Datum]])</f>
        <v>3</v>
      </c>
    </row>
    <row r="81" spans="1:53" x14ac:dyDescent="0.3">
      <c r="A81" s="44">
        <f t="shared" si="39"/>
        <v>11</v>
      </c>
      <c r="B81" t="str">
        <f t="shared" si="40"/>
        <v>Wk 11</v>
      </c>
      <c r="C81" t="s">
        <v>119</v>
      </c>
      <c r="D81" s="313">
        <v>44640</v>
      </c>
      <c r="E81" s="44">
        <f>DB[[#This Row],[Sales-FC-Orders-Collect]]+DB[[#This Row],[Sales-FC-Orders-HD]]</f>
        <v>100</v>
      </c>
      <c r="F81" s="402" cm="1">
        <f t="array" ref="F81">INDEX('LT Collect Forecast'!$K$1:$Q$55,MATCH(B81,'LT Collect Forecast'!$A:$A,0)+1,MATCH(C81,'LT Collect Forecast'!$K$2:$Q$2,0))</f>
        <v>0</v>
      </c>
      <c r="G81" s="44" cm="1">
        <f t="array" ref="G81">INDEX('LT HD Forecast'!$K$1:$Q$55,MATCH(B81,'LT HD Forecast'!$A:$A,0)+1,MATCH(C81,'LT HD Forecast'!$K$2:$Q$2,0))</f>
        <v>100</v>
      </c>
      <c r="H81" s="44" cm="1">
        <f t="array" ref="H81">IFERROR(INDEX('ST Forecast'!$E$2:$RK$36,6,M81),"")</f>
        <v>0</v>
      </c>
      <c r="I81" s="44" cm="1">
        <f t="array" ref="I81">IFERROR(INDEX('ST Forecast'!$E$2:$RK$36,7,M81),"")</f>
        <v>57.247041169517644</v>
      </c>
      <c r="J81" s="44">
        <f>SUM(DB[[#This Row],[Sales-FC-Picks-Collect]:[Sales-FC-Picks-HD]])</f>
        <v>5724.7041169517643</v>
      </c>
      <c r="K81" s="44">
        <f t="shared" si="41"/>
        <v>0</v>
      </c>
      <c r="L81" s="44">
        <f t="shared" si="42"/>
        <v>5724.7041169517643</v>
      </c>
      <c r="M81" s="403">
        <f>IFERROR(IF(B81=B80,M80+1,MATCH(B81,'ST Forecast'!$E$2:$RK$2,0)+1),"")</f>
        <v>88</v>
      </c>
      <c r="N81">
        <f>SUM(DB[[#This Row],[Ops-FC-Orders-Collect]:[Ops-FC-Orders-HD]])</f>
        <v>100</v>
      </c>
      <c r="O81" s="44" cm="1">
        <f t="array" ref="O81">IFERROR(INDEX('ST Forecast'!$E$2:$RK$36,13,M81),"")</f>
        <v>0</v>
      </c>
      <c r="P81" s="44">
        <f t="shared" si="43"/>
        <v>100</v>
      </c>
      <c r="Q81" s="44" cm="1">
        <f t="array" ref="Q81">IFERROR(INDEX('ST Forecast'!$E$2:$RK$36,14,M81),"")</f>
        <v>100</v>
      </c>
      <c r="R81" s="44" cm="1">
        <f t="array" ref="R81">IFERROR(INDEX('ST Forecast'!$E$2:$RK$36,15,M81),"")</f>
        <v>0</v>
      </c>
      <c r="S81" s="312">
        <f>SUM(DB[[#This Row],[Ops-FC-Picks-Collect]:[Ops-FC-Picks-HD]])</f>
        <v>5610.210034612729</v>
      </c>
      <c r="T81" s="44">
        <f t="shared" si="44"/>
        <v>0</v>
      </c>
      <c r="U81" s="44">
        <f t="shared" si="45"/>
        <v>5610.210034612729</v>
      </c>
      <c r="V81" s="44">
        <f t="shared" si="46"/>
        <v>5610.210034612729</v>
      </c>
      <c r="W81" s="404">
        <f t="shared" si="47"/>
        <v>0</v>
      </c>
      <c r="X81" s="44">
        <f>SUM(DB[[#This Row],[Capped-Orders-Collect]:[Capped-Orders-HD]])</f>
        <v>90</v>
      </c>
      <c r="Y81">
        <f>INDEX('Operations Forecast'!$A$2:$BGY$47,3,MATCH(DB!D81,'Operations Forecast'!$A$2:$BGY$2))</f>
        <v>0</v>
      </c>
      <c r="Z81">
        <f t="shared" si="48"/>
        <v>90</v>
      </c>
      <c r="AA81">
        <f>INDEX('Operations Forecast'!$A$2:$BGY$47,10,MATCH(DB!D81,'Operations Forecast'!$A$2:$BGY$2))</f>
        <v>90</v>
      </c>
      <c r="AB81">
        <f>INDEX('Operations Forecast'!$A$2:$BGY$47,21,MATCH(DB!D81,'Operations Forecast'!$A$2:$BGY$2))</f>
        <v>0</v>
      </c>
      <c r="AC81" s="312">
        <f>SUM(DB[[#This Row],[Act-Orders-Collect]:[Act-Orders-HD]])</f>
        <v>73</v>
      </c>
      <c r="AD81" s="858">
        <f>IFERROR(INDEX('Operations Forecast_new'!$7:$7,MATCH(DB[[#This Row],[Datum]],'Operations Forecast_new'!$2:$2,0)),0)</f>
        <v>0</v>
      </c>
      <c r="AE81" s="312">
        <f t="shared" si="49"/>
        <v>73</v>
      </c>
      <c r="AF81" s="858">
        <f>IFERROR(INDEX('Operations Forecast_new'!$13:$13,MATCH(DB[[#This Row],[Datum]],'Operations Forecast_new'!$2:$2,0)),0)</f>
        <v>73</v>
      </c>
      <c r="AG81" s="858">
        <f>IFERROR(INDEX('Operations Forecast_new'!$19:$19,MATCH(DB[[#This Row],[Datum]],'Operations Forecast_new'!$2:$2,0)),0)</f>
        <v>0</v>
      </c>
      <c r="AH81" s="312">
        <f t="shared" si="37"/>
        <v>4401.2429999999995</v>
      </c>
      <c r="AI81" s="858">
        <f>IFERROR(INDEX('Operations Forecast_new'!$9:$9,MATCH(DB[[#This Row],[Datum]],'Operations Forecast_new'!$2:$2,0)),0)</f>
        <v>0</v>
      </c>
      <c r="AJ81" s="312">
        <f t="shared" si="50"/>
        <v>4401.2429999999995</v>
      </c>
      <c r="AK81" s="858">
        <f>IFERROR(INDEX('Operations Forecast_new'!$15:$15,MATCH(DB[[#This Row],[Datum]],'Operations Forecast_new'!$2:$2,0)),0)</f>
        <v>4401.2429999999995</v>
      </c>
      <c r="AL81" s="858">
        <f>IFERROR(INDEX('Operations Forecast_new'!$21:$21,MATCH(DB[[#This Row],[Datum]],'Operations Forecast_new'!$2:$2,0)),0)</f>
        <v>0</v>
      </c>
      <c r="AM81" s="178">
        <f>IFERROR(INDEX('Operations Forecast_new'!$8:$8,MATCH(DB[[#This Row],[Datum]],'Operations Forecast_new'!$2:$2,0)),0)</f>
        <v>0</v>
      </c>
      <c r="AN81" s="859">
        <f>IFERROR(INDEX('Operations Forecast_new'!$20:$20,MATCH(DB[[#This Row],[Datum]],'Operations Forecast_new'!$2:$2,0)),0)</f>
        <v>57.247041169517644</v>
      </c>
      <c r="AO81" s="44" t="str">
        <f t="shared" si="51"/>
        <v>-</v>
      </c>
      <c r="AP81" s="404">
        <f t="shared" si="52"/>
        <v>60.29099999999999</v>
      </c>
      <c r="AQ81" s="44">
        <f t="shared" si="38"/>
        <v>0</v>
      </c>
      <c r="AR81" s="44" cm="1">
        <f t="array" ref="AR81">IFERROR(INDEX('ST Forecast'!$E$2:$RK$36,25,M81)+(INDEX('ST Forecast'!$E$2:$RK$36,29,M81)),"")</f>
        <v>0</v>
      </c>
      <c r="AS81" s="44" cm="1">
        <f t="array" ref="AS81">IFERROR(INDEX('ST Forecast'!$E$2:$RK$36,26,M81)+INDEX('ST Forecast'!$E$2:$RK$36,30,M81),"")</f>
        <v>0</v>
      </c>
      <c r="AT81" s="44" cm="1">
        <f t="array" ref="AT81">IFERROR(INDEX('ST Forecast'!$E$2:$RK$36,27,M81)+INDEX('ST Forecast'!$E$2:$RK$36,31,M81),"")</f>
        <v>0</v>
      </c>
      <c r="AU81" s="44" cm="1">
        <f t="array" ref="AU81">IFERROR(INDEX('ST Forecast'!$E$2:$RK$36,28,M81),"")</f>
        <v>0</v>
      </c>
      <c r="AV81" s="44" cm="1">
        <f t="array" ref="AV81">IFERROR(INDEX('ST Forecast'!$E$2:$RK$36,29,M81),"")</f>
        <v>0</v>
      </c>
      <c r="AW81" s="44">
        <f>DB[[#This Row],[Inbound FC]]-DB[[#This Row],[Inbound Act - Ultrafresh2]]</f>
        <v>0</v>
      </c>
      <c r="AX81" s="178" t="e">
        <f>#REF!</f>
        <v>#REF!</v>
      </c>
      <c r="AY81" s="178" t="e">
        <f>#REF!</f>
        <v>#REF!</v>
      </c>
      <c r="AZ81" s="178" t="e">
        <f>#REF!</f>
        <v>#REF!</v>
      </c>
      <c r="BA81" s="178">
        <f>MONTH(DB[[#This Row],[Datum]])</f>
        <v>3</v>
      </c>
    </row>
    <row r="82" spans="1:53" x14ac:dyDescent="0.3">
      <c r="A82" s="44">
        <f t="shared" si="39"/>
        <v>12</v>
      </c>
      <c r="B82" t="str">
        <f t="shared" si="40"/>
        <v>Wk 12</v>
      </c>
      <c r="C82" t="s">
        <v>113</v>
      </c>
      <c r="D82" s="313">
        <v>44641</v>
      </c>
      <c r="E82" s="44">
        <f>DB[[#This Row],[Sales-FC-Orders-Collect]]+DB[[#This Row],[Sales-FC-Orders-HD]]</f>
        <v>2362.9158371040721</v>
      </c>
      <c r="F82" s="402">
        <f>INDEX('LT Collect Forecast'!$K$1:$Q$55,MATCH(B82,'LT Collect Forecast'!$A:$A,0),MATCH(C82,'LT Collect Forecast'!$K$2:$Q$2,0))</f>
        <v>750</v>
      </c>
      <c r="G82" s="44">
        <f>INDEX('LT HD Forecast'!$K$1:$Q$55,MATCH(B82,'LT HD Forecast'!$A:$A,0),MATCH(C82,'LT HD Forecast'!$K$2:$Q$2,0))</f>
        <v>1612.9158371040724</v>
      </c>
      <c r="H82" s="44" cm="1">
        <f t="array" ref="H82">IFERROR(INDEX('ST Forecast'!$E$2:$RK$36,6,M82),"")</f>
        <v>46.098674052065682</v>
      </c>
      <c r="I82" s="44" cm="1">
        <f t="array" ref="I82">IFERROR(INDEX('ST Forecast'!$E$2:$RK$36,7,M82),"")</f>
        <v>50.457324897017735</v>
      </c>
      <c r="J82" s="44">
        <f>SUM(DB[[#This Row],[Sales-FC-Picks-Collect]:[Sales-FC-Picks-HD]])</f>
        <v>115957.42396335477</v>
      </c>
      <c r="K82" s="44">
        <f t="shared" si="41"/>
        <v>34574.005539049263</v>
      </c>
      <c r="L82" s="44">
        <f t="shared" si="42"/>
        <v>81383.418424305506</v>
      </c>
      <c r="M82" s="403">
        <f>IFERROR(IF(B82=B81,M81+1,MATCH(B82,'ST Forecast'!$E$2:$RK$2,0)+1),"")</f>
        <v>90</v>
      </c>
      <c r="N82">
        <f>SUM(DB[[#This Row],[Ops-FC-Orders-Collect]:[Ops-FC-Orders-HD]])</f>
        <v>2350</v>
      </c>
      <c r="O82" s="44" cm="1">
        <f t="array" ref="O82">IFERROR(INDEX('ST Forecast'!$E$2:$RK$36,13,M82),"")</f>
        <v>750</v>
      </c>
      <c r="P82" s="44">
        <f t="shared" si="43"/>
        <v>1600</v>
      </c>
      <c r="Q82" s="44" cm="1">
        <f t="array" ref="Q82">IFERROR(INDEX('ST Forecast'!$E$2:$RK$36,14,M82),"")</f>
        <v>700</v>
      </c>
      <c r="R82" s="44" cm="1">
        <f t="array" ref="R82">IFERROR(INDEX('ST Forecast'!$E$2:$RK$36,15,M82),"")</f>
        <v>900</v>
      </c>
      <c r="S82" s="312">
        <f>SUM(DB[[#This Row],[Ops-FC-Picks-Collect]:[Ops-FC-Picks-HD]])</f>
        <v>112999.61086679209</v>
      </c>
      <c r="T82" s="44">
        <f t="shared" si="44"/>
        <v>33882.52542826828</v>
      </c>
      <c r="U82" s="44">
        <f t="shared" si="45"/>
        <v>79117.085438523805</v>
      </c>
      <c r="V82" s="44">
        <f t="shared" si="46"/>
        <v>34613.724879354166</v>
      </c>
      <c r="W82" s="404">
        <f t="shared" si="47"/>
        <v>44503.36055916964</v>
      </c>
      <c r="X82" s="44">
        <f>SUM(DB[[#This Row],[Capped-Orders-Collect]:[Capped-Orders-HD]])</f>
        <v>90</v>
      </c>
      <c r="Y82">
        <f>INDEX('Operations Forecast'!$A$2:$BGY$47,3,MATCH(DB!D82,'Operations Forecast'!$A$2:$BGY$2))</f>
        <v>0</v>
      </c>
      <c r="Z82">
        <f t="shared" si="48"/>
        <v>90</v>
      </c>
      <c r="AA82">
        <f>INDEX('Operations Forecast'!$A$2:$BGY$47,10,MATCH(DB!D82,'Operations Forecast'!$A$2:$BGY$2))</f>
        <v>90</v>
      </c>
      <c r="AB82">
        <f>INDEX('Operations Forecast'!$A$2:$BGY$47,21,MATCH(DB!D82,'Operations Forecast'!$A$2:$BGY$2))</f>
        <v>0</v>
      </c>
      <c r="AC82" s="312">
        <f>SUM(DB[[#This Row],[Act-Orders-Collect]:[Act-Orders-HD]])</f>
        <v>2275</v>
      </c>
      <c r="AD82" s="858">
        <f>IFERROR(INDEX('Operations Forecast_new'!$7:$7,MATCH(DB[[#This Row],[Datum]],'Operations Forecast_new'!$2:$2,0)),0)</f>
        <v>700</v>
      </c>
      <c r="AE82" s="312">
        <f t="shared" si="49"/>
        <v>1575</v>
      </c>
      <c r="AF82" s="858">
        <f>IFERROR(INDEX('Operations Forecast_new'!$13:$13,MATCH(DB[[#This Row],[Datum]],'Operations Forecast_new'!$2:$2,0)),0)</f>
        <v>600</v>
      </c>
      <c r="AG82" s="858">
        <f>IFERROR(INDEX('Operations Forecast_new'!$19:$19,MATCH(DB[[#This Row],[Datum]],'Operations Forecast_new'!$2:$2,0)),0)</f>
        <v>975</v>
      </c>
      <c r="AH82" s="312">
        <f t="shared" si="37"/>
        <v>110187</v>
      </c>
      <c r="AI82" s="858">
        <f>IFERROR(INDEX('Operations Forecast_new'!$9:$9,MATCH(DB[[#This Row],[Datum]],'Operations Forecast_new'!$2:$2,0)),0)</f>
        <v>32848.199999999997</v>
      </c>
      <c r="AJ82" s="312">
        <f t="shared" si="50"/>
        <v>77338.8</v>
      </c>
      <c r="AK82" s="858">
        <f>IFERROR(INDEX('Operations Forecast_new'!$15:$15,MATCH(DB[[#This Row],[Datum]],'Operations Forecast_new'!$2:$2,0)),0)</f>
        <v>29462.400000000001</v>
      </c>
      <c r="AL82" s="858">
        <f>IFERROR(INDEX('Operations Forecast_new'!$21:$21,MATCH(DB[[#This Row],[Datum]],'Operations Forecast_new'!$2:$2,0)),0)</f>
        <v>47876.4</v>
      </c>
      <c r="AM82" s="178">
        <f>IFERROR(INDEX('Operations Forecast_new'!$8:$8,MATCH(DB[[#This Row],[Datum]],'Operations Forecast_new'!$2:$2,0)),0)</f>
        <v>47.4</v>
      </c>
      <c r="AN82" s="859">
        <f>IFERROR(INDEX('Operations Forecast_new'!$20:$20,MATCH(DB[[#This Row],[Datum]],'Operations Forecast_new'!$2:$2,0)),0)</f>
        <v>49.6</v>
      </c>
      <c r="AO82" s="44">
        <f t="shared" si="51"/>
        <v>46.925999999999995</v>
      </c>
      <c r="AP82" s="404">
        <f t="shared" si="52"/>
        <v>49.103999999999999</v>
      </c>
      <c r="AQ82" s="44">
        <f t="shared" si="38"/>
        <v>220121.00000000003</v>
      </c>
      <c r="AR82" s="44" cm="1">
        <f t="array" ref="AR82">IFERROR(INDEX('ST Forecast'!$E$2:$RK$36,25,M82)+(INDEX('ST Forecast'!$E$2:$RK$36,29,M82)),"")</f>
        <v>92036.016448173614</v>
      </c>
      <c r="AS82" s="44" cm="1">
        <f t="array" ref="AS82">IFERROR(INDEX('ST Forecast'!$E$2:$RK$36,26,M82)+INDEX('ST Forecast'!$E$2:$RK$36,30,M82),"")</f>
        <v>65404.821772228795</v>
      </c>
      <c r="AT82" s="44" cm="1">
        <f t="array" ref="AT82">IFERROR(INDEX('ST Forecast'!$E$2:$RK$36,27,M82)+INDEX('ST Forecast'!$E$2:$RK$36,31,M82),"")</f>
        <v>55666.287144544985</v>
      </c>
      <c r="AU82" s="44" cm="1">
        <f t="array" ref="AU82">IFERROR(INDEX('ST Forecast'!$E$2:$RK$36,28,M82),"")</f>
        <v>7013.874635052618</v>
      </c>
      <c r="AV82" s="44" cm="1">
        <f t="array" ref="AV82">IFERROR(INDEX('ST Forecast'!$E$2:$RK$36,29,M82),"")</f>
        <v>0</v>
      </c>
      <c r="AW82" s="44">
        <f>DB[[#This Row],[Inbound FC]]-DB[[#This Row],[Inbound Act - Ultrafresh2]]</f>
        <v>220121.00000000003</v>
      </c>
      <c r="AX82" s="178" t="e">
        <f>#REF!</f>
        <v>#REF!</v>
      </c>
      <c r="AY82" s="178" t="e">
        <f>#REF!</f>
        <v>#REF!</v>
      </c>
      <c r="AZ82" s="178" t="e">
        <f>#REF!</f>
        <v>#REF!</v>
      </c>
      <c r="BA82" s="178">
        <f>MONTH(DB[[#This Row],[Datum]])</f>
        <v>3</v>
      </c>
    </row>
    <row r="83" spans="1:53" x14ac:dyDescent="0.3">
      <c r="A83" s="44">
        <f t="shared" si="39"/>
        <v>12</v>
      </c>
      <c r="B83" t="str">
        <f t="shared" si="40"/>
        <v>Wk 12</v>
      </c>
      <c r="C83" t="s">
        <v>114</v>
      </c>
      <c r="D83" s="313">
        <v>44642</v>
      </c>
      <c r="E83" s="44">
        <f>DB[[#This Row],[Sales-FC-Orders-Collect]]+DB[[#This Row],[Sales-FC-Orders-HD]]</f>
        <v>2515.7411764705885</v>
      </c>
      <c r="F83" s="402">
        <f>INDEX('LT Collect Forecast'!$K$1:$Q$55,MATCH(B83,'LT Collect Forecast'!$A:$A,0),MATCH(C83,'LT Collect Forecast'!$K$2:$Q$2,0))</f>
        <v>550</v>
      </c>
      <c r="G83" s="44">
        <f>INDEX('LT HD Forecast'!$K$1:$Q$55,MATCH(B83,'LT HD Forecast'!$A:$A,0),MATCH(C83,'LT HD Forecast'!$K$2:$Q$2,0))</f>
        <v>1965.7411764705882</v>
      </c>
      <c r="H83" s="44" cm="1">
        <f t="array" ref="H83">IFERROR(INDEX('ST Forecast'!$E$2:$RK$36,6,M83),"")</f>
        <v>46.251971336955144</v>
      </c>
      <c r="I83" s="44" cm="1">
        <f t="array" ref="I83">IFERROR(INDEX('ST Forecast'!$E$2:$RK$36,7,M83),"")</f>
        <v>51.111809457359271</v>
      </c>
      <c r="J83" s="44">
        <f>SUM(DB[[#This Row],[Sales-FC-Picks-Collect]:[Sales-FC-Picks-HD]])</f>
        <v>125911.17268957528</v>
      </c>
      <c r="K83" s="44">
        <f t="shared" si="41"/>
        <v>25438.584235325328</v>
      </c>
      <c r="L83" s="44">
        <f t="shared" si="42"/>
        <v>100472.58845424996</v>
      </c>
      <c r="M83" s="403">
        <f>IFERROR(IF(B83=B82,M82+1,MATCH(B83,'ST Forecast'!$E$2:$RK$2,0)+1),"")</f>
        <v>91</v>
      </c>
      <c r="N83">
        <f>SUM(DB[[#This Row],[Ops-FC-Orders-Collect]:[Ops-FC-Orders-HD]])</f>
        <v>2350</v>
      </c>
      <c r="O83" s="44" cm="1">
        <f t="array" ref="O83">IFERROR(INDEX('ST Forecast'!$E$2:$RK$36,13,M83),"")</f>
        <v>500</v>
      </c>
      <c r="P83" s="44">
        <f t="shared" si="43"/>
        <v>1850</v>
      </c>
      <c r="Q83" s="44" cm="1">
        <f t="array" ref="Q83">IFERROR(INDEX('ST Forecast'!$E$2:$RK$36,14,M83),"")</f>
        <v>850</v>
      </c>
      <c r="R83" s="44" cm="1">
        <f t="array" ref="R83">IFERROR(INDEX('ST Forecast'!$E$2:$RK$36,15,M83),"")</f>
        <v>1000</v>
      </c>
      <c r="S83" s="312">
        <f>SUM(DB[[#This Row],[Ops-FC-Picks-Collect]:[Ops-FC-Picks-HD]])</f>
        <v>115329.17650130038</v>
      </c>
      <c r="T83" s="44">
        <f t="shared" si="44"/>
        <v>22663.465955108022</v>
      </c>
      <c r="U83" s="44">
        <f t="shared" si="45"/>
        <v>92665.710546192349</v>
      </c>
      <c r="V83" s="44">
        <f t="shared" si="46"/>
        <v>42576.13727798027</v>
      </c>
      <c r="W83" s="404">
        <f t="shared" si="47"/>
        <v>50089.57326821208</v>
      </c>
      <c r="X83" s="44">
        <f>SUM(DB[[#This Row],[Capped-Orders-Collect]:[Capped-Orders-HD]])</f>
        <v>90</v>
      </c>
      <c r="Y83">
        <f>INDEX('Operations Forecast'!$A$2:$BGY$47,3,MATCH(DB!D83,'Operations Forecast'!$A$2:$BGY$2))</f>
        <v>0</v>
      </c>
      <c r="Z83">
        <f t="shared" si="48"/>
        <v>90</v>
      </c>
      <c r="AA83">
        <f>INDEX('Operations Forecast'!$A$2:$BGY$47,10,MATCH(DB!D83,'Operations Forecast'!$A$2:$BGY$2))</f>
        <v>90</v>
      </c>
      <c r="AB83">
        <f>INDEX('Operations Forecast'!$A$2:$BGY$47,21,MATCH(DB!D83,'Operations Forecast'!$A$2:$BGY$2))</f>
        <v>0</v>
      </c>
      <c r="AC83" s="312">
        <f>SUM(DB[[#This Row],[Act-Orders-Collect]:[Act-Orders-HD]])</f>
        <v>2295</v>
      </c>
      <c r="AD83" s="858">
        <f>IFERROR(INDEX('Operations Forecast_new'!$7:$7,MATCH(DB[[#This Row],[Datum]],'Operations Forecast_new'!$2:$2,0)),0)</f>
        <v>500</v>
      </c>
      <c r="AE83" s="312">
        <f t="shared" si="49"/>
        <v>1795</v>
      </c>
      <c r="AF83" s="858">
        <f>IFERROR(INDEX('Operations Forecast_new'!$13:$13,MATCH(DB[[#This Row],[Datum]],'Operations Forecast_new'!$2:$2,0)),0)</f>
        <v>805</v>
      </c>
      <c r="AG83" s="858">
        <f>IFERROR(INDEX('Operations Forecast_new'!$19:$19,MATCH(DB[[#This Row],[Datum]],'Operations Forecast_new'!$2:$2,0)),0)</f>
        <v>990</v>
      </c>
      <c r="AH83" s="312">
        <f t="shared" si="37"/>
        <v>110686.95000000001</v>
      </c>
      <c r="AI83" s="858">
        <f>IFERROR(INDEX('Operations Forecast_new'!$9:$9,MATCH(DB[[#This Row],[Datum]],'Operations Forecast_new'!$2:$2,0)),0)</f>
        <v>23611.5</v>
      </c>
      <c r="AJ83" s="312">
        <f t="shared" si="50"/>
        <v>87075.450000000012</v>
      </c>
      <c r="AK83" s="858">
        <f>IFERROR(INDEX('Operations Forecast_new'!$15:$15,MATCH(DB[[#This Row],[Datum]],'Operations Forecast_new'!$2:$2,0)),0)</f>
        <v>39050.550000000003</v>
      </c>
      <c r="AL83" s="858">
        <f>IFERROR(INDEX('Operations Forecast_new'!$21:$21,MATCH(DB[[#This Row],[Datum]],'Operations Forecast_new'!$2:$2,0)),0)</f>
        <v>48024.9</v>
      </c>
      <c r="AM83" s="178">
        <f>IFERROR(INDEX('Operations Forecast_new'!$8:$8,MATCH(DB[[#This Row],[Datum]],'Operations Forecast_new'!$2:$2,0)),0)</f>
        <v>47.7</v>
      </c>
      <c r="AN83" s="859">
        <f>IFERROR(INDEX('Operations Forecast_new'!$20:$20,MATCH(DB[[#This Row],[Datum]],'Operations Forecast_new'!$2:$2,0)),0)</f>
        <v>49</v>
      </c>
      <c r="AO83" s="44">
        <f t="shared" si="51"/>
        <v>47.222999999999999</v>
      </c>
      <c r="AP83" s="404">
        <f t="shared" si="52"/>
        <v>48.510000000000005</v>
      </c>
      <c r="AQ83" s="44">
        <f t="shared" si="38"/>
        <v>147853.00000000009</v>
      </c>
      <c r="AR83" s="44" cm="1">
        <f t="array" ref="AR83">IFERROR(INDEX('ST Forecast'!$E$2:$RK$36,25,M83)+(INDEX('ST Forecast'!$E$2:$RK$36,29,M83)),"")</f>
        <v>65446.552077841814</v>
      </c>
      <c r="AS83" s="44" cm="1">
        <f t="array" ref="AS83">IFERROR(INDEX('ST Forecast'!$E$2:$RK$36,26,M83)+INDEX('ST Forecast'!$E$2:$RK$36,30,M83),"")</f>
        <v>68645.607132971039</v>
      </c>
      <c r="AT83" s="44" cm="1">
        <f t="array" ref="AT83">IFERROR(INDEX('ST Forecast'!$E$2:$RK$36,27,M83)+INDEX('ST Forecast'!$E$2:$RK$36,31,M83),"")</f>
        <v>6459.1468413733601</v>
      </c>
      <c r="AU83" s="44" cm="1">
        <f t="array" ref="AU83">IFERROR(INDEX('ST Forecast'!$E$2:$RK$36,28,M83),"")</f>
        <v>7301.6939478138675</v>
      </c>
      <c r="AV83" s="44" cm="1">
        <f t="array" ref="AV83">IFERROR(INDEX('ST Forecast'!$E$2:$RK$36,29,M83),"")</f>
        <v>0</v>
      </c>
      <c r="AW83" s="44">
        <f>DB[[#This Row],[Inbound FC]]-DB[[#This Row],[Inbound Act - Ultrafresh2]]</f>
        <v>147853.00000000009</v>
      </c>
      <c r="AX83" s="178" t="e">
        <f>#REF!</f>
        <v>#REF!</v>
      </c>
      <c r="AY83" s="178" t="e">
        <f>#REF!</f>
        <v>#REF!</v>
      </c>
      <c r="AZ83" s="178" t="e">
        <f>#REF!</f>
        <v>#REF!</v>
      </c>
      <c r="BA83" s="178">
        <f>MONTH(DB[[#This Row],[Datum]])</f>
        <v>3</v>
      </c>
    </row>
    <row r="84" spans="1:53" x14ac:dyDescent="0.3">
      <c r="A84" s="44">
        <f t="shared" si="39"/>
        <v>12</v>
      </c>
      <c r="B84" t="str">
        <f t="shared" si="40"/>
        <v>Wk 12</v>
      </c>
      <c r="C84" t="s">
        <v>115</v>
      </c>
      <c r="D84" s="313">
        <v>44643</v>
      </c>
      <c r="E84" s="44">
        <f>DB[[#This Row],[Sales-FC-Orders-Collect]]+DB[[#This Row],[Sales-FC-Orders-HD]]</f>
        <v>2415.3375565610859</v>
      </c>
      <c r="F84" s="402">
        <f>INDEX('LT Collect Forecast'!$K$1:$Q$55,MATCH(B84,'LT Collect Forecast'!$A:$A,0),MATCH(C84,'LT Collect Forecast'!$K$2:$Q$2,0))</f>
        <v>500</v>
      </c>
      <c r="G84" s="44">
        <f>INDEX('LT HD Forecast'!$K$1:$Q$55,MATCH(B84,'LT HD Forecast'!$A:$A,0),MATCH(C84,'LT HD Forecast'!$K$2:$Q$2,0))</f>
        <v>1915.3375565610859</v>
      </c>
      <c r="H84" s="44" cm="1">
        <f t="array" ref="H84">IFERROR(INDEX('ST Forecast'!$E$2:$RK$36,6,M84),"")</f>
        <v>48.701872754330687</v>
      </c>
      <c r="I84" s="44" cm="1">
        <f t="array" ref="I84">IFERROR(INDEX('ST Forecast'!$E$2:$RK$36,7,M84),"")</f>
        <v>51.022453819301866</v>
      </c>
      <c r="J84" s="44">
        <f>SUM(DB[[#This Row],[Sales-FC-Picks-Collect]:[Sales-FC-Picks-HD]])</f>
        <v>122076.15840517782</v>
      </c>
      <c r="K84" s="44">
        <f t="shared" si="41"/>
        <v>24350.936377165344</v>
      </c>
      <c r="L84" s="44">
        <f t="shared" si="42"/>
        <v>97725.222028012475</v>
      </c>
      <c r="M84" s="403">
        <f>IFERROR(IF(B84=B83,M83+1,MATCH(B84,'ST Forecast'!$E$2:$RK$2,0)+1),"")</f>
        <v>92</v>
      </c>
      <c r="N84">
        <f>SUM(DB[[#This Row],[Ops-FC-Orders-Collect]:[Ops-FC-Orders-HD]])</f>
        <v>2400</v>
      </c>
      <c r="O84" s="44" cm="1">
        <f t="array" ref="O84">IFERROR(INDEX('ST Forecast'!$E$2:$RK$36,13,M84),"")</f>
        <v>500</v>
      </c>
      <c r="P84" s="44">
        <f t="shared" si="43"/>
        <v>1900</v>
      </c>
      <c r="Q84" s="44" cm="1">
        <f t="array" ref="Q84">IFERROR(INDEX('ST Forecast'!$E$2:$RK$36,14,M84),"")</f>
        <v>950</v>
      </c>
      <c r="R84" s="44" cm="1">
        <f t="array" ref="R84">IFERROR(INDEX('ST Forecast'!$E$2:$RK$36,15,M84),"")</f>
        <v>950</v>
      </c>
      <c r="S84" s="312">
        <f>SUM(DB[[#This Row],[Ops-FC-Picks-Collect]:[Ops-FC-Picks-HD]])</f>
        <v>118867.7266611621</v>
      </c>
      <c r="T84" s="44">
        <f t="shared" si="44"/>
        <v>23863.917649622035</v>
      </c>
      <c r="U84" s="44">
        <f t="shared" si="45"/>
        <v>95003.80901154007</v>
      </c>
      <c r="V84" s="44">
        <f t="shared" si="46"/>
        <v>47501.904505770035</v>
      </c>
      <c r="W84" s="404">
        <f t="shared" si="47"/>
        <v>47501.904505770035</v>
      </c>
      <c r="X84" s="44">
        <f>SUM(DB[[#This Row],[Capped-Orders-Collect]:[Capped-Orders-HD]])</f>
        <v>90</v>
      </c>
      <c r="Y84">
        <f>INDEX('Operations Forecast'!$A$2:$BGY$47,3,MATCH(DB!D84,'Operations Forecast'!$A$2:$BGY$2))</f>
        <v>0</v>
      </c>
      <c r="Z84">
        <f t="shared" si="48"/>
        <v>90</v>
      </c>
      <c r="AA84">
        <f>INDEX('Operations Forecast'!$A$2:$BGY$47,10,MATCH(DB!D84,'Operations Forecast'!$A$2:$BGY$2))</f>
        <v>90</v>
      </c>
      <c r="AB84">
        <f>INDEX('Operations Forecast'!$A$2:$BGY$47,21,MATCH(DB!D84,'Operations Forecast'!$A$2:$BGY$2))</f>
        <v>0</v>
      </c>
      <c r="AC84" s="312">
        <f>SUM(DB[[#This Row],[Act-Orders-Collect]:[Act-Orders-HD]])</f>
        <v>2320</v>
      </c>
      <c r="AD84" s="858">
        <f>IFERROR(INDEX('Operations Forecast_new'!$7:$7,MATCH(DB[[#This Row],[Datum]],'Operations Forecast_new'!$2:$2,0)),0)</f>
        <v>400</v>
      </c>
      <c r="AE84" s="312">
        <f t="shared" si="49"/>
        <v>1920</v>
      </c>
      <c r="AF84" s="858">
        <f>IFERROR(INDEX('Operations Forecast_new'!$13:$13,MATCH(DB[[#This Row],[Datum]],'Operations Forecast_new'!$2:$2,0)),0)</f>
        <v>950</v>
      </c>
      <c r="AG84" s="858">
        <f>IFERROR(INDEX('Operations Forecast_new'!$19:$19,MATCH(DB[[#This Row],[Datum]],'Operations Forecast_new'!$2:$2,0)),0)</f>
        <v>970</v>
      </c>
      <c r="AH84" s="312">
        <f t="shared" si="37"/>
        <v>114198.48000000001</v>
      </c>
      <c r="AI84" s="858">
        <f>IFERROR(INDEX('Operations Forecast_new'!$9:$9,MATCH(DB[[#This Row],[Datum]],'Operations Forecast_new'!$2:$2,0)),0)</f>
        <v>18968.400000000001</v>
      </c>
      <c r="AJ84" s="312">
        <f t="shared" si="50"/>
        <v>95230.080000000002</v>
      </c>
      <c r="AK84" s="858">
        <f>IFERROR(INDEX('Operations Forecast_new'!$15:$15,MATCH(DB[[#This Row],[Datum]],'Operations Forecast_new'!$2:$2,0)),0)</f>
        <v>47119.05</v>
      </c>
      <c r="AL84" s="858">
        <f>IFERROR(INDEX('Operations Forecast_new'!$21:$21,MATCH(DB[[#This Row],[Datum]],'Operations Forecast_new'!$2:$2,0)),0)</f>
        <v>48111.03</v>
      </c>
      <c r="AM84" s="178">
        <f>IFERROR(INDEX('Operations Forecast_new'!$8:$8,MATCH(DB[[#This Row],[Datum]],'Operations Forecast_new'!$2:$2,0)),0)</f>
        <v>47.9</v>
      </c>
      <c r="AN84" s="859">
        <f>IFERROR(INDEX('Operations Forecast_new'!$20:$20,MATCH(DB[[#This Row],[Datum]],'Operations Forecast_new'!$2:$2,0)),0)</f>
        <v>50.1</v>
      </c>
      <c r="AO84" s="44">
        <f t="shared" si="51"/>
        <v>47.421000000000006</v>
      </c>
      <c r="AP84" s="404">
        <f t="shared" si="52"/>
        <v>49.599000000000004</v>
      </c>
      <c r="AQ84" s="44">
        <f t="shared" si="38"/>
        <v>154523.00000000006</v>
      </c>
      <c r="AR84" s="44" cm="1">
        <f t="array" ref="AR84">IFERROR(INDEX('ST Forecast'!$E$2:$RK$36,25,M84)+(INDEX('ST Forecast'!$E$2:$RK$36,29,M84)),"")</f>
        <v>59679.316194753876</v>
      </c>
      <c r="AS84" s="44" cm="1">
        <f t="array" ref="AS84">IFERROR(INDEX('ST Forecast'!$E$2:$RK$36,26,M84)+INDEX('ST Forecast'!$E$2:$RK$36,30,M84),"")</f>
        <v>60519.016716910672</v>
      </c>
      <c r="AT84" s="44" cm="1">
        <f t="array" ref="AT84">IFERROR(INDEX('ST Forecast'!$E$2:$RK$36,27,M84)+INDEX('ST Forecast'!$E$2:$RK$36,31,M84),"")</f>
        <v>25588.958362301219</v>
      </c>
      <c r="AU84" s="44" cm="1">
        <f t="array" ref="AU84">IFERROR(INDEX('ST Forecast'!$E$2:$RK$36,28,M84),"")</f>
        <v>8735.7087260343087</v>
      </c>
      <c r="AV84" s="44" cm="1">
        <f t="array" ref="AV84">IFERROR(INDEX('ST Forecast'!$E$2:$RK$36,29,M84),"")</f>
        <v>0</v>
      </c>
      <c r="AW84" s="44">
        <f>DB[[#This Row],[Inbound FC]]-DB[[#This Row],[Inbound Act - Ultrafresh2]]</f>
        <v>154523.00000000006</v>
      </c>
      <c r="AX84" s="178" t="e">
        <f>#REF!</f>
        <v>#REF!</v>
      </c>
      <c r="AY84" s="178" t="e">
        <f>#REF!</f>
        <v>#REF!</v>
      </c>
      <c r="AZ84" s="178" t="e">
        <f>#REF!</f>
        <v>#REF!</v>
      </c>
      <c r="BA84" s="178">
        <f>MONTH(DB[[#This Row],[Datum]])</f>
        <v>3</v>
      </c>
    </row>
    <row r="85" spans="1:53" x14ac:dyDescent="0.3">
      <c r="A85" s="44">
        <f t="shared" si="39"/>
        <v>12</v>
      </c>
      <c r="B85" t="str">
        <f t="shared" si="40"/>
        <v>Wk 12</v>
      </c>
      <c r="C85" t="s">
        <v>116</v>
      </c>
      <c r="D85" s="313">
        <v>44644</v>
      </c>
      <c r="E85" s="44">
        <f>DB[[#This Row],[Sales-FC-Orders-Collect]]+DB[[#This Row],[Sales-FC-Orders-HD]]</f>
        <v>2217.6576576576576</v>
      </c>
      <c r="F85" s="402" cm="1">
        <f t="array" ref="F85">INDEX('LT Collect Forecast'!$K$1:$Q$55,MATCH(B85,'LT Collect Forecast'!$A:$A,0)+1,MATCH(C85,'LT Collect Forecast'!$K$2:$Q$2,0))</f>
        <v>450</v>
      </c>
      <c r="G85" s="44" cm="1">
        <f t="array" ref="G85">INDEX('LT HD Forecast'!$K$1:$Q$55,MATCH(B85,'LT HD Forecast'!$A:$A,0)+1,MATCH(C85,'LT HD Forecast'!$K$2:$Q$2,0))</f>
        <v>1767.6576576576576</v>
      </c>
      <c r="H85" s="44" cm="1">
        <f t="array" ref="H85">IFERROR(INDEX('ST Forecast'!$E$2:$RK$36,6,M85),"")</f>
        <v>49.917305554642709</v>
      </c>
      <c r="I85" s="44" cm="1">
        <f t="array" ref="I85">IFERROR(INDEX('ST Forecast'!$E$2:$RK$36,7,M85),"")</f>
        <v>51.080908820460564</v>
      </c>
      <c r="J85" s="44">
        <f>SUM(DB[[#This Row],[Sales-FC-Picks-Collect]:[Sales-FC-Picks-HD]])</f>
        <v>112756.34713618892</v>
      </c>
      <c r="K85" s="44">
        <f t="shared" si="41"/>
        <v>22462.78749958922</v>
      </c>
      <c r="L85" s="44">
        <f t="shared" si="42"/>
        <v>90293.559636599704</v>
      </c>
      <c r="M85" s="403">
        <f>IFERROR(IF(B85=B84,M84+1,MATCH(B85,'ST Forecast'!$E$2:$RK$2,0)+1),"")</f>
        <v>93</v>
      </c>
      <c r="N85">
        <f>SUM(DB[[#This Row],[Ops-FC-Orders-Collect]:[Ops-FC-Orders-HD]])</f>
        <v>2250</v>
      </c>
      <c r="O85" s="44" cm="1">
        <f t="array" ref="O85">IFERROR(INDEX('ST Forecast'!$E$2:$RK$36,13,M85),"")</f>
        <v>450</v>
      </c>
      <c r="P85" s="44">
        <f t="shared" si="43"/>
        <v>1800</v>
      </c>
      <c r="Q85" s="44" cm="1">
        <f t="array" ref="Q85">IFERROR(INDEX('ST Forecast'!$E$2:$RK$36,14,M85),"")</f>
        <v>900</v>
      </c>
      <c r="R85" s="44" cm="1">
        <f t="array" ref="R85">IFERROR(INDEX('ST Forecast'!$E$2:$RK$36,15,M85),"")</f>
        <v>900</v>
      </c>
      <c r="S85" s="312">
        <f>SUM(DB[[#This Row],[Ops-FC-Picks-Collect]:[Ops-FC-Picks-HD]])</f>
        <v>112120.25490888987</v>
      </c>
      <c r="T85" s="44">
        <f t="shared" si="44"/>
        <v>22013.531749597434</v>
      </c>
      <c r="U85" s="44">
        <f t="shared" si="45"/>
        <v>90106.723159292436</v>
      </c>
      <c r="V85" s="44">
        <f t="shared" si="46"/>
        <v>45053.361579646218</v>
      </c>
      <c r="W85" s="404">
        <f t="shared" si="47"/>
        <v>45053.361579646218</v>
      </c>
      <c r="X85" s="44">
        <f>SUM(DB[[#This Row],[Capped-Orders-Collect]:[Capped-Orders-HD]])</f>
        <v>90</v>
      </c>
      <c r="Y85">
        <f>INDEX('Operations Forecast'!$A$2:$BGY$47,3,MATCH(DB!D85,'Operations Forecast'!$A$2:$BGY$2))</f>
        <v>0</v>
      </c>
      <c r="Z85">
        <f t="shared" si="48"/>
        <v>90</v>
      </c>
      <c r="AA85">
        <f>INDEX('Operations Forecast'!$A$2:$BGY$47,10,MATCH(DB!D85,'Operations Forecast'!$A$2:$BGY$2))</f>
        <v>90</v>
      </c>
      <c r="AB85">
        <f>INDEX('Operations Forecast'!$A$2:$BGY$47,21,MATCH(DB!D85,'Operations Forecast'!$A$2:$BGY$2))</f>
        <v>0</v>
      </c>
      <c r="AC85" s="312">
        <f>SUM(DB[[#This Row],[Act-Orders-Collect]:[Act-Orders-HD]])</f>
        <v>2194</v>
      </c>
      <c r="AD85" s="858">
        <f>IFERROR(INDEX('Operations Forecast_new'!$7:$7,MATCH(DB[[#This Row],[Datum]],'Operations Forecast_new'!$2:$2,0)),0)</f>
        <v>415</v>
      </c>
      <c r="AE85" s="312">
        <f t="shared" si="49"/>
        <v>1779</v>
      </c>
      <c r="AF85" s="858">
        <f>IFERROR(INDEX('Operations Forecast_new'!$13:$13,MATCH(DB[[#This Row],[Datum]],'Operations Forecast_new'!$2:$2,0)),0)</f>
        <v>857</v>
      </c>
      <c r="AG85" s="858">
        <f>IFERROR(INDEX('Operations Forecast_new'!$19:$19,MATCH(DB[[#This Row],[Datum]],'Operations Forecast_new'!$2:$2,0)),0)</f>
        <v>922</v>
      </c>
      <c r="AH85" s="312">
        <f t="shared" si="37"/>
        <v>112295.50200000001</v>
      </c>
      <c r="AI85" s="858">
        <f>IFERROR(INDEX('Operations Forecast_new'!$9:$9,MATCH(DB[[#This Row],[Datum]],'Operations Forecast_new'!$2:$2,0)),0)</f>
        <v>21240.945</v>
      </c>
      <c r="AJ85" s="312">
        <f t="shared" si="50"/>
        <v>91054.557000000001</v>
      </c>
      <c r="AK85" s="858">
        <f>IFERROR(INDEX('Operations Forecast_new'!$15:$15,MATCH(DB[[#This Row],[Datum]],'Operations Forecast_new'!$2:$2,0)),0)</f>
        <v>43863.830999999998</v>
      </c>
      <c r="AL85" s="858">
        <f>IFERROR(INDEX('Operations Forecast_new'!$21:$21,MATCH(DB[[#This Row],[Datum]],'Operations Forecast_new'!$2:$2,0)),0)</f>
        <v>47190.726000000002</v>
      </c>
      <c r="AM85" s="178">
        <f>IFERROR(INDEX('Operations Forecast_new'!$8:$8,MATCH(DB[[#This Row],[Datum]],'Operations Forecast_new'!$2:$2,0)),0)</f>
        <v>51.7</v>
      </c>
      <c r="AN85" s="859">
        <f>IFERROR(INDEX('Operations Forecast_new'!$20:$20,MATCH(DB[[#This Row],[Datum]],'Operations Forecast_new'!$2:$2,0)),0)</f>
        <v>51.7</v>
      </c>
      <c r="AO85" s="44">
        <f t="shared" si="51"/>
        <v>51.183</v>
      </c>
      <c r="AP85" s="404">
        <f t="shared" si="52"/>
        <v>51.183</v>
      </c>
      <c r="AQ85" s="44">
        <f t="shared" si="38"/>
        <v>135850.00000000006</v>
      </c>
      <c r="AR85" s="44" cm="1">
        <f t="array" ref="AR85">IFERROR(INDEX('ST Forecast'!$E$2:$RK$36,25,M85)+(INDEX('ST Forecast'!$E$2:$RK$36,29,M85)),"")</f>
        <v>56573.711239980294</v>
      </c>
      <c r="AS85" s="44" cm="1">
        <f t="array" ref="AS85">IFERROR(INDEX('ST Forecast'!$E$2:$RK$36,26,M85)+INDEX('ST Forecast'!$E$2:$RK$36,30,M85),"")</f>
        <v>56517.829804807567</v>
      </c>
      <c r="AT85" s="44" cm="1">
        <f t="array" ref="AT85">IFERROR(INDEX('ST Forecast'!$E$2:$RK$36,27,M85)+INDEX('ST Forecast'!$E$2:$RK$36,31,M85),"")</f>
        <v>13625.455455771924</v>
      </c>
      <c r="AU85" s="44" cm="1">
        <f t="array" ref="AU85">IFERROR(INDEX('ST Forecast'!$E$2:$RK$36,28,M85),"")</f>
        <v>9133.0034994402831</v>
      </c>
      <c r="AV85" s="44" cm="1">
        <f t="array" ref="AV85">IFERROR(INDEX('ST Forecast'!$E$2:$RK$36,29,M85),"")</f>
        <v>0</v>
      </c>
      <c r="AW85" s="44">
        <f>DB[[#This Row],[Inbound FC]]-DB[[#This Row],[Inbound Act - Ultrafresh2]]</f>
        <v>135850.00000000006</v>
      </c>
      <c r="AX85" s="178" t="e">
        <f>#REF!</f>
        <v>#REF!</v>
      </c>
      <c r="AY85" s="178" t="e">
        <f>#REF!</f>
        <v>#REF!</v>
      </c>
      <c r="AZ85" s="178" t="e">
        <f>#REF!</f>
        <v>#REF!</v>
      </c>
      <c r="BA85" s="178">
        <f>MONTH(DB[[#This Row],[Datum]])</f>
        <v>3</v>
      </c>
    </row>
    <row r="86" spans="1:53" x14ac:dyDescent="0.3">
      <c r="A86" s="44">
        <f t="shared" si="39"/>
        <v>12</v>
      </c>
      <c r="B86" t="str">
        <f t="shared" si="40"/>
        <v>Wk 12</v>
      </c>
      <c r="C86" t="s">
        <v>117</v>
      </c>
      <c r="D86" s="313">
        <v>44645</v>
      </c>
      <c r="E86" s="44">
        <f>DB[[#This Row],[Sales-FC-Orders-Collect]]+DB[[#This Row],[Sales-FC-Orders-HD]]</f>
        <v>3070.6846846846847</v>
      </c>
      <c r="F86" s="402" cm="1">
        <f t="array" ref="F86">INDEX('LT Collect Forecast'!$K$1:$Q$55,MATCH(B86,'LT Collect Forecast'!$A:$A,0)+1,MATCH(C86,'LT Collect Forecast'!$K$2:$Q$2,0))</f>
        <v>1000</v>
      </c>
      <c r="G86" s="44" cm="1">
        <f t="array" ref="G86">INDEX('LT HD Forecast'!$K$1:$Q$55,MATCH(B86,'LT HD Forecast'!$A:$A,0)+1,MATCH(C86,'LT HD Forecast'!$K$2:$Q$2,0))</f>
        <v>2070.6846846846847</v>
      </c>
      <c r="H86" s="44" cm="1">
        <f t="array" ref="H86">IFERROR(INDEX('ST Forecast'!$E$2:$RK$36,6,M86),"")</f>
        <v>51.480782791628215</v>
      </c>
      <c r="I86" s="44" cm="1">
        <f t="array" ref="I86">IFERROR(INDEX('ST Forecast'!$E$2:$RK$36,7,M86),"")</f>
        <v>52.524935722519949</v>
      </c>
      <c r="J86" s="44">
        <f>SUM(DB[[#This Row],[Sales-FC-Picks-Collect]:[Sales-FC-Picks-HD]])</f>
        <v>160243.36275629778</v>
      </c>
      <c r="K86" s="44">
        <f t="shared" si="41"/>
        <v>51480.782791628219</v>
      </c>
      <c r="L86" s="44">
        <f t="shared" si="42"/>
        <v>108762.57996466955</v>
      </c>
      <c r="M86" s="403">
        <f>IFERROR(IF(B86=B85,M85+1,MATCH(B86,'ST Forecast'!$E$2:$RK$2,0)+1),"")</f>
        <v>94</v>
      </c>
      <c r="N86">
        <f>SUM(DB[[#This Row],[Ops-FC-Orders-Collect]:[Ops-FC-Orders-HD]])</f>
        <v>3150</v>
      </c>
      <c r="O86" s="44" cm="1">
        <f t="array" ref="O86">IFERROR(INDEX('ST Forecast'!$E$2:$RK$36,13,M86),"")</f>
        <v>1000</v>
      </c>
      <c r="P86" s="44">
        <f t="shared" si="43"/>
        <v>2150</v>
      </c>
      <c r="Q86" s="44" cm="1">
        <f t="array" ref="Q86">IFERROR(INDEX('ST Forecast'!$E$2:$RK$36,14,M86),"")</f>
        <v>1050</v>
      </c>
      <c r="R86" s="44" cm="1">
        <f t="array" ref="R86">IFERROR(INDEX('ST Forecast'!$E$2:$RK$36,15,M86),"")</f>
        <v>1100</v>
      </c>
      <c r="S86" s="312">
        <f>SUM(DB[[#This Row],[Ops-FC-Picks-Collect]:[Ops-FC-Picks-HD]])</f>
        <v>161121.20670314517</v>
      </c>
      <c r="T86" s="44">
        <f t="shared" si="44"/>
        <v>50451.167135795651</v>
      </c>
      <c r="U86" s="44">
        <f t="shared" si="45"/>
        <v>110670.03956734952</v>
      </c>
      <c r="V86" s="44">
        <f t="shared" si="46"/>
        <v>54048.15885847302</v>
      </c>
      <c r="W86" s="404">
        <f t="shared" si="47"/>
        <v>56621.880708876502</v>
      </c>
      <c r="X86" s="44">
        <f>SUM(DB[[#This Row],[Capped-Orders-Collect]:[Capped-Orders-HD]])</f>
        <v>90</v>
      </c>
      <c r="Y86">
        <f>INDEX('Operations Forecast'!$A$2:$BGY$47,3,MATCH(DB!D86,'Operations Forecast'!$A$2:$BGY$2))</f>
        <v>0</v>
      </c>
      <c r="Z86">
        <f t="shared" si="48"/>
        <v>90</v>
      </c>
      <c r="AA86">
        <f>INDEX('Operations Forecast'!$A$2:$BGY$47,10,MATCH(DB!D86,'Operations Forecast'!$A$2:$BGY$2))</f>
        <v>90</v>
      </c>
      <c r="AB86">
        <f>INDEX('Operations Forecast'!$A$2:$BGY$47,21,MATCH(DB!D86,'Operations Forecast'!$A$2:$BGY$2))</f>
        <v>0</v>
      </c>
      <c r="AC86" s="312">
        <f>SUM(DB[[#This Row],[Act-Orders-Collect]:[Act-Orders-HD]])</f>
        <v>3145</v>
      </c>
      <c r="AD86" s="858">
        <f>IFERROR(INDEX('Operations Forecast_new'!$7:$7,MATCH(DB[[#This Row],[Datum]],'Operations Forecast_new'!$2:$2,0)),0)</f>
        <v>1030</v>
      </c>
      <c r="AE86" s="312">
        <f t="shared" si="49"/>
        <v>2115</v>
      </c>
      <c r="AF86" s="858">
        <f>IFERROR(INDEX('Operations Forecast_new'!$13:$13,MATCH(DB[[#This Row],[Datum]],'Operations Forecast_new'!$2:$2,0)),0)</f>
        <v>1055</v>
      </c>
      <c r="AG86" s="858">
        <f>IFERROR(INDEX('Operations Forecast_new'!$19:$19,MATCH(DB[[#This Row],[Datum]],'Operations Forecast_new'!$2:$2,0)),0)</f>
        <v>1060</v>
      </c>
      <c r="AH86" s="312">
        <f t="shared" si="37"/>
        <v>162758.47499999998</v>
      </c>
      <c r="AI86" s="858">
        <f>IFERROR(INDEX('Operations Forecast_new'!$9:$9,MATCH(DB[[#This Row],[Datum]],'Operations Forecast_new'!$2:$2,0)),0)</f>
        <v>52412.58</v>
      </c>
      <c r="AJ86" s="312">
        <f t="shared" si="50"/>
        <v>110345.89499999999</v>
      </c>
      <c r="AK86" s="858">
        <f>IFERROR(INDEX('Operations Forecast_new'!$15:$15,MATCH(DB[[#This Row],[Datum]],'Operations Forecast_new'!$2:$2,0)),0)</f>
        <v>55042.514999999999</v>
      </c>
      <c r="AL86" s="858">
        <f>IFERROR(INDEX('Operations Forecast_new'!$21:$21,MATCH(DB[[#This Row],[Datum]],'Operations Forecast_new'!$2:$2,0)),0)</f>
        <v>55303.38</v>
      </c>
      <c r="AM86" s="178">
        <f>IFERROR(INDEX('Operations Forecast_new'!$8:$8,MATCH(DB[[#This Row],[Datum]],'Operations Forecast_new'!$2:$2,0)),0)</f>
        <v>51.4</v>
      </c>
      <c r="AN86" s="859">
        <f>IFERROR(INDEX('Operations Forecast_new'!$20:$20,MATCH(DB[[#This Row],[Datum]],'Operations Forecast_new'!$2:$2,0)),0)</f>
        <v>52.7</v>
      </c>
      <c r="AO86" s="44">
        <f t="shared" si="51"/>
        <v>50.886000000000003</v>
      </c>
      <c r="AP86" s="404">
        <f t="shared" si="52"/>
        <v>52.172999999999995</v>
      </c>
      <c r="AQ86" s="44">
        <f t="shared" si="38"/>
        <v>115640.00000000009</v>
      </c>
      <c r="AR86" s="44" cm="1">
        <f t="array" ref="AR86">IFERROR(INDEX('ST Forecast'!$E$2:$RK$36,25,M86)+(INDEX('ST Forecast'!$E$2:$RK$36,29,M86)),"")</f>
        <v>51187.593638827944</v>
      </c>
      <c r="AS86" s="44" cm="1">
        <f t="array" ref="AS86">IFERROR(INDEX('ST Forecast'!$E$2:$RK$36,26,M86)+INDEX('ST Forecast'!$E$2:$RK$36,30,M86),"")</f>
        <v>51248.154562200689</v>
      </c>
      <c r="AT86" s="44" cm="1">
        <f t="array" ref="AT86">IFERROR(INDEX('ST Forecast'!$E$2:$RK$36,27,M86)+INDEX('ST Forecast'!$E$2:$RK$36,31,M86),"")</f>
        <v>5051.8808596133686</v>
      </c>
      <c r="AU86" s="44" cm="1">
        <f t="array" ref="AU86">IFERROR(INDEX('ST Forecast'!$E$2:$RK$36,28,M86),"")</f>
        <v>8152.3709393580721</v>
      </c>
      <c r="AV86" s="44" cm="1">
        <f t="array" ref="AV86">IFERROR(INDEX('ST Forecast'!$E$2:$RK$36,29,M86),"")</f>
        <v>0</v>
      </c>
      <c r="AW86" s="44">
        <f>DB[[#This Row],[Inbound FC]]-DB[[#This Row],[Inbound Act - Ultrafresh2]]</f>
        <v>115640.00000000009</v>
      </c>
      <c r="AX86" s="178" t="e">
        <f>#REF!</f>
        <v>#REF!</v>
      </c>
      <c r="AY86" s="178" t="e">
        <f>#REF!</f>
        <v>#REF!</v>
      </c>
      <c r="AZ86" s="178" t="e">
        <f>#REF!</f>
        <v>#REF!</v>
      </c>
      <c r="BA86" s="178">
        <f>MONTH(DB[[#This Row],[Datum]])</f>
        <v>3</v>
      </c>
    </row>
    <row r="87" spans="1:53" x14ac:dyDescent="0.3">
      <c r="A87" s="44">
        <f t="shared" si="39"/>
        <v>12</v>
      </c>
      <c r="B87" t="str">
        <f t="shared" si="40"/>
        <v>Wk 12</v>
      </c>
      <c r="C87" t="s">
        <v>118</v>
      </c>
      <c r="D87" s="313">
        <v>44646</v>
      </c>
      <c r="E87" s="44">
        <f>DB[[#This Row],[Sales-FC-Orders-Collect]]+DB[[#This Row],[Sales-FC-Orders-HD]]</f>
        <v>2918.666666666667</v>
      </c>
      <c r="F87" s="402" cm="1">
        <f t="array" ref="F87">INDEX('LT Collect Forecast'!$K$1:$Q$55,MATCH(B87,'LT Collect Forecast'!$A:$A,0)+1,MATCH(C87,'LT Collect Forecast'!$K$2:$Q$2,0))</f>
        <v>1050</v>
      </c>
      <c r="G87" s="44" cm="1">
        <f t="array" ref="G87">INDEX('LT HD Forecast'!$K$1:$Q$55,MATCH(B87,'LT HD Forecast'!$A:$A,0)+1,MATCH(C87,'LT HD Forecast'!$K$2:$Q$2,0))</f>
        <v>1868.6666666666667</v>
      </c>
      <c r="H87" s="44" cm="1">
        <f t="array" ref="H87">IFERROR(INDEX('ST Forecast'!$E$2:$RK$36,6,M87),"")</f>
        <v>50.961413280887072</v>
      </c>
      <c r="I87" s="44" cm="1">
        <f t="array" ref="I87">IFERROR(INDEX('ST Forecast'!$E$2:$RK$36,7,M87),"")</f>
        <v>52.661303481028519</v>
      </c>
      <c r="J87" s="44">
        <f>SUM(DB[[#This Row],[Sales-FC-Picks-Collect]:[Sales-FC-Picks-HD]])</f>
        <v>151915.90638314671</v>
      </c>
      <c r="K87" s="44">
        <f t="shared" si="41"/>
        <v>53509.483944931424</v>
      </c>
      <c r="L87" s="44">
        <f t="shared" si="42"/>
        <v>98406.42243821529</v>
      </c>
      <c r="M87" s="403">
        <f>IFERROR(IF(B87=B86,M86+1,MATCH(B87,'ST Forecast'!$E$2:$RK$2,0)+1),"")</f>
        <v>95</v>
      </c>
      <c r="N87">
        <f>SUM(DB[[#This Row],[Ops-FC-Orders-Collect]:[Ops-FC-Orders-HD]])</f>
        <v>2900</v>
      </c>
      <c r="O87" s="44" cm="1">
        <f t="array" ref="O87">IFERROR(INDEX('ST Forecast'!$E$2:$RK$36,13,M87),"")</f>
        <v>1050</v>
      </c>
      <c r="P87" s="44">
        <f t="shared" si="43"/>
        <v>1850</v>
      </c>
      <c r="Q87" s="44" cm="1">
        <f t="array" ref="Q87">IFERROR(INDEX('ST Forecast'!$E$2:$RK$36,14,M87),"")</f>
        <v>950</v>
      </c>
      <c r="R87" s="44" cm="1">
        <f t="array" ref="R87">IFERROR(INDEX('ST Forecast'!$E$2:$RK$36,15,M87),"")</f>
        <v>900</v>
      </c>
      <c r="S87" s="312">
        <f>SUM(DB[[#This Row],[Ops-FC-Picks-Collect]:[Ops-FC-Picks-HD]])</f>
        <v>147914.2374771375</v>
      </c>
      <c r="T87" s="44">
        <f t="shared" si="44"/>
        <v>52439.294266032797</v>
      </c>
      <c r="U87" s="44">
        <f t="shared" si="45"/>
        <v>95474.943211104706</v>
      </c>
      <c r="V87" s="44">
        <f t="shared" si="46"/>
        <v>49027.673540837553</v>
      </c>
      <c r="W87" s="404">
        <f t="shared" si="47"/>
        <v>46447.269670267153</v>
      </c>
      <c r="X87" s="44">
        <f>SUM(DB[[#This Row],[Capped-Orders-Collect]:[Capped-Orders-HD]])</f>
        <v>90</v>
      </c>
      <c r="Y87">
        <f>INDEX('Operations Forecast'!$A$2:$BGY$47,3,MATCH(DB!D87,'Operations Forecast'!$A$2:$BGY$2))</f>
        <v>0</v>
      </c>
      <c r="Z87">
        <f t="shared" si="48"/>
        <v>90</v>
      </c>
      <c r="AA87">
        <f>INDEX('Operations Forecast'!$A$2:$BGY$47,10,MATCH(DB!D87,'Operations Forecast'!$A$2:$BGY$2))</f>
        <v>90</v>
      </c>
      <c r="AB87">
        <f>INDEX('Operations Forecast'!$A$2:$BGY$47,21,MATCH(DB!D87,'Operations Forecast'!$A$2:$BGY$2))</f>
        <v>0</v>
      </c>
      <c r="AC87" s="312">
        <f>SUM(DB[[#This Row],[Act-Orders-Collect]:[Act-Orders-HD]])</f>
        <v>2826</v>
      </c>
      <c r="AD87" s="858">
        <f>IFERROR(INDEX('Operations Forecast_new'!$7:$7,MATCH(DB[[#This Row],[Datum]],'Operations Forecast_new'!$2:$2,0)),0)</f>
        <v>895</v>
      </c>
      <c r="AE87" s="312">
        <f t="shared" si="49"/>
        <v>1931</v>
      </c>
      <c r="AF87" s="858">
        <f>IFERROR(INDEX('Operations Forecast_new'!$13:$13,MATCH(DB[[#This Row],[Datum]],'Operations Forecast_new'!$2:$2,0)),0)</f>
        <v>1064</v>
      </c>
      <c r="AG87" s="858">
        <f>IFERROR(INDEX('Operations Forecast_new'!$19:$19,MATCH(DB[[#This Row],[Datum]],'Operations Forecast_new'!$2:$2,0)),0)</f>
        <v>867</v>
      </c>
      <c r="AH87" s="312">
        <f t="shared" si="37"/>
        <v>143108.95500000002</v>
      </c>
      <c r="AI87" s="858">
        <f>IFERROR(INDEX('Operations Forecast_new'!$9:$9,MATCH(DB[[#This Row],[Datum]],'Operations Forecast_new'!$2:$2,0)),0)</f>
        <v>44656.92</v>
      </c>
      <c r="AJ87" s="312">
        <f t="shared" si="50"/>
        <v>98452.035000000003</v>
      </c>
      <c r="AK87" s="858">
        <f>IFERROR(INDEX('Operations Forecast_new'!$15:$15,MATCH(DB[[#This Row],[Datum]],'Operations Forecast_new'!$2:$2,0)),0)</f>
        <v>54248.04</v>
      </c>
      <c r="AL87" s="858">
        <f>IFERROR(INDEX('Operations Forecast_new'!$21:$21,MATCH(DB[[#This Row],[Datum]],'Operations Forecast_new'!$2:$2,0)),0)</f>
        <v>44203.995000000003</v>
      </c>
      <c r="AM87" s="178">
        <f>IFERROR(INDEX('Operations Forecast_new'!$8:$8,MATCH(DB[[#This Row],[Datum]],'Operations Forecast_new'!$2:$2,0)),0)</f>
        <v>50.4</v>
      </c>
      <c r="AN87" s="859">
        <f>IFERROR(INDEX('Operations Forecast_new'!$20:$20,MATCH(DB[[#This Row],[Datum]],'Operations Forecast_new'!$2:$2,0)),0)</f>
        <v>51.5</v>
      </c>
      <c r="AO87" s="44">
        <f t="shared" si="51"/>
        <v>49.896000000000001</v>
      </c>
      <c r="AP87" s="404">
        <f t="shared" si="52"/>
        <v>50.984999999999999</v>
      </c>
      <c r="AQ87" s="44">
        <f t="shared" si="38"/>
        <v>125551.00000000003</v>
      </c>
      <c r="AR87" s="44" cm="1">
        <f t="array" ref="AR87">IFERROR(INDEX('ST Forecast'!$E$2:$RK$36,25,M87)+(INDEX('ST Forecast'!$E$2:$RK$36,29,M87)),"")</f>
        <v>65979.272449008451</v>
      </c>
      <c r="AS87" s="44" cm="1">
        <f t="array" ref="AS87">IFERROR(INDEX('ST Forecast'!$E$2:$RK$36,26,M87)+INDEX('ST Forecast'!$E$2:$RK$36,30,M87),"")</f>
        <v>46535.309892125246</v>
      </c>
      <c r="AT87" s="44" cm="1">
        <f t="array" ref="AT87">IFERROR(INDEX('ST Forecast'!$E$2:$RK$36,27,M87)+INDEX('ST Forecast'!$E$2:$RK$36,31,M87),"")</f>
        <v>6400.3145702420288</v>
      </c>
      <c r="AU87" s="44" cm="1">
        <f t="array" ref="AU87">IFERROR(INDEX('ST Forecast'!$E$2:$RK$36,28,M87),"")</f>
        <v>6636.1030886242879</v>
      </c>
      <c r="AV87" s="44" cm="1">
        <f t="array" ref="AV87">IFERROR(INDEX('ST Forecast'!$E$2:$RK$36,29,M87),"")</f>
        <v>0</v>
      </c>
      <c r="AW87" s="44">
        <f>DB[[#This Row],[Inbound FC]]-DB[[#This Row],[Inbound Act - Ultrafresh2]]</f>
        <v>125551.00000000003</v>
      </c>
      <c r="AX87" s="178" t="e">
        <f>#REF!</f>
        <v>#REF!</v>
      </c>
      <c r="AY87" s="178" t="e">
        <f>#REF!</f>
        <v>#REF!</v>
      </c>
      <c r="AZ87" s="178" t="e">
        <f>#REF!</f>
        <v>#REF!</v>
      </c>
      <c r="BA87" s="178">
        <f>MONTH(DB[[#This Row],[Datum]])</f>
        <v>3</v>
      </c>
    </row>
    <row r="88" spans="1:53" x14ac:dyDescent="0.3">
      <c r="A88" s="44">
        <f t="shared" si="39"/>
        <v>12</v>
      </c>
      <c r="B88" t="str">
        <f t="shared" si="40"/>
        <v>Wk 12</v>
      </c>
      <c r="C88" t="s">
        <v>119</v>
      </c>
      <c r="D88" s="313">
        <v>44647</v>
      </c>
      <c r="E88" s="44">
        <f>DB[[#This Row],[Sales-FC-Orders-Collect]]+DB[[#This Row],[Sales-FC-Orders-HD]]</f>
        <v>100</v>
      </c>
      <c r="F88" s="402" cm="1">
        <f t="array" ref="F88">INDEX('LT Collect Forecast'!$K$1:$Q$55,MATCH(B88,'LT Collect Forecast'!$A:$A,0)+1,MATCH(C88,'LT Collect Forecast'!$K$2:$Q$2,0))</f>
        <v>0</v>
      </c>
      <c r="G88" s="44" cm="1">
        <f t="array" ref="G88">INDEX('LT HD Forecast'!$K$1:$Q$55,MATCH(B88,'LT HD Forecast'!$A:$A,0)+1,MATCH(C88,'LT HD Forecast'!$K$2:$Q$2,0))</f>
        <v>100</v>
      </c>
      <c r="H88" s="44" cm="1">
        <f t="array" ref="H88">IFERROR(INDEX('ST Forecast'!$E$2:$RK$36,6,M88),"")</f>
        <v>0</v>
      </c>
      <c r="I88" s="44" cm="1">
        <f t="array" ref="I88">IFERROR(INDEX('ST Forecast'!$E$2:$RK$36,7,M88),"")</f>
        <v>59.743213348737669</v>
      </c>
      <c r="J88" s="44">
        <f>SUM(DB[[#This Row],[Sales-FC-Picks-Collect]:[Sales-FC-Picks-HD]])</f>
        <v>5974.3213348737672</v>
      </c>
      <c r="K88" s="44">
        <f t="shared" si="41"/>
        <v>0</v>
      </c>
      <c r="L88" s="44">
        <f t="shared" si="42"/>
        <v>5974.3213348737672</v>
      </c>
      <c r="M88" s="403">
        <f>IFERROR(IF(B88=B87,M87+1,MATCH(B88,'ST Forecast'!$E$2:$RK$2,0)+1),"")</f>
        <v>96</v>
      </c>
      <c r="N88">
        <f>SUM(DB[[#This Row],[Ops-FC-Orders-Collect]:[Ops-FC-Orders-HD]])</f>
        <v>100</v>
      </c>
      <c r="O88" s="44" cm="1">
        <f t="array" ref="O88">IFERROR(INDEX('ST Forecast'!$E$2:$RK$36,13,M88),"")</f>
        <v>0</v>
      </c>
      <c r="P88" s="44">
        <f t="shared" si="43"/>
        <v>100</v>
      </c>
      <c r="Q88" s="44" cm="1">
        <f t="array" ref="Q88">IFERROR(INDEX('ST Forecast'!$E$2:$RK$36,14,M88),"")</f>
        <v>100</v>
      </c>
      <c r="R88" s="44" cm="1">
        <f t="array" ref="R88">IFERROR(INDEX('ST Forecast'!$E$2:$RK$36,15,M88),"")</f>
        <v>0</v>
      </c>
      <c r="S88" s="312">
        <f>SUM(DB[[#This Row],[Ops-FC-Picks-Collect]:[Ops-FC-Picks-HD]])</f>
        <v>5854.8349081762917</v>
      </c>
      <c r="T88" s="44">
        <f t="shared" si="44"/>
        <v>0</v>
      </c>
      <c r="U88" s="44">
        <f t="shared" si="45"/>
        <v>5854.8349081762917</v>
      </c>
      <c r="V88" s="44">
        <f t="shared" si="46"/>
        <v>5854.8349081762917</v>
      </c>
      <c r="W88" s="404">
        <f t="shared" si="47"/>
        <v>0</v>
      </c>
      <c r="X88" s="44">
        <f>SUM(DB[[#This Row],[Capped-Orders-Collect]:[Capped-Orders-HD]])</f>
        <v>90</v>
      </c>
      <c r="Y88">
        <f>INDEX('Operations Forecast'!$A$2:$BGY$47,3,MATCH(DB!D88,'Operations Forecast'!$A$2:$BGY$2))</f>
        <v>0</v>
      </c>
      <c r="Z88">
        <f t="shared" si="48"/>
        <v>90</v>
      </c>
      <c r="AA88">
        <f>INDEX('Operations Forecast'!$A$2:$BGY$47,10,MATCH(DB!D88,'Operations Forecast'!$A$2:$BGY$2))</f>
        <v>90</v>
      </c>
      <c r="AB88">
        <f>INDEX('Operations Forecast'!$A$2:$BGY$47,21,MATCH(DB!D88,'Operations Forecast'!$A$2:$BGY$2))</f>
        <v>0</v>
      </c>
      <c r="AC88" s="312">
        <f>SUM(DB[[#This Row],[Act-Orders-Collect]:[Act-Orders-HD]])</f>
        <v>87</v>
      </c>
      <c r="AD88" s="858">
        <f>IFERROR(INDEX('Operations Forecast_new'!$7:$7,MATCH(DB[[#This Row],[Datum]],'Operations Forecast_new'!$2:$2,0)),0)</f>
        <v>0</v>
      </c>
      <c r="AE88" s="312">
        <f t="shared" si="49"/>
        <v>87</v>
      </c>
      <c r="AF88" s="858">
        <f>IFERROR(INDEX('Operations Forecast_new'!$13:$13,MATCH(DB[[#This Row],[Datum]],'Operations Forecast_new'!$2:$2,0)),0)</f>
        <v>87</v>
      </c>
      <c r="AG88" s="858">
        <f>IFERROR(INDEX('Operations Forecast_new'!$19:$19,MATCH(DB[[#This Row],[Datum]],'Operations Forecast_new'!$2:$2,0)),0)</f>
        <v>0</v>
      </c>
      <c r="AH88" s="312">
        <f t="shared" si="37"/>
        <v>4616.5680000000002</v>
      </c>
      <c r="AI88" s="858">
        <f>IFERROR(INDEX('Operations Forecast_new'!$9:$9,MATCH(DB[[#This Row],[Datum]],'Operations Forecast_new'!$2:$2,0)),0)</f>
        <v>0</v>
      </c>
      <c r="AJ88" s="312">
        <f t="shared" si="50"/>
        <v>4616.5680000000002</v>
      </c>
      <c r="AK88" s="858">
        <f>IFERROR(INDEX('Operations Forecast_new'!$15:$15,MATCH(DB[[#This Row],[Datum]],'Operations Forecast_new'!$2:$2,0)),0)</f>
        <v>4616.5680000000002</v>
      </c>
      <c r="AL88" s="858">
        <f>IFERROR(INDEX('Operations Forecast_new'!$21:$21,MATCH(DB[[#This Row],[Datum]],'Operations Forecast_new'!$2:$2,0)),0)</f>
        <v>0</v>
      </c>
      <c r="AM88" s="178">
        <f>IFERROR(INDEX('Operations Forecast_new'!$8:$8,MATCH(DB[[#This Row],[Datum]],'Operations Forecast_new'!$2:$2,0)),0)</f>
        <v>0</v>
      </c>
      <c r="AN88" s="859">
        <f>IFERROR(INDEX('Operations Forecast_new'!$20:$20,MATCH(DB[[#This Row],[Datum]],'Operations Forecast_new'!$2:$2,0)),0)</f>
        <v>59.743213348737669</v>
      </c>
      <c r="AO88" s="44" t="str">
        <f t="shared" si="51"/>
        <v>-</v>
      </c>
      <c r="AP88" s="404">
        <f t="shared" si="52"/>
        <v>53.064</v>
      </c>
      <c r="AQ88" s="44">
        <f t="shared" si="38"/>
        <v>0</v>
      </c>
      <c r="AR88" s="44" cm="1">
        <f t="array" ref="AR88">IFERROR(INDEX('ST Forecast'!$E$2:$RK$36,25,M88)+(INDEX('ST Forecast'!$E$2:$RK$36,29,M88)),"")</f>
        <v>0</v>
      </c>
      <c r="AS88" s="44" cm="1">
        <f t="array" ref="AS88">IFERROR(INDEX('ST Forecast'!$E$2:$RK$36,26,M88)+INDEX('ST Forecast'!$E$2:$RK$36,30,M88),"")</f>
        <v>0</v>
      </c>
      <c r="AT88" s="44" cm="1">
        <f t="array" ref="AT88">IFERROR(INDEX('ST Forecast'!$E$2:$RK$36,27,M88)+INDEX('ST Forecast'!$E$2:$RK$36,31,M88),"")</f>
        <v>0</v>
      </c>
      <c r="AU88" s="44" cm="1">
        <f t="array" ref="AU88">IFERROR(INDEX('ST Forecast'!$E$2:$RK$36,28,M88),"")</f>
        <v>0</v>
      </c>
      <c r="AV88" s="44" cm="1">
        <f t="array" ref="AV88">IFERROR(INDEX('ST Forecast'!$E$2:$RK$36,29,M88),"")</f>
        <v>0</v>
      </c>
      <c r="AW88" s="44">
        <f>DB[[#This Row],[Inbound FC]]-DB[[#This Row],[Inbound Act - Ultrafresh2]]</f>
        <v>0</v>
      </c>
      <c r="AX88" s="178" t="e">
        <f>#REF!</f>
        <v>#REF!</v>
      </c>
      <c r="AY88" s="178" t="e">
        <f>#REF!</f>
        <v>#REF!</v>
      </c>
      <c r="AZ88" s="178" t="e">
        <f>#REF!</f>
        <v>#REF!</v>
      </c>
      <c r="BA88" s="178">
        <f>MONTH(DB[[#This Row],[Datum]])</f>
        <v>3</v>
      </c>
    </row>
    <row r="89" spans="1:53" x14ac:dyDescent="0.3">
      <c r="A89" s="44">
        <f t="shared" si="39"/>
        <v>13</v>
      </c>
      <c r="B89" t="str">
        <f t="shared" si="40"/>
        <v>Wk 13</v>
      </c>
      <c r="C89" t="s">
        <v>113</v>
      </c>
      <c r="D89" s="313">
        <v>44648</v>
      </c>
      <c r="E89" s="44">
        <f>DB[[#This Row],[Sales-FC-Orders-Collect]]+DB[[#This Row],[Sales-FC-Orders-HD]]</f>
        <v>2316.1441441441439</v>
      </c>
      <c r="F89" s="402">
        <f>INDEX('LT Collect Forecast'!$K$1:$Q$55,MATCH(B89,'LT Collect Forecast'!$A:$A,0),MATCH(C89,'LT Collect Forecast'!$K$2:$Q$2,0))</f>
        <v>700</v>
      </c>
      <c r="G89" s="44">
        <f>INDEX('LT HD Forecast'!$K$1:$Q$55,MATCH(B89,'LT HD Forecast'!$A:$A,0),MATCH(C89,'LT HD Forecast'!$K$2:$Q$2,0))</f>
        <v>1616.1441441441441</v>
      </c>
      <c r="H89" s="44" cm="1">
        <f t="array" ref="H89">IFERROR(INDEX('ST Forecast'!$E$2:$RK$36,6,M89),"")</f>
        <v>48.850490554155932</v>
      </c>
      <c r="I89" s="44" cm="1">
        <f t="array" ref="I89">IFERROR(INDEX('ST Forecast'!$E$2:$RK$36,7,M89),"")</f>
        <v>52.347479765907643</v>
      </c>
      <c r="J89" s="44">
        <f>SUM(DB[[#This Row],[Sales-FC-Picks-Collect]:[Sales-FC-Picks-HD]])</f>
        <v>118796.41627228487</v>
      </c>
      <c r="K89" s="44">
        <f t="shared" si="41"/>
        <v>34195.343387909154</v>
      </c>
      <c r="L89" s="44">
        <f t="shared" si="42"/>
        <v>84601.07288437571</v>
      </c>
      <c r="M89" s="403">
        <f>IFERROR(IF(B89=B88,M88+1,MATCH(B89,'ST Forecast'!$E$2:$RK$2,0)+1),"")</f>
        <v>98</v>
      </c>
      <c r="N89">
        <f>SUM(DB[[#This Row],[Ops-FC-Orders-Collect]:[Ops-FC-Orders-HD]])</f>
        <v>2300</v>
      </c>
      <c r="O89" s="44" cm="1">
        <f t="array" ref="O89">IFERROR(INDEX('ST Forecast'!$E$2:$RK$36,13,M89),"")</f>
        <v>700</v>
      </c>
      <c r="P89" s="44">
        <f t="shared" si="43"/>
        <v>1600</v>
      </c>
      <c r="Q89" s="44" cm="1">
        <f t="array" ref="Q89">IFERROR(INDEX('ST Forecast'!$E$2:$RK$36,14,M89),"")</f>
        <v>700</v>
      </c>
      <c r="R89" s="44" cm="1">
        <f t="array" ref="R89">IFERROR(INDEX('ST Forecast'!$E$2:$RK$36,15,M89),"")</f>
        <v>900</v>
      </c>
      <c r="S89" s="312">
        <f>SUM(DB[[#This Row],[Ops-FC-Picks-Collect]:[Ops-FC-Picks-HD]])</f>
        <v>115592.28479309415</v>
      </c>
      <c r="T89" s="44">
        <f t="shared" si="44"/>
        <v>33511.436520150972</v>
      </c>
      <c r="U89" s="44">
        <f t="shared" si="45"/>
        <v>82080.848272943171</v>
      </c>
      <c r="V89" s="44">
        <f t="shared" si="46"/>
        <v>35910.371119412637</v>
      </c>
      <c r="W89" s="404">
        <f t="shared" si="47"/>
        <v>46170.477153530541</v>
      </c>
      <c r="X89" s="44">
        <f>SUM(DB[[#This Row],[Capped-Orders-Collect]:[Capped-Orders-HD]])</f>
        <v>90</v>
      </c>
      <c r="Y89">
        <f>INDEX('Operations Forecast'!$A$2:$BGY$47,3,MATCH(DB!D89,'Operations Forecast'!$A$2:$BGY$2))</f>
        <v>0</v>
      </c>
      <c r="Z89">
        <f t="shared" si="48"/>
        <v>90</v>
      </c>
      <c r="AA89">
        <f>INDEX('Operations Forecast'!$A$2:$BGY$47,10,MATCH(DB!D89,'Operations Forecast'!$A$2:$BGY$2))</f>
        <v>90</v>
      </c>
      <c r="AB89">
        <f>INDEX('Operations Forecast'!$A$2:$BGY$47,21,MATCH(DB!D89,'Operations Forecast'!$A$2:$BGY$2))</f>
        <v>0</v>
      </c>
      <c r="AC89" s="312">
        <f>SUM(DB[[#This Row],[Act-Orders-Collect]:[Act-Orders-HD]])</f>
        <v>2277</v>
      </c>
      <c r="AD89" s="858">
        <f>IFERROR(INDEX('Operations Forecast_new'!$7:$7,MATCH(DB[[#This Row],[Datum]],'Operations Forecast_new'!$2:$2,0)),0)</f>
        <v>690</v>
      </c>
      <c r="AE89" s="312">
        <f t="shared" si="49"/>
        <v>1587</v>
      </c>
      <c r="AF89" s="858">
        <f>IFERROR(INDEX('Operations Forecast_new'!$13:$13,MATCH(DB[[#This Row],[Datum]],'Operations Forecast_new'!$2:$2,0)),0)</f>
        <v>705</v>
      </c>
      <c r="AG89" s="858">
        <f>IFERROR(INDEX('Operations Forecast_new'!$19:$19,MATCH(DB[[#This Row],[Datum]],'Operations Forecast_new'!$2:$2,0)),0)</f>
        <v>882</v>
      </c>
      <c r="AH89" s="312">
        <f t="shared" si="37"/>
        <v>111010.58100000001</v>
      </c>
      <c r="AI89" s="858">
        <f>IFERROR(INDEX('Operations Forecast_new'!$9:$9,MATCH(DB[[#This Row],[Datum]],'Operations Forecast_new'!$2:$2,0)),0)</f>
        <v>31354.29</v>
      </c>
      <c r="AJ89" s="312">
        <f t="shared" si="50"/>
        <v>79656.290999999997</v>
      </c>
      <c r="AK89" s="858">
        <f>IFERROR(INDEX('Operations Forecast_new'!$15:$15,MATCH(DB[[#This Row],[Datum]],'Operations Forecast_new'!$2:$2,0)),0)</f>
        <v>35386.065000000002</v>
      </c>
      <c r="AL89" s="858">
        <f>IFERROR(INDEX('Operations Forecast_new'!$21:$21,MATCH(DB[[#This Row],[Datum]],'Operations Forecast_new'!$2:$2,0)),0)</f>
        <v>44270.226000000002</v>
      </c>
      <c r="AM89" s="178">
        <f>IFERROR(INDEX('Operations Forecast_new'!$8:$8,MATCH(DB[[#This Row],[Datum]],'Operations Forecast_new'!$2:$2,0)),0)</f>
        <v>45.9</v>
      </c>
      <c r="AN89" s="859">
        <f>IFERROR(INDEX('Operations Forecast_new'!$20:$20,MATCH(DB[[#This Row],[Datum]],'Operations Forecast_new'!$2:$2,0)),0)</f>
        <v>50.7</v>
      </c>
      <c r="AO89" s="44">
        <f t="shared" si="51"/>
        <v>45.441000000000003</v>
      </c>
      <c r="AP89" s="404">
        <f t="shared" si="52"/>
        <v>50.192999999999998</v>
      </c>
      <c r="AQ89" s="44">
        <f t="shared" si="38"/>
        <v>256188.00000000006</v>
      </c>
      <c r="AR89" s="44" cm="1">
        <f t="array" ref="AR89">IFERROR(INDEX('ST Forecast'!$E$2:$RK$36,25,M89)+(INDEX('ST Forecast'!$E$2:$RK$36,29,M89)),"")</f>
        <v>98963.916255385659</v>
      </c>
      <c r="AS89" s="44" cm="1">
        <f t="array" ref="AS89">IFERROR(INDEX('ST Forecast'!$E$2:$RK$36,26,M89)+INDEX('ST Forecast'!$E$2:$RK$36,30,M89),"")</f>
        <v>70328.09061450552</v>
      </c>
      <c r="AT89" s="44" cm="1">
        <f t="array" ref="AT89">IFERROR(INDEX('ST Forecast'!$E$2:$RK$36,27,M89)+INDEX('ST Forecast'!$E$2:$RK$36,31,M89),"")</f>
        <v>79354.157566202324</v>
      </c>
      <c r="AU89" s="44" cm="1">
        <f t="array" ref="AU89">IFERROR(INDEX('ST Forecast'!$E$2:$RK$36,28,M89),"")</f>
        <v>7541.8355639065167</v>
      </c>
      <c r="AV89" s="44" cm="1">
        <f t="array" ref="AV89">IFERROR(INDEX('ST Forecast'!$E$2:$RK$36,29,M89),"")</f>
        <v>0</v>
      </c>
      <c r="AW89" s="44">
        <f>DB[[#This Row],[Inbound FC]]-DB[[#This Row],[Inbound Act - Ultrafresh2]]</f>
        <v>256188.00000000006</v>
      </c>
      <c r="AX89" s="178" t="e">
        <f>#REF!</f>
        <v>#REF!</v>
      </c>
      <c r="AY89" s="178" t="e">
        <f>#REF!</f>
        <v>#REF!</v>
      </c>
      <c r="AZ89" s="178" t="e">
        <f>#REF!</f>
        <v>#REF!</v>
      </c>
      <c r="BA89" s="178">
        <f>MONTH(DB[[#This Row],[Datum]])</f>
        <v>3</v>
      </c>
    </row>
    <row r="90" spans="1:53" x14ac:dyDescent="0.3">
      <c r="A90" s="44">
        <f t="shared" si="39"/>
        <v>13</v>
      </c>
      <c r="B90" t="str">
        <f t="shared" si="40"/>
        <v>Wk 13</v>
      </c>
      <c r="C90" t="s">
        <v>114</v>
      </c>
      <c r="D90" s="313">
        <v>44649</v>
      </c>
      <c r="E90" s="44">
        <f>DB[[#This Row],[Sales-FC-Orders-Collect]]+DB[[#This Row],[Sales-FC-Orders-HD]]</f>
        <v>2469.6756756756758</v>
      </c>
      <c r="F90" s="402">
        <f>INDEX('LT Collect Forecast'!$K$1:$Q$55,MATCH(B90,'LT Collect Forecast'!$A:$A,0),MATCH(C90,'LT Collect Forecast'!$K$2:$Q$2,0))</f>
        <v>500</v>
      </c>
      <c r="G90" s="44">
        <f>INDEX('LT HD Forecast'!$K$1:$Q$55,MATCH(B90,'LT HD Forecast'!$A:$A,0),MATCH(C90,'LT HD Forecast'!$K$2:$Q$2,0))</f>
        <v>1969.6756756756756</v>
      </c>
      <c r="H90" s="44" cm="1">
        <f t="array" ref="H90">IFERROR(INDEX('ST Forecast'!$E$2:$RK$36,6,M90),"")</f>
        <v>46.954696741216466</v>
      </c>
      <c r="I90" s="44" cm="1">
        <f t="array" ref="I90">IFERROR(INDEX('ST Forecast'!$E$2:$RK$36,7,M90),"")</f>
        <v>49.896965460115545</v>
      </c>
      <c r="J90" s="44">
        <f>SUM(DB[[#This Row],[Sales-FC-Picks-Collect]:[Sales-FC-Picks-HD]])</f>
        <v>121758.18752742717</v>
      </c>
      <c r="K90" s="44">
        <f t="shared" si="41"/>
        <v>23477.348370608233</v>
      </c>
      <c r="L90" s="44">
        <f t="shared" si="42"/>
        <v>98280.83915681894</v>
      </c>
      <c r="M90" s="403">
        <f>IFERROR(IF(B90=B89,M89+1,MATCH(B90,'ST Forecast'!$E$2:$RK$2,0)+1),"")</f>
        <v>99</v>
      </c>
      <c r="N90">
        <f>SUM(DB[[#This Row],[Ops-FC-Orders-Collect]:[Ops-FC-Orders-HD]])</f>
        <v>2500</v>
      </c>
      <c r="O90" s="44" cm="1">
        <f t="array" ref="O90">IFERROR(INDEX('ST Forecast'!$E$2:$RK$36,13,M90),"")</f>
        <v>500</v>
      </c>
      <c r="P90" s="44">
        <f t="shared" si="43"/>
        <v>2000</v>
      </c>
      <c r="Q90" s="44" cm="1">
        <f t="array" ref="Q90">IFERROR(INDEX('ST Forecast'!$E$2:$RK$36,14,M90),"")</f>
        <v>1000</v>
      </c>
      <c r="R90" s="44" cm="1">
        <f t="array" ref="R90">IFERROR(INDEX('ST Forecast'!$E$2:$RK$36,15,M90),"")</f>
        <v>1000</v>
      </c>
      <c r="S90" s="312">
        <f>SUM(DB[[#This Row],[Ops-FC-Picks-Collect]:[Ops-FC-Picks-HD]])</f>
        <v>120805.85370502254</v>
      </c>
      <c r="T90" s="44">
        <f t="shared" si="44"/>
        <v>23007.801403196067</v>
      </c>
      <c r="U90" s="44">
        <f t="shared" si="45"/>
        <v>97798.052301826479</v>
      </c>
      <c r="V90" s="44">
        <f t="shared" si="46"/>
        <v>48899.02615091324</v>
      </c>
      <c r="W90" s="404">
        <f t="shared" si="47"/>
        <v>48899.02615091324</v>
      </c>
      <c r="X90" s="44">
        <f>SUM(DB[[#This Row],[Capped-Orders-Collect]:[Capped-Orders-HD]])</f>
        <v>90</v>
      </c>
      <c r="Y90">
        <f>INDEX('Operations Forecast'!$A$2:$BGY$47,3,MATCH(DB!D90,'Operations Forecast'!$A$2:$BGY$2))</f>
        <v>0</v>
      </c>
      <c r="Z90">
        <f t="shared" si="48"/>
        <v>90</v>
      </c>
      <c r="AA90">
        <f>INDEX('Operations Forecast'!$A$2:$BGY$47,10,MATCH(DB!D90,'Operations Forecast'!$A$2:$BGY$2))</f>
        <v>90</v>
      </c>
      <c r="AB90">
        <f>INDEX('Operations Forecast'!$A$2:$BGY$47,21,MATCH(DB!D90,'Operations Forecast'!$A$2:$BGY$2))</f>
        <v>0</v>
      </c>
      <c r="AC90" s="312">
        <f>SUM(DB[[#This Row],[Act-Orders-Collect]:[Act-Orders-HD]])</f>
        <v>2400</v>
      </c>
      <c r="AD90" s="858">
        <f>IFERROR(INDEX('Operations Forecast_new'!$7:$7,MATCH(DB[[#This Row],[Datum]],'Operations Forecast_new'!$2:$2,0)),0)</f>
        <v>450</v>
      </c>
      <c r="AE90" s="312">
        <f t="shared" si="49"/>
        <v>1950</v>
      </c>
      <c r="AF90" s="858">
        <f>IFERROR(INDEX('Operations Forecast_new'!$13:$13,MATCH(DB[[#This Row],[Datum]],'Operations Forecast_new'!$2:$2,0)),0)</f>
        <v>900</v>
      </c>
      <c r="AG90" s="858">
        <f>IFERROR(INDEX('Operations Forecast_new'!$19:$19,MATCH(DB[[#This Row],[Datum]],'Operations Forecast_new'!$2:$2,0)),0)</f>
        <v>1050</v>
      </c>
      <c r="AH90" s="312">
        <f t="shared" si="37"/>
        <v>112904.55</v>
      </c>
      <c r="AI90" s="858">
        <f>IFERROR(INDEX('Operations Forecast_new'!$9:$9,MATCH(DB[[#This Row],[Datum]],'Operations Forecast_new'!$2:$2,0)),0)</f>
        <v>21205.8</v>
      </c>
      <c r="AJ90" s="312">
        <f t="shared" si="50"/>
        <v>91698.75</v>
      </c>
      <c r="AK90" s="858">
        <f>IFERROR(INDEX('Operations Forecast_new'!$15:$15,MATCH(DB[[#This Row],[Datum]],'Operations Forecast_new'!$2:$2,0)),0)</f>
        <v>42322.5</v>
      </c>
      <c r="AL90" s="858">
        <f>IFERROR(INDEX('Operations Forecast_new'!$21:$21,MATCH(DB[[#This Row],[Datum]],'Operations Forecast_new'!$2:$2,0)),0)</f>
        <v>49376.25</v>
      </c>
      <c r="AM90" s="178">
        <f>IFERROR(INDEX('Operations Forecast_new'!$8:$8,MATCH(DB[[#This Row],[Datum]],'Operations Forecast_new'!$2:$2,0)),0)</f>
        <v>47.6</v>
      </c>
      <c r="AN90" s="859">
        <f>IFERROR(INDEX('Operations Forecast_new'!$20:$20,MATCH(DB[[#This Row],[Datum]],'Operations Forecast_new'!$2:$2,0)),0)</f>
        <v>47.5</v>
      </c>
      <c r="AO90" s="44">
        <f t="shared" si="51"/>
        <v>47.123999999999995</v>
      </c>
      <c r="AP90" s="404">
        <f t="shared" si="52"/>
        <v>47.024999999999999</v>
      </c>
      <c r="AQ90" s="44">
        <f t="shared" si="38"/>
        <v>135479.00000000009</v>
      </c>
      <c r="AR90" s="44" cm="1">
        <f t="array" ref="AR90">IFERROR(INDEX('ST Forecast'!$E$2:$RK$36,25,M90)+(INDEX('ST Forecast'!$E$2:$RK$36,29,M90)),"")</f>
        <v>59969.249382521368</v>
      </c>
      <c r="AS90" s="44" cm="1">
        <f t="array" ref="AS90">IFERROR(INDEX('ST Forecast'!$E$2:$RK$36,26,M90)+INDEX('ST Forecast'!$E$2:$RK$36,30,M90),"")</f>
        <v>62900.571572898647</v>
      </c>
      <c r="AT90" s="44" cm="1">
        <f t="array" ref="AT90">IFERROR(INDEX('ST Forecast'!$E$2:$RK$36,27,M90)+INDEX('ST Forecast'!$E$2:$RK$36,31,M90),"")</f>
        <v>5918.5728725316458</v>
      </c>
      <c r="AU90" s="44" cm="1">
        <f t="array" ref="AU90">IFERROR(INDEX('ST Forecast'!$E$2:$RK$36,28,M90),"")</f>
        <v>6690.6061720484195</v>
      </c>
      <c r="AV90" s="44" cm="1">
        <f t="array" ref="AV90">IFERROR(INDEX('ST Forecast'!$E$2:$RK$36,29,M90),"")</f>
        <v>0</v>
      </c>
      <c r="AW90" s="44">
        <f>DB[[#This Row],[Inbound FC]]-DB[[#This Row],[Inbound Act - Ultrafresh2]]</f>
        <v>135479.00000000009</v>
      </c>
      <c r="AX90" s="178" t="e">
        <f>#REF!</f>
        <v>#REF!</v>
      </c>
      <c r="AY90" s="178" t="e">
        <f>#REF!</f>
        <v>#REF!</v>
      </c>
      <c r="AZ90" s="178" t="e">
        <f>#REF!</f>
        <v>#REF!</v>
      </c>
      <c r="BA90" s="178">
        <f>MONTH(DB[[#This Row],[Datum]])</f>
        <v>3</v>
      </c>
    </row>
    <row r="91" spans="1:53" x14ac:dyDescent="0.3">
      <c r="A91" s="44">
        <f t="shared" si="39"/>
        <v>13</v>
      </c>
      <c r="B91" t="str">
        <f t="shared" si="40"/>
        <v>Wk 13</v>
      </c>
      <c r="C91" t="s">
        <v>115</v>
      </c>
      <c r="D91" s="313">
        <v>44650</v>
      </c>
      <c r="E91" s="44">
        <f>DB[[#This Row],[Sales-FC-Orders-Collect]]+DB[[#This Row],[Sales-FC-Orders-HD]]</f>
        <v>2369.1711711711714</v>
      </c>
      <c r="F91" s="402">
        <f>INDEX('LT Collect Forecast'!$K$1:$Q$55,MATCH(B91,'LT Collect Forecast'!$A:$A,0),MATCH(C91,'LT Collect Forecast'!$K$2:$Q$2,0))</f>
        <v>450</v>
      </c>
      <c r="G91" s="44">
        <f>INDEX('LT HD Forecast'!$K$1:$Q$55,MATCH(B91,'LT HD Forecast'!$A:$A,0),MATCH(C91,'LT HD Forecast'!$K$2:$Q$2,0))</f>
        <v>1919.1711711711712</v>
      </c>
      <c r="H91" s="44" cm="1">
        <f t="array" ref="H91">IFERROR(INDEX('ST Forecast'!$E$2:$RK$36,6,M91),"")</f>
        <v>48.900640879253473</v>
      </c>
      <c r="I91" s="44" cm="1">
        <f t="array" ref="I91">IFERROR(INDEX('ST Forecast'!$E$2:$RK$36,7,M91),"")</f>
        <v>50.943613788913119</v>
      </c>
      <c r="J91" s="44">
        <f>SUM(DB[[#This Row],[Sales-FC-Picks-Collect]:[Sales-FC-Picks-HD]])</f>
        <v>119774.80333462427</v>
      </c>
      <c r="K91" s="44">
        <f t="shared" si="41"/>
        <v>22005.288395664062</v>
      </c>
      <c r="L91" s="44">
        <f t="shared" si="42"/>
        <v>97769.514938960216</v>
      </c>
      <c r="M91" s="403">
        <f>IFERROR(IF(B91=B90,M90+1,MATCH(B91,'ST Forecast'!$E$2:$RK$2,0)+1),"")</f>
        <v>100</v>
      </c>
      <c r="N91">
        <f>SUM(DB[[#This Row],[Ops-FC-Orders-Collect]:[Ops-FC-Orders-HD]])</f>
        <v>2450</v>
      </c>
      <c r="O91" s="44" cm="1">
        <f t="array" ref="O91">IFERROR(INDEX('ST Forecast'!$E$2:$RK$36,13,M91),"")</f>
        <v>450</v>
      </c>
      <c r="P91" s="44">
        <f t="shared" si="43"/>
        <v>2000</v>
      </c>
      <c r="Q91" s="44" cm="1">
        <f t="array" ref="Q91">IFERROR(INDEX('ST Forecast'!$E$2:$RK$36,14,M91),"")</f>
        <v>1000</v>
      </c>
      <c r="R91" s="44" cm="1">
        <f t="array" ref="R91">IFERROR(INDEX('ST Forecast'!$E$2:$RK$36,15,M91),"")</f>
        <v>1000</v>
      </c>
      <c r="S91" s="312">
        <f>SUM(DB[[#This Row],[Ops-FC-Picks-Collect]:[Ops-FC-Picks-HD]])</f>
        <v>121414.6656540205</v>
      </c>
      <c r="T91" s="44">
        <f t="shared" si="44"/>
        <v>21565.182627750779</v>
      </c>
      <c r="U91" s="44">
        <f t="shared" si="45"/>
        <v>99849.483026269721</v>
      </c>
      <c r="V91" s="44">
        <f t="shared" si="46"/>
        <v>49924.741513134861</v>
      </c>
      <c r="W91" s="404">
        <f t="shared" si="47"/>
        <v>49924.741513134861</v>
      </c>
      <c r="X91" s="44">
        <f>SUM(DB[[#This Row],[Capped-Orders-Collect]:[Capped-Orders-HD]])</f>
        <v>90</v>
      </c>
      <c r="Y91">
        <f>INDEX('Operations Forecast'!$A$2:$BGY$47,3,MATCH(DB!D91,'Operations Forecast'!$A$2:$BGY$2))</f>
        <v>0</v>
      </c>
      <c r="Z91">
        <f t="shared" si="48"/>
        <v>90</v>
      </c>
      <c r="AA91">
        <f>INDEX('Operations Forecast'!$A$2:$BGY$47,10,MATCH(DB!D91,'Operations Forecast'!$A$2:$BGY$2))</f>
        <v>90</v>
      </c>
      <c r="AB91">
        <f>INDEX('Operations Forecast'!$A$2:$BGY$47,21,MATCH(DB!D91,'Operations Forecast'!$A$2:$BGY$2))</f>
        <v>0</v>
      </c>
      <c r="AC91" s="312">
        <f>SUM(DB[[#This Row],[Act-Orders-Collect]:[Act-Orders-HD]])</f>
        <v>2487</v>
      </c>
      <c r="AD91" s="858">
        <f>IFERROR(INDEX('Operations Forecast_new'!$7:$7,MATCH(DB[[#This Row],[Datum]],'Operations Forecast_new'!$2:$2,0)),0)</f>
        <v>520</v>
      </c>
      <c r="AE91" s="312">
        <f t="shared" si="49"/>
        <v>1967</v>
      </c>
      <c r="AF91" s="858">
        <f>IFERROR(INDEX('Operations Forecast_new'!$13:$13,MATCH(DB[[#This Row],[Datum]],'Operations Forecast_new'!$2:$2,0)),0)</f>
        <v>955</v>
      </c>
      <c r="AG91" s="858">
        <f>IFERROR(INDEX('Operations Forecast_new'!$19:$19,MATCH(DB[[#This Row],[Datum]],'Operations Forecast_new'!$2:$2,0)),0)</f>
        <v>1012</v>
      </c>
      <c r="AH91" s="312">
        <f t="shared" si="37"/>
        <v>122517.84600000001</v>
      </c>
      <c r="AI91" s="858">
        <f>IFERROR(INDEX('Operations Forecast_new'!$9:$9,MATCH(DB[[#This Row],[Datum]],'Operations Forecast_new'!$2:$2,0)),0)</f>
        <v>24761.88</v>
      </c>
      <c r="AJ91" s="312">
        <f t="shared" si="50"/>
        <v>97755.966</v>
      </c>
      <c r="AK91" s="858">
        <f>IFERROR(INDEX('Operations Forecast_new'!$15:$15,MATCH(DB[[#This Row],[Datum]],'Operations Forecast_new'!$2:$2,0)),0)</f>
        <v>47461.59</v>
      </c>
      <c r="AL91" s="858">
        <f>IFERROR(INDEX('Operations Forecast_new'!$21:$21,MATCH(DB[[#This Row],[Datum]],'Operations Forecast_new'!$2:$2,0)),0)</f>
        <v>50294.376000000004</v>
      </c>
      <c r="AM91" s="178">
        <f>IFERROR(INDEX('Operations Forecast_new'!$8:$8,MATCH(DB[[#This Row],[Datum]],'Operations Forecast_new'!$2:$2,0)),0)</f>
        <v>48.1</v>
      </c>
      <c r="AN91" s="859">
        <f>IFERROR(INDEX('Operations Forecast_new'!$20:$20,MATCH(DB[[#This Row],[Datum]],'Operations Forecast_new'!$2:$2,0)),0)</f>
        <v>50.2</v>
      </c>
      <c r="AO91" s="44">
        <f t="shared" si="51"/>
        <v>47.619</v>
      </c>
      <c r="AP91" s="404">
        <f t="shared" si="52"/>
        <v>49.698</v>
      </c>
      <c r="AQ91" s="44">
        <f t="shared" si="38"/>
        <v>138123.00000000009</v>
      </c>
      <c r="AR91" s="44" cm="1">
        <f t="array" ref="AR91">IFERROR(INDEX('ST Forecast'!$E$2:$RK$36,25,M91)+(INDEX('ST Forecast'!$E$2:$RK$36,29,M91)),"")</f>
        <v>57475.823967720971</v>
      </c>
      <c r="AS91" s="44" cm="1">
        <f t="array" ref="AS91">IFERROR(INDEX('ST Forecast'!$E$2:$RK$36,26,M91)+INDEX('ST Forecast'!$E$2:$RK$36,30,M91),"")</f>
        <v>58284.520891117194</v>
      </c>
      <c r="AT91" s="44" cm="1">
        <f t="array" ref="AT91">IFERROR(INDEX('ST Forecast'!$E$2:$RK$36,27,M91)+INDEX('ST Forecast'!$E$2:$RK$36,31,M91),"")</f>
        <v>13949.488084549961</v>
      </c>
      <c r="AU91" s="44" cm="1">
        <f t="array" ref="AU91">IFERROR(INDEX('ST Forecast'!$E$2:$RK$36,28,M91),"")</f>
        <v>8413.167056611961</v>
      </c>
      <c r="AV91" s="44" cm="1">
        <f t="array" ref="AV91">IFERROR(INDEX('ST Forecast'!$E$2:$RK$36,29,M91),"")</f>
        <v>0</v>
      </c>
      <c r="AW91" s="44">
        <f>DB[[#This Row],[Inbound FC]]-DB[[#This Row],[Inbound Act - Ultrafresh2]]</f>
        <v>138123.00000000009</v>
      </c>
      <c r="AX91" s="178" t="e">
        <f>#REF!</f>
        <v>#REF!</v>
      </c>
      <c r="AY91" s="178" t="e">
        <f>#REF!</f>
        <v>#REF!</v>
      </c>
      <c r="AZ91" s="178" t="e">
        <f>#REF!</f>
        <v>#REF!</v>
      </c>
      <c r="BA91" s="178">
        <f>MONTH(DB[[#This Row],[Datum]])</f>
        <v>3</v>
      </c>
    </row>
    <row r="92" spans="1:53" x14ac:dyDescent="0.3">
      <c r="A92" s="44">
        <f t="shared" si="39"/>
        <v>13</v>
      </c>
      <c r="B92" t="str">
        <f t="shared" si="40"/>
        <v>Wk 13</v>
      </c>
      <c r="C92" t="s">
        <v>116</v>
      </c>
      <c r="D92" s="313">
        <v>44651</v>
      </c>
      <c r="E92" s="44">
        <f>DB[[#This Row],[Sales-FC-Orders-Collect]]+DB[[#This Row],[Sales-FC-Orders-HD]]</f>
        <v>2389.7775555555554</v>
      </c>
      <c r="F92" s="402" cm="1">
        <f t="array" ref="F92">INDEX('LT Collect Forecast'!$K$1:$Q$55,MATCH(B92,'LT Collect Forecast'!$A:$A,0)+1,MATCH(C92,'LT Collect Forecast'!$K$2:$Q$2,0))</f>
        <v>450</v>
      </c>
      <c r="G92" s="44" cm="1">
        <f t="array" ref="G92">INDEX('LT HD Forecast'!$K$1:$Q$55,MATCH(B92,'LT HD Forecast'!$A:$A,0)+1,MATCH(C92,'LT HD Forecast'!$K$2:$Q$2,0))</f>
        <v>1939.7775555555556</v>
      </c>
      <c r="H92" s="44" cm="1">
        <f t="array" ref="H92">IFERROR(INDEX('ST Forecast'!$E$2:$RK$36,6,M92),"")</f>
        <v>53.746849862614077</v>
      </c>
      <c r="I92" s="44" cm="1">
        <f t="array" ref="I92">IFERROR(INDEX('ST Forecast'!$E$2:$RK$36,7,M92),"")</f>
        <v>53.51551640476049</v>
      </c>
      <c r="J92" s="44">
        <f>SUM(DB[[#This Row],[Sales-FC-Picks-Collect]:[Sales-FC-Picks-HD]])</f>
        <v>127994.28003409588</v>
      </c>
      <c r="K92" s="44">
        <f t="shared" si="41"/>
        <v>24186.082438176334</v>
      </c>
      <c r="L92" s="44">
        <f t="shared" si="42"/>
        <v>103808.19759591954</v>
      </c>
      <c r="M92" s="403">
        <f>IFERROR(IF(B92=B91,M91+1,MATCH(B92,'ST Forecast'!$E$2:$RK$2,0)+1),"")</f>
        <v>101</v>
      </c>
      <c r="N92">
        <f>SUM(DB[[#This Row],[Ops-FC-Orders-Collect]:[Ops-FC-Orders-HD]])</f>
        <v>2300</v>
      </c>
      <c r="O92" s="44" cm="1">
        <f t="array" ref="O92">IFERROR(INDEX('ST Forecast'!$E$2:$RK$36,13,M92),"")</f>
        <v>450</v>
      </c>
      <c r="P92" s="44">
        <f t="shared" si="43"/>
        <v>1850</v>
      </c>
      <c r="Q92" s="44" cm="1">
        <f t="array" ref="Q92">IFERROR(INDEX('ST Forecast'!$E$2:$RK$36,14,M92),"")</f>
        <v>900</v>
      </c>
      <c r="R92" s="44" cm="1">
        <f t="array" ref="R92">IFERROR(INDEX('ST Forecast'!$E$2:$RK$36,15,M92),"")</f>
        <v>950</v>
      </c>
      <c r="S92" s="312">
        <f>SUM(DB[[#This Row],[Ops-FC-Picks-Collect]:[Ops-FC-Picks-HD]])</f>
        <v>120725.99203124357</v>
      </c>
      <c r="T92" s="44">
        <f t="shared" si="44"/>
        <v>23702.360789412807</v>
      </c>
      <c r="U92" s="44">
        <f t="shared" si="45"/>
        <v>97023.631241830764</v>
      </c>
      <c r="V92" s="44">
        <f t="shared" si="46"/>
        <v>47200.685468998752</v>
      </c>
      <c r="W92" s="404">
        <f t="shared" si="47"/>
        <v>49822.945772832012</v>
      </c>
      <c r="X92" s="44">
        <f>SUM(DB[[#This Row],[Capped-Orders-Collect]:[Capped-Orders-HD]])</f>
        <v>90</v>
      </c>
      <c r="Y92">
        <f>INDEX('Operations Forecast'!$A$2:$BGY$47,3,MATCH(DB!D92,'Operations Forecast'!$A$2:$BGY$2))</f>
        <v>0</v>
      </c>
      <c r="Z92">
        <f t="shared" si="48"/>
        <v>90</v>
      </c>
      <c r="AA92">
        <f>INDEX('Operations Forecast'!$A$2:$BGY$47,10,MATCH(DB!D92,'Operations Forecast'!$A$2:$BGY$2))</f>
        <v>90</v>
      </c>
      <c r="AB92">
        <f>INDEX('Operations Forecast'!$A$2:$BGY$47,21,MATCH(DB!D92,'Operations Forecast'!$A$2:$BGY$2))</f>
        <v>0</v>
      </c>
      <c r="AC92" s="312">
        <f>SUM(DB[[#This Row],[Act-Orders-Collect]:[Act-Orders-HD]])</f>
        <v>2397</v>
      </c>
      <c r="AD92" s="858">
        <f>IFERROR(INDEX('Operations Forecast_new'!$7:$7,MATCH(DB[[#This Row],[Datum]],'Operations Forecast_new'!$2:$2,0)),0)</f>
        <v>480</v>
      </c>
      <c r="AE92" s="312">
        <f t="shared" si="49"/>
        <v>1917</v>
      </c>
      <c r="AF92" s="858">
        <f>IFERROR(INDEX('Operations Forecast_new'!$13:$13,MATCH(DB[[#This Row],[Datum]],'Operations Forecast_new'!$2:$2,0)),0)</f>
        <v>890</v>
      </c>
      <c r="AG92" s="858">
        <f>IFERROR(INDEX('Operations Forecast_new'!$19:$19,MATCH(DB[[#This Row],[Datum]],'Operations Forecast_new'!$2:$2,0)),0)</f>
        <v>1027</v>
      </c>
      <c r="AH92" s="312">
        <f t="shared" si="37"/>
        <v>119552.004</v>
      </c>
      <c r="AI92" s="858">
        <f>IFERROR(INDEX('Operations Forecast_new'!$9:$9,MATCH(DB[[#This Row],[Datum]],'Operations Forecast_new'!$2:$2,0)),0)</f>
        <v>23142.240000000002</v>
      </c>
      <c r="AJ92" s="312">
        <f t="shared" si="50"/>
        <v>96409.763999999996</v>
      </c>
      <c r="AK92" s="858">
        <f>IFERROR(INDEX('Operations Forecast_new'!$15:$15,MATCH(DB[[#This Row],[Datum]],'Operations Forecast_new'!$2:$2,0)),0)</f>
        <v>44759.88</v>
      </c>
      <c r="AL92" s="858">
        <f>IFERROR(INDEX('Operations Forecast_new'!$21:$21,MATCH(DB[[#This Row],[Datum]],'Operations Forecast_new'!$2:$2,0)),0)</f>
        <v>51649.883999999998</v>
      </c>
      <c r="AM92" s="178">
        <f>IFERROR(INDEX('Operations Forecast_new'!$8:$8,MATCH(DB[[#This Row],[Datum]],'Operations Forecast_new'!$2:$2,0)),0)</f>
        <v>48.7</v>
      </c>
      <c r="AN92" s="859">
        <f>IFERROR(INDEX('Operations Forecast_new'!$20:$20,MATCH(DB[[#This Row],[Datum]],'Operations Forecast_new'!$2:$2,0)),0)</f>
        <v>50.8</v>
      </c>
      <c r="AO92" s="44">
        <f t="shared" si="51"/>
        <v>48.213000000000001</v>
      </c>
      <c r="AP92" s="404">
        <f t="shared" si="52"/>
        <v>50.291999999999994</v>
      </c>
      <c r="AQ92" s="44">
        <f t="shared" si="38"/>
        <v>133002.00000000006</v>
      </c>
      <c r="AR92" s="44" cm="1">
        <f t="array" ref="AR92">IFERROR(INDEX('ST Forecast'!$E$2:$RK$36,25,M92)+(INDEX('ST Forecast'!$E$2:$RK$36,29,M92)),"")</f>
        <v>52908.158983640496</v>
      </c>
      <c r="AS92" s="44" cm="1">
        <f t="array" ref="AS92">IFERROR(INDEX('ST Forecast'!$E$2:$RK$36,26,M92)+INDEX('ST Forecast'!$E$2:$RK$36,30,M92),"")</f>
        <v>52855.898246426164</v>
      </c>
      <c r="AT92" s="44" cm="1">
        <f t="array" ref="AT92">IFERROR(INDEX('ST Forecast'!$E$2:$RK$36,27,M92)+INDEX('ST Forecast'!$E$2:$RK$36,31,M92),"")</f>
        <v>18696.689411164018</v>
      </c>
      <c r="AU92" s="44" cm="1">
        <f t="array" ref="AU92">IFERROR(INDEX('ST Forecast'!$E$2:$RK$36,28,M92),"")</f>
        <v>8541.2533587693943</v>
      </c>
      <c r="AV92" s="44" cm="1">
        <f t="array" ref="AV92">IFERROR(INDEX('ST Forecast'!$E$2:$RK$36,29,M92),"")</f>
        <v>0</v>
      </c>
      <c r="AW92" s="44">
        <f>DB[[#This Row],[Inbound FC]]-DB[[#This Row],[Inbound Act - Ultrafresh2]]</f>
        <v>133002.00000000006</v>
      </c>
      <c r="AX92" s="178" t="e">
        <f>#REF!</f>
        <v>#REF!</v>
      </c>
      <c r="AY92" s="178" t="e">
        <f>#REF!</f>
        <v>#REF!</v>
      </c>
      <c r="AZ92" s="178" t="e">
        <f>#REF!</f>
        <v>#REF!</v>
      </c>
      <c r="BA92" s="178">
        <f>MONTH(DB[[#This Row],[Datum]])</f>
        <v>3</v>
      </c>
    </row>
    <row r="93" spans="1:53" x14ac:dyDescent="0.3">
      <c r="A93" s="44">
        <f t="shared" si="39"/>
        <v>13</v>
      </c>
      <c r="B93" t="str">
        <f t="shared" si="40"/>
        <v>Wk 13</v>
      </c>
      <c r="C93" t="s">
        <v>117</v>
      </c>
      <c r="D93" s="313">
        <v>44652</v>
      </c>
      <c r="E93" s="44">
        <f>DB[[#This Row],[Sales-FC-Orders-Collect]]+DB[[#This Row],[Sales-FC-Orders-HD]]</f>
        <v>3143.9646666666672</v>
      </c>
      <c r="F93" s="402" cm="1">
        <f t="array" ref="F93">INDEX('LT Collect Forecast'!$K$1:$Q$55,MATCH(B93,'LT Collect Forecast'!$A:$A,0)+1,MATCH(C93,'LT Collect Forecast'!$K$2:$Q$2,0))</f>
        <v>1000</v>
      </c>
      <c r="G93" s="44" cm="1">
        <f t="array" ref="G93">INDEX('LT HD Forecast'!$K$1:$Q$55,MATCH(B93,'LT HD Forecast'!$A:$A,0)+1,MATCH(C93,'LT HD Forecast'!$K$2:$Q$2,0))</f>
        <v>2143.9646666666672</v>
      </c>
      <c r="H93" s="44" cm="1">
        <f t="array" ref="H93">IFERROR(INDEX('ST Forecast'!$E$2:$RK$36,6,M93),"")</f>
        <v>50.622354090057414</v>
      </c>
      <c r="I93" s="44" cm="1">
        <f t="array" ref="I93">IFERROR(INDEX('ST Forecast'!$E$2:$RK$36,7,M93),"")</f>
        <v>52.509240919992962</v>
      </c>
      <c r="J93" s="44">
        <f>SUM(DB[[#This Row],[Sales-FC-Picks-Collect]:[Sales-FC-Picks-HD]])</f>
        <v>163200.31129600987</v>
      </c>
      <c r="K93" s="44">
        <f t="shared" si="41"/>
        <v>50622.354090057415</v>
      </c>
      <c r="L93" s="44">
        <f t="shared" si="42"/>
        <v>112577.95720595244</v>
      </c>
      <c r="M93" s="403">
        <f>IFERROR(IF(B93=B92,M92+1,MATCH(B93,'ST Forecast'!$E$2:$RK$2,0)+1),"")</f>
        <v>102</v>
      </c>
      <c r="N93">
        <f>SUM(DB[[#This Row],[Ops-FC-Orders-Collect]:[Ops-FC-Orders-HD]])</f>
        <v>3100</v>
      </c>
      <c r="O93" s="44" cm="1">
        <f t="array" ref="O93">IFERROR(INDEX('ST Forecast'!$E$2:$RK$36,13,M93),"")</f>
        <v>1000</v>
      </c>
      <c r="P93" s="44">
        <f t="shared" si="43"/>
        <v>2100</v>
      </c>
      <c r="Q93" s="44" cm="1">
        <f t="array" ref="Q93">IFERROR(INDEX('ST Forecast'!$E$2:$RK$36,14,M93),"")</f>
        <v>1000</v>
      </c>
      <c r="R93" s="44" cm="1">
        <f t="array" ref="R93">IFERROR(INDEX('ST Forecast'!$E$2:$RK$36,15,M93),"")</f>
        <v>1100</v>
      </c>
      <c r="S93" s="312">
        <f>SUM(DB[[#This Row],[Ops-FC-Picks-Collect]:[Ops-FC-Picks-HD]])</f>
        <v>157673.92482160177</v>
      </c>
      <c r="T93" s="44">
        <f t="shared" si="44"/>
        <v>49609.907008256268</v>
      </c>
      <c r="U93" s="44">
        <f t="shared" si="45"/>
        <v>108064.0178133455</v>
      </c>
      <c r="V93" s="44">
        <f t="shared" si="46"/>
        <v>51459.056101593102</v>
      </c>
      <c r="W93" s="404">
        <f t="shared" si="47"/>
        <v>56604.96171175241</v>
      </c>
      <c r="X93" s="44">
        <f>SUM(DB[[#This Row],[Capped-Orders-Collect]:[Capped-Orders-HD]])</f>
        <v>90</v>
      </c>
      <c r="Y93">
        <f>INDEX('Operations Forecast'!$A$2:$BGY$47,3,MATCH(DB!D93,'Operations Forecast'!$A$2:$BGY$2))</f>
        <v>0</v>
      </c>
      <c r="Z93">
        <f t="shared" si="48"/>
        <v>90</v>
      </c>
      <c r="AA93">
        <f>INDEX('Operations Forecast'!$A$2:$BGY$47,10,MATCH(DB!D93,'Operations Forecast'!$A$2:$BGY$2))</f>
        <v>90</v>
      </c>
      <c r="AB93">
        <f>INDEX('Operations Forecast'!$A$2:$BGY$47,21,MATCH(DB!D93,'Operations Forecast'!$A$2:$BGY$2))</f>
        <v>0</v>
      </c>
      <c r="AC93" s="312">
        <f>SUM(DB[[#This Row],[Act-Orders-Collect]:[Act-Orders-HD]])</f>
        <v>3152</v>
      </c>
      <c r="AD93" s="858">
        <f>IFERROR(INDEX('Operations Forecast_new'!$7:$7,MATCH(DB[[#This Row],[Datum]],'Operations Forecast_new'!$2:$2,0)),0)</f>
        <v>1020</v>
      </c>
      <c r="AE93" s="312">
        <f t="shared" si="49"/>
        <v>2132</v>
      </c>
      <c r="AF93" s="858">
        <f>IFERROR(INDEX('Operations Forecast_new'!$13:$13,MATCH(DB[[#This Row],[Datum]],'Operations Forecast_new'!$2:$2,0)),0)</f>
        <v>1098</v>
      </c>
      <c r="AG93" s="858">
        <f>IFERROR(INDEX('Operations Forecast_new'!$19:$19,MATCH(DB[[#This Row],[Datum]],'Operations Forecast_new'!$2:$2,0)),0)</f>
        <v>1034</v>
      </c>
      <c r="AH93" s="312">
        <f t="shared" si="37"/>
        <v>159676.704</v>
      </c>
      <c r="AI93" s="858">
        <f>IFERROR(INDEX('Operations Forecast_new'!$9:$9,MATCH(DB[[#This Row],[Datum]],'Operations Forecast_new'!$2:$2,0)),0)</f>
        <v>51398.82</v>
      </c>
      <c r="AJ93" s="312">
        <f t="shared" si="50"/>
        <v>108277.88399999999</v>
      </c>
      <c r="AK93" s="858">
        <f>IFERROR(INDEX('Operations Forecast_new'!$15:$15,MATCH(DB[[#This Row],[Datum]],'Operations Forecast_new'!$2:$2,0)),0)</f>
        <v>55764.125999999997</v>
      </c>
      <c r="AL93" s="858">
        <f>IFERROR(INDEX('Operations Forecast_new'!$21:$21,MATCH(DB[[#This Row],[Datum]],'Operations Forecast_new'!$2:$2,0)),0)</f>
        <v>52513.757999999994</v>
      </c>
      <c r="AM93" s="178">
        <f>IFERROR(INDEX('Operations Forecast_new'!$8:$8,MATCH(DB[[#This Row],[Datum]],'Operations Forecast_new'!$2:$2,0)),0)</f>
        <v>50.9</v>
      </c>
      <c r="AN93" s="859">
        <f>IFERROR(INDEX('Operations Forecast_new'!$20:$20,MATCH(DB[[#This Row],[Datum]],'Operations Forecast_new'!$2:$2,0)),0)</f>
        <v>51.3</v>
      </c>
      <c r="AO93" s="44">
        <f t="shared" si="51"/>
        <v>50.390999999999998</v>
      </c>
      <c r="AP93" s="404">
        <f t="shared" si="52"/>
        <v>50.786999999999999</v>
      </c>
      <c r="AQ93" s="44">
        <f t="shared" si="38"/>
        <v>122226.00000000009</v>
      </c>
      <c r="AR93" s="44" cm="1">
        <f t="array" ref="AR93">IFERROR(INDEX('ST Forecast'!$E$2:$RK$36,25,M93)+(INDEX('ST Forecast'!$E$2:$RK$36,29,M93)),"")</f>
        <v>54102.860775677829</v>
      </c>
      <c r="AS93" s="44" cm="1">
        <f t="array" ref="AS93">IFERROR(INDEX('ST Forecast'!$E$2:$RK$36,26,M93)+INDEX('ST Forecast'!$E$2:$RK$36,30,M93),"")</f>
        <v>54166.870801794721</v>
      </c>
      <c r="AT93" s="44" cm="1">
        <f t="array" ref="AT93">IFERROR(INDEX('ST Forecast'!$E$2:$RK$36,27,M93)+INDEX('ST Forecast'!$E$2:$RK$36,31,M93),"")</f>
        <v>5339.5986678234485</v>
      </c>
      <c r="AU93" s="44" cm="1">
        <f t="array" ref="AU93">IFERROR(INDEX('ST Forecast'!$E$2:$RK$36,28,M93),"")</f>
        <v>8616.6697547040785</v>
      </c>
      <c r="AV93" s="44" cm="1">
        <f t="array" ref="AV93">IFERROR(INDEX('ST Forecast'!$E$2:$RK$36,29,M93),"")</f>
        <v>0</v>
      </c>
      <c r="AW93" s="44">
        <f>DB[[#This Row],[Inbound FC]]-DB[[#This Row],[Inbound Act - Ultrafresh2]]</f>
        <v>122226.00000000009</v>
      </c>
      <c r="AX93" s="178" t="e">
        <f>#REF!</f>
        <v>#REF!</v>
      </c>
      <c r="AY93" s="178" t="e">
        <f>#REF!</f>
        <v>#REF!</v>
      </c>
      <c r="AZ93" s="178" t="e">
        <f>#REF!</f>
        <v>#REF!</v>
      </c>
      <c r="BA93" s="178">
        <f>MONTH(DB[[#This Row],[Datum]])</f>
        <v>4</v>
      </c>
    </row>
    <row r="94" spans="1:53" x14ac:dyDescent="0.3">
      <c r="A94" s="44">
        <f t="shared" si="39"/>
        <v>13</v>
      </c>
      <c r="B94" t="str">
        <f t="shared" si="40"/>
        <v>Wk 13</v>
      </c>
      <c r="C94" t="s">
        <v>118</v>
      </c>
      <c r="D94" s="313">
        <v>44653</v>
      </c>
      <c r="E94" s="44">
        <f>DB[[#This Row],[Sales-FC-Orders-Collect]]+DB[[#This Row],[Sales-FC-Orders-HD]]</f>
        <v>2889.7775555555554</v>
      </c>
      <c r="F94" s="402" cm="1">
        <f t="array" ref="F94">INDEX('LT Collect Forecast'!$K$1:$Q$55,MATCH(B94,'LT Collect Forecast'!$A:$A,0)+1,MATCH(C94,'LT Collect Forecast'!$K$2:$Q$2,0))</f>
        <v>950</v>
      </c>
      <c r="G94" s="44" cm="1">
        <f t="array" ref="G94">INDEX('LT HD Forecast'!$K$1:$Q$55,MATCH(B94,'LT HD Forecast'!$A:$A,0)+1,MATCH(C94,'LT HD Forecast'!$K$2:$Q$2,0))</f>
        <v>1939.7775555555556</v>
      </c>
      <c r="H94" s="44" cm="1">
        <f t="array" ref="H94">IFERROR(INDEX('ST Forecast'!$E$2:$RK$36,6,M94),"")</f>
        <v>49.690244027563004</v>
      </c>
      <c r="I94" s="44" cm="1">
        <f t="array" ref="I94">IFERROR(INDEX('ST Forecast'!$E$2:$RK$36,7,M94),"")</f>
        <v>52.616729955884239</v>
      </c>
      <c r="J94" s="44">
        <f>SUM(DB[[#This Row],[Sales-FC-Picks-Collect]:[Sales-FC-Picks-HD]])</f>
        <v>149270.48364133676</v>
      </c>
      <c r="K94" s="44">
        <f t="shared" si="41"/>
        <v>47205.731826184856</v>
      </c>
      <c r="L94" s="44">
        <f t="shared" si="42"/>
        <v>102064.7518151519</v>
      </c>
      <c r="M94" s="403">
        <f>IFERROR(IF(B94=B93,M93+1,MATCH(B94,'ST Forecast'!$E$2:$RK$2,0)+1),"")</f>
        <v>103</v>
      </c>
      <c r="N94">
        <f>SUM(DB[[#This Row],[Ops-FC-Orders-Collect]:[Ops-FC-Orders-HD]])</f>
        <v>2850</v>
      </c>
      <c r="O94" s="44" cm="1">
        <f t="array" ref="O94">IFERROR(INDEX('ST Forecast'!$E$2:$RK$36,13,M94),"")</f>
        <v>950</v>
      </c>
      <c r="P94" s="44">
        <f t="shared" si="43"/>
        <v>1900</v>
      </c>
      <c r="Q94" s="44" cm="1">
        <f t="array" ref="Q94">IFERROR(INDEX('ST Forecast'!$E$2:$RK$36,14,M94),"")</f>
        <v>1050</v>
      </c>
      <c r="R94" s="44" cm="1">
        <f t="array" ref="R94">IFERROR(INDEX('ST Forecast'!$E$2:$RK$36,15,M94),"")</f>
        <v>850</v>
      </c>
      <c r="S94" s="312">
        <f>SUM(DB[[#This Row],[Ops-FC-Picks-Collect]:[Ops-FC-Picks-HD]])</f>
        <v>144233.96836751761</v>
      </c>
      <c r="T94" s="44">
        <f t="shared" si="44"/>
        <v>46261.617189661156</v>
      </c>
      <c r="U94" s="44">
        <f t="shared" si="45"/>
        <v>97972.351177856443</v>
      </c>
      <c r="V94" s="44">
        <f t="shared" si="46"/>
        <v>54142.615124604883</v>
      </c>
      <c r="W94" s="404">
        <f t="shared" si="47"/>
        <v>43829.736053251567</v>
      </c>
      <c r="X94" s="44">
        <f>SUM(DB[[#This Row],[Capped-Orders-Collect]:[Capped-Orders-HD]])</f>
        <v>90</v>
      </c>
      <c r="Y94">
        <f>INDEX('Operations Forecast'!$A$2:$BGY$47,3,MATCH(DB!D94,'Operations Forecast'!$A$2:$BGY$2))</f>
        <v>0</v>
      </c>
      <c r="Z94">
        <f t="shared" si="48"/>
        <v>90</v>
      </c>
      <c r="AA94">
        <f>INDEX('Operations Forecast'!$A$2:$BGY$47,10,MATCH(DB!D94,'Operations Forecast'!$A$2:$BGY$2))</f>
        <v>90</v>
      </c>
      <c r="AB94">
        <f>INDEX('Operations Forecast'!$A$2:$BGY$47,21,MATCH(DB!D94,'Operations Forecast'!$A$2:$BGY$2))</f>
        <v>0</v>
      </c>
      <c r="AC94" s="312">
        <f>SUM(DB[[#This Row],[Act-Orders-Collect]:[Act-Orders-HD]])</f>
        <v>2882</v>
      </c>
      <c r="AD94" s="858">
        <f>IFERROR(INDEX('Operations Forecast_new'!$7:$7,MATCH(DB[[#This Row],[Datum]],'Operations Forecast_new'!$2:$2,0)),0)</f>
        <v>887</v>
      </c>
      <c r="AE94" s="312">
        <f t="shared" si="49"/>
        <v>1995</v>
      </c>
      <c r="AF94" s="858">
        <f>IFERROR(INDEX('Operations Forecast_new'!$13:$13,MATCH(DB[[#This Row],[Datum]],'Operations Forecast_new'!$2:$2,0)),0)</f>
        <v>1065</v>
      </c>
      <c r="AG94" s="858">
        <f>IFERROR(INDEX('Operations Forecast_new'!$19:$19,MATCH(DB[[#This Row],[Datum]],'Operations Forecast_new'!$2:$2,0)),0)</f>
        <v>930</v>
      </c>
      <c r="AH94" s="312">
        <f t="shared" si="37"/>
        <v>146828.78099999999</v>
      </c>
      <c r="AI94" s="858">
        <f>IFERROR(INDEX('Operations Forecast_new'!$9:$9,MATCH(DB[[#This Row],[Datum]],'Operations Forecast_new'!$2:$2,0)),0)</f>
        <v>44521.190999999999</v>
      </c>
      <c r="AJ94" s="312">
        <f t="shared" si="50"/>
        <v>102307.59</v>
      </c>
      <c r="AK94" s="858">
        <f>IFERROR(INDEX('Operations Forecast_new'!$15:$15,MATCH(DB[[#This Row],[Datum]],'Operations Forecast_new'!$2:$2,0)),0)</f>
        <v>54615.33</v>
      </c>
      <c r="AL94" s="858">
        <f>IFERROR(INDEX('Operations Forecast_new'!$21:$21,MATCH(DB[[#This Row],[Datum]],'Operations Forecast_new'!$2:$2,0)),0)</f>
        <v>47692.26</v>
      </c>
      <c r="AM94" s="178">
        <f>IFERROR(INDEX('Operations Forecast_new'!$8:$8,MATCH(DB[[#This Row],[Datum]],'Operations Forecast_new'!$2:$2,0)),0)</f>
        <v>50.7</v>
      </c>
      <c r="AN94" s="859">
        <f>IFERROR(INDEX('Operations Forecast_new'!$20:$20,MATCH(DB[[#This Row],[Datum]],'Operations Forecast_new'!$2:$2,0)),0)</f>
        <v>51.8</v>
      </c>
      <c r="AO94" s="44">
        <f t="shared" si="51"/>
        <v>50.192999999999998</v>
      </c>
      <c r="AP94" s="404">
        <f t="shared" si="52"/>
        <v>51.281999999999996</v>
      </c>
      <c r="AQ94" s="44">
        <f t="shared" si="38"/>
        <v>130485.00000000001</v>
      </c>
      <c r="AR94" s="44" cm="1">
        <f t="array" ref="AR94">IFERROR(INDEX('ST Forecast'!$E$2:$RK$36,25,M94)+(INDEX('ST Forecast'!$E$2:$RK$36,29,M94)),"")</f>
        <v>68572.176768873745</v>
      </c>
      <c r="AS94" s="44" cm="1">
        <f t="array" ref="AS94">IFERROR(INDEX('ST Forecast'!$E$2:$RK$36,26,M94)+INDEX('ST Forecast'!$E$2:$RK$36,30,M94),"")</f>
        <v>48364.090379797555</v>
      </c>
      <c r="AT94" s="44" cm="1">
        <f t="array" ref="AT94">IFERROR(INDEX('ST Forecast'!$E$2:$RK$36,27,M94)+INDEX('ST Forecast'!$E$2:$RK$36,31,M94),"")</f>
        <v>6651.8390669770142</v>
      </c>
      <c r="AU94" s="44" cm="1">
        <f t="array" ref="AU94">IFERROR(INDEX('ST Forecast'!$E$2:$RK$36,28,M94),"")</f>
        <v>6896.8937843516987</v>
      </c>
      <c r="AV94" s="44" cm="1">
        <f t="array" ref="AV94">IFERROR(INDEX('ST Forecast'!$E$2:$RK$36,29,M94),"")</f>
        <v>0</v>
      </c>
      <c r="AW94" s="44">
        <f>DB[[#This Row],[Inbound FC]]-DB[[#This Row],[Inbound Act - Ultrafresh2]]</f>
        <v>130485.00000000001</v>
      </c>
      <c r="AX94" s="178" t="e">
        <f>#REF!</f>
        <v>#REF!</v>
      </c>
      <c r="AY94" s="178" t="e">
        <f>#REF!</f>
        <v>#REF!</v>
      </c>
      <c r="AZ94" s="178" t="e">
        <f>#REF!</f>
        <v>#REF!</v>
      </c>
      <c r="BA94" s="178">
        <f>MONTH(DB[[#This Row],[Datum]])</f>
        <v>4</v>
      </c>
    </row>
    <row r="95" spans="1:53" x14ac:dyDescent="0.3">
      <c r="A95" s="44">
        <f t="shared" si="39"/>
        <v>13</v>
      </c>
      <c r="B95" t="str">
        <f t="shared" si="40"/>
        <v>Wk 13</v>
      </c>
      <c r="C95" t="s">
        <v>119</v>
      </c>
      <c r="D95" s="313">
        <v>44654</v>
      </c>
      <c r="E95" s="44">
        <f>DB[[#This Row],[Sales-FC-Orders-Collect]]+DB[[#This Row],[Sales-FC-Orders-HD]]</f>
        <v>100</v>
      </c>
      <c r="F95" s="402" cm="1">
        <f t="array" ref="F95">INDEX('LT Collect Forecast'!$K$1:$Q$55,MATCH(B95,'LT Collect Forecast'!$A:$A,0)+1,MATCH(C95,'LT Collect Forecast'!$K$2:$Q$2,0))</f>
        <v>0</v>
      </c>
      <c r="G95" s="44" cm="1">
        <f t="array" ref="G95">INDEX('LT HD Forecast'!$K$1:$Q$55,MATCH(B95,'LT HD Forecast'!$A:$A,0)+1,MATCH(C95,'LT HD Forecast'!$K$2:$Q$2,0))</f>
        <v>100</v>
      </c>
      <c r="H95" s="44" cm="1">
        <f t="array" ref="H95">IFERROR(INDEX('ST Forecast'!$E$2:$RK$36,6,M95),"")</f>
        <v>0</v>
      </c>
      <c r="I95" s="44" cm="1">
        <f t="array" ref="I95">IFERROR(INDEX('ST Forecast'!$E$2:$RK$36,7,M95),"")</f>
        <v>55.508677759855473</v>
      </c>
      <c r="J95" s="44">
        <f>SUM(DB[[#This Row],[Sales-FC-Picks-Collect]:[Sales-FC-Picks-HD]])</f>
        <v>5550.8677759855473</v>
      </c>
      <c r="K95" s="44">
        <f t="shared" si="41"/>
        <v>0</v>
      </c>
      <c r="L95" s="44">
        <f t="shared" si="42"/>
        <v>5550.8677759855473</v>
      </c>
      <c r="M95" s="403">
        <f>IFERROR(IF(B95=B94,M94+1,MATCH(B95,'ST Forecast'!$E$2:$RK$2,0)+1),"")</f>
        <v>104</v>
      </c>
      <c r="N95">
        <f>SUM(DB[[#This Row],[Ops-FC-Orders-Collect]:[Ops-FC-Orders-HD]])</f>
        <v>100</v>
      </c>
      <c r="O95" s="44" cm="1">
        <f t="array" ref="O95">IFERROR(INDEX('ST Forecast'!$E$2:$RK$36,13,M95),"")</f>
        <v>0</v>
      </c>
      <c r="P95" s="44">
        <f t="shared" si="43"/>
        <v>100</v>
      </c>
      <c r="Q95" s="44" cm="1">
        <f t="array" ref="Q95">IFERROR(INDEX('ST Forecast'!$E$2:$RK$36,14,M95),"")</f>
        <v>100</v>
      </c>
      <c r="R95" s="44" cm="1">
        <f t="array" ref="R95">IFERROR(INDEX('ST Forecast'!$E$2:$RK$36,15,M95),"")</f>
        <v>0</v>
      </c>
      <c r="S95" s="312">
        <f>SUM(DB[[#This Row],[Ops-FC-Picks-Collect]:[Ops-FC-Picks-HD]])</f>
        <v>5439.8504204658366</v>
      </c>
      <c r="T95" s="44">
        <f t="shared" si="44"/>
        <v>0</v>
      </c>
      <c r="U95" s="44">
        <f t="shared" si="45"/>
        <v>5439.8504204658366</v>
      </c>
      <c r="V95" s="44">
        <f t="shared" si="46"/>
        <v>5439.8504204658366</v>
      </c>
      <c r="W95" s="404">
        <f t="shared" si="47"/>
        <v>0</v>
      </c>
      <c r="X95" s="44">
        <f>SUM(DB[[#This Row],[Capped-Orders-Collect]:[Capped-Orders-HD]])</f>
        <v>90</v>
      </c>
      <c r="Y95">
        <f>INDEX('Operations Forecast'!$A$2:$BGY$47,3,MATCH(DB!D95,'Operations Forecast'!$A$2:$BGY$2))</f>
        <v>0</v>
      </c>
      <c r="Z95">
        <f t="shared" si="48"/>
        <v>90</v>
      </c>
      <c r="AA95">
        <f>INDEX('Operations Forecast'!$A$2:$BGY$47,10,MATCH(DB!D95,'Operations Forecast'!$A$2:$BGY$2))</f>
        <v>90</v>
      </c>
      <c r="AB95">
        <f>INDEX('Operations Forecast'!$A$2:$BGY$47,21,MATCH(DB!D95,'Operations Forecast'!$A$2:$BGY$2))</f>
        <v>0</v>
      </c>
      <c r="AC95" s="312">
        <f>SUM(DB[[#This Row],[Act-Orders-Collect]:[Act-Orders-HD]])</f>
        <v>97</v>
      </c>
      <c r="AD95" s="858">
        <f>IFERROR(INDEX('Operations Forecast_new'!$7:$7,MATCH(DB[[#This Row],[Datum]],'Operations Forecast_new'!$2:$2,0)),0)</f>
        <v>0</v>
      </c>
      <c r="AE95" s="312">
        <f t="shared" si="49"/>
        <v>97</v>
      </c>
      <c r="AF95" s="858">
        <f>IFERROR(INDEX('Operations Forecast_new'!$13:$13,MATCH(DB[[#This Row],[Datum]],'Operations Forecast_new'!$2:$2,0)),0)</f>
        <v>97</v>
      </c>
      <c r="AG95" s="858">
        <f>IFERROR(INDEX('Operations Forecast_new'!$19:$19,MATCH(DB[[#This Row],[Datum]],'Operations Forecast_new'!$2:$2,0)),0)</f>
        <v>0</v>
      </c>
      <c r="AH95" s="312">
        <f t="shared" si="37"/>
        <v>5425.6949999999997</v>
      </c>
      <c r="AI95" s="858">
        <f>IFERROR(INDEX('Operations Forecast_new'!$9:$9,MATCH(DB[[#This Row],[Datum]],'Operations Forecast_new'!$2:$2,0)),0)</f>
        <v>0</v>
      </c>
      <c r="AJ95" s="312">
        <f t="shared" si="50"/>
        <v>5425.6949999999997</v>
      </c>
      <c r="AK95" s="858">
        <f>IFERROR(INDEX('Operations Forecast_new'!$15:$15,MATCH(DB[[#This Row],[Datum]],'Operations Forecast_new'!$2:$2,0)),0)</f>
        <v>5425.6949999999997</v>
      </c>
      <c r="AL95" s="858">
        <f>IFERROR(INDEX('Operations Forecast_new'!$21:$21,MATCH(DB[[#This Row],[Datum]],'Operations Forecast_new'!$2:$2,0)),0)</f>
        <v>0</v>
      </c>
      <c r="AM95" s="178">
        <f>IFERROR(INDEX('Operations Forecast_new'!$8:$8,MATCH(DB[[#This Row],[Datum]],'Operations Forecast_new'!$2:$2,0)),0)</f>
        <v>0</v>
      </c>
      <c r="AN95" s="859">
        <f>IFERROR(INDEX('Operations Forecast_new'!$20:$20,MATCH(DB[[#This Row],[Datum]],'Operations Forecast_new'!$2:$2,0)),0)</f>
        <v>55.508677759855473</v>
      </c>
      <c r="AO95" s="44" t="str">
        <f t="shared" si="51"/>
        <v>-</v>
      </c>
      <c r="AP95" s="404">
        <f t="shared" si="52"/>
        <v>55.934999999999995</v>
      </c>
      <c r="AQ95" s="44">
        <f t="shared" si="38"/>
        <v>0</v>
      </c>
      <c r="AR95" s="44" cm="1">
        <f t="array" ref="AR95">IFERROR(INDEX('ST Forecast'!$E$2:$RK$36,25,M95)+(INDEX('ST Forecast'!$E$2:$RK$36,29,M95)),"")</f>
        <v>0</v>
      </c>
      <c r="AS95" s="44" cm="1">
        <f t="array" ref="AS95">IFERROR(INDEX('ST Forecast'!$E$2:$RK$36,26,M95)+INDEX('ST Forecast'!$E$2:$RK$36,30,M95),"")</f>
        <v>0</v>
      </c>
      <c r="AT95" s="44" cm="1">
        <f t="array" ref="AT95">IFERROR(INDEX('ST Forecast'!$E$2:$RK$36,27,M95)+INDEX('ST Forecast'!$E$2:$RK$36,31,M95),"")</f>
        <v>0</v>
      </c>
      <c r="AU95" s="44" cm="1">
        <f t="array" ref="AU95">IFERROR(INDEX('ST Forecast'!$E$2:$RK$36,28,M95),"")</f>
        <v>0</v>
      </c>
      <c r="AV95" s="44" cm="1">
        <f t="array" ref="AV95">IFERROR(INDEX('ST Forecast'!$E$2:$RK$36,29,M95),"")</f>
        <v>0</v>
      </c>
      <c r="AW95" s="44">
        <f>DB[[#This Row],[Inbound FC]]-DB[[#This Row],[Inbound Act - Ultrafresh2]]</f>
        <v>0</v>
      </c>
      <c r="AX95" s="178" t="e">
        <f>#REF!</f>
        <v>#REF!</v>
      </c>
      <c r="AY95" s="178" t="e">
        <f>#REF!</f>
        <v>#REF!</v>
      </c>
      <c r="AZ95" s="178" t="e">
        <f>#REF!</f>
        <v>#REF!</v>
      </c>
      <c r="BA95" s="178">
        <f>MONTH(DB[[#This Row],[Datum]])</f>
        <v>4</v>
      </c>
    </row>
    <row r="96" spans="1:53" x14ac:dyDescent="0.3">
      <c r="A96" s="44">
        <f t="shared" si="39"/>
        <v>14</v>
      </c>
      <c r="B96" t="str">
        <f t="shared" si="40"/>
        <v>Wk 14</v>
      </c>
      <c r="C96" t="s">
        <v>113</v>
      </c>
      <c r="D96" s="313">
        <v>44655</v>
      </c>
      <c r="E96" s="44">
        <f>DB[[#This Row],[Sales-FC-Orders-Collect]]+DB[[#This Row],[Sales-FC-Orders-HD]]</f>
        <v>2282.4501111111113</v>
      </c>
      <c r="F96" s="402">
        <f>INDEX('LT Collect Forecast'!$K$1:$Q$55,MATCH(B96,'LT Collect Forecast'!$A:$A,0),MATCH(C96,'LT Collect Forecast'!$K$2:$Q$2,0))</f>
        <v>700</v>
      </c>
      <c r="G96" s="44">
        <f>INDEX('LT HD Forecast'!$K$1:$Q$55,MATCH(B96,'LT HD Forecast'!$A:$A,0),MATCH(C96,'LT HD Forecast'!$K$2:$Q$2,0))</f>
        <v>1582.4501111111113</v>
      </c>
      <c r="H96" s="44" cm="1">
        <f t="array" ref="H96">IFERROR(INDEX('ST Forecast'!$E$2:$RK$36,6,M96),"")</f>
        <v>47.922117739570062</v>
      </c>
      <c r="I96" s="44" cm="1">
        <f t="array" ref="I96">IFERROR(INDEX('ST Forecast'!$E$2:$RK$36,7,M96),"")</f>
        <v>50.601438786766437</v>
      </c>
      <c r="J96" s="44">
        <f>SUM(DB[[#This Row],[Sales-FC-Picks-Collect]:[Sales-FC-Picks-HD]])</f>
        <v>113619.73484819967</v>
      </c>
      <c r="K96" s="44">
        <f t="shared" si="41"/>
        <v>33545.482417699044</v>
      </c>
      <c r="L96" s="44">
        <f t="shared" si="42"/>
        <v>80074.252430500637</v>
      </c>
      <c r="M96" s="403">
        <f>IFERROR(IF(B96=B95,M95+1,MATCH(B96,'ST Forecast'!$E$2:$RK$2,0)+1),"")</f>
        <v>106</v>
      </c>
      <c r="N96">
        <f>SUM(DB[[#This Row],[Ops-FC-Orders-Collect]:[Ops-FC-Orders-HD]])</f>
        <v>2300</v>
      </c>
      <c r="O96" s="44" cm="1">
        <f t="array" ref="O96">IFERROR(INDEX('ST Forecast'!$E$2:$RK$36,13,M96),"")</f>
        <v>700</v>
      </c>
      <c r="P96" s="44">
        <f t="shared" si="43"/>
        <v>1600</v>
      </c>
      <c r="Q96" s="44" cm="1">
        <f t="array" ref="Q96">IFERROR(INDEX('ST Forecast'!$E$2:$RK$36,14,M96),"")</f>
        <v>700</v>
      </c>
      <c r="R96" s="44" cm="1">
        <f t="array" ref="R96">IFERROR(INDEX('ST Forecast'!$E$2:$RK$36,15,M96),"")</f>
        <v>900</v>
      </c>
      <c r="S96" s="312">
        <f>SUM(DB[[#This Row],[Ops-FC-Picks-Collect]:[Ops-FC-Picks-HD]])</f>
        <v>112217.62878699483</v>
      </c>
      <c r="T96" s="44">
        <f t="shared" si="44"/>
        <v>32874.572769345061</v>
      </c>
      <c r="U96" s="44">
        <f t="shared" si="45"/>
        <v>79343.056017649767</v>
      </c>
      <c r="V96" s="44">
        <f t="shared" si="46"/>
        <v>34712.587007721777</v>
      </c>
      <c r="W96" s="404">
        <f t="shared" si="47"/>
        <v>44630.469009927998</v>
      </c>
      <c r="X96" s="44">
        <f>SUM(DB[[#This Row],[Capped-Orders-Collect]:[Capped-Orders-HD]])</f>
        <v>90</v>
      </c>
      <c r="Y96">
        <f>INDEX('Operations Forecast'!$A$2:$BGY$47,3,MATCH(DB!D96,'Operations Forecast'!$A$2:$BGY$2))</f>
        <v>0</v>
      </c>
      <c r="Z96">
        <f t="shared" si="48"/>
        <v>90</v>
      </c>
      <c r="AA96">
        <f>INDEX('Operations Forecast'!$A$2:$BGY$47,10,MATCH(DB!D96,'Operations Forecast'!$A$2:$BGY$2))</f>
        <v>90</v>
      </c>
      <c r="AB96">
        <f>INDEX('Operations Forecast'!$A$2:$BGY$47,21,MATCH(DB!D96,'Operations Forecast'!$A$2:$BGY$2))</f>
        <v>0</v>
      </c>
      <c r="AC96" s="312">
        <f>SUM(DB[[#This Row],[Act-Orders-Collect]:[Act-Orders-HD]])</f>
        <v>2264</v>
      </c>
      <c r="AD96" s="858">
        <f>IFERROR(INDEX('Operations Forecast_new'!$7:$7,MATCH(DB[[#This Row],[Datum]],'Operations Forecast_new'!$2:$2,0)),0)</f>
        <v>663</v>
      </c>
      <c r="AE96" s="312">
        <f t="shared" si="49"/>
        <v>1601</v>
      </c>
      <c r="AF96" s="858">
        <f>IFERROR(INDEX('Operations Forecast_new'!$13:$13,MATCH(DB[[#This Row],[Datum]],'Operations Forecast_new'!$2:$2,0)),0)</f>
        <v>668</v>
      </c>
      <c r="AG96" s="858">
        <f>IFERROR(INDEX('Operations Forecast_new'!$19:$19,MATCH(DB[[#This Row],[Datum]],'Operations Forecast_new'!$2:$2,0)),0)</f>
        <v>933</v>
      </c>
      <c r="AH96" s="312">
        <f t="shared" si="37"/>
        <v>111591.018</v>
      </c>
      <c r="AI96" s="858">
        <f>IFERROR(INDEX('Operations Forecast_new'!$9:$9,MATCH(DB[[#This Row],[Datum]],'Operations Forecast_new'!$2:$2,0)),0)</f>
        <v>30915.026999999998</v>
      </c>
      <c r="AJ96" s="312">
        <f t="shared" si="50"/>
        <v>80675.990999999995</v>
      </c>
      <c r="AK96" s="858">
        <f>IFERROR(INDEX('Operations Forecast_new'!$15:$15,MATCH(DB[[#This Row],[Datum]],'Operations Forecast_new'!$2:$2,0)),0)</f>
        <v>33661.187999999995</v>
      </c>
      <c r="AL96" s="858">
        <f>IFERROR(INDEX('Operations Forecast_new'!$21:$21,MATCH(DB[[#This Row],[Datum]],'Operations Forecast_new'!$2:$2,0)),0)</f>
        <v>47014.803</v>
      </c>
      <c r="AM96" s="178">
        <f>IFERROR(INDEX('Operations Forecast_new'!$8:$8,MATCH(DB[[#This Row],[Datum]],'Operations Forecast_new'!$2:$2,0)),0)</f>
        <v>47.1</v>
      </c>
      <c r="AN96" s="859">
        <f>IFERROR(INDEX('Operations Forecast_new'!$20:$20,MATCH(DB[[#This Row],[Datum]],'Operations Forecast_new'!$2:$2,0)),0)</f>
        <v>50.9</v>
      </c>
      <c r="AO96" s="44">
        <f t="shared" si="51"/>
        <v>46.628999999999998</v>
      </c>
      <c r="AP96" s="404">
        <f t="shared" si="52"/>
        <v>50.390999999999998</v>
      </c>
      <c r="AQ96" s="44">
        <f t="shared" si="38"/>
        <v>219073</v>
      </c>
      <c r="AR96" s="44" cm="1">
        <f t="array" ref="AR96">IFERROR(INDEX('ST Forecast'!$E$2:$RK$36,25,M96)+(INDEX('ST Forecast'!$E$2:$RK$36,29,M96)),"")</f>
        <v>89461</v>
      </c>
      <c r="AS96" s="44" cm="1">
        <f t="array" ref="AS96">IFERROR(INDEX('ST Forecast'!$E$2:$RK$36,26,M96)+INDEX('ST Forecast'!$E$2:$RK$36,30,M96),"")</f>
        <v>63575</v>
      </c>
      <c r="AT96" s="44" cm="1">
        <f t="array" ref="AT96">IFERROR(INDEX('ST Forecast'!$E$2:$RK$36,27,M96)+INDEX('ST Forecast'!$E$2:$RK$36,31,M96),"")</f>
        <v>59219</v>
      </c>
      <c r="AU96" s="44" cm="1">
        <f t="array" ref="AU96">IFERROR(INDEX('ST Forecast'!$E$2:$RK$36,28,M96),"")</f>
        <v>6818</v>
      </c>
      <c r="AV96" s="44" cm="1">
        <f t="array" ref="AV96">IFERROR(INDEX('ST Forecast'!$E$2:$RK$36,29,M96),"")</f>
        <v>0</v>
      </c>
      <c r="AW96" s="44">
        <f>DB[[#This Row],[Inbound FC]]-DB[[#This Row],[Inbound Act - Ultrafresh2]]</f>
        <v>219073</v>
      </c>
      <c r="AX96" s="178" t="e">
        <f>#REF!</f>
        <v>#REF!</v>
      </c>
      <c r="AY96" s="178" t="e">
        <f>#REF!</f>
        <v>#REF!</v>
      </c>
      <c r="AZ96" s="178" t="e">
        <f>#REF!</f>
        <v>#REF!</v>
      </c>
      <c r="BA96" s="178">
        <f>MONTH(DB[[#This Row],[Datum]])</f>
        <v>4</v>
      </c>
    </row>
    <row r="97" spans="1:53" x14ac:dyDescent="0.3">
      <c r="A97" s="44">
        <f t="shared" si="39"/>
        <v>14</v>
      </c>
      <c r="B97" t="str">
        <f t="shared" si="40"/>
        <v>Wk 14</v>
      </c>
      <c r="C97" t="s">
        <v>114</v>
      </c>
      <c r="D97" s="313">
        <v>44656</v>
      </c>
      <c r="E97" s="44">
        <f>DB[[#This Row],[Sales-FC-Orders-Collect]]+DB[[#This Row],[Sales-FC-Orders-HD]]</f>
        <v>2439.7775555555554</v>
      </c>
      <c r="F97" s="402">
        <f>INDEX('LT Collect Forecast'!$K$1:$Q$55,MATCH(B97,'LT Collect Forecast'!$A:$A,0),MATCH(C97,'LT Collect Forecast'!$K$2:$Q$2,0))</f>
        <v>500</v>
      </c>
      <c r="G97" s="44">
        <f>INDEX('LT HD Forecast'!$K$1:$Q$55,MATCH(B97,'LT HD Forecast'!$A:$A,0),MATCH(C97,'LT HD Forecast'!$K$2:$Q$2,0))</f>
        <v>1939.7775555555556</v>
      </c>
      <c r="H97" s="44" cm="1">
        <f t="array" ref="H97">IFERROR(INDEX('ST Forecast'!$E$2:$RK$36,6,M97),"")</f>
        <v>44.377559187729155</v>
      </c>
      <c r="I97" s="44" cm="1">
        <f t="array" ref="I97">IFERROR(INDEX('ST Forecast'!$E$2:$RK$36,7,M97),"")</f>
        <v>47.945235190155479</v>
      </c>
      <c r="J97" s="44">
        <f>SUM(DB[[#This Row],[Sales-FC-Picks-Collect]:[Sales-FC-Picks-HD]])</f>
        <v>115191.87071156058</v>
      </c>
      <c r="K97" s="44">
        <f t="shared" si="41"/>
        <v>22188.779593864576</v>
      </c>
      <c r="L97" s="44">
        <f t="shared" si="42"/>
        <v>93003.091117696007</v>
      </c>
      <c r="M97" s="403">
        <f>IFERROR(IF(B97=B96,M96+1,MATCH(B97,'ST Forecast'!$E$2:$RK$2,0)+1),"")</f>
        <v>107</v>
      </c>
      <c r="N97">
        <f>SUM(DB[[#This Row],[Ops-FC-Orders-Collect]:[Ops-FC-Orders-HD]])</f>
        <v>2450</v>
      </c>
      <c r="O97" s="44" cm="1">
        <f t="array" ref="O97">IFERROR(INDEX('ST Forecast'!$E$2:$RK$36,13,M97),"")</f>
        <v>500</v>
      </c>
      <c r="P97" s="44">
        <f t="shared" si="43"/>
        <v>1950</v>
      </c>
      <c r="Q97" s="44" cm="1">
        <f t="array" ref="Q97">IFERROR(INDEX('ST Forecast'!$E$2:$RK$36,14,M97),"")</f>
        <v>950</v>
      </c>
      <c r="R97" s="44" cm="1">
        <f t="array" ref="R97">IFERROR(INDEX('ST Forecast'!$E$2:$RK$36,15,M97),"")</f>
        <v>1000</v>
      </c>
      <c r="S97" s="312">
        <f>SUM(DB[[#This Row],[Ops-FC-Picks-Collect]:[Ops-FC-Picks-HD]])</f>
        <v>113368.3484503744</v>
      </c>
      <c r="T97" s="44">
        <f t="shared" si="44"/>
        <v>21745.004001987283</v>
      </c>
      <c r="U97" s="44">
        <f t="shared" si="45"/>
        <v>91623.344448387114</v>
      </c>
      <c r="V97" s="44">
        <f t="shared" si="46"/>
        <v>44637.013962034747</v>
      </c>
      <c r="W97" s="404">
        <f t="shared" si="47"/>
        <v>46986.330486352366</v>
      </c>
      <c r="X97" s="44">
        <f>SUM(DB[[#This Row],[Capped-Orders-Collect]:[Capped-Orders-HD]])</f>
        <v>90</v>
      </c>
      <c r="Y97">
        <f>INDEX('Operations Forecast'!$A$2:$BGY$47,3,MATCH(DB!D97,'Operations Forecast'!$A$2:$BGY$2))</f>
        <v>0</v>
      </c>
      <c r="Z97">
        <f t="shared" si="48"/>
        <v>90</v>
      </c>
      <c r="AA97">
        <f>INDEX('Operations Forecast'!$A$2:$BGY$47,10,MATCH(DB!D97,'Operations Forecast'!$A$2:$BGY$2))</f>
        <v>90</v>
      </c>
      <c r="AB97">
        <f>INDEX('Operations Forecast'!$A$2:$BGY$47,21,MATCH(DB!D97,'Operations Forecast'!$A$2:$BGY$2))</f>
        <v>0</v>
      </c>
      <c r="AC97" s="312">
        <f>SUM(DB[[#This Row],[Act-Orders-Collect]:[Act-Orders-HD]])</f>
        <v>2356</v>
      </c>
      <c r="AD97" s="858">
        <f>IFERROR(INDEX('Operations Forecast_new'!$7:$7,MATCH(DB[[#This Row],[Datum]],'Operations Forecast_new'!$2:$2,0)),0)</f>
        <v>420</v>
      </c>
      <c r="AE97" s="312">
        <f t="shared" si="49"/>
        <v>1936</v>
      </c>
      <c r="AF97" s="858">
        <f>IFERROR(INDEX('Operations Forecast_new'!$13:$13,MATCH(DB[[#This Row],[Datum]],'Operations Forecast_new'!$2:$2,0)),0)</f>
        <v>909</v>
      </c>
      <c r="AG97" s="858">
        <f>IFERROR(INDEX('Operations Forecast_new'!$19:$19,MATCH(DB[[#This Row],[Datum]],'Operations Forecast_new'!$2:$2,0)),0)</f>
        <v>1027</v>
      </c>
      <c r="AH97" s="312">
        <f t="shared" si="37"/>
        <v>113857.524</v>
      </c>
      <c r="AI97" s="858">
        <f>IFERROR(INDEX('Operations Forecast_new'!$9:$9,MATCH(DB[[#This Row],[Datum]],'Operations Forecast_new'!$2:$2,0)),0)</f>
        <v>19750.5</v>
      </c>
      <c r="AJ97" s="312">
        <f t="shared" si="50"/>
        <v>94107.024000000005</v>
      </c>
      <c r="AK97" s="858">
        <f>IFERROR(INDEX('Operations Forecast_new'!$15:$15,MATCH(DB[[#This Row],[Datum]],'Operations Forecast_new'!$2:$2,0)),0)</f>
        <v>44185.580999999998</v>
      </c>
      <c r="AL97" s="858">
        <f>IFERROR(INDEX('Operations Forecast_new'!$21:$21,MATCH(DB[[#This Row],[Datum]],'Operations Forecast_new'!$2:$2,0)),0)</f>
        <v>49921.443000000007</v>
      </c>
      <c r="AM97" s="178">
        <f>IFERROR(INDEX('Operations Forecast_new'!$8:$8,MATCH(DB[[#This Row],[Datum]],'Operations Forecast_new'!$2:$2,0)),0)</f>
        <v>47.5</v>
      </c>
      <c r="AN97" s="859">
        <f>IFERROR(INDEX('Operations Forecast_new'!$20:$20,MATCH(DB[[#This Row],[Datum]],'Operations Forecast_new'!$2:$2,0)),0)</f>
        <v>49.1</v>
      </c>
      <c r="AO97" s="44">
        <f t="shared" si="51"/>
        <v>47.024999999999999</v>
      </c>
      <c r="AP97" s="404">
        <f t="shared" si="52"/>
        <v>48.609000000000002</v>
      </c>
      <c r="AQ97" s="44">
        <f t="shared" si="38"/>
        <v>130294</v>
      </c>
      <c r="AR97" s="44" cm="1">
        <f t="array" ref="AR97">IFERROR(INDEX('ST Forecast'!$E$2:$RK$36,25,M97)+(INDEX('ST Forecast'!$E$2:$RK$36,29,M97)),"")</f>
        <v>57674</v>
      </c>
      <c r="AS97" s="44" cm="1">
        <f t="array" ref="AS97">IFERROR(INDEX('ST Forecast'!$E$2:$RK$36,26,M97)+INDEX('ST Forecast'!$E$2:$RK$36,30,M97),"")</f>
        <v>60493</v>
      </c>
      <c r="AT97" s="44" cm="1">
        <f t="array" ref="AT97">IFERROR(INDEX('ST Forecast'!$E$2:$RK$36,27,M97)+INDEX('ST Forecast'!$E$2:$RK$36,31,M97),"")</f>
        <v>5692</v>
      </c>
      <c r="AU97" s="44" cm="1">
        <f t="array" ref="AU97">IFERROR(INDEX('ST Forecast'!$E$2:$RK$36,28,M97),"")</f>
        <v>6435</v>
      </c>
      <c r="AV97" s="44" cm="1">
        <f t="array" ref="AV97">IFERROR(INDEX('ST Forecast'!$E$2:$RK$36,29,M97),"")</f>
        <v>0</v>
      </c>
      <c r="AW97" s="44">
        <f>DB[[#This Row],[Inbound FC]]-DB[[#This Row],[Inbound Act - Ultrafresh2]]</f>
        <v>130294</v>
      </c>
      <c r="AX97" s="178" t="e">
        <f>#REF!</f>
        <v>#REF!</v>
      </c>
      <c r="AY97" s="178" t="e">
        <f>#REF!</f>
        <v>#REF!</v>
      </c>
      <c r="AZ97" s="178" t="e">
        <f>#REF!</f>
        <v>#REF!</v>
      </c>
      <c r="BA97" s="178">
        <f>MONTH(DB[[#This Row],[Datum]])</f>
        <v>4</v>
      </c>
    </row>
    <row r="98" spans="1:53" x14ac:dyDescent="0.3">
      <c r="A98" s="44">
        <f t="shared" si="39"/>
        <v>14</v>
      </c>
      <c r="B98" t="str">
        <f t="shared" si="40"/>
        <v>Wk 14</v>
      </c>
      <c r="C98" t="s">
        <v>115</v>
      </c>
      <c r="D98" s="313">
        <v>44657</v>
      </c>
      <c r="E98" s="44">
        <f>DB[[#This Row],[Sales-FC-Orders-Collect]]+DB[[#This Row],[Sales-FC-Orders-HD]]</f>
        <v>2439.7775555555554</v>
      </c>
      <c r="F98" s="402">
        <f>INDEX('LT Collect Forecast'!$K$1:$Q$55,MATCH(B98,'LT Collect Forecast'!$A:$A,0),MATCH(C98,'LT Collect Forecast'!$K$2:$Q$2,0))</f>
        <v>500</v>
      </c>
      <c r="G98" s="44">
        <f>INDEX('LT HD Forecast'!$K$1:$Q$55,MATCH(B98,'LT HD Forecast'!$A:$A,0),MATCH(C98,'LT HD Forecast'!$K$2:$Q$2,0))</f>
        <v>1939.7775555555556</v>
      </c>
      <c r="H98" s="44" cm="1">
        <f t="array" ref="H98">IFERROR(INDEX('ST Forecast'!$E$2:$RK$36,6,M98),"")</f>
        <v>46.956559912291532</v>
      </c>
      <c r="I98" s="44" cm="1">
        <f t="array" ref="I98">IFERROR(INDEX('ST Forecast'!$E$2:$RK$36,7,M98),"")</f>
        <v>47.81940066929716</v>
      </c>
      <c r="J98" s="44">
        <f>SUM(DB[[#This Row],[Sales-FC-Picks-Collect]:[Sales-FC-Picks-HD]])</f>
        <v>116237.28009456671</v>
      </c>
      <c r="K98" s="44">
        <f t="shared" si="41"/>
        <v>23478.279956145765</v>
      </c>
      <c r="L98" s="44">
        <f t="shared" si="42"/>
        <v>92759.000138420946</v>
      </c>
      <c r="M98" s="403">
        <f>IFERROR(IF(B98=B97,M97+1,MATCH(B98,'ST Forecast'!$E$2:$RK$2,0)+1),"")</f>
        <v>108</v>
      </c>
      <c r="N98">
        <f>SUM(DB[[#This Row],[Ops-FC-Orders-Collect]:[Ops-FC-Orders-HD]])</f>
        <v>2450</v>
      </c>
      <c r="O98" s="44" cm="1">
        <f t="array" ref="O98">IFERROR(INDEX('ST Forecast'!$E$2:$RK$36,13,M98),"")</f>
        <v>500</v>
      </c>
      <c r="P98" s="44">
        <f t="shared" si="43"/>
        <v>1950</v>
      </c>
      <c r="Q98" s="44" cm="1">
        <f t="array" ref="Q98">IFERROR(INDEX('ST Forecast'!$E$2:$RK$36,14,M98),"")</f>
        <v>950</v>
      </c>
      <c r="R98" s="44" cm="1">
        <f t="array" ref="R98">IFERROR(INDEX('ST Forecast'!$E$2:$RK$36,15,M98),"")</f>
        <v>1000</v>
      </c>
      <c r="S98" s="312">
        <f>SUM(DB[[#This Row],[Ops-FC-Picks-Collect]:[Ops-FC-Picks-HD]])</f>
        <v>114391.58903604971</v>
      </c>
      <c r="T98" s="44">
        <f t="shared" si="44"/>
        <v>23008.714357022851</v>
      </c>
      <c r="U98" s="44">
        <f t="shared" si="45"/>
        <v>91382.874679026863</v>
      </c>
      <c r="V98" s="44">
        <f t="shared" si="46"/>
        <v>44519.862023115653</v>
      </c>
      <c r="W98" s="404">
        <f t="shared" si="47"/>
        <v>46863.012655911218</v>
      </c>
      <c r="X98" s="44">
        <f>SUM(DB[[#This Row],[Capped-Orders-Collect]:[Capped-Orders-HD]])</f>
        <v>90</v>
      </c>
      <c r="Y98">
        <f>INDEX('Operations Forecast'!$A$2:$BGY$47,3,MATCH(DB!D98,'Operations Forecast'!$A$2:$BGY$2))</f>
        <v>0</v>
      </c>
      <c r="Z98">
        <f t="shared" si="48"/>
        <v>90</v>
      </c>
      <c r="AA98">
        <f>INDEX('Operations Forecast'!$A$2:$BGY$47,10,MATCH(DB!D98,'Operations Forecast'!$A$2:$BGY$2))</f>
        <v>90</v>
      </c>
      <c r="AB98">
        <f>INDEX('Operations Forecast'!$A$2:$BGY$47,21,MATCH(DB!D98,'Operations Forecast'!$A$2:$BGY$2))</f>
        <v>0</v>
      </c>
      <c r="AC98" s="312">
        <f>SUM(DB[[#This Row],[Act-Orders-Collect]:[Act-Orders-HD]])</f>
        <v>2407</v>
      </c>
      <c r="AD98" s="858">
        <f>IFERROR(INDEX('Operations Forecast_new'!$7:$7,MATCH(DB[[#This Row],[Datum]],'Operations Forecast_new'!$2:$2,0)),0)</f>
        <v>510</v>
      </c>
      <c r="AE98" s="312">
        <f t="shared" si="49"/>
        <v>1897</v>
      </c>
      <c r="AF98" s="858">
        <f>IFERROR(INDEX('Operations Forecast_new'!$13:$13,MATCH(DB[[#This Row],[Datum]],'Operations Forecast_new'!$2:$2,0)),0)</f>
        <v>900</v>
      </c>
      <c r="AG98" s="858">
        <f>IFERROR(INDEX('Operations Forecast_new'!$19:$19,MATCH(DB[[#This Row],[Datum]],'Operations Forecast_new'!$2:$2,0)),0)</f>
        <v>997</v>
      </c>
      <c r="AH98" s="312">
        <f t="shared" si="37"/>
        <v>114455.18699999999</v>
      </c>
      <c r="AI98" s="858">
        <f>IFERROR(INDEX('Operations Forecast_new'!$9:$9,MATCH(DB[[#This Row],[Datum]],'Operations Forecast_new'!$2:$2,0)),0)</f>
        <v>22619.52</v>
      </c>
      <c r="AJ98" s="312">
        <f t="shared" si="50"/>
        <v>91835.666999999987</v>
      </c>
      <c r="AK98" s="858">
        <f>IFERROR(INDEX('Operations Forecast_new'!$15:$15,MATCH(DB[[#This Row],[Datum]],'Operations Forecast_new'!$2:$2,0)),0)</f>
        <v>43569.9</v>
      </c>
      <c r="AL98" s="858">
        <f>IFERROR(INDEX('Operations Forecast_new'!$21:$21,MATCH(DB[[#This Row],[Datum]],'Operations Forecast_new'!$2:$2,0)),0)</f>
        <v>48265.766999999993</v>
      </c>
      <c r="AM98" s="178">
        <f>IFERROR(INDEX('Operations Forecast_new'!$8:$8,MATCH(DB[[#This Row],[Datum]],'Operations Forecast_new'!$2:$2,0)),0)</f>
        <v>44.8</v>
      </c>
      <c r="AN98" s="859">
        <f>IFERROR(INDEX('Operations Forecast_new'!$20:$20,MATCH(DB[[#This Row],[Datum]],'Operations Forecast_new'!$2:$2,0)),0)</f>
        <v>48.9</v>
      </c>
      <c r="AO98" s="44">
        <f t="shared" si="51"/>
        <v>44.352000000000004</v>
      </c>
      <c r="AP98" s="404">
        <f t="shared" si="52"/>
        <v>48.410999999999994</v>
      </c>
      <c r="AQ98" s="44">
        <f t="shared" si="38"/>
        <v>134755</v>
      </c>
      <c r="AR98" s="44" cm="1">
        <f t="array" ref="AR98">IFERROR(INDEX('ST Forecast'!$E$2:$RK$36,25,M98)+(INDEX('ST Forecast'!$E$2:$RK$36,29,M98)),"")</f>
        <v>55615</v>
      </c>
      <c r="AS98" s="44" cm="1">
        <f t="array" ref="AS98">IFERROR(INDEX('ST Forecast'!$E$2:$RK$36,26,M98)+INDEX('ST Forecast'!$E$2:$RK$36,30,M98),"")</f>
        <v>56397</v>
      </c>
      <c r="AT98" s="44" cm="1">
        <f t="array" ref="AT98">IFERROR(INDEX('ST Forecast'!$E$2:$RK$36,27,M98)+INDEX('ST Forecast'!$E$2:$RK$36,31,M98),"")</f>
        <v>14602</v>
      </c>
      <c r="AU98" s="44" cm="1">
        <f t="array" ref="AU98">IFERROR(INDEX('ST Forecast'!$E$2:$RK$36,28,M98),"")</f>
        <v>8141</v>
      </c>
      <c r="AV98" s="44" cm="1">
        <f t="array" ref="AV98">IFERROR(INDEX('ST Forecast'!$E$2:$RK$36,29,M98),"")</f>
        <v>0</v>
      </c>
      <c r="AW98" s="44">
        <f>DB[[#This Row],[Inbound FC]]-DB[[#This Row],[Inbound Act - Ultrafresh2]]</f>
        <v>134755</v>
      </c>
      <c r="AX98" s="178" t="e">
        <f>#REF!</f>
        <v>#REF!</v>
      </c>
      <c r="AY98" s="178" t="e">
        <f>#REF!</f>
        <v>#REF!</v>
      </c>
      <c r="AZ98" s="178" t="e">
        <f>#REF!</f>
        <v>#REF!</v>
      </c>
      <c r="BA98" s="178">
        <f>MONTH(DB[[#This Row],[Datum]])</f>
        <v>4</v>
      </c>
    </row>
    <row r="99" spans="1:53" x14ac:dyDescent="0.3">
      <c r="A99" s="44">
        <f t="shared" si="39"/>
        <v>14</v>
      </c>
      <c r="B99" t="str">
        <f t="shared" si="40"/>
        <v>Wk 14</v>
      </c>
      <c r="C99" t="s">
        <v>116</v>
      </c>
      <c r="D99" s="313">
        <v>44658</v>
      </c>
      <c r="E99" s="44">
        <f>DB[[#This Row],[Sales-FC-Orders-Collect]]+DB[[#This Row],[Sales-FC-Orders-HD]]</f>
        <v>2475.5773542600896</v>
      </c>
      <c r="F99" s="402" cm="1">
        <f t="array" ref="F99">INDEX('LT Collect Forecast'!$K$1:$Q$55,MATCH(B99,'LT Collect Forecast'!$A:$A,0)+1,MATCH(C99,'LT Collect Forecast'!$K$2:$Q$2,0))</f>
        <v>500</v>
      </c>
      <c r="G99" s="44" cm="1">
        <f t="array" ref="G99">INDEX('LT HD Forecast'!$K$1:$Q$55,MATCH(B99,'LT HD Forecast'!$A:$A,0)+1,MATCH(C99,'LT HD Forecast'!$K$2:$Q$2,0))</f>
        <v>1975.5773542600896</v>
      </c>
      <c r="H99" s="44" cm="1">
        <f t="array" ref="H99">IFERROR(INDEX('ST Forecast'!$E$2:$RK$36,6,M99),"")</f>
        <v>49.789157175242181</v>
      </c>
      <c r="I99" s="44" cm="1">
        <f t="array" ref="I99">IFERROR(INDEX('ST Forecast'!$E$2:$RK$36,7,M99),"")</f>
        <v>51.306715631519957</v>
      </c>
      <c r="J99" s="44">
        <f>SUM(DB[[#This Row],[Sales-FC-Picks-Collect]:[Sales-FC-Picks-HD]])</f>
        <v>126254.96411071406</v>
      </c>
      <c r="K99" s="44">
        <f t="shared" si="41"/>
        <v>24894.57858762109</v>
      </c>
      <c r="L99" s="44">
        <f t="shared" si="42"/>
        <v>101360.38552309298</v>
      </c>
      <c r="M99" s="403">
        <f>IFERROR(IF(B99=B98,M98+1,MATCH(B99,'ST Forecast'!$E$2:$RK$2,0)+1),"")</f>
        <v>109</v>
      </c>
      <c r="N99">
        <f>SUM(DB[[#This Row],[Ops-FC-Orders-Collect]:[Ops-FC-Orders-HD]])</f>
        <v>2450</v>
      </c>
      <c r="O99" s="44" cm="1">
        <f t="array" ref="O99">IFERROR(INDEX('ST Forecast'!$E$2:$RK$36,13,M99),"")</f>
        <v>500</v>
      </c>
      <c r="P99" s="44">
        <f t="shared" si="43"/>
        <v>1950</v>
      </c>
      <c r="Q99" s="44" cm="1">
        <f t="array" ref="Q99">IFERROR(INDEX('ST Forecast'!$E$2:$RK$36,14,M99),"")</f>
        <v>950</v>
      </c>
      <c r="R99" s="44" cm="1">
        <f t="array" ref="R99">IFERROR(INDEX('ST Forecast'!$E$2:$RK$36,15,M99),"")</f>
        <v>1000</v>
      </c>
      <c r="S99" s="312">
        <f>SUM(DB[[#This Row],[Ops-FC-Picks-Collect]:[Ops-FC-Picks-HD]])</f>
        <v>122443.82058770329</v>
      </c>
      <c r="T99" s="44">
        <f t="shared" si="44"/>
        <v>24396.687015868669</v>
      </c>
      <c r="U99" s="44">
        <f t="shared" si="45"/>
        <v>98047.133571834624</v>
      </c>
      <c r="V99" s="44">
        <f t="shared" si="46"/>
        <v>47766.552252945075</v>
      </c>
      <c r="W99" s="404">
        <f t="shared" si="47"/>
        <v>50280.581318889555</v>
      </c>
      <c r="X99" s="44">
        <f>SUM(DB[[#This Row],[Capped-Orders-Collect]:[Capped-Orders-HD]])</f>
        <v>90</v>
      </c>
      <c r="Y99">
        <f>INDEX('Operations Forecast'!$A$2:$BGY$47,3,MATCH(DB!D99,'Operations Forecast'!$A$2:$BGY$2))</f>
        <v>0</v>
      </c>
      <c r="Z99">
        <f t="shared" si="48"/>
        <v>90</v>
      </c>
      <c r="AA99">
        <f>INDEX('Operations Forecast'!$A$2:$BGY$47,10,MATCH(DB!D99,'Operations Forecast'!$A$2:$BGY$2))</f>
        <v>90</v>
      </c>
      <c r="AB99">
        <f>INDEX('Operations Forecast'!$A$2:$BGY$47,21,MATCH(DB!D99,'Operations Forecast'!$A$2:$BGY$2))</f>
        <v>0</v>
      </c>
      <c r="AC99" s="312">
        <f>SUM(DB[[#This Row],[Act-Orders-Collect]:[Act-Orders-HD]])</f>
        <v>2260</v>
      </c>
      <c r="AD99" s="858">
        <f>IFERROR(INDEX('Operations Forecast_new'!$7:$7,MATCH(DB[[#This Row],[Datum]],'Operations Forecast_new'!$2:$2,0)),0)</f>
        <v>509</v>
      </c>
      <c r="AE99" s="312">
        <f t="shared" si="49"/>
        <v>1751</v>
      </c>
      <c r="AF99" s="858">
        <f>IFERROR(INDEX('Operations Forecast_new'!$13:$13,MATCH(DB[[#This Row],[Datum]],'Operations Forecast_new'!$2:$2,0)),0)</f>
        <v>741</v>
      </c>
      <c r="AG99" s="858">
        <f>IFERROR(INDEX('Operations Forecast_new'!$19:$19,MATCH(DB[[#This Row],[Datum]],'Operations Forecast_new'!$2:$2,0)),0)</f>
        <v>1010</v>
      </c>
      <c r="AH99" s="312">
        <f t="shared" si="37"/>
        <v>109485.486</v>
      </c>
      <c r="AI99" s="858">
        <f>IFERROR(INDEX('Operations Forecast_new'!$9:$9,MATCH(DB[[#This Row],[Datum]],'Operations Forecast_new'!$2:$2,0)),0)</f>
        <v>23331.032999999996</v>
      </c>
      <c r="AJ99" s="312">
        <f t="shared" si="50"/>
        <v>86154.453000000009</v>
      </c>
      <c r="AK99" s="858">
        <f>IFERROR(INDEX('Operations Forecast_new'!$15:$15,MATCH(DB[[#This Row],[Datum]],'Operations Forecast_new'!$2:$2,0)),0)</f>
        <v>36459.423000000003</v>
      </c>
      <c r="AL99" s="858">
        <f>IFERROR(INDEX('Operations Forecast_new'!$21:$21,MATCH(DB[[#This Row],[Datum]],'Operations Forecast_new'!$2:$2,0)),0)</f>
        <v>49695.03</v>
      </c>
      <c r="AM99" s="178">
        <f>IFERROR(INDEX('Operations Forecast_new'!$8:$8,MATCH(DB[[#This Row],[Datum]],'Operations Forecast_new'!$2:$2,0)),0)</f>
        <v>46.3</v>
      </c>
      <c r="AN99" s="859">
        <f>IFERROR(INDEX('Operations Forecast_new'!$20:$20,MATCH(DB[[#This Row],[Datum]],'Operations Forecast_new'!$2:$2,0)),0)</f>
        <v>49.7</v>
      </c>
      <c r="AO99" s="44">
        <f t="shared" si="51"/>
        <v>45.836999999999989</v>
      </c>
      <c r="AP99" s="404">
        <f t="shared" si="52"/>
        <v>49.203000000000003</v>
      </c>
      <c r="AQ99" s="44">
        <f t="shared" si="38"/>
        <v>132265</v>
      </c>
      <c r="AR99" s="44" cm="1">
        <f t="array" ref="AR99">IFERROR(INDEX('ST Forecast'!$E$2:$RK$36,25,M99)+(INDEX('ST Forecast'!$E$2:$RK$36,29,M99)),"")</f>
        <v>55440</v>
      </c>
      <c r="AS99" s="44" cm="1">
        <f t="array" ref="AS99">IFERROR(INDEX('ST Forecast'!$E$2:$RK$36,26,M99)+INDEX('ST Forecast'!$E$2:$RK$36,30,M99),"")</f>
        <v>55385</v>
      </c>
      <c r="AT99" s="44" cm="1">
        <f t="array" ref="AT99">IFERROR(INDEX('ST Forecast'!$E$2:$RK$36,27,M99)+INDEX('ST Forecast'!$E$2:$RK$36,31,M99),"")</f>
        <v>12490</v>
      </c>
      <c r="AU99" s="44" cm="1">
        <f t="array" ref="AU99">IFERROR(INDEX('ST Forecast'!$E$2:$RK$36,28,M99),"")</f>
        <v>8950</v>
      </c>
      <c r="AV99" s="44" cm="1">
        <f t="array" ref="AV99">IFERROR(INDEX('ST Forecast'!$E$2:$RK$36,29,M99),"")</f>
        <v>0</v>
      </c>
      <c r="AW99" s="44">
        <f>DB[[#This Row],[Inbound FC]]-DB[[#This Row],[Inbound Act - Ultrafresh2]]</f>
        <v>132265</v>
      </c>
      <c r="AX99" s="178" t="e">
        <f>#REF!</f>
        <v>#REF!</v>
      </c>
      <c r="AY99" s="178" t="e">
        <f>#REF!</f>
        <v>#REF!</v>
      </c>
      <c r="AZ99" s="178" t="e">
        <f>#REF!</f>
        <v>#REF!</v>
      </c>
      <c r="BA99" s="178">
        <f>MONTH(DB[[#This Row],[Datum]])</f>
        <v>4</v>
      </c>
    </row>
    <row r="100" spans="1:53" x14ac:dyDescent="0.3">
      <c r="A100" s="44">
        <f t="shared" si="39"/>
        <v>14</v>
      </c>
      <c r="B100" t="str">
        <f t="shared" si="40"/>
        <v>Wk 14</v>
      </c>
      <c r="C100" t="s">
        <v>117</v>
      </c>
      <c r="D100" s="313">
        <v>44659</v>
      </c>
      <c r="E100" s="44">
        <f>DB[[#This Row],[Sales-FC-Orders-Collect]]+DB[[#This Row],[Sales-FC-Orders-HD]]</f>
        <v>3176.8890134529147</v>
      </c>
      <c r="F100" s="402" cm="1">
        <f t="array" ref="F100">INDEX('LT Collect Forecast'!$K$1:$Q$55,MATCH(B100,'LT Collect Forecast'!$A:$A,0)+1,MATCH(C100,'LT Collect Forecast'!$K$2:$Q$2,0))</f>
        <v>1100</v>
      </c>
      <c r="G100" s="44" cm="1">
        <f t="array" ref="G100">INDEX('LT HD Forecast'!$K$1:$Q$55,MATCH(B100,'LT HD Forecast'!$A:$A,0)+1,MATCH(C100,'LT HD Forecast'!$K$2:$Q$2,0))</f>
        <v>2076.8890134529147</v>
      </c>
      <c r="H100" s="44" cm="1">
        <f t="array" ref="H100">IFERROR(INDEX('ST Forecast'!$E$2:$RK$36,6,M100),"")</f>
        <v>47.528797631846118</v>
      </c>
      <c r="I100" s="44" cm="1">
        <f t="array" ref="I100">IFERROR(INDEX('ST Forecast'!$E$2:$RK$36,7,M100),"")</f>
        <v>51.924593838177856</v>
      </c>
      <c r="J100" s="44">
        <f>SUM(DB[[#This Row],[Sales-FC-Picks-Collect]:[Sales-FC-Picks-HD]])</f>
        <v>160123.29586554723</v>
      </c>
      <c r="K100" s="44">
        <f t="shared" si="41"/>
        <v>52281.677395030732</v>
      </c>
      <c r="L100" s="44">
        <f t="shared" si="42"/>
        <v>107841.61847051651</v>
      </c>
      <c r="M100" s="403">
        <f>IFERROR(IF(B100=B99,M99+1,MATCH(B100,'ST Forecast'!$E$2:$RK$2,0)+1),"")</f>
        <v>110</v>
      </c>
      <c r="N100">
        <f>SUM(DB[[#This Row],[Ops-FC-Orders-Collect]:[Ops-FC-Orders-HD]])</f>
        <v>3150</v>
      </c>
      <c r="O100" s="44" cm="1">
        <f t="array" ref="O100">IFERROR(INDEX('ST Forecast'!$E$2:$RK$36,13,M100),"")</f>
        <v>1100</v>
      </c>
      <c r="P100" s="44">
        <f t="shared" si="43"/>
        <v>2050</v>
      </c>
      <c r="Q100" s="44" cm="1">
        <f t="array" ref="Q100">IFERROR(INDEX('ST Forecast'!$E$2:$RK$36,14,M100),"")</f>
        <v>1000</v>
      </c>
      <c r="R100" s="44" cm="1">
        <f t="array" ref="R100">IFERROR(INDEX('ST Forecast'!$E$2:$RK$36,15,M100),"")</f>
        <v>1050</v>
      </c>
      <c r="S100" s="312">
        <f>SUM(DB[[#This Row],[Ops-FC-Picks-Collect]:[Ops-FC-Picks-HD]])</f>
        <v>155552.55286802942</v>
      </c>
      <c r="T100" s="44">
        <f t="shared" si="44"/>
        <v>51236.043847130117</v>
      </c>
      <c r="U100" s="44">
        <f t="shared" si="45"/>
        <v>104316.50902089931</v>
      </c>
      <c r="V100" s="44">
        <f t="shared" si="46"/>
        <v>50886.101961414293</v>
      </c>
      <c r="W100" s="404">
        <f t="shared" si="47"/>
        <v>53430.407059485013</v>
      </c>
      <c r="X100" s="44">
        <f>SUM(DB[[#This Row],[Capped-Orders-Collect]:[Capped-Orders-HD]])</f>
        <v>90</v>
      </c>
      <c r="Y100">
        <f>INDEX('Operations Forecast'!$A$2:$BGY$47,3,MATCH(DB!D100,'Operations Forecast'!$A$2:$BGY$2))</f>
        <v>0</v>
      </c>
      <c r="Z100">
        <f t="shared" si="48"/>
        <v>90</v>
      </c>
      <c r="AA100">
        <f>INDEX('Operations Forecast'!$A$2:$BGY$47,10,MATCH(DB!D100,'Operations Forecast'!$A$2:$BGY$2))</f>
        <v>90</v>
      </c>
      <c r="AB100">
        <f>INDEX('Operations Forecast'!$A$2:$BGY$47,21,MATCH(DB!D100,'Operations Forecast'!$A$2:$BGY$2))</f>
        <v>0</v>
      </c>
      <c r="AC100" s="312">
        <f>SUM(DB[[#This Row],[Act-Orders-Collect]:[Act-Orders-HD]])</f>
        <v>2818</v>
      </c>
      <c r="AD100" s="858">
        <f>IFERROR(INDEX('Operations Forecast_new'!$7:$7,MATCH(DB[[#This Row],[Datum]],'Operations Forecast_new'!$2:$2,0)),0)</f>
        <v>896</v>
      </c>
      <c r="AE100" s="312">
        <f t="shared" si="49"/>
        <v>1922</v>
      </c>
      <c r="AF100" s="858">
        <f>IFERROR(INDEX('Operations Forecast_new'!$13:$13,MATCH(DB[[#This Row],[Datum]],'Operations Forecast_new'!$2:$2,0)),0)</f>
        <v>963</v>
      </c>
      <c r="AG100" s="858">
        <f>IFERROR(INDEX('Operations Forecast_new'!$19:$19,MATCH(DB[[#This Row],[Datum]],'Operations Forecast_new'!$2:$2,0)),0)</f>
        <v>959</v>
      </c>
      <c r="AH100" s="312">
        <f t="shared" si="37"/>
        <v>138616.82999999999</v>
      </c>
      <c r="AI100" s="858">
        <f>IFERROR(INDEX('Operations Forecast_new'!$9:$9,MATCH(DB[[#This Row],[Datum]],'Operations Forecast_new'!$2:$2,0)),0)</f>
        <v>43287.551999999996</v>
      </c>
      <c r="AJ100" s="312">
        <f t="shared" si="50"/>
        <v>95329.277999999991</v>
      </c>
      <c r="AK100" s="858">
        <f>IFERROR(INDEX('Operations Forecast_new'!$15:$15,MATCH(DB[[#This Row],[Datum]],'Operations Forecast_new'!$2:$2,0)),0)</f>
        <v>47763.837</v>
      </c>
      <c r="AL100" s="858">
        <f>IFERROR(INDEX('Operations Forecast_new'!$21:$21,MATCH(DB[[#This Row],[Datum]],'Operations Forecast_new'!$2:$2,0)),0)</f>
        <v>47565.440999999999</v>
      </c>
      <c r="AM100" s="178">
        <f>IFERROR(INDEX('Operations Forecast_new'!$8:$8,MATCH(DB[[#This Row],[Datum]],'Operations Forecast_new'!$2:$2,0)),0)</f>
        <v>48.8</v>
      </c>
      <c r="AN100" s="859">
        <f>IFERROR(INDEX('Operations Forecast_new'!$20:$20,MATCH(DB[[#This Row],[Datum]],'Operations Forecast_new'!$2:$2,0)),0)</f>
        <v>50.1</v>
      </c>
      <c r="AO100" s="44">
        <f t="shared" si="51"/>
        <v>48.311999999999998</v>
      </c>
      <c r="AP100" s="404">
        <f t="shared" si="52"/>
        <v>49.598999999999997</v>
      </c>
      <c r="AQ100" s="44">
        <f t="shared" si="38"/>
        <v>119069</v>
      </c>
      <c r="AR100" s="44" cm="1">
        <f t="array" ref="AR100">IFERROR(INDEX('ST Forecast'!$E$2:$RK$36,25,M100)+(INDEX('ST Forecast'!$E$2:$RK$36,29,M100)),"")</f>
        <v>52705</v>
      </c>
      <c r="AS100" s="44" cm="1">
        <f t="array" ref="AS100">IFERROR(INDEX('ST Forecast'!$E$2:$RK$36,26,M100)+INDEX('ST Forecast'!$E$2:$RK$36,30,M100),"")</f>
        <v>52768</v>
      </c>
      <c r="AT100" s="44" cm="1">
        <f t="array" ref="AT100">IFERROR(INDEX('ST Forecast'!$E$2:$RK$36,27,M100)+INDEX('ST Forecast'!$E$2:$RK$36,31,M100),"")</f>
        <v>5202</v>
      </c>
      <c r="AU100" s="44" cm="1">
        <f t="array" ref="AU100">IFERROR(INDEX('ST Forecast'!$E$2:$RK$36,28,M100),"")</f>
        <v>8394</v>
      </c>
      <c r="AV100" s="44" cm="1">
        <f t="array" ref="AV100">IFERROR(INDEX('ST Forecast'!$E$2:$RK$36,29,M100),"")</f>
        <v>0</v>
      </c>
      <c r="AW100" s="44">
        <f>DB[[#This Row],[Inbound FC]]-DB[[#This Row],[Inbound Act - Ultrafresh2]]</f>
        <v>119069</v>
      </c>
      <c r="AX100" s="178" t="e">
        <f>#REF!</f>
        <v>#REF!</v>
      </c>
      <c r="AY100" s="178" t="e">
        <f>#REF!</f>
        <v>#REF!</v>
      </c>
      <c r="AZ100" s="178" t="e">
        <f>#REF!</f>
        <v>#REF!</v>
      </c>
      <c r="BA100" s="178">
        <f>MONTH(DB[[#This Row],[Datum]])</f>
        <v>4</v>
      </c>
    </row>
    <row r="101" spans="1:53" x14ac:dyDescent="0.3">
      <c r="A101" s="44">
        <f t="shared" si="39"/>
        <v>14</v>
      </c>
      <c r="B101" t="str">
        <f t="shared" si="40"/>
        <v>Wk 14</v>
      </c>
      <c r="C101" t="s">
        <v>118</v>
      </c>
      <c r="D101" s="313">
        <v>44660</v>
      </c>
      <c r="E101" s="44">
        <f>DB[[#This Row],[Sales-FC-Orders-Collect]]+DB[[#This Row],[Sales-FC-Orders-HD]]</f>
        <v>2823.6098654708521</v>
      </c>
      <c r="F101" s="402" cm="1">
        <f t="array" ref="F101">INDEX('LT Collect Forecast'!$K$1:$Q$55,MATCH(B101,'LT Collect Forecast'!$A:$A,0)+1,MATCH(C101,'LT Collect Forecast'!$K$2:$Q$2,0))</f>
        <v>1000</v>
      </c>
      <c r="G101" s="44" cm="1">
        <f t="array" ref="G101">INDEX('LT HD Forecast'!$K$1:$Q$55,MATCH(B101,'LT HD Forecast'!$A:$A,0)+1,MATCH(C101,'LT HD Forecast'!$K$2:$Q$2,0))</f>
        <v>1823.6098654708521</v>
      </c>
      <c r="H101" s="44" cm="1">
        <f t="array" ref="H101">IFERROR(INDEX('ST Forecast'!$E$2:$RK$36,6,M101),"")</f>
        <v>48.206219301887813</v>
      </c>
      <c r="I101" s="44" cm="1">
        <f t="array" ref="I101">IFERROR(INDEX('ST Forecast'!$E$2:$RK$36,7,M101),"")</f>
        <v>51.159541646050393</v>
      </c>
      <c r="J101" s="44">
        <f>SUM(DB[[#This Row],[Sales-FC-Picks-Collect]:[Sales-FC-Picks-HD]])</f>
        <v>141501.26416059223</v>
      </c>
      <c r="K101" s="44">
        <f t="shared" si="41"/>
        <v>48206.219301887817</v>
      </c>
      <c r="L101" s="44">
        <f t="shared" si="42"/>
        <v>93295.044858704408</v>
      </c>
      <c r="M101" s="403">
        <f>IFERROR(IF(B101=B100,M100+1,MATCH(B101,'ST Forecast'!$E$2:$RK$2,0)+1),"")</f>
        <v>111</v>
      </c>
      <c r="N101">
        <f>SUM(DB[[#This Row],[Ops-FC-Orders-Collect]:[Ops-FC-Orders-HD]])</f>
        <v>2800</v>
      </c>
      <c r="O101" s="44" cm="1">
        <f t="array" ref="O101">IFERROR(INDEX('ST Forecast'!$E$2:$RK$36,13,M101),"")</f>
        <v>1000</v>
      </c>
      <c r="P101" s="44">
        <f t="shared" si="43"/>
        <v>1800</v>
      </c>
      <c r="Q101" s="44" cm="1">
        <f t="array" ref="Q101">IFERROR(INDEX('ST Forecast'!$E$2:$RK$36,14,M101),"")</f>
        <v>950</v>
      </c>
      <c r="R101" s="44" cm="1">
        <f t="array" ref="R101">IFERROR(INDEX('ST Forecast'!$E$2:$RK$36,15,M101),"")</f>
        <v>850</v>
      </c>
      <c r="S101" s="312">
        <f>SUM(DB[[#This Row],[Ops-FC-Picks-Collect]:[Ops-FC-Picks-HD]])</f>
        <v>137487.52637948294</v>
      </c>
      <c r="T101" s="44">
        <f t="shared" si="44"/>
        <v>47242.094915850059</v>
      </c>
      <c r="U101" s="44">
        <f t="shared" si="45"/>
        <v>90245.431463632893</v>
      </c>
      <c r="V101" s="44">
        <f t="shared" si="46"/>
        <v>47629.533272472916</v>
      </c>
      <c r="W101" s="404">
        <f t="shared" si="47"/>
        <v>42615.898191159977</v>
      </c>
      <c r="X101" s="44">
        <f>SUM(DB[[#This Row],[Capped-Orders-Collect]:[Capped-Orders-HD]])</f>
        <v>90</v>
      </c>
      <c r="Y101">
        <f>INDEX('Operations Forecast'!$A$2:$BGY$47,3,MATCH(DB!D101,'Operations Forecast'!$A$2:$BGY$2))</f>
        <v>0</v>
      </c>
      <c r="Z101">
        <f t="shared" si="48"/>
        <v>90</v>
      </c>
      <c r="AA101">
        <f>INDEX('Operations Forecast'!$A$2:$BGY$47,10,MATCH(DB!D101,'Operations Forecast'!$A$2:$BGY$2))</f>
        <v>90</v>
      </c>
      <c r="AB101">
        <f>INDEX('Operations Forecast'!$A$2:$BGY$47,21,MATCH(DB!D101,'Operations Forecast'!$A$2:$BGY$2))</f>
        <v>0</v>
      </c>
      <c r="AC101" s="312">
        <f>SUM(DB[[#This Row],[Act-Orders-Collect]:[Act-Orders-HD]])</f>
        <v>2576</v>
      </c>
      <c r="AD101" s="858">
        <f>IFERROR(INDEX('Operations Forecast_new'!$7:$7,MATCH(DB[[#This Row],[Datum]],'Operations Forecast_new'!$2:$2,0)),0)</f>
        <v>853</v>
      </c>
      <c r="AE101" s="312">
        <f t="shared" si="49"/>
        <v>1723</v>
      </c>
      <c r="AF101" s="858">
        <f>IFERROR(INDEX('Operations Forecast_new'!$13:$13,MATCH(DB[[#This Row],[Datum]],'Operations Forecast_new'!$2:$2,0)),0)</f>
        <v>909</v>
      </c>
      <c r="AG101" s="858">
        <f>IFERROR(INDEX('Operations Forecast_new'!$19:$19,MATCH(DB[[#This Row],[Datum]],'Operations Forecast_new'!$2:$2,0)),0)</f>
        <v>814</v>
      </c>
      <c r="AH101" s="312">
        <f t="shared" si="37"/>
        <v>123441.71400000001</v>
      </c>
      <c r="AI101" s="858">
        <f>IFERROR(INDEX('Operations Forecast_new'!$9:$9,MATCH(DB[[#This Row],[Datum]],'Operations Forecast_new'!$2:$2,0)),0)</f>
        <v>39858.984000000004</v>
      </c>
      <c r="AJ101" s="312">
        <f t="shared" si="50"/>
        <v>83582.73</v>
      </c>
      <c r="AK101" s="858">
        <f>IFERROR(INDEX('Operations Forecast_new'!$15:$15,MATCH(DB[[#This Row],[Datum]],'Operations Forecast_new'!$2:$2,0)),0)</f>
        <v>44095.59</v>
      </c>
      <c r="AL101" s="858">
        <f>IFERROR(INDEX('Operations Forecast_new'!$21:$21,MATCH(DB[[#This Row],[Datum]],'Operations Forecast_new'!$2:$2,0)),0)</f>
        <v>39487.14</v>
      </c>
      <c r="AM101" s="178">
        <f>IFERROR(INDEX('Operations Forecast_new'!$8:$8,MATCH(DB[[#This Row],[Datum]],'Operations Forecast_new'!$2:$2,0)),0)</f>
        <v>47.2</v>
      </c>
      <c r="AN101" s="859">
        <f>IFERROR(INDEX('Operations Forecast_new'!$20:$20,MATCH(DB[[#This Row],[Datum]],'Operations Forecast_new'!$2:$2,0)),0)</f>
        <v>49</v>
      </c>
      <c r="AO101" s="44">
        <f t="shared" si="51"/>
        <v>46.728000000000002</v>
      </c>
      <c r="AP101" s="404">
        <f t="shared" si="52"/>
        <v>48.51</v>
      </c>
      <c r="AQ101" s="44">
        <f t="shared" si="38"/>
        <v>128658</v>
      </c>
      <c r="AR101" s="44" cm="1">
        <f t="array" ref="AR101">IFERROR(INDEX('ST Forecast'!$E$2:$RK$36,25,M101)+(INDEX('ST Forecast'!$E$2:$RK$36,29,M101)),"")</f>
        <v>67612</v>
      </c>
      <c r="AS101" s="44" cm="1">
        <f t="array" ref="AS101">IFERROR(INDEX('ST Forecast'!$E$2:$RK$36,26,M101)+INDEX('ST Forecast'!$E$2:$RK$36,30,M101),"")</f>
        <v>47687</v>
      </c>
      <c r="AT101" s="44" cm="1">
        <f t="array" ref="AT101">IFERROR(INDEX('ST Forecast'!$E$2:$RK$36,27,M101)+INDEX('ST Forecast'!$E$2:$RK$36,31,M101),"")</f>
        <v>6559</v>
      </c>
      <c r="AU101" s="44" cm="1">
        <f t="array" ref="AU101">IFERROR(INDEX('ST Forecast'!$E$2:$RK$36,28,M101),"")</f>
        <v>6800</v>
      </c>
      <c r="AV101" s="44" cm="1">
        <f t="array" ref="AV101">IFERROR(INDEX('ST Forecast'!$E$2:$RK$36,29,M101),"")</f>
        <v>0</v>
      </c>
      <c r="AW101" s="44">
        <f>DB[[#This Row],[Inbound FC]]-DB[[#This Row],[Inbound Act - Ultrafresh2]]</f>
        <v>128658</v>
      </c>
      <c r="AX101" s="178" t="e">
        <f>#REF!</f>
        <v>#REF!</v>
      </c>
      <c r="AY101" s="178" t="e">
        <f>#REF!</f>
        <v>#REF!</v>
      </c>
      <c r="AZ101" s="178" t="e">
        <f>#REF!</f>
        <v>#REF!</v>
      </c>
      <c r="BA101" s="178">
        <f>MONTH(DB[[#This Row],[Datum]])</f>
        <v>4</v>
      </c>
    </row>
    <row r="102" spans="1:53" x14ac:dyDescent="0.3">
      <c r="A102" s="44">
        <f t="shared" si="39"/>
        <v>14</v>
      </c>
      <c r="B102" t="str">
        <f t="shared" si="40"/>
        <v>Wk 14</v>
      </c>
      <c r="C102" t="s">
        <v>119</v>
      </c>
      <c r="D102" s="313">
        <v>44661</v>
      </c>
      <c r="E102" s="44">
        <f>DB[[#This Row],[Sales-FC-Orders-Collect]]+DB[[#This Row],[Sales-FC-Orders-HD]]</f>
        <v>100</v>
      </c>
      <c r="F102" s="402" cm="1">
        <f t="array" ref="F102">INDEX('LT Collect Forecast'!$K$1:$Q$55,MATCH(B102,'LT Collect Forecast'!$A:$A,0)+1,MATCH(C102,'LT Collect Forecast'!$K$2:$Q$2,0))</f>
        <v>0</v>
      </c>
      <c r="G102" s="44" cm="1">
        <f t="array" ref="G102">INDEX('LT HD Forecast'!$K$1:$Q$55,MATCH(B102,'LT HD Forecast'!$A:$A,0)+1,MATCH(C102,'LT HD Forecast'!$K$2:$Q$2,0))</f>
        <v>100</v>
      </c>
      <c r="H102" s="44" cm="1">
        <f t="array" ref="H102">IFERROR(INDEX('ST Forecast'!$E$2:$RK$36,6,M102),"")</f>
        <v>0</v>
      </c>
      <c r="I102" s="44" cm="1">
        <f t="array" ref="I102">IFERROR(INDEX('ST Forecast'!$E$2:$RK$36,7,M102),"")</f>
        <v>55.508677759855473</v>
      </c>
      <c r="J102" s="44">
        <f>SUM(DB[[#This Row],[Sales-FC-Picks-Collect]:[Sales-FC-Picks-HD]])</f>
        <v>5550.8677759855473</v>
      </c>
      <c r="K102" s="44">
        <f t="shared" si="41"/>
        <v>0</v>
      </c>
      <c r="L102" s="44">
        <f t="shared" si="42"/>
        <v>5550.8677759855473</v>
      </c>
      <c r="M102" s="403">
        <f>IFERROR(IF(B102=B101,M101+1,MATCH(B102,'ST Forecast'!$E$2:$RK$2,0)+1),"")</f>
        <v>112</v>
      </c>
      <c r="N102">
        <f>SUM(DB[[#This Row],[Ops-FC-Orders-Collect]:[Ops-FC-Orders-HD]])</f>
        <v>100</v>
      </c>
      <c r="O102" s="44" cm="1">
        <f t="array" ref="O102">IFERROR(INDEX('ST Forecast'!$E$2:$RK$36,13,M102),"")</f>
        <v>0</v>
      </c>
      <c r="P102" s="44">
        <f t="shared" si="43"/>
        <v>100</v>
      </c>
      <c r="Q102" s="44" cm="1">
        <f t="array" ref="Q102">IFERROR(INDEX('ST Forecast'!$E$2:$RK$36,14,M102),"")</f>
        <v>100</v>
      </c>
      <c r="R102" s="44" cm="1">
        <f t="array" ref="R102">IFERROR(INDEX('ST Forecast'!$E$2:$RK$36,15,M102),"")</f>
        <v>0</v>
      </c>
      <c r="S102" s="312">
        <f>SUM(DB[[#This Row],[Ops-FC-Picks-Collect]:[Ops-FC-Picks-HD]])</f>
        <v>5439.8504204658366</v>
      </c>
      <c r="T102" s="44">
        <f t="shared" si="44"/>
        <v>0</v>
      </c>
      <c r="U102" s="44">
        <f t="shared" si="45"/>
        <v>5439.8504204658366</v>
      </c>
      <c r="V102" s="44">
        <f t="shared" si="46"/>
        <v>5439.8504204658366</v>
      </c>
      <c r="W102" s="404">
        <f t="shared" si="47"/>
        <v>0</v>
      </c>
      <c r="X102" s="44">
        <f>SUM(DB[[#This Row],[Capped-Orders-Collect]:[Capped-Orders-HD]])</f>
        <v>90</v>
      </c>
      <c r="Y102">
        <f>INDEX('Operations Forecast'!$A$2:$BGY$47,3,MATCH(DB!D102,'Operations Forecast'!$A$2:$BGY$2))</f>
        <v>0</v>
      </c>
      <c r="Z102">
        <f t="shared" si="48"/>
        <v>90</v>
      </c>
      <c r="AA102">
        <f>INDEX('Operations Forecast'!$A$2:$BGY$47,10,MATCH(DB!D102,'Operations Forecast'!$A$2:$BGY$2))</f>
        <v>90</v>
      </c>
      <c r="AB102">
        <f>INDEX('Operations Forecast'!$A$2:$BGY$47,21,MATCH(DB!D102,'Operations Forecast'!$A$2:$BGY$2))</f>
        <v>0</v>
      </c>
      <c r="AC102" s="312">
        <f>SUM(DB[[#This Row],[Act-Orders-Collect]:[Act-Orders-HD]])</f>
        <v>75</v>
      </c>
      <c r="AD102" s="858">
        <f>IFERROR(INDEX('Operations Forecast_new'!$7:$7,MATCH(DB[[#This Row],[Datum]],'Operations Forecast_new'!$2:$2,0)),0)</f>
        <v>0</v>
      </c>
      <c r="AE102" s="312">
        <f t="shared" si="49"/>
        <v>75</v>
      </c>
      <c r="AF102" s="858">
        <f>IFERROR(INDEX('Operations Forecast_new'!$13:$13,MATCH(DB[[#This Row],[Datum]],'Operations Forecast_new'!$2:$2,0)),0)</f>
        <v>75</v>
      </c>
      <c r="AG102" s="858">
        <f>IFERROR(INDEX('Operations Forecast_new'!$19:$19,MATCH(DB[[#This Row],[Datum]],'Operations Forecast_new'!$2:$2,0)),0)</f>
        <v>0</v>
      </c>
      <c r="AH102" s="312">
        <f t="shared" si="37"/>
        <v>3838.7249999999999</v>
      </c>
      <c r="AI102" s="858">
        <f>IFERROR(INDEX('Operations Forecast_new'!$9:$9,MATCH(DB[[#This Row],[Datum]],'Operations Forecast_new'!$2:$2,0)),0)</f>
        <v>0</v>
      </c>
      <c r="AJ102" s="312">
        <f t="shared" si="50"/>
        <v>3838.7249999999999</v>
      </c>
      <c r="AK102" s="858">
        <f>IFERROR(INDEX('Operations Forecast_new'!$15:$15,MATCH(DB[[#This Row],[Datum]],'Operations Forecast_new'!$2:$2,0)),0)</f>
        <v>3838.7249999999999</v>
      </c>
      <c r="AL102" s="858">
        <f>IFERROR(INDEX('Operations Forecast_new'!$21:$21,MATCH(DB[[#This Row],[Datum]],'Operations Forecast_new'!$2:$2,0)),0)</f>
        <v>0</v>
      </c>
      <c r="AM102" s="178">
        <f>IFERROR(INDEX('Operations Forecast_new'!$8:$8,MATCH(DB[[#This Row],[Datum]],'Operations Forecast_new'!$2:$2,0)),0)</f>
        <v>0</v>
      </c>
      <c r="AN102" s="859">
        <f>IFERROR(INDEX('Operations Forecast_new'!$20:$20,MATCH(DB[[#This Row],[Datum]],'Operations Forecast_new'!$2:$2,0)),0)</f>
        <v>55.508677759855473</v>
      </c>
      <c r="AO102" s="44" t="str">
        <f t="shared" si="51"/>
        <v>-</v>
      </c>
      <c r="AP102" s="404">
        <f t="shared" si="52"/>
        <v>51.183</v>
      </c>
      <c r="AQ102" s="44">
        <f t="shared" si="38"/>
        <v>0</v>
      </c>
      <c r="AR102" s="44" cm="1">
        <f t="array" ref="AR102">IFERROR(INDEX('ST Forecast'!$E$2:$RK$36,25,M102)+(INDEX('ST Forecast'!$E$2:$RK$36,29,M102)),"")</f>
        <v>0</v>
      </c>
      <c r="AS102" s="44" cm="1">
        <f t="array" ref="AS102">IFERROR(INDEX('ST Forecast'!$E$2:$RK$36,26,M102)+INDEX('ST Forecast'!$E$2:$RK$36,30,M102),"")</f>
        <v>0</v>
      </c>
      <c r="AT102" s="44" cm="1">
        <f t="array" ref="AT102">IFERROR(INDEX('ST Forecast'!$E$2:$RK$36,27,M102)+INDEX('ST Forecast'!$E$2:$RK$36,31,M102),"")</f>
        <v>0</v>
      </c>
      <c r="AU102" s="44" cm="1">
        <f t="array" ref="AU102">IFERROR(INDEX('ST Forecast'!$E$2:$RK$36,28,M102),"")</f>
        <v>0</v>
      </c>
      <c r="AV102" s="44" cm="1">
        <f t="array" ref="AV102">IFERROR(INDEX('ST Forecast'!$E$2:$RK$36,29,M102),"")</f>
        <v>0</v>
      </c>
      <c r="AW102" s="44">
        <f>DB[[#This Row],[Inbound FC]]-DB[[#This Row],[Inbound Act - Ultrafresh2]]</f>
        <v>0</v>
      </c>
      <c r="AX102" s="178" t="e">
        <f>#REF!</f>
        <v>#REF!</v>
      </c>
      <c r="AY102" s="178" t="e">
        <f>#REF!</f>
        <v>#REF!</v>
      </c>
      <c r="AZ102" s="178" t="e">
        <f>#REF!</f>
        <v>#REF!</v>
      </c>
      <c r="BA102" s="178">
        <f>MONTH(DB[[#This Row],[Datum]])</f>
        <v>4</v>
      </c>
    </row>
    <row r="103" spans="1:53" x14ac:dyDescent="0.3">
      <c r="A103" s="44">
        <f t="shared" si="39"/>
        <v>15</v>
      </c>
      <c r="B103" t="str">
        <f t="shared" si="40"/>
        <v>Wk 15</v>
      </c>
      <c r="C103" t="s">
        <v>113</v>
      </c>
      <c r="D103" s="313">
        <v>44662</v>
      </c>
      <c r="E103" s="44">
        <f>DB[[#This Row],[Sales-FC-Orders-Collect]]+DB[[#This Row],[Sales-FC-Orders-HD]]</f>
        <v>2320.3307174887896</v>
      </c>
      <c r="F103" s="402">
        <f>INDEX('LT Collect Forecast'!$K$1:$Q$55,MATCH(B103,'LT Collect Forecast'!$A:$A,0),MATCH(C103,'LT Collect Forecast'!$K$2:$Q$2,0))</f>
        <v>750</v>
      </c>
      <c r="G103" s="44">
        <f>INDEX('LT HD Forecast'!$K$1:$Q$55,MATCH(B103,'LT HD Forecast'!$A:$A,0),MATCH(C103,'LT HD Forecast'!$K$2:$Q$2,0))</f>
        <v>1570.3307174887893</v>
      </c>
      <c r="H103" s="44" cm="1">
        <f t="array" ref="H103">IFERROR(INDEX('ST Forecast'!$E$2:$RK$36,6,M103),"")</f>
        <v>47.90727897553591</v>
      </c>
      <c r="I103" s="44" cm="1">
        <f t="array" ref="I103">IFERROR(INDEX('ST Forecast'!$E$2:$RK$36,7,M103),"")</f>
        <v>50.665210325568232</v>
      </c>
      <c r="J103" s="44">
        <f>SUM(DB[[#This Row],[Sales-FC-Picks-Collect]:[Sales-FC-Picks-HD]])</f>
        <v>115491.59531392192</v>
      </c>
      <c r="K103" s="44">
        <f t="shared" si="41"/>
        <v>35930.459231651934</v>
      </c>
      <c r="L103" s="44">
        <f t="shared" si="42"/>
        <v>79561.136082269979</v>
      </c>
      <c r="M103" s="403">
        <f>IFERROR(IF(B103=B102,M102+1,MATCH(B103,'ST Forecast'!$E$2:$RK$2,0)+1),"")</f>
        <v>114</v>
      </c>
      <c r="N103">
        <f>SUM(DB[[#This Row],[Ops-FC-Orders-Collect]:[Ops-FC-Orders-HD]])</f>
        <v>2350</v>
      </c>
      <c r="O103" s="44" cm="1">
        <f t="array" ref="O103">IFERROR(INDEX('ST Forecast'!$E$2:$RK$36,13,M103),"")</f>
        <v>750</v>
      </c>
      <c r="P103" s="44">
        <f t="shared" si="43"/>
        <v>1600</v>
      </c>
      <c r="Q103" s="44" cm="1">
        <f t="array" ref="Q103">IFERROR(INDEX('ST Forecast'!$E$2:$RK$36,14,M103),"")</f>
        <v>700</v>
      </c>
      <c r="R103" s="44" cm="1">
        <f t="array" ref="R103">IFERROR(INDEX('ST Forecast'!$E$2:$RK$36,15,M103),"")</f>
        <v>900</v>
      </c>
      <c r="S103" s="312">
        <f>SUM(DB[[#This Row],[Ops-FC-Picks-Collect]:[Ops-FC-Picks-HD]])</f>
        <v>114654.89983750987</v>
      </c>
      <c r="T103" s="44">
        <f t="shared" si="44"/>
        <v>35211.850047018896</v>
      </c>
      <c r="U103" s="44">
        <f t="shared" si="45"/>
        <v>79443.049790490986</v>
      </c>
      <c r="V103" s="44">
        <f t="shared" si="46"/>
        <v>34756.334283339806</v>
      </c>
      <c r="W103" s="404">
        <f t="shared" si="47"/>
        <v>44686.715507151181</v>
      </c>
      <c r="X103" s="44">
        <f>SUM(DB[[#This Row],[Capped-Orders-Collect]:[Capped-Orders-HD]])</f>
        <v>90</v>
      </c>
      <c r="Y103">
        <f>INDEX('Operations Forecast'!$A$2:$BGY$47,3,MATCH(DB!D103,'Operations Forecast'!$A$2:$BGY$2))</f>
        <v>0</v>
      </c>
      <c r="Z103">
        <f t="shared" si="48"/>
        <v>90</v>
      </c>
      <c r="AA103">
        <f>INDEX('Operations Forecast'!$A$2:$BGY$47,10,MATCH(DB!D103,'Operations Forecast'!$A$2:$BGY$2))</f>
        <v>90</v>
      </c>
      <c r="AB103">
        <f>INDEX('Operations Forecast'!$A$2:$BGY$47,21,MATCH(DB!D103,'Operations Forecast'!$A$2:$BGY$2))</f>
        <v>0</v>
      </c>
      <c r="AC103" s="312">
        <f>SUM(DB[[#This Row],[Act-Orders-Collect]:[Act-Orders-HD]])</f>
        <v>2224</v>
      </c>
      <c r="AD103" s="858">
        <f>IFERROR(INDEX('Operations Forecast_new'!$7:$7,MATCH(DB[[#This Row],[Datum]],'Operations Forecast_new'!$2:$2,0)),0)</f>
        <v>650</v>
      </c>
      <c r="AE103" s="312">
        <f t="shared" si="49"/>
        <v>1574</v>
      </c>
      <c r="AF103" s="858">
        <f>IFERROR(INDEX('Operations Forecast_new'!$13:$13,MATCH(DB[[#This Row],[Datum]],'Operations Forecast_new'!$2:$2,0)),0)</f>
        <v>649</v>
      </c>
      <c r="AG103" s="858">
        <f>IFERROR(INDEX('Operations Forecast_new'!$19:$19,MATCH(DB[[#This Row],[Datum]],'Operations Forecast_new'!$2:$2,0)),0)</f>
        <v>925</v>
      </c>
      <c r="AH103" s="312">
        <f t="shared" si="37"/>
        <v>106616.26799999998</v>
      </c>
      <c r="AI103" s="858">
        <f>IFERROR(INDEX('Operations Forecast_new'!$9:$9,MATCH(DB[[#This Row],[Datum]],'Operations Forecast_new'!$2:$2,0)),0)</f>
        <v>29794.049999999996</v>
      </c>
      <c r="AJ103" s="312">
        <f t="shared" si="50"/>
        <v>76822.217999999993</v>
      </c>
      <c r="AK103" s="858">
        <f>IFERROR(INDEX('Operations Forecast_new'!$15:$15,MATCH(DB[[#This Row],[Datum]],'Operations Forecast_new'!$2:$2,0)),0)</f>
        <v>31675.742999999999</v>
      </c>
      <c r="AL103" s="858">
        <f>IFERROR(INDEX('Operations Forecast_new'!$21:$21,MATCH(DB[[#This Row],[Datum]],'Operations Forecast_new'!$2:$2,0)),0)</f>
        <v>45146.474999999999</v>
      </c>
      <c r="AM103" s="178">
        <f>IFERROR(INDEX('Operations Forecast_new'!$8:$8,MATCH(DB[[#This Row],[Datum]],'Operations Forecast_new'!$2:$2,0)),0)</f>
        <v>46.3</v>
      </c>
      <c r="AN103" s="859">
        <f>IFERROR(INDEX('Operations Forecast_new'!$20:$20,MATCH(DB[[#This Row],[Datum]],'Operations Forecast_new'!$2:$2,0)),0)</f>
        <v>49.3</v>
      </c>
      <c r="AO103" s="44">
        <f t="shared" si="51"/>
        <v>45.836999999999996</v>
      </c>
      <c r="AP103" s="404">
        <f t="shared" si="52"/>
        <v>48.806999999999995</v>
      </c>
      <c r="AQ103" s="44">
        <f t="shared" si="38"/>
        <v>241166</v>
      </c>
      <c r="AR103" s="44" cm="1">
        <f t="array" ref="AR103">IFERROR(INDEX('ST Forecast'!$E$2:$RK$36,25,M103)+(INDEX('ST Forecast'!$E$2:$RK$36,29,M103)),"")</f>
        <v>102679.52310951061</v>
      </c>
      <c r="AS103" s="44" cm="1">
        <f t="array" ref="AS103">IFERROR(INDEX('ST Forecast'!$E$2:$RK$36,26,M103)+INDEX('ST Forecast'!$E$2:$RK$36,30,M103),"")</f>
        <v>66528.87921783315</v>
      </c>
      <c r="AT103" s="44" cm="1">
        <f t="array" ref="AT103">IFERROR(INDEX('ST Forecast'!$E$2:$RK$36,27,M103)+INDEX('ST Forecast'!$E$2:$RK$36,31,M103),"")</f>
        <v>64419.486630207932</v>
      </c>
      <c r="AU103" s="44" cm="1">
        <f t="array" ref="AU103">IFERROR(INDEX('ST Forecast'!$E$2:$RK$36,28,M103),"")</f>
        <v>7538.1110424483195</v>
      </c>
      <c r="AV103" s="44" cm="1">
        <f t="array" ref="AV103">IFERROR(INDEX('ST Forecast'!$E$2:$RK$36,29,M103),"")</f>
        <v>0</v>
      </c>
      <c r="AW103" s="44">
        <f>DB[[#This Row],[Inbound FC]]-DB[[#This Row],[Inbound Act - Ultrafresh2]]</f>
        <v>241166</v>
      </c>
      <c r="AX103" s="178" t="e">
        <f>#REF!</f>
        <v>#REF!</v>
      </c>
      <c r="AY103" s="178" t="e">
        <f>#REF!</f>
        <v>#REF!</v>
      </c>
      <c r="AZ103" s="178" t="e">
        <f>#REF!</f>
        <v>#REF!</v>
      </c>
      <c r="BA103" s="178">
        <f>MONTH(DB[[#This Row],[Datum]])</f>
        <v>4</v>
      </c>
    </row>
    <row r="104" spans="1:53" x14ac:dyDescent="0.3">
      <c r="A104" s="44">
        <f t="shared" si="39"/>
        <v>15</v>
      </c>
      <c r="B104" t="str">
        <f t="shared" si="40"/>
        <v>Wk 15</v>
      </c>
      <c r="C104" t="s">
        <v>114</v>
      </c>
      <c r="D104" s="313">
        <v>44663</v>
      </c>
      <c r="E104" s="44">
        <f>DB[[#This Row],[Sales-FC-Orders-Collect]]+DB[[#This Row],[Sales-FC-Orders-HD]]</f>
        <v>2474.9215246636768</v>
      </c>
      <c r="F104" s="402">
        <f>INDEX('LT Collect Forecast'!$K$1:$Q$55,MATCH(B104,'LT Collect Forecast'!$A:$A,0),MATCH(C104,'LT Collect Forecast'!$K$2:$Q$2,0))</f>
        <v>550</v>
      </c>
      <c r="G104" s="44">
        <f>INDEX('LT HD Forecast'!$K$1:$Q$55,MATCH(B104,'LT HD Forecast'!$A:$A,0),MATCH(C104,'LT HD Forecast'!$K$2:$Q$2,0))</f>
        <v>1924.921524663677</v>
      </c>
      <c r="H104" s="44" cm="1">
        <f t="array" ref="H104">IFERROR(INDEX('ST Forecast'!$E$2:$RK$36,6,M104),"")</f>
        <v>44.354465822171633</v>
      </c>
      <c r="I104" s="44" cm="1">
        <f t="array" ref="I104">IFERROR(INDEX('ST Forecast'!$E$2:$RK$36,7,M104),"")</f>
        <v>47.48820801283442</v>
      </c>
      <c r="J104" s="44">
        <f>SUM(DB[[#This Row],[Sales-FC-Picks-Collect]:[Sales-FC-Picks-HD]])</f>
        <v>115806.02997380547</v>
      </c>
      <c r="K104" s="44">
        <f t="shared" si="41"/>
        <v>24394.956202194397</v>
      </c>
      <c r="L104" s="44">
        <f t="shared" si="42"/>
        <v>91411.073771611074</v>
      </c>
      <c r="M104" s="403">
        <f>IFERROR(IF(B104=B103,M103+1,MATCH(B104,'ST Forecast'!$E$2:$RK$2,0)+1),"")</f>
        <v>115</v>
      </c>
      <c r="N104">
        <f>SUM(DB[[#This Row],[Ops-FC-Orders-Collect]:[Ops-FC-Orders-HD]])</f>
        <v>2500</v>
      </c>
      <c r="O104" s="44" cm="1">
        <f t="array" ref="O104">IFERROR(INDEX('ST Forecast'!$E$2:$RK$36,13,M104),"")</f>
        <v>550</v>
      </c>
      <c r="P104" s="44">
        <f t="shared" si="43"/>
        <v>1950</v>
      </c>
      <c r="Q104" s="44" cm="1">
        <f t="array" ref="Q104">IFERROR(INDEX('ST Forecast'!$E$2:$RK$36,14,M104),"")</f>
        <v>950</v>
      </c>
      <c r="R104" s="44" cm="1">
        <f t="array" ref="R104">IFERROR(INDEX('ST Forecast'!$E$2:$RK$36,15,M104),"")</f>
        <v>1000</v>
      </c>
      <c r="S104" s="312">
        <f>SUM(DB[[#This Row],[Ops-FC-Picks-Collect]:[Ops-FC-Picks-HD]])</f>
        <v>114657.02259067708</v>
      </c>
      <c r="T104" s="44">
        <f t="shared" si="44"/>
        <v>23907.057078150508</v>
      </c>
      <c r="U104" s="44">
        <f t="shared" si="45"/>
        <v>90749.965512526571</v>
      </c>
      <c r="V104" s="44">
        <f t="shared" si="46"/>
        <v>44211.521659948841</v>
      </c>
      <c r="W104" s="404">
        <f t="shared" si="47"/>
        <v>46538.44385257773</v>
      </c>
      <c r="X104" s="44">
        <f>SUM(DB[[#This Row],[Capped-Orders-Collect]:[Capped-Orders-HD]])</f>
        <v>90</v>
      </c>
      <c r="Y104">
        <f>INDEX('Operations Forecast'!$A$2:$BGY$47,3,MATCH(DB!D104,'Operations Forecast'!$A$2:$BGY$2))</f>
        <v>0</v>
      </c>
      <c r="Z104">
        <f t="shared" si="48"/>
        <v>90</v>
      </c>
      <c r="AA104">
        <f>INDEX('Operations Forecast'!$A$2:$BGY$47,10,MATCH(DB!D104,'Operations Forecast'!$A$2:$BGY$2))</f>
        <v>90</v>
      </c>
      <c r="AB104">
        <f>INDEX('Operations Forecast'!$A$2:$BGY$47,21,MATCH(DB!D104,'Operations Forecast'!$A$2:$BGY$2))</f>
        <v>0</v>
      </c>
      <c r="AC104" s="312">
        <f>SUM(DB[[#This Row],[Act-Orders-Collect]:[Act-Orders-HD]])</f>
        <v>2313</v>
      </c>
      <c r="AD104" s="858">
        <f>IFERROR(INDEX('Operations Forecast_new'!$7:$7,MATCH(DB[[#This Row],[Datum]],'Operations Forecast_new'!$2:$2,0)),0)</f>
        <v>517</v>
      </c>
      <c r="AE104" s="312">
        <f t="shared" si="49"/>
        <v>1796</v>
      </c>
      <c r="AF104" s="858">
        <f>IFERROR(INDEX('Operations Forecast_new'!$13:$13,MATCH(DB[[#This Row],[Datum]],'Operations Forecast_new'!$2:$2,0)),0)</f>
        <v>812</v>
      </c>
      <c r="AG104" s="858">
        <f>IFERROR(INDEX('Operations Forecast_new'!$19:$19,MATCH(DB[[#This Row],[Datum]],'Operations Forecast_new'!$2:$2,0)),0)</f>
        <v>984</v>
      </c>
      <c r="AH104" s="312">
        <f t="shared" si="37"/>
        <v>107508.159</v>
      </c>
      <c r="AI104" s="858">
        <f>IFERROR(INDEX('Operations Forecast_new'!$9:$9,MATCH(DB[[#This Row],[Datum]],'Operations Forecast_new'!$2:$2,0)),0)</f>
        <v>22162.238999999998</v>
      </c>
      <c r="AJ104" s="312">
        <f t="shared" si="50"/>
        <v>85345.919999999998</v>
      </c>
      <c r="AK104" s="858">
        <f>IFERROR(INDEX('Operations Forecast_new'!$15:$15,MATCH(DB[[#This Row],[Datum]],'Operations Forecast_new'!$2:$2,0)),0)</f>
        <v>38586.239999999998</v>
      </c>
      <c r="AL104" s="858">
        <f>IFERROR(INDEX('Operations Forecast_new'!$21:$21,MATCH(DB[[#This Row],[Datum]],'Operations Forecast_new'!$2:$2,0)),0)</f>
        <v>46759.68</v>
      </c>
      <c r="AM104" s="178">
        <f>IFERROR(INDEX('Operations Forecast_new'!$8:$8,MATCH(DB[[#This Row],[Datum]],'Operations Forecast_new'!$2:$2,0)),0)</f>
        <v>43.3</v>
      </c>
      <c r="AN104" s="859">
        <f>IFERROR(INDEX('Operations Forecast_new'!$20:$20,MATCH(DB[[#This Row],[Datum]],'Operations Forecast_new'!$2:$2,0)),0)</f>
        <v>48</v>
      </c>
      <c r="AO104" s="44">
        <f t="shared" si="51"/>
        <v>42.866999999999997</v>
      </c>
      <c r="AP104" s="404">
        <f t="shared" si="52"/>
        <v>47.519999999999996</v>
      </c>
      <c r="AQ104" s="44">
        <f t="shared" si="38"/>
        <v>140335.00000000009</v>
      </c>
      <c r="AR104" s="44" cm="1">
        <f t="array" ref="AR104">IFERROR(INDEX('ST Forecast'!$E$2:$RK$36,25,M104)+(INDEX('ST Forecast'!$E$2:$RK$36,29,M104)),"")</f>
        <v>67732.13878679453</v>
      </c>
      <c r="AS104" s="44" cm="1">
        <f t="array" ref="AS104">IFERROR(INDEX('ST Forecast'!$E$2:$RK$36,26,M104)+INDEX('ST Forecast'!$E$2:$RK$36,30,M104),"")</f>
        <v>59541.728925388677</v>
      </c>
      <c r="AT104" s="44" cm="1">
        <f t="array" ref="AT104">IFERROR(INDEX('ST Forecast'!$E$2:$RK$36,27,M104)+INDEX('ST Forecast'!$E$2:$RK$36,31,M104),"")</f>
        <v>6130.7134247132662</v>
      </c>
      <c r="AU104" s="44" cm="1">
        <f t="array" ref="AU104">IFERROR(INDEX('ST Forecast'!$E$2:$RK$36,28,M104),"")</f>
        <v>6930.4188631036168</v>
      </c>
      <c r="AV104" s="44" cm="1">
        <f t="array" ref="AV104">IFERROR(INDEX('ST Forecast'!$E$2:$RK$36,29,M104),"")</f>
        <v>0</v>
      </c>
      <c r="AW104" s="44">
        <f>DB[[#This Row],[Inbound FC]]-DB[[#This Row],[Inbound Act - Ultrafresh2]]</f>
        <v>140335.00000000009</v>
      </c>
      <c r="AX104" s="178" t="e">
        <f>#REF!</f>
        <v>#REF!</v>
      </c>
      <c r="AY104" s="178" t="e">
        <f>#REF!</f>
        <v>#REF!</v>
      </c>
      <c r="AZ104" s="178" t="e">
        <f>#REF!</f>
        <v>#REF!</v>
      </c>
      <c r="BA104" s="178">
        <f>MONTH(DB[[#This Row],[Datum]])</f>
        <v>4</v>
      </c>
    </row>
    <row r="105" spans="1:53" x14ac:dyDescent="0.3">
      <c r="A105" s="44">
        <f t="shared" si="39"/>
        <v>15</v>
      </c>
      <c r="B105" t="str">
        <f t="shared" si="40"/>
        <v>Wk 15</v>
      </c>
      <c r="C105" t="s">
        <v>115</v>
      </c>
      <c r="D105" s="313">
        <v>44664</v>
      </c>
      <c r="E105" s="44">
        <f>DB[[#This Row],[Sales-FC-Orders-Collect]]+DB[[#This Row],[Sales-FC-Orders-HD]]</f>
        <v>2474.9215246636768</v>
      </c>
      <c r="F105" s="402">
        <f>INDEX('LT Collect Forecast'!$K$1:$Q$55,MATCH(B105,'LT Collect Forecast'!$A:$A,0),MATCH(C105,'LT Collect Forecast'!$K$2:$Q$2,0))</f>
        <v>550</v>
      </c>
      <c r="G105" s="44">
        <f>INDEX('LT HD Forecast'!$K$1:$Q$55,MATCH(B105,'LT HD Forecast'!$A:$A,0),MATCH(C105,'LT HD Forecast'!$K$2:$Q$2,0))</f>
        <v>1924.921524663677</v>
      </c>
      <c r="H105" s="44" cm="1">
        <f t="array" ref="H105">IFERROR(INDEX('ST Forecast'!$E$2:$RK$36,6,M105),"")</f>
        <v>46.710081296435689</v>
      </c>
      <c r="I105" s="44" cm="1">
        <f t="array" ref="I105">IFERROR(INDEX('ST Forecast'!$E$2:$RK$36,7,M105),"")</f>
        <v>47.679026500929901</v>
      </c>
      <c r="J105" s="44">
        <f>SUM(DB[[#This Row],[Sales-FC-Picks-Collect]:[Sales-FC-Picks-HD]])</f>
        <v>117468.92909968947</v>
      </c>
      <c r="K105" s="44">
        <f t="shared" si="41"/>
        <v>25690.544713039628</v>
      </c>
      <c r="L105" s="44">
        <f t="shared" si="42"/>
        <v>91778.38438664985</v>
      </c>
      <c r="M105" s="403">
        <f>IFERROR(IF(B105=B104,M104+1,MATCH(B105,'ST Forecast'!$E$2:$RK$2,0)+1),"")</f>
        <v>116</v>
      </c>
      <c r="N105">
        <f>SUM(DB[[#This Row],[Ops-FC-Orders-Collect]:[Ops-FC-Orders-HD]])</f>
        <v>2500</v>
      </c>
      <c r="O105" s="44" cm="1">
        <f t="array" ref="O105">IFERROR(INDEX('ST Forecast'!$E$2:$RK$36,13,M105),"")</f>
        <v>550</v>
      </c>
      <c r="P105" s="44">
        <f t="shared" si="43"/>
        <v>1950</v>
      </c>
      <c r="Q105" s="44" cm="1">
        <f t="array" ref="Q105">IFERROR(INDEX('ST Forecast'!$E$2:$RK$36,14,M105),"")</f>
        <v>950</v>
      </c>
      <c r="R105" s="44" cm="1">
        <f t="array" ref="R105">IFERROR(INDEX('ST Forecast'!$E$2:$RK$36,15,M105),"")</f>
        <v>1000</v>
      </c>
      <c r="S105" s="312">
        <f>SUM(DB[[#This Row],[Ops-FC-Picks-Collect]:[Ops-FC-Picks-HD]])</f>
        <v>116291.35346205588</v>
      </c>
      <c r="T105" s="44">
        <f t="shared" si="44"/>
        <v>25176.733818778834</v>
      </c>
      <c r="U105" s="44">
        <f t="shared" si="45"/>
        <v>91114.619643277052</v>
      </c>
      <c r="V105" s="44">
        <f t="shared" si="46"/>
        <v>44389.173672365738</v>
      </c>
      <c r="W105" s="404">
        <f t="shared" si="47"/>
        <v>46725.445970911307</v>
      </c>
      <c r="X105" s="44">
        <f>SUM(DB[[#This Row],[Capped-Orders-Collect]:[Capped-Orders-HD]])</f>
        <v>90</v>
      </c>
      <c r="Y105">
        <f>INDEX('Operations Forecast'!$A$2:$BGY$47,3,MATCH(DB!D105,'Operations Forecast'!$A$2:$BGY$2))</f>
        <v>0</v>
      </c>
      <c r="Z105">
        <f t="shared" si="48"/>
        <v>90</v>
      </c>
      <c r="AA105">
        <f>INDEX('Operations Forecast'!$A$2:$BGY$47,10,MATCH(DB!D105,'Operations Forecast'!$A$2:$BGY$2))</f>
        <v>90</v>
      </c>
      <c r="AB105">
        <f>INDEX('Operations Forecast'!$A$2:$BGY$47,21,MATCH(DB!D105,'Operations Forecast'!$A$2:$BGY$2))</f>
        <v>0</v>
      </c>
      <c r="AC105" s="312">
        <f>SUM(DB[[#This Row],[Act-Orders-Collect]:[Act-Orders-HD]])</f>
        <v>1952</v>
      </c>
      <c r="AD105" s="858">
        <f>IFERROR(INDEX('Operations Forecast_new'!$7:$7,MATCH(DB[[#This Row],[Datum]],'Operations Forecast_new'!$2:$2,0)),0)</f>
        <v>496</v>
      </c>
      <c r="AE105" s="312">
        <f t="shared" si="49"/>
        <v>1456</v>
      </c>
      <c r="AF105" s="858">
        <f>IFERROR(INDEX('Operations Forecast_new'!$13:$13,MATCH(DB[[#This Row],[Datum]],'Operations Forecast_new'!$2:$2,0)),0)</f>
        <v>715</v>
      </c>
      <c r="AG105" s="858">
        <f>IFERROR(INDEX('Operations Forecast_new'!$19:$19,MATCH(DB[[#This Row],[Datum]],'Operations Forecast_new'!$2:$2,0)),0)</f>
        <v>741</v>
      </c>
      <c r="AH105" s="312">
        <f t="shared" si="37"/>
        <v>91594.799999999988</v>
      </c>
      <c r="AI105" s="858">
        <f>IFERROR(INDEX('Operations Forecast_new'!$9:$9,MATCH(DB[[#This Row],[Datum]],'Operations Forecast_new'!$2:$2,0)),0)</f>
        <v>20820.095999999998</v>
      </c>
      <c r="AJ105" s="312">
        <f t="shared" si="50"/>
        <v>70774.703999999998</v>
      </c>
      <c r="AK105" s="858">
        <f>IFERROR(INDEX('Operations Forecast_new'!$15:$15,MATCH(DB[[#This Row],[Datum]],'Operations Forecast_new'!$2:$2,0)),0)</f>
        <v>34755.434999999998</v>
      </c>
      <c r="AL105" s="858">
        <f>IFERROR(INDEX('Operations Forecast_new'!$21:$21,MATCH(DB[[#This Row],[Datum]],'Operations Forecast_new'!$2:$2,0)),0)</f>
        <v>36019.269</v>
      </c>
      <c r="AM105" s="178">
        <f>IFERROR(INDEX('Operations Forecast_new'!$8:$8,MATCH(DB[[#This Row],[Datum]],'Operations Forecast_new'!$2:$2,0)),0)</f>
        <v>42.4</v>
      </c>
      <c r="AN105" s="859">
        <f>IFERROR(INDEX('Operations Forecast_new'!$20:$20,MATCH(DB[[#This Row],[Datum]],'Operations Forecast_new'!$2:$2,0)),0)</f>
        <v>49.1</v>
      </c>
      <c r="AO105" s="44">
        <f t="shared" si="51"/>
        <v>41.975999999999992</v>
      </c>
      <c r="AP105" s="404">
        <f t="shared" si="52"/>
        <v>48.609000000000002</v>
      </c>
      <c r="AQ105" s="44">
        <f t="shared" si="38"/>
        <v>152142.00000000006</v>
      </c>
      <c r="AR105" s="44" cm="1">
        <f t="array" ref="AR105">IFERROR(INDEX('ST Forecast'!$E$2:$RK$36,25,M105)+(INDEX('ST Forecast'!$E$2:$RK$36,29,M105)),"")</f>
        <v>68789.651232881894</v>
      </c>
      <c r="AS105" s="44" cm="1">
        <f t="array" ref="AS105">IFERROR(INDEX('ST Forecast'!$E$2:$RK$36,26,M105)+INDEX('ST Forecast'!$E$2:$RK$36,30,M105),"")</f>
        <v>55696.002800928538</v>
      </c>
      <c r="AT105" s="44" cm="1">
        <f t="array" ref="AT105">IFERROR(INDEX('ST Forecast'!$E$2:$RK$36,27,M105)+INDEX('ST Forecast'!$E$2:$RK$36,31,M105),"")</f>
        <v>18609.045659550273</v>
      </c>
      <c r="AU105" s="44" cm="1">
        <f t="array" ref="AU105">IFERROR(INDEX('ST Forecast'!$E$2:$RK$36,28,M105),"")</f>
        <v>9047.3003066393867</v>
      </c>
      <c r="AV105" s="44" cm="1">
        <f t="array" ref="AV105">IFERROR(INDEX('ST Forecast'!$E$2:$RK$36,29,M105),"")</f>
        <v>0</v>
      </c>
      <c r="AW105" s="44">
        <f>DB[[#This Row],[Inbound FC]]-DB[[#This Row],[Inbound Act - Ultrafresh2]]</f>
        <v>152142.00000000006</v>
      </c>
      <c r="AX105" s="178" t="e">
        <f>#REF!</f>
        <v>#REF!</v>
      </c>
      <c r="AY105" s="178" t="e">
        <f>#REF!</f>
        <v>#REF!</v>
      </c>
      <c r="AZ105" s="178" t="e">
        <f>#REF!</f>
        <v>#REF!</v>
      </c>
      <c r="BA105" s="178">
        <f>MONTH(DB[[#This Row],[Datum]])</f>
        <v>4</v>
      </c>
    </row>
    <row r="106" spans="1:53" x14ac:dyDescent="0.3">
      <c r="A106" s="44">
        <f t="shared" si="39"/>
        <v>15</v>
      </c>
      <c r="B106" t="str">
        <f t="shared" si="40"/>
        <v>Wk 15</v>
      </c>
      <c r="C106" t="s">
        <v>116</v>
      </c>
      <c r="D106" s="313">
        <v>44665</v>
      </c>
      <c r="E106" s="44">
        <f>DB[[#This Row],[Sales-FC-Orders-Collect]]+DB[[#This Row],[Sales-FC-Orders-HD]]</f>
        <v>2200</v>
      </c>
      <c r="F106" s="402" cm="1">
        <f t="array" ref="F106">INDEX('LT Collect Forecast'!$K$1:$Q$55,MATCH(B106,'LT Collect Forecast'!$A:$A,0)+1,MATCH(C106,'LT Collect Forecast'!$K$2:$Q$2,0))</f>
        <v>550</v>
      </c>
      <c r="G106" s="44" cm="1">
        <f t="array" ref="G106">INDEX('LT HD Forecast'!$K$1:$Q$55,MATCH(B106,'LT HD Forecast'!$A:$A,0)+1,MATCH(C106,'LT HD Forecast'!$K$2:$Q$2,0))</f>
        <v>1650</v>
      </c>
      <c r="H106" s="44" cm="1">
        <f t="array" ref="H106">IFERROR(INDEX('ST Forecast'!$E$2:$RK$36,6,M106),"")</f>
        <v>47.29969931648008</v>
      </c>
      <c r="I106" s="44" cm="1">
        <f t="array" ref="I106">IFERROR(INDEX('ST Forecast'!$E$2:$RK$36,7,M106),"")</f>
        <v>51.306715631519957</v>
      </c>
      <c r="J106" s="44">
        <f>SUM(DB[[#This Row],[Sales-FC-Picks-Collect]:[Sales-FC-Picks-HD]])</f>
        <v>110670.91541607196</v>
      </c>
      <c r="K106" s="44">
        <f t="shared" si="41"/>
        <v>26014.834624064042</v>
      </c>
      <c r="L106" s="44">
        <f t="shared" si="42"/>
        <v>84656.080792007924</v>
      </c>
      <c r="M106" s="403">
        <f>IFERROR(IF(B106=B105,M105+1,MATCH(B106,'ST Forecast'!$E$2:$RK$2,0)+1),"")</f>
        <v>117</v>
      </c>
      <c r="N106">
        <f>SUM(DB[[#This Row],[Ops-FC-Orders-Collect]:[Ops-FC-Orders-HD]])</f>
        <v>2500</v>
      </c>
      <c r="O106" s="44" cm="1">
        <f t="array" ref="O106">IFERROR(INDEX('ST Forecast'!$E$2:$RK$36,13,M106),"")</f>
        <v>550</v>
      </c>
      <c r="P106" s="44">
        <f t="shared" si="43"/>
        <v>1950</v>
      </c>
      <c r="Q106" s="44" cm="1">
        <f t="array" ref="Q106">IFERROR(INDEX('ST Forecast'!$E$2:$RK$36,14,M106),"")</f>
        <v>950</v>
      </c>
      <c r="R106" s="44" cm="1">
        <f t="array" ref="R106">IFERROR(INDEX('ST Forecast'!$E$2:$RK$36,15,M106),"")</f>
        <v>1000</v>
      </c>
      <c r="S106" s="312">
        <f>SUM(DB[[#This Row],[Ops-FC-Picks-Collect]:[Ops-FC-Picks-HD]])</f>
        <v>123541.67150341738</v>
      </c>
      <c r="T106" s="44">
        <f t="shared" si="44"/>
        <v>25494.537931582759</v>
      </c>
      <c r="U106" s="44">
        <f t="shared" si="45"/>
        <v>98047.133571834624</v>
      </c>
      <c r="V106" s="44">
        <f t="shared" si="46"/>
        <v>47766.552252945075</v>
      </c>
      <c r="W106" s="404">
        <f t="shared" si="47"/>
        <v>50280.581318889555</v>
      </c>
      <c r="X106" s="44">
        <f>SUM(DB[[#This Row],[Capped-Orders-Collect]:[Capped-Orders-HD]])</f>
        <v>90</v>
      </c>
      <c r="Y106">
        <f>INDEX('Operations Forecast'!$A$2:$BGY$47,3,MATCH(DB!D106,'Operations Forecast'!$A$2:$BGY$2))</f>
        <v>0</v>
      </c>
      <c r="Z106">
        <f t="shared" si="48"/>
        <v>90</v>
      </c>
      <c r="AA106">
        <f>INDEX('Operations Forecast'!$A$2:$BGY$47,10,MATCH(DB!D106,'Operations Forecast'!$A$2:$BGY$2))</f>
        <v>90</v>
      </c>
      <c r="AB106">
        <f>INDEX('Operations Forecast'!$A$2:$BGY$47,21,MATCH(DB!D106,'Operations Forecast'!$A$2:$BGY$2))</f>
        <v>0</v>
      </c>
      <c r="AC106" s="312">
        <f>SUM(DB[[#This Row],[Act-Orders-Collect]:[Act-Orders-HD]])</f>
        <v>2153</v>
      </c>
      <c r="AD106" s="858">
        <f>IFERROR(INDEX('Operations Forecast_new'!$7:$7,MATCH(DB[[#This Row],[Datum]],'Operations Forecast_new'!$2:$2,0)),0)</f>
        <v>485</v>
      </c>
      <c r="AE106" s="312">
        <f t="shared" si="49"/>
        <v>1668</v>
      </c>
      <c r="AF106" s="858">
        <f>IFERROR(INDEX('Operations Forecast_new'!$13:$13,MATCH(DB[[#This Row],[Datum]],'Operations Forecast_new'!$2:$2,0)),0)</f>
        <v>747</v>
      </c>
      <c r="AG106" s="858">
        <f>IFERROR(INDEX('Operations Forecast_new'!$19:$19,MATCH(DB[[#This Row],[Datum]],'Operations Forecast_new'!$2:$2,0)),0)</f>
        <v>921</v>
      </c>
      <c r="AH106" s="312">
        <f t="shared" si="37"/>
        <v>99366.399000000005</v>
      </c>
      <c r="AI106" s="858">
        <f>IFERROR(INDEX('Operations Forecast_new'!$9:$9,MATCH(DB[[#This Row],[Datum]],'Operations Forecast_new'!$2:$2,0)),0)</f>
        <v>20598.435000000001</v>
      </c>
      <c r="AJ106" s="312">
        <f t="shared" si="50"/>
        <v>78767.964000000007</v>
      </c>
      <c r="AK106" s="858">
        <f>IFERROR(INDEX('Operations Forecast_new'!$15:$15,MATCH(DB[[#This Row],[Datum]],'Operations Forecast_new'!$2:$2,0)),0)</f>
        <v>35275.580999999998</v>
      </c>
      <c r="AL106" s="858">
        <f>IFERROR(INDEX('Operations Forecast_new'!$21:$21,MATCH(DB[[#This Row],[Datum]],'Operations Forecast_new'!$2:$2,0)),0)</f>
        <v>43492.383000000002</v>
      </c>
      <c r="AM106" s="178">
        <f>IFERROR(INDEX('Operations Forecast_new'!$8:$8,MATCH(DB[[#This Row],[Datum]],'Operations Forecast_new'!$2:$2,0)),0)</f>
        <v>42.9</v>
      </c>
      <c r="AN106" s="859">
        <f>IFERROR(INDEX('Operations Forecast_new'!$20:$20,MATCH(DB[[#This Row],[Datum]],'Operations Forecast_new'!$2:$2,0)),0)</f>
        <v>47.7</v>
      </c>
      <c r="AO106" s="44">
        <f t="shared" si="51"/>
        <v>42.471000000000004</v>
      </c>
      <c r="AP106" s="404">
        <f t="shared" si="52"/>
        <v>47.223000000000006</v>
      </c>
      <c r="AQ106" s="44">
        <f t="shared" si="38"/>
        <v>142775.00000000009</v>
      </c>
      <c r="AR106" s="44" cm="1">
        <f t="array" ref="AR106">IFERROR(INDEX('ST Forecast'!$E$2:$RK$36,25,M106)+(INDEX('ST Forecast'!$E$2:$RK$36,29,M106)),"")</f>
        <v>66165.818167157253</v>
      </c>
      <c r="AS106" s="44" cm="1">
        <f t="array" ref="AS106">IFERROR(INDEX('ST Forecast'!$E$2:$RK$36,26,M106)+INDEX('ST Forecast'!$E$2:$RK$36,30,M106),"")</f>
        <v>52676.395177096048</v>
      </c>
      <c r="AT106" s="44" cm="1">
        <f t="array" ref="AT106">IFERROR(INDEX('ST Forecast'!$E$2:$RK$36,27,M106)+INDEX('ST Forecast'!$E$2:$RK$36,31,M106),"")</f>
        <v>14335.372558043002</v>
      </c>
      <c r="AU106" s="44" cm="1">
        <f t="array" ref="AU106">IFERROR(INDEX('ST Forecast'!$E$2:$RK$36,28,M106),"")</f>
        <v>9597.4140977037914</v>
      </c>
      <c r="AV106" s="44" cm="1">
        <f t="array" ref="AV106">IFERROR(INDEX('ST Forecast'!$E$2:$RK$36,29,M106),"")</f>
        <v>0</v>
      </c>
      <c r="AW106" s="44">
        <f>DB[[#This Row],[Inbound FC]]-DB[[#This Row],[Inbound Act - Ultrafresh2]]</f>
        <v>142775.00000000009</v>
      </c>
      <c r="AX106" s="178" t="e">
        <f>#REF!</f>
        <v>#REF!</v>
      </c>
      <c r="AY106" s="178" t="e">
        <f>#REF!</f>
        <v>#REF!</v>
      </c>
      <c r="AZ106" s="178" t="e">
        <f>#REF!</f>
        <v>#REF!</v>
      </c>
      <c r="BA106" s="178">
        <f>MONTH(DB[[#This Row],[Datum]])</f>
        <v>4</v>
      </c>
    </row>
    <row r="107" spans="1:53" x14ac:dyDescent="0.3">
      <c r="A107" s="44">
        <f t="shared" si="39"/>
        <v>15</v>
      </c>
      <c r="B107" t="str">
        <f t="shared" si="40"/>
        <v>Wk 15</v>
      </c>
      <c r="C107" t="s">
        <v>117</v>
      </c>
      <c r="D107" s="313">
        <v>44666</v>
      </c>
      <c r="E107" s="44">
        <f>DB[[#This Row],[Sales-FC-Orders-Collect]]+DB[[#This Row],[Sales-FC-Orders-HD]]</f>
        <v>3100</v>
      </c>
      <c r="F107" s="402" cm="1">
        <f t="array" ref="F107">INDEX('LT Collect Forecast'!$K$1:$Q$55,MATCH(B107,'LT Collect Forecast'!$A:$A,0)+1,MATCH(C107,'LT Collect Forecast'!$K$2:$Q$2,0))</f>
        <v>1050</v>
      </c>
      <c r="G107" s="44" cm="1">
        <f t="array" ref="G107">INDEX('LT HD Forecast'!$K$1:$Q$55,MATCH(B107,'LT HD Forecast'!$A:$A,0)+1,MATCH(C107,'LT HD Forecast'!$K$2:$Q$2,0))</f>
        <v>2050</v>
      </c>
      <c r="H107" s="44" cm="1">
        <f t="array" ref="H107">IFERROR(INDEX('ST Forecast'!$E$2:$RK$36,6,M107),"")</f>
        <v>49.395633655211697</v>
      </c>
      <c r="I107" s="44" cm="1">
        <f t="array" ref="I107">IFERROR(INDEX('ST Forecast'!$E$2:$RK$36,7,M107),"")</f>
        <v>50.717644391276117</v>
      </c>
      <c r="J107" s="44">
        <f>SUM(DB[[#This Row],[Sales-FC-Picks-Collect]:[Sales-FC-Picks-HD]])</f>
        <v>155836.58634008834</v>
      </c>
      <c r="K107" s="44">
        <f t="shared" si="41"/>
        <v>51865.415337972285</v>
      </c>
      <c r="L107" s="44">
        <f t="shared" si="42"/>
        <v>103971.17100211604</v>
      </c>
      <c r="M107" s="403">
        <f>IFERROR(IF(B107=B106,M106+1,MATCH(B107,'ST Forecast'!$E$2:$RK$2,0)+1),"")</f>
        <v>118</v>
      </c>
      <c r="N107">
        <f>SUM(DB[[#This Row],[Ops-FC-Orders-Collect]:[Ops-FC-Orders-HD]])</f>
        <v>3100</v>
      </c>
      <c r="O107" s="44" cm="1">
        <f t="array" ref="O107">IFERROR(INDEX('ST Forecast'!$E$2:$RK$36,13,M107),"")</f>
        <v>1050</v>
      </c>
      <c r="P107" s="44">
        <f t="shared" si="43"/>
        <v>2050</v>
      </c>
      <c r="Q107" s="44" cm="1">
        <f t="array" ref="Q107">IFERROR(INDEX('ST Forecast'!$E$2:$RK$36,14,M107),"")</f>
        <v>1000</v>
      </c>
      <c r="R107" s="44" cm="1">
        <f t="array" ref="R107">IFERROR(INDEX('ST Forecast'!$E$2:$RK$36,15,M107),"")</f>
        <v>1050</v>
      </c>
      <c r="S107" s="312">
        <f>SUM(DB[[#This Row],[Ops-FC-Picks-Collect]:[Ops-FC-Picks-HD]])</f>
        <v>152719.85461328656</v>
      </c>
      <c r="T107" s="44">
        <f t="shared" si="44"/>
        <v>50828.107031212836</v>
      </c>
      <c r="U107" s="44">
        <f t="shared" si="45"/>
        <v>101891.74758207372</v>
      </c>
      <c r="V107" s="44">
        <f t="shared" si="46"/>
        <v>49703.291503450593</v>
      </c>
      <c r="W107" s="404">
        <f t="shared" si="47"/>
        <v>52188.456078623123</v>
      </c>
      <c r="X107" s="44">
        <f>SUM(DB[[#This Row],[Capped-Orders-Collect]:[Capped-Orders-HD]])</f>
        <v>90</v>
      </c>
      <c r="Y107">
        <f>INDEX('Operations Forecast'!$A$2:$BGY$47,3,MATCH(DB!D107,'Operations Forecast'!$A$2:$BGY$2))</f>
        <v>0</v>
      </c>
      <c r="Z107">
        <f t="shared" si="48"/>
        <v>90</v>
      </c>
      <c r="AA107">
        <f>INDEX('Operations Forecast'!$A$2:$BGY$47,10,MATCH(DB!D107,'Operations Forecast'!$A$2:$BGY$2))</f>
        <v>90</v>
      </c>
      <c r="AB107">
        <f>INDEX('Operations Forecast'!$A$2:$BGY$47,21,MATCH(DB!D107,'Operations Forecast'!$A$2:$BGY$2))</f>
        <v>0</v>
      </c>
      <c r="AC107" s="312">
        <f>SUM(DB[[#This Row],[Act-Orders-Collect]:[Act-Orders-HD]])</f>
        <v>3026</v>
      </c>
      <c r="AD107" s="858">
        <f>IFERROR(INDEX('Operations Forecast_new'!$7:$7,MATCH(DB[[#This Row],[Datum]],'Operations Forecast_new'!$2:$2,0)),0)</f>
        <v>1063</v>
      </c>
      <c r="AE107" s="312">
        <f t="shared" si="49"/>
        <v>1963</v>
      </c>
      <c r="AF107" s="858">
        <f>IFERROR(INDEX('Operations Forecast_new'!$13:$13,MATCH(DB[[#This Row],[Datum]],'Operations Forecast_new'!$2:$2,0)),0)</f>
        <v>1008</v>
      </c>
      <c r="AG107" s="858">
        <f>IFERROR(INDEX('Operations Forecast_new'!$19:$19,MATCH(DB[[#This Row],[Datum]],'Operations Forecast_new'!$2:$2,0)),0)</f>
        <v>955</v>
      </c>
      <c r="AH107" s="312">
        <f t="shared" si="37"/>
        <v>151892.43299999999</v>
      </c>
      <c r="AI107" s="858">
        <f>IFERROR(INDEX('Operations Forecast_new'!$9:$9,MATCH(DB[[#This Row],[Datum]],'Operations Forecast_new'!$2:$2,0)),0)</f>
        <v>52197.552000000003</v>
      </c>
      <c r="AJ107" s="312">
        <f t="shared" si="50"/>
        <v>99694.880999999994</v>
      </c>
      <c r="AK107" s="858">
        <f>IFERROR(INDEX('Operations Forecast_new'!$15:$15,MATCH(DB[[#This Row],[Datum]],'Operations Forecast_new'!$2:$2,0)),0)</f>
        <v>51193.295999999995</v>
      </c>
      <c r="AL107" s="858">
        <f>IFERROR(INDEX('Operations Forecast_new'!$21:$21,MATCH(DB[[#This Row],[Datum]],'Operations Forecast_new'!$2:$2,0)),0)</f>
        <v>48501.584999999999</v>
      </c>
      <c r="AM107" s="178">
        <f>IFERROR(INDEX('Operations Forecast_new'!$8:$8,MATCH(DB[[#This Row],[Datum]],'Operations Forecast_new'!$2:$2,0)),0)</f>
        <v>49.6</v>
      </c>
      <c r="AN107" s="859">
        <f>IFERROR(INDEX('Operations Forecast_new'!$20:$20,MATCH(DB[[#This Row],[Datum]],'Operations Forecast_new'!$2:$2,0)),0)</f>
        <v>51.3</v>
      </c>
      <c r="AO107" s="44">
        <f t="shared" si="51"/>
        <v>49.104000000000006</v>
      </c>
      <c r="AP107" s="404">
        <f t="shared" si="52"/>
        <v>50.786999999999999</v>
      </c>
      <c r="AQ107" s="44">
        <f t="shared" si="38"/>
        <v>132596.00000000009</v>
      </c>
      <c r="AR107" s="44" cm="1">
        <f t="array" ref="AR107">IFERROR(INDEX('ST Forecast'!$E$2:$RK$36,25,M107)+(INDEX('ST Forecast'!$E$2:$RK$36,29,M107)),"")</f>
        <v>63996.940710256218</v>
      </c>
      <c r="AS107" s="44" cm="1">
        <f t="array" ref="AS107">IFERROR(INDEX('ST Forecast'!$E$2:$RK$36,26,M107)+INDEX('ST Forecast'!$E$2:$RK$36,30,M107),"")</f>
        <v>53458.701528273632</v>
      </c>
      <c r="AT107" s="44" cm="1">
        <f t="array" ref="AT107">IFERROR(INDEX('ST Forecast'!$E$2:$RK$36,27,M107)+INDEX('ST Forecast'!$E$2:$RK$36,31,M107),"")</f>
        <v>5792.6253412425995</v>
      </c>
      <c r="AU107" s="44" cm="1">
        <f t="array" ref="AU107">IFERROR(INDEX('ST Forecast'!$E$2:$RK$36,28,M107),"")</f>
        <v>9347.7324202276286</v>
      </c>
      <c r="AV107" s="44" cm="1">
        <f t="array" ref="AV107">IFERROR(INDEX('ST Forecast'!$E$2:$RK$36,29,M107),"")</f>
        <v>0</v>
      </c>
      <c r="AW107" s="44">
        <f>DB[[#This Row],[Inbound FC]]-DB[[#This Row],[Inbound Act - Ultrafresh2]]</f>
        <v>132596.00000000009</v>
      </c>
      <c r="AX107" s="178" t="e">
        <f>#REF!</f>
        <v>#REF!</v>
      </c>
      <c r="AY107" s="178" t="e">
        <f>#REF!</f>
        <v>#REF!</v>
      </c>
      <c r="AZ107" s="178" t="e">
        <f>#REF!</f>
        <v>#REF!</v>
      </c>
      <c r="BA107" s="178">
        <f>MONTH(DB[[#This Row],[Datum]])</f>
        <v>4</v>
      </c>
    </row>
    <row r="108" spans="1:53" x14ac:dyDescent="0.3">
      <c r="A108" s="44">
        <f t="shared" si="39"/>
        <v>15</v>
      </c>
      <c r="B108" t="str">
        <f t="shared" si="40"/>
        <v>Wk 15</v>
      </c>
      <c r="C108" t="s">
        <v>118</v>
      </c>
      <c r="D108" s="313">
        <v>44667</v>
      </c>
      <c r="E108" s="44">
        <f>DB[[#This Row],[Sales-FC-Orders-Collect]]+DB[[#This Row],[Sales-FC-Orders-HD]]</f>
        <v>2800</v>
      </c>
      <c r="F108" s="402" cm="1">
        <f t="array" ref="F108">INDEX('LT Collect Forecast'!$K$1:$Q$55,MATCH(B108,'LT Collect Forecast'!$A:$A,0)+1,MATCH(C108,'LT Collect Forecast'!$K$2:$Q$2,0))</f>
        <v>950</v>
      </c>
      <c r="G108" s="44" cm="1">
        <f t="array" ref="G108">INDEX('LT HD Forecast'!$K$1:$Q$55,MATCH(B108,'LT HD Forecast'!$A:$A,0)+1,MATCH(C108,'LT HD Forecast'!$K$2:$Q$2,0))</f>
        <v>1850</v>
      </c>
      <c r="H108" s="44" cm="1">
        <f t="array" ref="H108">IFERROR(INDEX('ST Forecast'!$E$2:$RK$36,6,M108),"")</f>
        <v>49.690244027562997</v>
      </c>
      <c r="I108" s="44" cm="1">
        <f t="array" ref="I108">IFERROR(INDEX('ST Forecast'!$E$2:$RK$36,7,M108),"")</f>
        <v>52.645152821030607</v>
      </c>
      <c r="J108" s="44">
        <f>SUM(DB[[#This Row],[Sales-FC-Picks-Collect]:[Sales-FC-Picks-HD]])</f>
        <v>144599.26454509146</v>
      </c>
      <c r="K108" s="44">
        <f t="shared" si="41"/>
        <v>47205.731826184849</v>
      </c>
      <c r="L108" s="44">
        <f t="shared" si="42"/>
        <v>97393.532718906616</v>
      </c>
      <c r="M108" s="403">
        <f>IFERROR(IF(B108=B107,M107+1,MATCH(B108,'ST Forecast'!$E$2:$RK$2,0)+1),"")</f>
        <v>119</v>
      </c>
      <c r="N108">
        <f>SUM(DB[[#This Row],[Ops-FC-Orders-Collect]:[Ops-FC-Orders-HD]])</f>
        <v>2850</v>
      </c>
      <c r="O108" s="44" cm="1">
        <f t="array" ref="O108">IFERROR(INDEX('ST Forecast'!$E$2:$RK$36,13,M108),"")</f>
        <v>1000</v>
      </c>
      <c r="P108" s="44">
        <f t="shared" si="43"/>
        <v>1850</v>
      </c>
      <c r="Q108" s="44" cm="1">
        <f t="array" ref="Q108">IFERROR(INDEX('ST Forecast'!$E$2:$RK$36,14,M108),"")</f>
        <v>1000</v>
      </c>
      <c r="R108" s="44" cm="1">
        <f t="array" ref="R108">IFERROR(INDEX('ST Forecast'!$E$2:$RK$36,15,M108),"")</f>
        <v>850</v>
      </c>
      <c r="S108" s="312">
        <f>SUM(DB[[#This Row],[Ops-FC-Picks-Collect]:[Ops-FC-Picks-HD]])</f>
        <v>144142.10121154023</v>
      </c>
      <c r="T108" s="44">
        <f t="shared" si="44"/>
        <v>48696.439147011741</v>
      </c>
      <c r="U108" s="44">
        <f t="shared" si="45"/>
        <v>95445.6620645285</v>
      </c>
      <c r="V108" s="44">
        <f t="shared" si="46"/>
        <v>51592.249764609995</v>
      </c>
      <c r="W108" s="404">
        <f t="shared" si="47"/>
        <v>43853.412299918498</v>
      </c>
      <c r="X108" s="44">
        <f>SUM(DB[[#This Row],[Capped-Orders-Collect]:[Capped-Orders-HD]])</f>
        <v>90</v>
      </c>
      <c r="Y108">
        <f>INDEX('Operations Forecast'!$A$2:$BGY$47,3,MATCH(DB!D108,'Operations Forecast'!$A$2:$BGY$2))</f>
        <v>0</v>
      </c>
      <c r="Z108">
        <f t="shared" si="48"/>
        <v>90</v>
      </c>
      <c r="AA108">
        <f>INDEX('Operations Forecast'!$A$2:$BGY$47,10,MATCH(DB!D108,'Operations Forecast'!$A$2:$BGY$2))</f>
        <v>90</v>
      </c>
      <c r="AB108">
        <f>INDEX('Operations Forecast'!$A$2:$BGY$47,21,MATCH(DB!D108,'Operations Forecast'!$A$2:$BGY$2))</f>
        <v>0</v>
      </c>
      <c r="AC108" s="312">
        <f>SUM(DB[[#This Row],[Act-Orders-Collect]:[Act-Orders-HD]])</f>
        <v>2900</v>
      </c>
      <c r="AD108" s="858">
        <f>IFERROR(INDEX('Operations Forecast_new'!$7:$7,MATCH(DB[[#This Row],[Datum]],'Operations Forecast_new'!$2:$2,0)),0)</f>
        <v>1014</v>
      </c>
      <c r="AE108" s="312">
        <f t="shared" si="49"/>
        <v>1886</v>
      </c>
      <c r="AF108" s="858">
        <f>IFERROR(INDEX('Operations Forecast_new'!$13:$13,MATCH(DB[[#This Row],[Datum]],'Operations Forecast_new'!$2:$2,0)),0)</f>
        <v>998</v>
      </c>
      <c r="AG108" s="858">
        <f>IFERROR(INDEX('Operations Forecast_new'!$19:$19,MATCH(DB[[#This Row],[Datum]],'Operations Forecast_new'!$2:$2,0)),0)</f>
        <v>888</v>
      </c>
      <c r="AH108" s="312">
        <f t="shared" si="37"/>
        <v>140277.45600000001</v>
      </c>
      <c r="AI108" s="858">
        <f>IFERROR(INDEX('Operations Forecast_new'!$9:$9,MATCH(DB[[#This Row],[Datum]],'Operations Forecast_new'!$2:$2,0)),0)</f>
        <v>48787.595999999998</v>
      </c>
      <c r="AJ108" s="312">
        <f t="shared" si="50"/>
        <v>91489.86</v>
      </c>
      <c r="AK108" s="858">
        <f>IFERROR(INDEX('Operations Forecast_new'!$15:$15,MATCH(DB[[#This Row],[Datum]],'Operations Forecast_new'!$2:$2,0)),0)</f>
        <v>48412.98</v>
      </c>
      <c r="AL108" s="858">
        <f>IFERROR(INDEX('Operations Forecast_new'!$21:$21,MATCH(DB[[#This Row],[Datum]],'Operations Forecast_new'!$2:$2,0)),0)</f>
        <v>43076.88</v>
      </c>
      <c r="AM108" s="178">
        <f>IFERROR(INDEX('Operations Forecast_new'!$8:$8,MATCH(DB[[#This Row],[Datum]],'Operations Forecast_new'!$2:$2,0)),0)</f>
        <v>48.6</v>
      </c>
      <c r="AN108" s="859">
        <f>IFERROR(INDEX('Operations Forecast_new'!$20:$20,MATCH(DB[[#This Row],[Datum]],'Operations Forecast_new'!$2:$2,0)),0)</f>
        <v>49</v>
      </c>
      <c r="AO108" s="44">
        <f t="shared" si="51"/>
        <v>48.113999999999997</v>
      </c>
      <c r="AP108" s="404">
        <f t="shared" si="52"/>
        <v>48.51</v>
      </c>
      <c r="AQ108" s="44">
        <f t="shared" si="38"/>
        <v>120390.00000000001</v>
      </c>
      <c r="AR108" s="44" cm="1">
        <f t="array" ref="AR108">IFERROR(INDEX('ST Forecast'!$E$2:$RK$36,25,M108)+(INDEX('ST Forecast'!$E$2:$RK$36,29,M108)),"")</f>
        <v>56043.675611792241</v>
      </c>
      <c r="AS108" s="44" cm="1">
        <f t="array" ref="AS108">IFERROR(INDEX('ST Forecast'!$E$2:$RK$36,26,M108)+INDEX('ST Forecast'!$E$2:$RK$36,30,M108),"")</f>
        <v>51845.792158668257</v>
      </c>
      <c r="AT108" s="44" cm="1">
        <f t="array" ref="AT108">IFERROR(INDEX('ST Forecast'!$E$2:$RK$36,27,M108)+INDEX('ST Forecast'!$E$2:$RK$36,31,M108),"")</f>
        <v>6137.2181114562036</v>
      </c>
      <c r="AU108" s="44" cm="1">
        <f t="array" ref="AU108">IFERROR(INDEX('ST Forecast'!$E$2:$RK$36,28,M108),"")</f>
        <v>6363.3141180833127</v>
      </c>
      <c r="AV108" s="44" cm="1">
        <f t="array" ref="AV108">IFERROR(INDEX('ST Forecast'!$E$2:$RK$36,29,M108),"")</f>
        <v>0</v>
      </c>
      <c r="AW108" s="44">
        <f>DB[[#This Row],[Inbound FC]]-DB[[#This Row],[Inbound Act - Ultrafresh2]]</f>
        <v>120390.00000000001</v>
      </c>
      <c r="AX108" s="178" t="e">
        <f>#REF!</f>
        <v>#REF!</v>
      </c>
      <c r="AY108" s="178" t="e">
        <f>#REF!</f>
        <v>#REF!</v>
      </c>
      <c r="AZ108" s="178" t="e">
        <f>#REF!</f>
        <v>#REF!</v>
      </c>
      <c r="BA108" s="178">
        <f>MONTH(DB[[#This Row],[Datum]])</f>
        <v>4</v>
      </c>
    </row>
    <row r="109" spans="1:53" x14ac:dyDescent="0.3">
      <c r="A109" s="44">
        <f t="shared" si="39"/>
        <v>15</v>
      </c>
      <c r="B109" t="str">
        <f t="shared" si="40"/>
        <v>Wk 15</v>
      </c>
      <c r="C109" t="s">
        <v>119</v>
      </c>
      <c r="D109" s="313">
        <v>44668</v>
      </c>
      <c r="E109" s="44">
        <f>DB[[#This Row],[Sales-FC-Orders-Collect]]+DB[[#This Row],[Sales-FC-Orders-HD]]</f>
        <v>500</v>
      </c>
      <c r="F109" s="402" cm="1">
        <f t="array" ref="F109">INDEX('LT Collect Forecast'!$K$1:$Q$55,MATCH(B109,'LT Collect Forecast'!$A:$A,0)+1,MATCH(C109,'LT Collect Forecast'!$K$2:$Q$2,0))</f>
        <v>0</v>
      </c>
      <c r="G109" s="44" cm="1">
        <f t="array" ref="G109">INDEX('LT HD Forecast'!$K$1:$Q$55,MATCH(B109,'LT HD Forecast'!$A:$A,0)+1,MATCH(C109,'LT HD Forecast'!$K$2:$Q$2,0))</f>
        <v>500</v>
      </c>
      <c r="H109" s="44" cm="1">
        <f t="array" ref="H109">IFERROR(INDEX('ST Forecast'!$E$2:$RK$36,6,M109),"")</f>
        <v>0</v>
      </c>
      <c r="I109" s="44" cm="1">
        <f t="array" ref="I109">IFERROR(INDEX('ST Forecast'!$E$2:$RK$36,7,M109),"")</f>
        <v>54.066665589136321</v>
      </c>
      <c r="J109" s="44">
        <f>SUM(DB[[#This Row],[Sales-FC-Picks-Collect]:[Sales-FC-Picks-HD]])</f>
        <v>27033.332794568159</v>
      </c>
      <c r="K109" s="44">
        <f t="shared" si="41"/>
        <v>0</v>
      </c>
      <c r="L109" s="44">
        <f t="shared" si="42"/>
        <v>27033.332794568159</v>
      </c>
      <c r="M109" s="403">
        <f>IFERROR(IF(B109=B108,M108+1,MATCH(B109,'ST Forecast'!$E$2:$RK$2,0)+1),"")</f>
        <v>120</v>
      </c>
      <c r="N109">
        <f>SUM(DB[[#This Row],[Ops-FC-Orders-Collect]:[Ops-FC-Orders-HD]])</f>
        <v>500</v>
      </c>
      <c r="O109" s="44" cm="1">
        <f t="array" ref="O109">IFERROR(INDEX('ST Forecast'!$E$2:$RK$36,13,M109),"")</f>
        <v>0</v>
      </c>
      <c r="P109" s="44">
        <f t="shared" si="43"/>
        <v>500</v>
      </c>
      <c r="Q109" s="44" cm="1">
        <f t="array" ref="Q109">IFERROR(INDEX('ST Forecast'!$E$2:$RK$36,14,M109),"")</f>
        <v>500</v>
      </c>
      <c r="R109" s="44" cm="1">
        <f t="array" ref="R109">IFERROR(INDEX('ST Forecast'!$E$2:$RK$36,15,M109),"")</f>
        <v>0</v>
      </c>
      <c r="S109" s="312">
        <f>SUM(DB[[#This Row],[Ops-FC-Picks-Collect]:[Ops-FC-Picks-HD]])</f>
        <v>26492.666138676796</v>
      </c>
      <c r="T109" s="44">
        <f t="shared" si="44"/>
        <v>0</v>
      </c>
      <c r="U109" s="44">
        <f t="shared" si="45"/>
        <v>26492.666138676796</v>
      </c>
      <c r="V109" s="44">
        <f t="shared" si="46"/>
        <v>26492.666138676796</v>
      </c>
      <c r="W109" s="404">
        <f t="shared" si="47"/>
        <v>0</v>
      </c>
      <c r="X109" s="44">
        <f>SUM(DB[[#This Row],[Capped-Orders-Collect]:[Capped-Orders-HD]])</f>
        <v>90</v>
      </c>
      <c r="Y109">
        <f>INDEX('Operations Forecast'!$A$2:$BGY$47,3,MATCH(DB!D109,'Operations Forecast'!$A$2:$BGY$2))</f>
        <v>0</v>
      </c>
      <c r="Z109">
        <f t="shared" si="48"/>
        <v>90</v>
      </c>
      <c r="AA109">
        <f>INDEX('Operations Forecast'!$A$2:$BGY$47,10,MATCH(DB!D109,'Operations Forecast'!$A$2:$BGY$2))</f>
        <v>90</v>
      </c>
      <c r="AB109">
        <f>INDEX('Operations Forecast'!$A$2:$BGY$47,21,MATCH(DB!D109,'Operations Forecast'!$A$2:$BGY$2))</f>
        <v>0</v>
      </c>
      <c r="AC109" s="312">
        <f>SUM(DB[[#This Row],[Act-Orders-Collect]:[Act-Orders-HD]])</f>
        <v>197</v>
      </c>
      <c r="AD109" s="858">
        <f>IFERROR(INDEX('Operations Forecast_new'!$7:$7,MATCH(DB[[#This Row],[Datum]],'Operations Forecast_new'!$2:$2,0)),0)</f>
        <v>0</v>
      </c>
      <c r="AE109" s="312">
        <f t="shared" si="49"/>
        <v>197</v>
      </c>
      <c r="AF109" s="858">
        <f>IFERROR(INDEX('Operations Forecast_new'!$13:$13,MATCH(DB[[#This Row],[Datum]],'Operations Forecast_new'!$2:$2,0)),0)</f>
        <v>197</v>
      </c>
      <c r="AG109" s="858">
        <f>IFERROR(INDEX('Operations Forecast_new'!$19:$19,MATCH(DB[[#This Row],[Datum]],'Operations Forecast_new'!$2:$2,0)),0)</f>
        <v>0</v>
      </c>
      <c r="AH109" s="312">
        <f t="shared" si="37"/>
        <v>10200.068999999998</v>
      </c>
      <c r="AI109" s="858">
        <f>IFERROR(INDEX('Operations Forecast_new'!$9:$9,MATCH(DB[[#This Row],[Datum]],'Operations Forecast_new'!$2:$2,0)),0)</f>
        <v>0</v>
      </c>
      <c r="AJ109" s="312">
        <f t="shared" si="50"/>
        <v>10200.068999999998</v>
      </c>
      <c r="AK109" s="858">
        <f>IFERROR(INDEX('Operations Forecast_new'!$15:$15,MATCH(DB[[#This Row],[Datum]],'Operations Forecast_new'!$2:$2,0)),0)</f>
        <v>10200.068999999998</v>
      </c>
      <c r="AL109" s="858">
        <f>IFERROR(INDEX('Operations Forecast_new'!$21:$21,MATCH(DB[[#This Row],[Datum]],'Operations Forecast_new'!$2:$2,0)),0)</f>
        <v>0</v>
      </c>
      <c r="AM109" s="178">
        <f>IFERROR(INDEX('Operations Forecast_new'!$8:$8,MATCH(DB[[#This Row],[Datum]],'Operations Forecast_new'!$2:$2,0)),0)</f>
        <v>0</v>
      </c>
      <c r="AN109" s="859">
        <f>IFERROR(INDEX('Operations Forecast_new'!$20:$20,MATCH(DB[[#This Row],[Datum]],'Operations Forecast_new'!$2:$2,0)),0)</f>
        <v>54.066665589136321</v>
      </c>
      <c r="AO109" s="44" t="str">
        <f t="shared" si="51"/>
        <v>-</v>
      </c>
      <c r="AP109" s="404">
        <f t="shared" si="52"/>
        <v>51.776999999999987</v>
      </c>
      <c r="AQ109" s="44">
        <f t="shared" si="38"/>
        <v>0</v>
      </c>
      <c r="AR109" s="44" cm="1">
        <f t="array" ref="AR109">IFERROR(INDEX('ST Forecast'!$E$2:$RK$36,25,M109)+(INDEX('ST Forecast'!$E$2:$RK$36,29,M109)),"")</f>
        <v>0</v>
      </c>
      <c r="AS109" s="44" cm="1">
        <f t="array" ref="AS109">IFERROR(INDEX('ST Forecast'!$E$2:$RK$36,26,M109)+INDEX('ST Forecast'!$E$2:$RK$36,30,M109),"")</f>
        <v>0</v>
      </c>
      <c r="AT109" s="44" cm="1">
        <f t="array" ref="AT109">IFERROR(INDEX('ST Forecast'!$E$2:$RK$36,27,M109)+INDEX('ST Forecast'!$E$2:$RK$36,31,M109),"")</f>
        <v>0</v>
      </c>
      <c r="AU109" s="44" cm="1">
        <f t="array" ref="AU109">IFERROR(INDEX('ST Forecast'!$E$2:$RK$36,28,M109),"")</f>
        <v>0</v>
      </c>
      <c r="AV109" s="44" cm="1">
        <f t="array" ref="AV109">IFERROR(INDEX('ST Forecast'!$E$2:$RK$36,29,M109),"")</f>
        <v>0</v>
      </c>
      <c r="AW109" s="44">
        <f>DB[[#This Row],[Inbound FC]]-DB[[#This Row],[Inbound Act - Ultrafresh2]]</f>
        <v>0</v>
      </c>
      <c r="AX109" s="178" t="e">
        <f>#REF!</f>
        <v>#REF!</v>
      </c>
      <c r="AY109" s="178" t="e">
        <f>#REF!</f>
        <v>#REF!</v>
      </c>
      <c r="AZ109" s="178" t="e">
        <f>#REF!</f>
        <v>#REF!</v>
      </c>
      <c r="BA109" s="178">
        <f>MONTH(DB[[#This Row],[Datum]])</f>
        <v>4</v>
      </c>
    </row>
    <row r="110" spans="1:53" x14ac:dyDescent="0.3">
      <c r="A110" s="44">
        <f t="shared" si="39"/>
        <v>16</v>
      </c>
      <c r="B110" t="str">
        <f t="shared" si="40"/>
        <v>Wk 16</v>
      </c>
      <c r="C110" t="s">
        <v>113</v>
      </c>
      <c r="D110" s="313">
        <v>44669</v>
      </c>
      <c r="E110" s="44">
        <f>DB[[#This Row],[Sales-FC-Orders-Collect]]+DB[[#This Row],[Sales-FC-Orders-HD]]</f>
        <v>0</v>
      </c>
      <c r="F110" s="402">
        <f>INDEX('LT Collect Forecast'!$K$1:$Q$55,MATCH(B110,'LT Collect Forecast'!$A:$A,0),MATCH(C110,'LT Collect Forecast'!$K$2:$Q$2,0))</f>
        <v>0</v>
      </c>
      <c r="G110" s="44">
        <f>INDEX('LT HD Forecast'!$K$1:$Q$55,MATCH(B110,'LT HD Forecast'!$A:$A,0),MATCH(C110,'LT HD Forecast'!$K$2:$Q$2,0))</f>
        <v>0</v>
      </c>
      <c r="H110" s="44" cm="1">
        <f t="array" ref="H110">IFERROR(INDEX('ST Forecast'!$E$2:$RK$36,6,M110),"")</f>
        <v>0</v>
      </c>
      <c r="I110" s="44" cm="1">
        <f t="array" ref="I110">IFERROR(INDEX('ST Forecast'!$E$2:$RK$36,7,M110),"")</f>
        <v>0</v>
      </c>
      <c r="J110" s="44">
        <f>SUM(DB[[#This Row],[Sales-FC-Picks-Collect]:[Sales-FC-Picks-HD]])</f>
        <v>0</v>
      </c>
      <c r="K110" s="44">
        <f t="shared" si="41"/>
        <v>0</v>
      </c>
      <c r="L110" s="44">
        <f t="shared" si="42"/>
        <v>0</v>
      </c>
      <c r="M110" s="403">
        <f>IFERROR(IF(B110=B109,M109+1,MATCH(B110,'ST Forecast'!$E$2:$RK$2,0)+1),"")</f>
        <v>122</v>
      </c>
      <c r="N110">
        <f>SUM(DB[[#This Row],[Ops-FC-Orders-Collect]:[Ops-FC-Orders-HD]])</f>
        <v>0</v>
      </c>
      <c r="O110" s="44" cm="1">
        <f t="array" ref="O110">IFERROR(INDEX('ST Forecast'!$E$2:$RK$36,13,M110),"")</f>
        <v>0</v>
      </c>
      <c r="P110" s="44">
        <f t="shared" si="43"/>
        <v>0</v>
      </c>
      <c r="Q110" s="44" cm="1">
        <f t="array" ref="Q110">IFERROR(INDEX('ST Forecast'!$E$2:$RK$36,14,M110),"")</f>
        <v>0</v>
      </c>
      <c r="R110" s="44" cm="1">
        <f t="array" ref="R110">IFERROR(INDEX('ST Forecast'!$E$2:$RK$36,15,M110),"")</f>
        <v>0</v>
      </c>
      <c r="S110" s="312">
        <f>SUM(DB[[#This Row],[Ops-FC-Picks-Collect]:[Ops-FC-Picks-HD]])</f>
        <v>0</v>
      </c>
      <c r="T110" s="44">
        <f t="shared" si="44"/>
        <v>0</v>
      </c>
      <c r="U110" s="44">
        <f t="shared" si="45"/>
        <v>0</v>
      </c>
      <c r="V110" s="44">
        <f t="shared" si="46"/>
        <v>0</v>
      </c>
      <c r="W110" s="404">
        <f t="shared" si="47"/>
        <v>0</v>
      </c>
      <c r="X110" s="44">
        <f>SUM(DB[[#This Row],[Capped-Orders-Collect]:[Capped-Orders-HD]])</f>
        <v>90</v>
      </c>
      <c r="Y110">
        <f>INDEX('Operations Forecast'!$A$2:$BGY$47,3,MATCH(DB!D110,'Operations Forecast'!$A$2:$BGY$2))</f>
        <v>0</v>
      </c>
      <c r="Z110">
        <f t="shared" si="48"/>
        <v>90</v>
      </c>
      <c r="AA110">
        <f>INDEX('Operations Forecast'!$A$2:$BGY$47,10,MATCH(DB!D110,'Operations Forecast'!$A$2:$BGY$2))</f>
        <v>90</v>
      </c>
      <c r="AB110">
        <f>INDEX('Operations Forecast'!$A$2:$BGY$47,21,MATCH(DB!D110,'Operations Forecast'!$A$2:$BGY$2))</f>
        <v>0</v>
      </c>
      <c r="AC110" s="312">
        <f>SUM(DB[[#This Row],[Act-Orders-Collect]:[Act-Orders-HD]])</f>
        <v>0</v>
      </c>
      <c r="AD110" s="858">
        <f>IFERROR(INDEX('Operations Forecast_new'!$7:$7,MATCH(DB[[#This Row],[Datum]],'Operations Forecast_new'!$2:$2,0)),0)</f>
        <v>0</v>
      </c>
      <c r="AE110" s="312">
        <f t="shared" si="49"/>
        <v>0</v>
      </c>
      <c r="AF110" s="858">
        <f>IFERROR(INDEX('Operations Forecast_new'!$13:$13,MATCH(DB[[#This Row],[Datum]],'Operations Forecast_new'!$2:$2,0)),0)</f>
        <v>0</v>
      </c>
      <c r="AG110" s="858">
        <f>IFERROR(INDEX('Operations Forecast_new'!$19:$19,MATCH(DB[[#This Row],[Datum]],'Operations Forecast_new'!$2:$2,0)),0)</f>
        <v>0</v>
      </c>
      <c r="AH110" s="312">
        <f t="shared" si="37"/>
        <v>0</v>
      </c>
      <c r="AI110" s="858">
        <f>IFERROR(INDEX('Operations Forecast_new'!$9:$9,MATCH(DB[[#This Row],[Datum]],'Operations Forecast_new'!$2:$2,0)),0)</f>
        <v>0</v>
      </c>
      <c r="AJ110" s="312">
        <f t="shared" si="50"/>
        <v>0</v>
      </c>
      <c r="AK110" s="858">
        <f>IFERROR(INDEX('Operations Forecast_new'!$15:$15,MATCH(DB[[#This Row],[Datum]],'Operations Forecast_new'!$2:$2,0)),0)</f>
        <v>0</v>
      </c>
      <c r="AL110" s="858">
        <f>IFERROR(INDEX('Operations Forecast_new'!$21:$21,MATCH(DB[[#This Row],[Datum]],'Operations Forecast_new'!$2:$2,0)),0)</f>
        <v>0</v>
      </c>
      <c r="AM110" s="178">
        <f>IFERROR(INDEX('Operations Forecast_new'!$8:$8,MATCH(DB[[#This Row],[Datum]],'Operations Forecast_new'!$2:$2,0)),0)</f>
        <v>0</v>
      </c>
      <c r="AN110" s="859">
        <f>IFERROR(INDEX('Operations Forecast_new'!$20:$20,MATCH(DB[[#This Row],[Datum]],'Operations Forecast_new'!$2:$2,0)),0)</f>
        <v>0</v>
      </c>
      <c r="AO110" s="44" t="str">
        <f t="shared" si="51"/>
        <v>-</v>
      </c>
      <c r="AP110" s="404" t="str">
        <f t="shared" si="52"/>
        <v>-</v>
      </c>
      <c r="AQ110" s="44">
        <f t="shared" si="38"/>
        <v>0</v>
      </c>
      <c r="AR110" s="44" cm="1">
        <f t="array" ref="AR110">IFERROR(INDEX('ST Forecast'!$E$2:$RK$36,25,M110)+(INDEX('ST Forecast'!$E$2:$RK$36,29,M110)),"")</f>
        <v>0</v>
      </c>
      <c r="AS110" s="44" cm="1">
        <f t="array" ref="AS110">IFERROR(INDEX('ST Forecast'!$E$2:$RK$36,26,M110)+INDEX('ST Forecast'!$E$2:$RK$36,30,M110),"")</f>
        <v>0</v>
      </c>
      <c r="AT110" s="44" cm="1">
        <f t="array" ref="AT110">IFERROR(INDEX('ST Forecast'!$E$2:$RK$36,27,M110)+INDEX('ST Forecast'!$E$2:$RK$36,31,M110),"")</f>
        <v>0</v>
      </c>
      <c r="AU110" s="44" cm="1">
        <f t="array" ref="AU110">IFERROR(INDEX('ST Forecast'!$E$2:$RK$36,28,M110),"")</f>
        <v>0</v>
      </c>
      <c r="AV110" s="44" cm="1">
        <f t="array" ref="AV110">IFERROR(INDEX('ST Forecast'!$E$2:$RK$36,29,M110),"")</f>
        <v>0</v>
      </c>
      <c r="AW110" s="44">
        <f>DB[[#This Row],[Inbound FC]]-DB[[#This Row],[Inbound Act - Ultrafresh2]]</f>
        <v>0</v>
      </c>
      <c r="AX110" s="178" t="e">
        <f>#REF!</f>
        <v>#REF!</v>
      </c>
      <c r="AY110" s="178" t="e">
        <f>#REF!</f>
        <v>#REF!</v>
      </c>
      <c r="AZ110" s="178" t="e">
        <f>#REF!</f>
        <v>#REF!</v>
      </c>
      <c r="BA110" s="178">
        <f>MONTH(DB[[#This Row],[Datum]])</f>
        <v>4</v>
      </c>
    </row>
    <row r="111" spans="1:53" x14ac:dyDescent="0.3">
      <c r="A111" s="44">
        <f t="shared" si="39"/>
        <v>16</v>
      </c>
      <c r="B111" t="str">
        <f t="shared" si="40"/>
        <v>Wk 16</v>
      </c>
      <c r="C111" t="s">
        <v>114</v>
      </c>
      <c r="D111" s="313">
        <v>44670</v>
      </c>
      <c r="E111" s="44">
        <f>DB[[#This Row],[Sales-FC-Orders-Collect]]+DB[[#This Row],[Sales-FC-Orders-HD]]</f>
        <v>1700</v>
      </c>
      <c r="F111" s="402">
        <f>INDEX('LT Collect Forecast'!$K$1:$Q$55,MATCH(B111,'LT Collect Forecast'!$A:$A,0),MATCH(C111,'LT Collect Forecast'!$K$2:$Q$2,0))</f>
        <v>700</v>
      </c>
      <c r="G111" s="44">
        <f>INDEX('LT HD Forecast'!$K$1:$Q$55,MATCH(B111,'LT HD Forecast'!$A:$A,0),MATCH(C111,'LT HD Forecast'!$K$2:$Q$2,0))</f>
        <v>1000</v>
      </c>
      <c r="H111" s="44" cm="1">
        <f t="array" ref="H111">IFERROR(INDEX('ST Forecast'!$E$2:$RK$36,6,M111),"")</f>
        <v>46.581612829877272</v>
      </c>
      <c r="I111" s="44" cm="1">
        <f t="array" ref="I111">IFERROR(INDEX('ST Forecast'!$E$2:$RK$36,7,M111),"")</f>
        <v>46.316018664315258</v>
      </c>
      <c r="J111" s="44">
        <f>SUM(DB[[#This Row],[Sales-FC-Picks-Collect]:[Sales-FC-Picks-HD]])</f>
        <v>78923.147645229343</v>
      </c>
      <c r="K111" s="44">
        <f t="shared" si="41"/>
        <v>32607.128980914091</v>
      </c>
      <c r="L111" s="44">
        <f t="shared" si="42"/>
        <v>46316.018664315256</v>
      </c>
      <c r="M111" s="403">
        <f>IFERROR(IF(B111=B110,M110+1,MATCH(B111,'ST Forecast'!$E$2:$RK$2,0)+1),"")</f>
        <v>123</v>
      </c>
      <c r="N111">
        <f>SUM(DB[[#This Row],[Ops-FC-Orders-Collect]:[Ops-FC-Orders-HD]])</f>
        <v>1400</v>
      </c>
      <c r="O111" s="44" cm="1">
        <f t="array" ref="O111">IFERROR(INDEX('ST Forecast'!$E$2:$RK$36,13,M111),"")</f>
        <v>800</v>
      </c>
      <c r="P111" s="44">
        <f t="shared" si="43"/>
        <v>600</v>
      </c>
      <c r="Q111" s="44" cm="1">
        <f t="array" ref="Q111">IFERROR(INDEX('ST Forecast'!$E$2:$RK$36,14,M111),"")</f>
        <v>200</v>
      </c>
      <c r="R111" s="44" cm="1">
        <f t="array" ref="R111">IFERROR(INDEX('ST Forecast'!$E$2:$RK$36,15,M111),"")</f>
        <v>400</v>
      </c>
      <c r="S111" s="312">
        <f>SUM(DB[[#This Row],[Ops-FC-Picks-Collect]:[Ops-FC-Picks-HD]])</f>
        <v>63753.803433241155</v>
      </c>
      <c r="T111" s="44">
        <f t="shared" si="44"/>
        <v>36519.984458623781</v>
      </c>
      <c r="U111" s="44">
        <f t="shared" si="45"/>
        <v>27233.818974617374</v>
      </c>
      <c r="V111" s="44">
        <f t="shared" si="46"/>
        <v>9077.9396582057907</v>
      </c>
      <c r="W111" s="404">
        <f t="shared" si="47"/>
        <v>18155.879316411581</v>
      </c>
      <c r="X111" s="44">
        <f>SUM(DB[[#This Row],[Capped-Orders-Collect]:[Capped-Orders-HD]])</f>
        <v>90</v>
      </c>
      <c r="Y111">
        <f>INDEX('Operations Forecast'!$A$2:$BGY$47,3,MATCH(DB!D111,'Operations Forecast'!$A$2:$BGY$2))</f>
        <v>0</v>
      </c>
      <c r="Z111">
        <f t="shared" si="48"/>
        <v>90</v>
      </c>
      <c r="AA111">
        <f>INDEX('Operations Forecast'!$A$2:$BGY$47,10,MATCH(DB!D111,'Operations Forecast'!$A$2:$BGY$2))</f>
        <v>90</v>
      </c>
      <c r="AB111">
        <f>INDEX('Operations Forecast'!$A$2:$BGY$47,21,MATCH(DB!D111,'Operations Forecast'!$A$2:$BGY$2))</f>
        <v>0</v>
      </c>
      <c r="AC111" s="312">
        <f>SUM(DB[[#This Row],[Act-Orders-Collect]:[Act-Orders-HD]])</f>
        <v>1569</v>
      </c>
      <c r="AD111" s="858">
        <f>IFERROR(INDEX('Operations Forecast_new'!$7:$7,MATCH(DB[[#This Row],[Datum]],'Operations Forecast_new'!$2:$2,0)),0)</f>
        <v>882</v>
      </c>
      <c r="AE111" s="312">
        <f t="shared" si="49"/>
        <v>687</v>
      </c>
      <c r="AF111" s="858">
        <f>IFERROR(INDEX('Operations Forecast_new'!$13:$13,MATCH(DB[[#This Row],[Datum]],'Operations Forecast_new'!$2:$2,0)),0)</f>
        <v>170</v>
      </c>
      <c r="AG111" s="858">
        <f>IFERROR(INDEX('Operations Forecast_new'!$19:$19,MATCH(DB[[#This Row],[Datum]],'Operations Forecast_new'!$2:$2,0)),0)</f>
        <v>517</v>
      </c>
      <c r="AH111" s="312">
        <f t="shared" si="37"/>
        <v>73842.812999999995</v>
      </c>
      <c r="AI111" s="858">
        <f>IFERROR(INDEX('Operations Forecast_new'!$9:$9,MATCH(DB[[#This Row],[Datum]],'Operations Forecast_new'!$2:$2,0)),0)</f>
        <v>39904.326000000001</v>
      </c>
      <c r="AJ111" s="312">
        <f t="shared" si="50"/>
        <v>33938.487000000001</v>
      </c>
      <c r="AK111" s="858">
        <f>IFERROR(INDEX('Operations Forecast_new'!$15:$15,MATCH(DB[[#This Row],[Datum]],'Operations Forecast_new'!$2:$2,0)),0)</f>
        <v>8398.17</v>
      </c>
      <c r="AL111" s="858">
        <f>IFERROR(INDEX('Operations Forecast_new'!$21:$21,MATCH(DB[[#This Row],[Datum]],'Operations Forecast_new'!$2:$2,0)),0)</f>
        <v>25540.316999999999</v>
      </c>
      <c r="AM111" s="178">
        <f>IFERROR(INDEX('Operations Forecast_new'!$8:$8,MATCH(DB[[#This Row],[Datum]],'Operations Forecast_new'!$2:$2,0)),0)</f>
        <v>45.7</v>
      </c>
      <c r="AN111" s="859">
        <f>IFERROR(INDEX('Operations Forecast_new'!$20:$20,MATCH(DB[[#This Row],[Datum]],'Operations Forecast_new'!$2:$2,0)),0)</f>
        <v>49.9</v>
      </c>
      <c r="AO111" s="44">
        <f t="shared" si="51"/>
        <v>45.243000000000002</v>
      </c>
      <c r="AP111" s="404">
        <f t="shared" si="52"/>
        <v>49.401000000000003</v>
      </c>
      <c r="AQ111" s="44">
        <f t="shared" si="38"/>
        <v>212201.00000000012</v>
      </c>
      <c r="AR111" s="44" cm="1">
        <f t="array" ref="AR111">IFERROR(INDEX('ST Forecast'!$E$2:$RK$36,25,M111)+(INDEX('ST Forecast'!$E$2:$RK$36,29,M111)),"")</f>
        <v>81040.622022673473</v>
      </c>
      <c r="AS111" s="44" cm="1">
        <f t="array" ref="AS111">IFERROR(INDEX('ST Forecast'!$E$2:$RK$36,26,M111)+INDEX('ST Forecast'!$E$2:$RK$36,30,M111),"")</f>
        <v>71240.90328238206</v>
      </c>
      <c r="AT111" s="44" cm="1">
        <f t="array" ref="AT111">IFERROR(INDEX('ST Forecast'!$E$2:$RK$36,27,M111)+INDEX('ST Forecast'!$E$2:$RK$36,31,M111),"")</f>
        <v>51627.318776001564</v>
      </c>
      <c r="AU111" s="44" cm="1">
        <f t="array" ref="AU111">IFERROR(INDEX('ST Forecast'!$E$2:$RK$36,28,M111),"")</f>
        <v>8292.1559189429954</v>
      </c>
      <c r="AV111" s="44" cm="1">
        <f t="array" ref="AV111">IFERROR(INDEX('ST Forecast'!$E$2:$RK$36,29,M111),"")</f>
        <v>0</v>
      </c>
      <c r="AW111" s="44">
        <f>DB[[#This Row],[Inbound FC]]-DB[[#This Row],[Inbound Act - Ultrafresh2]]</f>
        <v>212201.00000000012</v>
      </c>
      <c r="AX111" s="178" t="e">
        <f>#REF!</f>
        <v>#REF!</v>
      </c>
      <c r="AY111" s="178" t="e">
        <f>#REF!</f>
        <v>#REF!</v>
      </c>
      <c r="AZ111" s="178" t="e">
        <f>#REF!</f>
        <v>#REF!</v>
      </c>
      <c r="BA111" s="178">
        <f>MONTH(DB[[#This Row],[Datum]])</f>
        <v>4</v>
      </c>
    </row>
    <row r="112" spans="1:53" x14ac:dyDescent="0.3">
      <c r="A112" s="44">
        <f t="shared" si="39"/>
        <v>16</v>
      </c>
      <c r="B112" t="str">
        <f t="shared" si="40"/>
        <v>Wk 16</v>
      </c>
      <c r="C112" t="s">
        <v>115</v>
      </c>
      <c r="D112" s="313">
        <v>44671</v>
      </c>
      <c r="E112" s="44">
        <f>DB[[#This Row],[Sales-FC-Orders-Collect]]+DB[[#This Row],[Sales-FC-Orders-HD]]</f>
        <v>2650</v>
      </c>
      <c r="F112" s="402">
        <f>INDEX('LT Collect Forecast'!$K$1:$Q$55,MATCH(B112,'LT Collect Forecast'!$A:$A,0),MATCH(C112,'LT Collect Forecast'!$K$2:$Q$2,0))</f>
        <v>550</v>
      </c>
      <c r="G112" s="44">
        <f>INDEX('LT HD Forecast'!$K$1:$Q$55,MATCH(B112,'LT HD Forecast'!$A:$A,0),MATCH(C112,'LT HD Forecast'!$K$2:$Q$2,0))</f>
        <v>2100</v>
      </c>
      <c r="H112" s="44" cm="1">
        <f t="array" ref="H112">IFERROR(INDEX('ST Forecast'!$E$2:$RK$36,6,M112),"")</f>
        <v>46.67344527768541</v>
      </c>
      <c r="I112" s="44" cm="1">
        <f t="array" ref="I112">IFERROR(INDEX('ST Forecast'!$E$2:$RK$36,7,M112),"")</f>
        <v>48.542086863886972</v>
      </c>
      <c r="J112" s="44">
        <f>SUM(DB[[#This Row],[Sales-FC-Picks-Collect]:[Sales-FC-Picks-HD]])</f>
        <v>127608.77731688961</v>
      </c>
      <c r="K112" s="44">
        <f t="shared" si="41"/>
        <v>25670.394902726974</v>
      </c>
      <c r="L112" s="44">
        <f t="shared" si="42"/>
        <v>101938.38241416264</v>
      </c>
      <c r="M112" s="403">
        <f>IFERROR(IF(B112=B111,M111+1,MATCH(B112,'ST Forecast'!$E$2:$RK$2,0)+1),"")</f>
        <v>124</v>
      </c>
      <c r="N112">
        <f>SUM(DB[[#This Row],[Ops-FC-Orders-Collect]:[Ops-FC-Orders-HD]])</f>
        <v>2650</v>
      </c>
      <c r="O112" s="44" cm="1">
        <f t="array" ref="O112">IFERROR(INDEX('ST Forecast'!$E$2:$RK$36,13,M112),"")</f>
        <v>550</v>
      </c>
      <c r="P112" s="44">
        <f t="shared" si="43"/>
        <v>2100</v>
      </c>
      <c r="Q112" s="44" cm="1">
        <f t="array" ref="Q112">IFERROR(INDEX('ST Forecast'!$E$2:$RK$36,14,M112),"")</f>
        <v>1050</v>
      </c>
      <c r="R112" s="44" cm="1">
        <f t="array" ref="R112">IFERROR(INDEX('ST Forecast'!$E$2:$RK$36,15,M112),"")</f>
        <v>1050</v>
      </c>
      <c r="S112" s="312">
        <f>SUM(DB[[#This Row],[Ops-FC-Picks-Collect]:[Ops-FC-Picks-HD]])</f>
        <v>125056.60177055182</v>
      </c>
      <c r="T112" s="44">
        <f t="shared" si="44"/>
        <v>25156.987004672435</v>
      </c>
      <c r="U112" s="44">
        <f t="shared" si="45"/>
        <v>99899.614765879378</v>
      </c>
      <c r="V112" s="44">
        <f t="shared" si="46"/>
        <v>49949.807382939689</v>
      </c>
      <c r="W112" s="404">
        <f t="shared" si="47"/>
        <v>49949.807382939689</v>
      </c>
      <c r="X112" s="44">
        <f>SUM(DB[[#This Row],[Capped-Orders-Collect]:[Capped-Orders-HD]])</f>
        <v>90</v>
      </c>
      <c r="Y112">
        <f>INDEX('Operations Forecast'!$A$2:$BGY$47,3,MATCH(DB!D112,'Operations Forecast'!$A$2:$BGY$2))</f>
        <v>0</v>
      </c>
      <c r="Z112">
        <f t="shared" si="48"/>
        <v>90</v>
      </c>
      <c r="AA112">
        <f>INDEX('Operations Forecast'!$A$2:$BGY$47,10,MATCH(DB!D112,'Operations Forecast'!$A$2:$BGY$2))</f>
        <v>90</v>
      </c>
      <c r="AB112">
        <f>INDEX('Operations Forecast'!$A$2:$BGY$47,21,MATCH(DB!D112,'Operations Forecast'!$A$2:$BGY$2))</f>
        <v>0</v>
      </c>
      <c r="AC112" s="312">
        <f>SUM(DB[[#This Row],[Act-Orders-Collect]:[Act-Orders-HD]])</f>
        <v>2608</v>
      </c>
      <c r="AD112" s="858">
        <f>IFERROR(INDEX('Operations Forecast_new'!$7:$7,MATCH(DB[[#This Row],[Datum]],'Operations Forecast_new'!$2:$2,0)),0)</f>
        <v>600</v>
      </c>
      <c r="AE112" s="312">
        <f t="shared" si="49"/>
        <v>2008</v>
      </c>
      <c r="AF112" s="858">
        <f>IFERROR(INDEX('Operations Forecast_new'!$13:$13,MATCH(DB[[#This Row],[Datum]],'Operations Forecast_new'!$2:$2,0)),0)</f>
        <v>1037</v>
      </c>
      <c r="AG112" s="858">
        <f>IFERROR(INDEX('Operations Forecast_new'!$19:$19,MATCH(DB[[#This Row],[Datum]],'Operations Forecast_new'!$2:$2,0)),0)</f>
        <v>971</v>
      </c>
      <c r="AH112" s="312">
        <f t="shared" si="37"/>
        <v>127318.75200000001</v>
      </c>
      <c r="AI112" s="858">
        <f>IFERROR(INDEX('Operations Forecast_new'!$9:$9,MATCH(DB[[#This Row],[Datum]],'Operations Forecast_new'!$2:$2,0)),0)</f>
        <v>26730</v>
      </c>
      <c r="AJ112" s="312">
        <f t="shared" si="50"/>
        <v>100588.75200000001</v>
      </c>
      <c r="AK112" s="858">
        <f>IFERROR(INDEX('Operations Forecast_new'!$15:$15,MATCH(DB[[#This Row],[Datum]],'Operations Forecast_new'!$2:$2,0)),0)</f>
        <v>51947.478000000003</v>
      </c>
      <c r="AL112" s="858">
        <f>IFERROR(INDEX('Operations Forecast_new'!$21:$21,MATCH(DB[[#This Row],[Datum]],'Operations Forecast_new'!$2:$2,0)),0)</f>
        <v>48641.273999999998</v>
      </c>
      <c r="AM112" s="178">
        <f>IFERROR(INDEX('Operations Forecast_new'!$8:$8,MATCH(DB[[#This Row],[Datum]],'Operations Forecast_new'!$2:$2,0)),0)</f>
        <v>45</v>
      </c>
      <c r="AN112" s="859">
        <f>IFERROR(INDEX('Operations Forecast_new'!$20:$20,MATCH(DB[[#This Row],[Datum]],'Operations Forecast_new'!$2:$2,0)),0)</f>
        <v>50.6</v>
      </c>
      <c r="AO112" s="44">
        <f t="shared" si="51"/>
        <v>44.55</v>
      </c>
      <c r="AP112" s="404">
        <f t="shared" si="52"/>
        <v>50.094000000000001</v>
      </c>
      <c r="AQ112" s="44">
        <f t="shared" si="38"/>
        <v>127236.00000000007</v>
      </c>
      <c r="AR112" s="44" cm="1">
        <f t="array" ref="AR112">IFERROR(INDEX('ST Forecast'!$E$2:$RK$36,25,M112)+(INDEX('ST Forecast'!$E$2:$RK$36,29,M112)),"")</f>
        <v>58967.273526457197</v>
      </c>
      <c r="AS112" s="44" cm="1">
        <f t="array" ref="AS112">IFERROR(INDEX('ST Forecast'!$E$2:$RK$36,26,M112)+INDEX('ST Forecast'!$E$2:$RK$36,30,M112),"")</f>
        <v>47743.24876825064</v>
      </c>
      <c r="AT112" s="44" cm="1">
        <f t="array" ref="AT112">IFERROR(INDEX('ST Forecast'!$E$2:$RK$36,27,M112)+INDEX('ST Forecast'!$E$2:$RK$36,31,M112),"")</f>
        <v>12770.02870539106</v>
      </c>
      <c r="AU112" s="44" cm="1">
        <f t="array" ref="AU112">IFERROR(INDEX('ST Forecast'!$E$2:$RK$36,28,M112),"")</f>
        <v>7755.4489999011794</v>
      </c>
      <c r="AV112" s="44" cm="1">
        <f t="array" ref="AV112">IFERROR(INDEX('ST Forecast'!$E$2:$RK$36,29,M112),"")</f>
        <v>0</v>
      </c>
      <c r="AW112" s="44">
        <f>DB[[#This Row],[Inbound FC]]-DB[[#This Row],[Inbound Act - Ultrafresh2]]</f>
        <v>127236.00000000007</v>
      </c>
      <c r="AX112" s="178" t="e">
        <f>#REF!</f>
        <v>#REF!</v>
      </c>
      <c r="AY112" s="178" t="e">
        <f>#REF!</f>
        <v>#REF!</v>
      </c>
      <c r="AZ112" s="178" t="e">
        <f>#REF!</f>
        <v>#REF!</v>
      </c>
      <c r="BA112" s="178">
        <f>MONTH(DB[[#This Row],[Datum]])</f>
        <v>4</v>
      </c>
    </row>
    <row r="113" spans="1:53" x14ac:dyDescent="0.3">
      <c r="A113" s="44">
        <f t="shared" si="39"/>
        <v>16</v>
      </c>
      <c r="B113" t="str">
        <f t="shared" si="40"/>
        <v>Wk 16</v>
      </c>
      <c r="C113" t="s">
        <v>116</v>
      </c>
      <c r="D113" s="313">
        <v>44672</v>
      </c>
      <c r="E113" s="44">
        <f>DB[[#This Row],[Sales-FC-Orders-Collect]]+DB[[#This Row],[Sales-FC-Orders-HD]]</f>
        <v>2500</v>
      </c>
      <c r="F113" s="402" cm="1">
        <f t="array" ref="F113">INDEX('LT Collect Forecast'!$K$1:$Q$55,MATCH(B113,'LT Collect Forecast'!$A:$A,0)+1,MATCH(C113,'LT Collect Forecast'!$K$2:$Q$2,0))</f>
        <v>550</v>
      </c>
      <c r="G113" s="44" cm="1">
        <f t="array" ref="G113">INDEX('LT HD Forecast'!$K$1:$Q$55,MATCH(B113,'LT HD Forecast'!$A:$A,0)+1,MATCH(C113,'LT HD Forecast'!$K$2:$Q$2,0))</f>
        <v>1950</v>
      </c>
      <c r="H113" s="44" cm="1">
        <f t="array" ref="H113">IFERROR(INDEX('ST Forecast'!$E$2:$RK$36,6,M113),"")</f>
        <v>47.350287557401174</v>
      </c>
      <c r="I113" s="44" cm="1">
        <f t="array" ref="I113">IFERROR(INDEX('ST Forecast'!$E$2:$RK$36,7,M113),"")</f>
        <v>50.197359268866002</v>
      </c>
      <c r="J113" s="44">
        <f>SUM(DB[[#This Row],[Sales-FC-Picks-Collect]:[Sales-FC-Picks-HD]])</f>
        <v>123927.50873085935</v>
      </c>
      <c r="K113" s="44">
        <f t="shared" si="41"/>
        <v>26042.658156570647</v>
      </c>
      <c r="L113" s="44">
        <f t="shared" si="42"/>
        <v>97884.850574288706</v>
      </c>
      <c r="M113" s="403">
        <f>IFERROR(IF(B113=B112,M112+1,MATCH(B113,'ST Forecast'!$E$2:$RK$2,0)+1),"")</f>
        <v>125</v>
      </c>
      <c r="N113">
        <f>SUM(DB[[#This Row],[Ops-FC-Orders-Collect]:[Ops-FC-Orders-HD]])</f>
        <v>2400</v>
      </c>
      <c r="O113" s="44" cm="1">
        <f t="array" ref="O113">IFERROR(INDEX('ST Forecast'!$E$2:$RK$36,13,M113),"")</f>
        <v>550</v>
      </c>
      <c r="P113" s="44">
        <f t="shared" si="43"/>
        <v>1850</v>
      </c>
      <c r="Q113" s="44" cm="1">
        <f t="array" ref="Q113">IFERROR(INDEX('ST Forecast'!$E$2:$RK$36,14,M113),"")</f>
        <v>950</v>
      </c>
      <c r="R113" s="44" cm="1">
        <f t="array" ref="R113">IFERROR(INDEX('ST Forecast'!$E$2:$RK$36,15,M113),"")</f>
        <v>900</v>
      </c>
      <c r="S113" s="312">
        <f>SUM(DB[[#This Row],[Ops-FC-Picks-Collect]:[Ops-FC-Picks-HD]])</f>
        <v>116529.61734789329</v>
      </c>
      <c r="T113" s="44">
        <f t="shared" si="44"/>
        <v>25521.804993439233</v>
      </c>
      <c r="U113" s="44">
        <f t="shared" si="45"/>
        <v>91007.812354454058</v>
      </c>
      <c r="V113" s="44">
        <f t="shared" si="46"/>
        <v>46733.741479314245</v>
      </c>
      <c r="W113" s="404">
        <f t="shared" si="47"/>
        <v>44274.070875139812</v>
      </c>
      <c r="X113" s="44">
        <f>SUM(DB[[#This Row],[Capped-Orders-Collect]:[Capped-Orders-HD]])</f>
        <v>90</v>
      </c>
      <c r="Y113">
        <f>INDEX('Operations Forecast'!$A$2:$BGY$47,3,MATCH(DB!D113,'Operations Forecast'!$A$2:$BGY$2))</f>
        <v>0</v>
      </c>
      <c r="Z113">
        <f t="shared" si="48"/>
        <v>90</v>
      </c>
      <c r="AA113">
        <f>INDEX('Operations Forecast'!$A$2:$BGY$47,10,MATCH(DB!D113,'Operations Forecast'!$A$2:$BGY$2))</f>
        <v>90</v>
      </c>
      <c r="AB113">
        <f>INDEX('Operations Forecast'!$A$2:$BGY$47,21,MATCH(DB!D113,'Operations Forecast'!$A$2:$BGY$2))</f>
        <v>0</v>
      </c>
      <c r="AC113" s="312">
        <f>SUM(DB[[#This Row],[Act-Orders-Collect]:[Act-Orders-HD]])</f>
        <v>2508</v>
      </c>
      <c r="AD113" s="858">
        <f>IFERROR(INDEX('Operations Forecast_new'!$7:$7,MATCH(DB[[#This Row],[Datum]],'Operations Forecast_new'!$2:$2,0)),0)</f>
        <v>551</v>
      </c>
      <c r="AE113" s="312">
        <f t="shared" si="49"/>
        <v>1957</v>
      </c>
      <c r="AF113" s="858">
        <f>IFERROR(INDEX('Operations Forecast_new'!$13:$13,MATCH(DB[[#This Row],[Datum]],'Operations Forecast_new'!$2:$2,0)),0)</f>
        <v>1027</v>
      </c>
      <c r="AG113" s="858">
        <f>IFERROR(INDEX('Operations Forecast_new'!$19:$19,MATCH(DB[[#This Row],[Datum]],'Operations Forecast_new'!$2:$2,0)),0)</f>
        <v>930</v>
      </c>
      <c r="AH113" s="312">
        <f t="shared" si="37"/>
        <v>121527.648</v>
      </c>
      <c r="AI113" s="858">
        <f>IFERROR(INDEX('Operations Forecast_new'!$9:$9,MATCH(DB[[#This Row],[Datum]],'Operations Forecast_new'!$2:$2,0)),0)</f>
        <v>24656.148000000001</v>
      </c>
      <c r="AJ113" s="312">
        <f t="shared" si="50"/>
        <v>96871.5</v>
      </c>
      <c r="AK113" s="858">
        <f>IFERROR(INDEX('Operations Forecast_new'!$15:$15,MATCH(DB[[#This Row],[Datum]],'Operations Forecast_new'!$2:$2,0)),0)</f>
        <v>50836.5</v>
      </c>
      <c r="AL113" s="858">
        <f>IFERROR(INDEX('Operations Forecast_new'!$21:$21,MATCH(DB[[#This Row],[Datum]],'Operations Forecast_new'!$2:$2,0)),0)</f>
        <v>46035</v>
      </c>
      <c r="AM113" s="178">
        <f>IFERROR(INDEX('Operations Forecast_new'!$8:$8,MATCH(DB[[#This Row],[Datum]],'Operations Forecast_new'!$2:$2,0)),0)</f>
        <v>45.2</v>
      </c>
      <c r="AN113" s="859">
        <f>IFERROR(INDEX('Operations Forecast_new'!$20:$20,MATCH(DB[[#This Row],[Datum]],'Operations Forecast_new'!$2:$2,0)),0)</f>
        <v>50</v>
      </c>
      <c r="AO113" s="44">
        <f t="shared" si="51"/>
        <v>44.748000000000005</v>
      </c>
      <c r="AP113" s="404">
        <f t="shared" si="52"/>
        <v>49.5</v>
      </c>
      <c r="AQ113" s="44">
        <f t="shared" si="38"/>
        <v>127291.00000000007</v>
      </c>
      <c r="AR113" s="44" cm="1">
        <f t="array" ref="AR113">IFERROR(INDEX('ST Forecast'!$E$2:$RK$36,25,M113)+(INDEX('ST Forecast'!$E$2:$RK$36,29,M113)),"")</f>
        <v>59909.70549317354</v>
      </c>
      <c r="AS113" s="44" cm="1">
        <f t="array" ref="AS113">IFERROR(INDEX('ST Forecast'!$E$2:$RK$36,26,M113)+INDEX('ST Forecast'!$E$2:$RK$36,30,M113),"")</f>
        <v>47695.734881251876</v>
      </c>
      <c r="AT113" s="44" cm="1">
        <f t="array" ref="AT113">IFERROR(INDEX('ST Forecast'!$E$2:$RK$36,27,M113)+INDEX('ST Forecast'!$E$2:$RK$36,31,M113),"")</f>
        <v>10995.600549773975</v>
      </c>
      <c r="AU113" s="44" cm="1">
        <f t="array" ref="AU113">IFERROR(INDEX('ST Forecast'!$E$2:$RK$36,28,M113),"")</f>
        <v>8689.9590758006852</v>
      </c>
      <c r="AV113" s="44" cm="1">
        <f t="array" ref="AV113">IFERROR(INDEX('ST Forecast'!$E$2:$RK$36,29,M113),"")</f>
        <v>0</v>
      </c>
      <c r="AW113" s="44">
        <f>DB[[#This Row],[Inbound FC]]-DB[[#This Row],[Inbound Act - Ultrafresh2]]</f>
        <v>127291.00000000007</v>
      </c>
      <c r="AX113" s="178" t="e">
        <f>#REF!</f>
        <v>#REF!</v>
      </c>
      <c r="AY113" s="178" t="e">
        <f>#REF!</f>
        <v>#REF!</v>
      </c>
      <c r="AZ113" s="178" t="e">
        <f>#REF!</f>
        <v>#REF!</v>
      </c>
      <c r="BA113" s="178">
        <f>MONTH(DB[[#This Row],[Datum]])</f>
        <v>4</v>
      </c>
    </row>
    <row r="114" spans="1:53" x14ac:dyDescent="0.3">
      <c r="A114" s="44">
        <f t="shared" si="39"/>
        <v>16</v>
      </c>
      <c r="B114" t="str">
        <f t="shared" si="40"/>
        <v>Wk 16</v>
      </c>
      <c r="C114" t="s">
        <v>117</v>
      </c>
      <c r="D114" s="313">
        <v>44673</v>
      </c>
      <c r="E114" s="44">
        <f>DB[[#This Row],[Sales-FC-Orders-Collect]]+DB[[#This Row],[Sales-FC-Orders-HD]]</f>
        <v>3000</v>
      </c>
      <c r="F114" s="402" cm="1">
        <f t="array" ref="F114">INDEX('LT Collect Forecast'!$K$1:$Q$55,MATCH(B114,'LT Collect Forecast'!$A:$A,0)+1,MATCH(C114,'LT Collect Forecast'!$K$2:$Q$2,0))</f>
        <v>1000</v>
      </c>
      <c r="G114" s="44" cm="1">
        <f t="array" ref="G114">INDEX('LT HD Forecast'!$K$1:$Q$55,MATCH(B114,'LT HD Forecast'!$A:$A,0)+1,MATCH(C114,'LT HD Forecast'!$K$2:$Q$2,0))</f>
        <v>2000</v>
      </c>
      <c r="H114" s="44" cm="1">
        <f t="array" ref="H114">IFERROR(INDEX('ST Forecast'!$E$2:$RK$36,6,M114),"")</f>
        <v>47.001641027439163</v>
      </c>
      <c r="I114" s="44" cm="1">
        <f t="array" ref="I114">IFERROR(INDEX('ST Forecast'!$E$2:$RK$36,7,M114),"")</f>
        <v>51.388485987976168</v>
      </c>
      <c r="J114" s="44">
        <f>SUM(DB[[#This Row],[Sales-FC-Picks-Collect]:[Sales-FC-Picks-HD]])</f>
        <v>149778.61300339148</v>
      </c>
      <c r="K114" s="44">
        <f t="shared" si="41"/>
        <v>47001.64102743916</v>
      </c>
      <c r="L114" s="44">
        <f t="shared" si="42"/>
        <v>102776.97197595233</v>
      </c>
      <c r="M114" s="403">
        <f>IFERROR(IF(B114=B113,M113+1,MATCH(B114,'ST Forecast'!$E$2:$RK$2,0)+1),"")</f>
        <v>126</v>
      </c>
      <c r="N114">
        <f>SUM(DB[[#This Row],[Ops-FC-Orders-Collect]:[Ops-FC-Orders-HD]])</f>
        <v>3000</v>
      </c>
      <c r="O114" s="44" cm="1">
        <f t="array" ref="O114">IFERROR(INDEX('ST Forecast'!$E$2:$RK$36,13,M114),"")</f>
        <v>1000</v>
      </c>
      <c r="P114" s="44">
        <f t="shared" si="43"/>
        <v>2000</v>
      </c>
      <c r="Q114" s="44" cm="1">
        <f t="array" ref="Q114">IFERROR(INDEX('ST Forecast'!$E$2:$RK$36,14,M114),"")</f>
        <v>1000</v>
      </c>
      <c r="R114" s="44" cm="1">
        <f t="array" ref="R114">IFERROR(INDEX('ST Forecast'!$E$2:$RK$36,15,M114),"")</f>
        <v>1000</v>
      </c>
      <c r="S114" s="312">
        <f>SUM(DB[[#This Row],[Ops-FC-Picks-Collect]:[Ops-FC-Picks-HD]])</f>
        <v>146783.04074332365</v>
      </c>
      <c r="T114" s="44">
        <f t="shared" si="44"/>
        <v>46061.608206890378</v>
      </c>
      <c r="U114" s="44">
        <f t="shared" si="45"/>
        <v>100721.43253643328</v>
      </c>
      <c r="V114" s="44">
        <f t="shared" si="46"/>
        <v>50360.716268216638</v>
      </c>
      <c r="W114" s="404">
        <f t="shared" si="47"/>
        <v>50360.716268216638</v>
      </c>
      <c r="X114" s="44">
        <f>SUM(DB[[#This Row],[Capped-Orders-Collect]:[Capped-Orders-HD]])</f>
        <v>90</v>
      </c>
      <c r="Y114">
        <f>INDEX('Operations Forecast'!$A$2:$BGY$47,3,MATCH(DB!D114,'Operations Forecast'!$A$2:$BGY$2))</f>
        <v>0</v>
      </c>
      <c r="Z114">
        <f t="shared" si="48"/>
        <v>90</v>
      </c>
      <c r="AA114">
        <f>INDEX('Operations Forecast'!$A$2:$BGY$47,10,MATCH(DB!D114,'Operations Forecast'!$A$2:$BGY$2))</f>
        <v>90</v>
      </c>
      <c r="AB114">
        <f>INDEX('Operations Forecast'!$A$2:$BGY$47,21,MATCH(DB!D114,'Operations Forecast'!$A$2:$BGY$2))</f>
        <v>0</v>
      </c>
      <c r="AC114" s="312">
        <f>SUM(DB[[#This Row],[Act-Orders-Collect]:[Act-Orders-HD]])</f>
        <v>3084</v>
      </c>
      <c r="AD114" s="858">
        <f>IFERROR(INDEX('Operations Forecast_new'!$7:$7,MATCH(DB[[#This Row],[Datum]],'Operations Forecast_new'!$2:$2,0)),0)</f>
        <v>1080</v>
      </c>
      <c r="AE114" s="312">
        <f t="shared" si="49"/>
        <v>2004</v>
      </c>
      <c r="AF114" s="858">
        <f>IFERROR(INDEX('Operations Forecast_new'!$13:$13,MATCH(DB[[#This Row],[Datum]],'Operations Forecast_new'!$2:$2,0)),0)</f>
        <v>1056</v>
      </c>
      <c r="AG114" s="858">
        <f>IFERROR(INDEX('Operations Forecast_new'!$19:$19,MATCH(DB[[#This Row],[Datum]],'Operations Forecast_new'!$2:$2,0)),0)</f>
        <v>948</v>
      </c>
      <c r="AH114" s="312">
        <f t="shared" si="37"/>
        <v>154657.40399999998</v>
      </c>
      <c r="AI114" s="858">
        <f>IFERROR(INDEX('Operations Forecast_new'!$9:$9,MATCH(DB[[#This Row],[Datum]],'Operations Forecast_new'!$2:$2,0)),0)</f>
        <v>53673.84</v>
      </c>
      <c r="AJ114" s="312">
        <f t="shared" si="50"/>
        <v>100983.564</v>
      </c>
      <c r="AK114" s="858">
        <f>IFERROR(INDEX('Operations Forecast_new'!$15:$15,MATCH(DB[[#This Row],[Datum]],'Operations Forecast_new'!$2:$2,0)),0)</f>
        <v>53212.896000000001</v>
      </c>
      <c r="AL114" s="858">
        <f>IFERROR(INDEX('Operations Forecast_new'!$21:$21,MATCH(DB[[#This Row],[Datum]],'Operations Forecast_new'!$2:$2,0)),0)</f>
        <v>47770.667999999998</v>
      </c>
      <c r="AM114" s="178">
        <f>IFERROR(INDEX('Operations Forecast_new'!$8:$8,MATCH(DB[[#This Row],[Datum]],'Operations Forecast_new'!$2:$2,0)),0)</f>
        <v>50.2</v>
      </c>
      <c r="AN114" s="859">
        <f>IFERROR(INDEX('Operations Forecast_new'!$20:$20,MATCH(DB[[#This Row],[Datum]],'Operations Forecast_new'!$2:$2,0)),0)</f>
        <v>50.9</v>
      </c>
      <c r="AO114" s="44">
        <f t="shared" si="51"/>
        <v>49.697999999999993</v>
      </c>
      <c r="AP114" s="404">
        <f t="shared" si="52"/>
        <v>50.390999999999998</v>
      </c>
      <c r="AQ114" s="44">
        <f t="shared" si="38"/>
        <v>119655.00000000006</v>
      </c>
      <c r="AR114" s="44" cm="1">
        <f t="array" ref="AR114">IFERROR(INDEX('ST Forecast'!$E$2:$RK$36,25,M114)+(INDEX('ST Forecast'!$E$2:$RK$36,29,M114)),"")</f>
        <v>57751.017682929407</v>
      </c>
      <c r="AS114" s="44" cm="1">
        <f t="array" ref="AS114">IFERROR(INDEX('ST Forecast'!$E$2:$RK$36,26,M114)+INDEX('ST Forecast'!$E$2:$RK$36,30,M114),"")</f>
        <v>48241.281270668653</v>
      </c>
      <c r="AT114" s="44" cm="1">
        <f t="array" ref="AT114">IFERROR(INDEX('ST Forecast'!$E$2:$RK$36,27,M114)+INDEX('ST Forecast'!$E$2:$RK$36,31,M114),"")</f>
        <v>5227.2812543846212</v>
      </c>
      <c r="AU114" s="44" cm="1">
        <f t="array" ref="AU114">IFERROR(INDEX('ST Forecast'!$E$2:$RK$36,28,M114),"")</f>
        <v>8435.4197920173829</v>
      </c>
      <c r="AV114" s="44" cm="1">
        <f t="array" ref="AV114">IFERROR(INDEX('ST Forecast'!$E$2:$RK$36,29,M114),"")</f>
        <v>0</v>
      </c>
      <c r="AW114" s="44">
        <f>DB[[#This Row],[Inbound FC]]-DB[[#This Row],[Inbound Act - Ultrafresh2]]</f>
        <v>119655.00000000006</v>
      </c>
      <c r="AX114" s="178" t="e">
        <f>#REF!</f>
        <v>#REF!</v>
      </c>
      <c r="AY114" s="178" t="e">
        <f>#REF!</f>
        <v>#REF!</v>
      </c>
      <c r="AZ114" s="178" t="e">
        <f>#REF!</f>
        <v>#REF!</v>
      </c>
      <c r="BA114" s="178">
        <f>MONTH(DB[[#This Row],[Datum]])</f>
        <v>4</v>
      </c>
    </row>
    <row r="115" spans="1:53" x14ac:dyDescent="0.3">
      <c r="A115" s="44">
        <f t="shared" si="39"/>
        <v>16</v>
      </c>
      <c r="B115" t="str">
        <f t="shared" si="40"/>
        <v>Wk 16</v>
      </c>
      <c r="C115" t="s">
        <v>118</v>
      </c>
      <c r="D115" s="313">
        <v>44674</v>
      </c>
      <c r="E115" s="44">
        <f>DB[[#This Row],[Sales-FC-Orders-Collect]]+DB[[#This Row],[Sales-FC-Orders-HD]]</f>
        <v>2750</v>
      </c>
      <c r="F115" s="402" cm="1">
        <f t="array" ref="F115">INDEX('LT Collect Forecast'!$K$1:$Q$55,MATCH(B115,'LT Collect Forecast'!$A:$A,0)+1,MATCH(C115,'LT Collect Forecast'!$K$2:$Q$2,0))</f>
        <v>900</v>
      </c>
      <c r="G115" s="44" cm="1">
        <f t="array" ref="G115">INDEX('LT HD Forecast'!$K$1:$Q$55,MATCH(B115,'LT HD Forecast'!$A:$A,0)+1,MATCH(C115,'LT HD Forecast'!$K$2:$Q$2,0))</f>
        <v>1850</v>
      </c>
      <c r="H115" s="44" cm="1">
        <f t="array" ref="H115">IFERROR(INDEX('ST Forecast'!$E$2:$RK$36,6,M115),"")</f>
        <v>46.19549164768133</v>
      </c>
      <c r="I115" s="44" cm="1">
        <f t="array" ref="I115">IFERROR(INDEX('ST Forecast'!$E$2:$RK$36,7,M115),"")</f>
        <v>51.588202038389305</v>
      </c>
      <c r="J115" s="44">
        <f>SUM(DB[[#This Row],[Sales-FC-Picks-Collect]:[Sales-FC-Picks-HD]])</f>
        <v>137014.1162539334</v>
      </c>
      <c r="K115" s="44">
        <f t="shared" si="41"/>
        <v>41575.942482913197</v>
      </c>
      <c r="L115" s="44">
        <f t="shared" si="42"/>
        <v>95438.173771020214</v>
      </c>
      <c r="M115" s="403">
        <f>IFERROR(IF(B115=B114,M114+1,MATCH(B115,'ST Forecast'!$E$2:$RK$2,0)+1),"")</f>
        <v>127</v>
      </c>
      <c r="N115">
        <f>SUM(DB[[#This Row],[Ops-FC-Orders-Collect]:[Ops-FC-Orders-HD]])</f>
        <v>2750</v>
      </c>
      <c r="O115" s="44" cm="1">
        <f t="array" ref="O115">IFERROR(INDEX('ST Forecast'!$E$2:$RK$36,13,M115),"")</f>
        <v>900</v>
      </c>
      <c r="P115" s="44">
        <f t="shared" si="43"/>
        <v>1850</v>
      </c>
      <c r="Q115" s="44" cm="1">
        <f t="array" ref="Q115">IFERROR(INDEX('ST Forecast'!$E$2:$RK$36,14,M115),"")</f>
        <v>1000</v>
      </c>
      <c r="R115" s="44" cm="1">
        <f t="array" ref="R115">IFERROR(INDEX('ST Forecast'!$E$2:$RK$36,15,M115),"")</f>
        <v>850</v>
      </c>
      <c r="S115" s="312">
        <f>SUM(DB[[#This Row],[Ops-FC-Picks-Collect]:[Ops-FC-Picks-HD]])</f>
        <v>134273.83392885473</v>
      </c>
      <c r="T115" s="44">
        <f t="shared" si="44"/>
        <v>40744.423633254934</v>
      </c>
      <c r="U115" s="44">
        <f t="shared" si="45"/>
        <v>93529.41029559981</v>
      </c>
      <c r="V115" s="44">
        <f t="shared" si="46"/>
        <v>50556.437997621513</v>
      </c>
      <c r="W115" s="404">
        <f t="shared" si="47"/>
        <v>42972.972297978289</v>
      </c>
      <c r="X115" s="44">
        <f>SUM(DB[[#This Row],[Capped-Orders-Collect]:[Capped-Orders-HD]])</f>
        <v>90</v>
      </c>
      <c r="Y115">
        <f>INDEX('Operations Forecast'!$A$2:$BGY$47,3,MATCH(DB!D115,'Operations Forecast'!$A$2:$BGY$2))</f>
        <v>0</v>
      </c>
      <c r="Z115">
        <f t="shared" si="48"/>
        <v>90</v>
      </c>
      <c r="AA115">
        <f>INDEX('Operations Forecast'!$A$2:$BGY$47,10,MATCH(DB!D115,'Operations Forecast'!$A$2:$BGY$2))</f>
        <v>90</v>
      </c>
      <c r="AB115">
        <f>INDEX('Operations Forecast'!$A$2:$BGY$47,21,MATCH(DB!D115,'Operations Forecast'!$A$2:$BGY$2))</f>
        <v>0</v>
      </c>
      <c r="AC115" s="312">
        <f>SUM(DB[[#This Row],[Act-Orders-Collect]:[Act-Orders-HD]])</f>
        <v>2847</v>
      </c>
      <c r="AD115" s="858">
        <f>IFERROR(INDEX('Operations Forecast_new'!$7:$7,MATCH(DB[[#This Row],[Datum]],'Operations Forecast_new'!$2:$2,0)),0)</f>
        <v>900</v>
      </c>
      <c r="AE115" s="312">
        <f t="shared" si="49"/>
        <v>1947</v>
      </c>
      <c r="AF115" s="858">
        <f>IFERROR(INDEX('Operations Forecast_new'!$13:$13,MATCH(DB[[#This Row],[Datum]],'Operations Forecast_new'!$2:$2,0)),0)</f>
        <v>1023</v>
      </c>
      <c r="AG115" s="858">
        <f>IFERROR(INDEX('Operations Forecast_new'!$19:$19,MATCH(DB[[#This Row],[Datum]],'Operations Forecast_new'!$2:$2,0)),0)</f>
        <v>924</v>
      </c>
      <c r="AH115" s="312">
        <f t="shared" si="37"/>
        <v>142990.353</v>
      </c>
      <c r="AI115" s="858">
        <f>IFERROR(INDEX('Operations Forecast_new'!$9:$9,MATCH(DB[[#This Row],[Datum]],'Operations Forecast_new'!$2:$2,0)),0)</f>
        <v>46421.1</v>
      </c>
      <c r="AJ115" s="312">
        <f t="shared" si="50"/>
        <v>96569.252999999997</v>
      </c>
      <c r="AK115" s="858">
        <f>IFERROR(INDEX('Operations Forecast_new'!$15:$15,MATCH(DB[[#This Row],[Datum]],'Operations Forecast_new'!$2:$2,0)),0)</f>
        <v>50739.777000000002</v>
      </c>
      <c r="AL115" s="858">
        <f>IFERROR(INDEX('Operations Forecast_new'!$21:$21,MATCH(DB[[#This Row],[Datum]],'Operations Forecast_new'!$2:$2,0)),0)</f>
        <v>45829.476000000002</v>
      </c>
      <c r="AM115" s="178">
        <f>IFERROR(INDEX('Operations Forecast_new'!$8:$8,MATCH(DB[[#This Row],[Datum]],'Operations Forecast_new'!$2:$2,0)),0)</f>
        <v>52.1</v>
      </c>
      <c r="AN115" s="859">
        <f>IFERROR(INDEX('Operations Forecast_new'!$20:$20,MATCH(DB[[#This Row],[Datum]],'Operations Forecast_new'!$2:$2,0)),0)</f>
        <v>50.1</v>
      </c>
      <c r="AO115" s="44">
        <f t="shared" si="51"/>
        <v>51.579000000000001</v>
      </c>
      <c r="AP115" s="404">
        <f t="shared" si="52"/>
        <v>49.598999999999997</v>
      </c>
      <c r="AQ115" s="44">
        <f t="shared" si="38"/>
        <v>116941.00000000001</v>
      </c>
      <c r="AR115" s="44" cm="1">
        <f t="array" ref="AR115">IFERROR(INDEX('ST Forecast'!$E$2:$RK$36,25,M115)+(INDEX('ST Forecast'!$E$2:$RK$36,29,M115)),"")</f>
        <v>54438.105072834922</v>
      </c>
      <c r="AS115" s="44" cm="1">
        <f t="array" ref="AS115">IFERROR(INDEX('ST Forecast'!$E$2:$RK$36,26,M115)+INDEX('ST Forecast'!$E$2:$RK$36,30,M115),"")</f>
        <v>50360.484930864899</v>
      </c>
      <c r="AT115" s="44" cm="1">
        <f t="array" ref="AT115">IFERROR(INDEX('ST Forecast'!$E$2:$RK$36,27,M115)+INDEX('ST Forecast'!$E$2:$RK$36,31,M115),"")</f>
        <v>5961.3956572123925</v>
      </c>
      <c r="AU115" s="44" cm="1">
        <f t="array" ref="AU115">IFERROR(INDEX('ST Forecast'!$E$2:$RK$36,28,M115),"")</f>
        <v>6181.0143390878038</v>
      </c>
      <c r="AV115" s="44" cm="1">
        <f t="array" ref="AV115">IFERROR(INDEX('ST Forecast'!$E$2:$RK$36,29,M115),"")</f>
        <v>0</v>
      </c>
      <c r="AW115" s="44">
        <f>DB[[#This Row],[Inbound FC]]-DB[[#This Row],[Inbound Act - Ultrafresh2]]</f>
        <v>116941.00000000001</v>
      </c>
      <c r="AX115" s="178" t="e">
        <f>#REF!</f>
        <v>#REF!</v>
      </c>
      <c r="AY115" s="178" t="e">
        <f>#REF!</f>
        <v>#REF!</v>
      </c>
      <c r="AZ115" s="178" t="e">
        <f>#REF!</f>
        <v>#REF!</v>
      </c>
      <c r="BA115" s="178">
        <f>MONTH(DB[[#This Row],[Datum]])</f>
        <v>4</v>
      </c>
    </row>
    <row r="116" spans="1:53" x14ac:dyDescent="0.3">
      <c r="A116" s="44">
        <f t="shared" si="39"/>
        <v>16</v>
      </c>
      <c r="B116" t="str">
        <f t="shared" si="40"/>
        <v>Wk 16</v>
      </c>
      <c r="C116" t="s">
        <v>119</v>
      </c>
      <c r="D116" s="313">
        <v>44675</v>
      </c>
      <c r="E116" s="44">
        <f>DB[[#This Row],[Sales-FC-Orders-Collect]]+DB[[#This Row],[Sales-FC-Orders-HD]]</f>
        <v>100</v>
      </c>
      <c r="F116" s="402" cm="1">
        <f t="array" ref="F116">INDEX('LT Collect Forecast'!$K$1:$Q$55,MATCH(B116,'LT Collect Forecast'!$A:$A,0)+1,MATCH(C116,'LT Collect Forecast'!$K$2:$Q$2,0))</f>
        <v>0</v>
      </c>
      <c r="G116" s="44" cm="1">
        <f t="array" ref="G116">INDEX('LT HD Forecast'!$K$1:$Q$55,MATCH(B116,'LT HD Forecast'!$A:$A,0)+1,MATCH(C116,'LT HD Forecast'!$K$2:$Q$2,0))</f>
        <v>100</v>
      </c>
      <c r="H116" s="44" cm="1">
        <f t="array" ref="H116">IFERROR(INDEX('ST Forecast'!$E$2:$RK$36,6,M116),"")</f>
        <v>0</v>
      </c>
      <c r="I116" s="44" cm="1">
        <f t="array" ref="I116">IFERROR(INDEX('ST Forecast'!$E$2:$RK$36,7,M116),"")</f>
        <v>53.913768808833602</v>
      </c>
      <c r="J116" s="44">
        <f>SUM(DB[[#This Row],[Sales-FC-Picks-Collect]:[Sales-FC-Picks-HD]])</f>
        <v>5391.3768808833602</v>
      </c>
      <c r="K116" s="44">
        <f t="shared" si="41"/>
        <v>0</v>
      </c>
      <c r="L116" s="44">
        <f t="shared" si="42"/>
        <v>5391.3768808833602</v>
      </c>
      <c r="M116" s="403">
        <f>IFERROR(IF(B116=B115,M115+1,MATCH(B116,'ST Forecast'!$E$2:$RK$2,0)+1),"")</f>
        <v>128</v>
      </c>
      <c r="N116">
        <f>SUM(DB[[#This Row],[Ops-FC-Orders-Collect]:[Ops-FC-Orders-HD]])</f>
        <v>100</v>
      </c>
      <c r="O116" s="44" cm="1">
        <f t="array" ref="O116">IFERROR(INDEX('ST Forecast'!$E$2:$RK$36,13,M116),"")</f>
        <v>0</v>
      </c>
      <c r="P116" s="44">
        <f t="shared" si="43"/>
        <v>100</v>
      </c>
      <c r="Q116" s="44" cm="1">
        <f t="array" ref="Q116">IFERROR(INDEX('ST Forecast'!$E$2:$RK$36,14,M116),"")</f>
        <v>100</v>
      </c>
      <c r="R116" s="44" cm="1">
        <f t="array" ref="R116">IFERROR(INDEX('ST Forecast'!$E$2:$RK$36,15,M116),"")</f>
        <v>0</v>
      </c>
      <c r="S116" s="312">
        <f>SUM(DB[[#This Row],[Ops-FC-Picks-Collect]:[Ops-FC-Picks-HD]])</f>
        <v>5283.5493432656931</v>
      </c>
      <c r="T116" s="44">
        <f t="shared" si="44"/>
        <v>0</v>
      </c>
      <c r="U116" s="44">
        <f t="shared" si="45"/>
        <v>5283.5493432656931</v>
      </c>
      <c r="V116" s="44">
        <f t="shared" si="46"/>
        <v>5283.5493432656931</v>
      </c>
      <c r="W116" s="404">
        <f t="shared" si="47"/>
        <v>0</v>
      </c>
      <c r="X116" s="44">
        <f>SUM(DB[[#This Row],[Capped-Orders-Collect]:[Capped-Orders-HD]])</f>
        <v>90</v>
      </c>
      <c r="Y116">
        <f>INDEX('Operations Forecast'!$A$2:$BGY$47,3,MATCH(DB!D116,'Operations Forecast'!$A$2:$BGY$2))</f>
        <v>0</v>
      </c>
      <c r="Z116">
        <f t="shared" si="48"/>
        <v>90</v>
      </c>
      <c r="AA116">
        <f>INDEX('Operations Forecast'!$A$2:$BGY$47,10,MATCH(DB!D116,'Operations Forecast'!$A$2:$BGY$2))</f>
        <v>90</v>
      </c>
      <c r="AB116">
        <f>INDEX('Operations Forecast'!$A$2:$BGY$47,21,MATCH(DB!D116,'Operations Forecast'!$A$2:$BGY$2))</f>
        <v>0</v>
      </c>
      <c r="AC116" s="312">
        <f>SUM(DB[[#This Row],[Act-Orders-Collect]:[Act-Orders-HD]])</f>
        <v>94</v>
      </c>
      <c r="AD116" s="858">
        <f>IFERROR(INDEX('Operations Forecast_new'!$7:$7,MATCH(DB[[#This Row],[Datum]],'Operations Forecast_new'!$2:$2,0)),0)</f>
        <v>0</v>
      </c>
      <c r="AE116" s="312">
        <f t="shared" si="49"/>
        <v>94</v>
      </c>
      <c r="AF116" s="858">
        <f>IFERROR(INDEX('Operations Forecast_new'!$13:$13,MATCH(DB[[#This Row],[Datum]],'Operations Forecast_new'!$2:$2,0)),0)</f>
        <v>94</v>
      </c>
      <c r="AG116" s="858">
        <f>IFERROR(INDEX('Operations Forecast_new'!$19:$19,MATCH(DB[[#This Row],[Datum]],'Operations Forecast_new'!$2:$2,0)),0)</f>
        <v>0</v>
      </c>
      <c r="AH116" s="312">
        <f t="shared" si="37"/>
        <v>5248.5839999999998</v>
      </c>
      <c r="AI116" s="858">
        <f>IFERROR(INDEX('Operations Forecast_new'!$9:$9,MATCH(DB[[#This Row],[Datum]],'Operations Forecast_new'!$2:$2,0)),0)</f>
        <v>0</v>
      </c>
      <c r="AJ116" s="312">
        <f t="shared" si="50"/>
        <v>5248.5839999999998</v>
      </c>
      <c r="AK116" s="858">
        <f>IFERROR(INDEX('Operations Forecast_new'!$15:$15,MATCH(DB[[#This Row],[Datum]],'Operations Forecast_new'!$2:$2,0)),0)</f>
        <v>5248.5839999999998</v>
      </c>
      <c r="AL116" s="858">
        <f>IFERROR(INDEX('Operations Forecast_new'!$21:$21,MATCH(DB[[#This Row],[Datum]],'Operations Forecast_new'!$2:$2,0)),0)</f>
        <v>0</v>
      </c>
      <c r="AM116" s="178">
        <f>IFERROR(INDEX('Operations Forecast_new'!$8:$8,MATCH(DB[[#This Row],[Datum]],'Operations Forecast_new'!$2:$2,0)),0)</f>
        <v>0</v>
      </c>
      <c r="AN116" s="859">
        <f>IFERROR(INDEX('Operations Forecast_new'!$20:$20,MATCH(DB[[#This Row],[Datum]],'Operations Forecast_new'!$2:$2,0)),0)</f>
        <v>53.913768808833602</v>
      </c>
      <c r="AO116" s="44" t="str">
        <f t="shared" si="51"/>
        <v>-</v>
      </c>
      <c r="AP116" s="404">
        <f t="shared" si="52"/>
        <v>55.835999999999999</v>
      </c>
      <c r="AQ116" s="44">
        <f t="shared" si="38"/>
        <v>0</v>
      </c>
      <c r="AR116" s="44" cm="1">
        <f t="array" ref="AR116">IFERROR(INDEX('ST Forecast'!$E$2:$RK$36,25,M116)+(INDEX('ST Forecast'!$E$2:$RK$36,29,M116)),"")</f>
        <v>0</v>
      </c>
      <c r="AS116" s="44" cm="1">
        <f t="array" ref="AS116">IFERROR(INDEX('ST Forecast'!$E$2:$RK$36,26,M116)+INDEX('ST Forecast'!$E$2:$RK$36,30,M116),"")</f>
        <v>0</v>
      </c>
      <c r="AT116" s="44" cm="1">
        <f t="array" ref="AT116">IFERROR(INDEX('ST Forecast'!$E$2:$RK$36,27,M116)+INDEX('ST Forecast'!$E$2:$RK$36,31,M116),"")</f>
        <v>0</v>
      </c>
      <c r="AU116" s="44" cm="1">
        <f t="array" ref="AU116">IFERROR(INDEX('ST Forecast'!$E$2:$RK$36,28,M116),"")</f>
        <v>0</v>
      </c>
      <c r="AV116" s="44" cm="1">
        <f t="array" ref="AV116">IFERROR(INDEX('ST Forecast'!$E$2:$RK$36,29,M116),"")</f>
        <v>0</v>
      </c>
      <c r="AW116" s="44">
        <f>DB[[#This Row],[Inbound FC]]-DB[[#This Row],[Inbound Act - Ultrafresh2]]</f>
        <v>0</v>
      </c>
      <c r="AX116" s="178" t="e">
        <f>#REF!</f>
        <v>#REF!</v>
      </c>
      <c r="AY116" s="178" t="e">
        <f>#REF!</f>
        <v>#REF!</v>
      </c>
      <c r="AZ116" s="178" t="e">
        <f>#REF!</f>
        <v>#REF!</v>
      </c>
      <c r="BA116" s="178">
        <f>MONTH(DB[[#This Row],[Datum]])</f>
        <v>4</v>
      </c>
    </row>
    <row r="117" spans="1:53" x14ac:dyDescent="0.3">
      <c r="A117" s="44">
        <f t="shared" si="39"/>
        <v>17</v>
      </c>
      <c r="B117" t="str">
        <f t="shared" si="40"/>
        <v>Wk 17</v>
      </c>
      <c r="C117" t="s">
        <v>113</v>
      </c>
      <c r="D117" s="313">
        <v>44676</v>
      </c>
      <c r="E117" s="44">
        <f>DB[[#This Row],[Sales-FC-Orders-Collect]]+DB[[#This Row],[Sales-FC-Orders-HD]]</f>
        <v>2250</v>
      </c>
      <c r="F117" s="402">
        <f>INDEX('LT Collect Forecast'!$K$1:$Q$55,MATCH(B117,'LT Collect Forecast'!$A:$A,0),MATCH(C117,'LT Collect Forecast'!$K$2:$Q$2,0))</f>
        <v>700</v>
      </c>
      <c r="G117" s="44">
        <f>INDEX('LT HD Forecast'!$K$1:$Q$55,MATCH(B117,'LT HD Forecast'!$A:$A,0),MATCH(C117,'LT HD Forecast'!$K$2:$Q$2,0))</f>
        <v>1550</v>
      </c>
      <c r="H117" s="44" cm="1">
        <f t="array" ref="H117">IFERROR(INDEX('ST Forecast'!$E$2:$RK$36,6,M117),"")</f>
        <v>43.67133027456947</v>
      </c>
      <c r="I117" s="44" cm="1">
        <f t="array" ref="I117">IFERROR(INDEX('ST Forecast'!$E$2:$RK$36,7,M117),"")</f>
        <v>49.665993070037771</v>
      </c>
      <c r="J117" s="44">
        <f>SUM(DB[[#This Row],[Sales-FC-Picks-Collect]:[Sales-FC-Picks-HD]])</f>
        <v>107552.22045075719</v>
      </c>
      <c r="K117" s="44">
        <f t="shared" si="41"/>
        <v>30569.93119219863</v>
      </c>
      <c r="L117" s="44">
        <f t="shared" si="42"/>
        <v>76982.289258558551</v>
      </c>
      <c r="M117" s="403">
        <f>IFERROR(IF(B117=B116,M116+1,MATCH(B117,'ST Forecast'!$E$2:$RK$2,0)+1),"")</f>
        <v>130</v>
      </c>
      <c r="N117">
        <f>SUM(DB[[#This Row],[Ops-FC-Orders-Collect]:[Ops-FC-Orders-HD]])</f>
        <v>2250</v>
      </c>
      <c r="O117" s="44" cm="1">
        <f t="array" ref="O117">IFERROR(INDEX('ST Forecast'!$E$2:$RK$36,13,M117),"")</f>
        <v>700</v>
      </c>
      <c r="P117" s="44">
        <f t="shared" si="43"/>
        <v>1550</v>
      </c>
      <c r="Q117" s="44" cm="1">
        <f t="array" ref="Q117">IFERROR(INDEX('ST Forecast'!$E$2:$RK$36,14,M117),"")</f>
        <v>650</v>
      </c>
      <c r="R117" s="44" cm="1">
        <f t="array" ref="R117">IFERROR(INDEX('ST Forecast'!$E$2:$RK$36,15,M117),"")</f>
        <v>900</v>
      </c>
      <c r="S117" s="312">
        <f>SUM(DB[[#This Row],[Ops-FC-Picks-Collect]:[Ops-FC-Picks-HD]])</f>
        <v>105401.17604174203</v>
      </c>
      <c r="T117" s="44">
        <f t="shared" si="44"/>
        <v>29958.532568354658</v>
      </c>
      <c r="U117" s="44">
        <f t="shared" si="45"/>
        <v>75442.643473387376</v>
      </c>
      <c r="V117" s="44">
        <f t="shared" si="46"/>
        <v>31637.237585614057</v>
      </c>
      <c r="W117" s="404">
        <f t="shared" si="47"/>
        <v>43805.405887773311</v>
      </c>
      <c r="X117" s="44">
        <f>SUM(DB[[#This Row],[Capped-Orders-Collect]:[Capped-Orders-HD]])</f>
        <v>90</v>
      </c>
      <c r="Y117">
        <f>INDEX('Operations Forecast'!$A$2:$BGY$47,3,MATCH(DB!D117,'Operations Forecast'!$A$2:$BGY$2))</f>
        <v>0</v>
      </c>
      <c r="Z117">
        <f t="shared" si="48"/>
        <v>90</v>
      </c>
      <c r="AA117">
        <f>INDEX('Operations Forecast'!$A$2:$BGY$47,10,MATCH(DB!D117,'Operations Forecast'!$A$2:$BGY$2))</f>
        <v>90</v>
      </c>
      <c r="AB117">
        <f>INDEX('Operations Forecast'!$A$2:$BGY$47,21,MATCH(DB!D117,'Operations Forecast'!$A$2:$BGY$2))</f>
        <v>0</v>
      </c>
      <c r="AC117" s="312">
        <f>SUM(DB[[#This Row],[Act-Orders-Collect]:[Act-Orders-HD]])</f>
        <v>2272</v>
      </c>
      <c r="AD117" s="858">
        <f>IFERROR(INDEX('Operations Forecast_new'!$7:$7,MATCH(DB[[#This Row],[Datum]],'Operations Forecast_new'!$2:$2,0)),0)</f>
        <v>681</v>
      </c>
      <c r="AE117" s="312">
        <f t="shared" si="49"/>
        <v>1591</v>
      </c>
      <c r="AF117" s="858">
        <f>IFERROR(INDEX('Operations Forecast_new'!$13:$13,MATCH(DB[[#This Row],[Datum]],'Operations Forecast_new'!$2:$2,0)),0)</f>
        <v>697</v>
      </c>
      <c r="AG117" s="858">
        <f>IFERROR(INDEX('Operations Forecast_new'!$19:$19,MATCH(DB[[#This Row],[Datum]],'Operations Forecast_new'!$2:$2,0)),0)</f>
        <v>894</v>
      </c>
      <c r="AH117" s="312">
        <f t="shared" si="37"/>
        <v>114038.496</v>
      </c>
      <c r="AI117" s="858">
        <f>IFERROR(INDEX('Operations Forecast_new'!$9:$9,MATCH(DB[[#This Row],[Datum]],'Operations Forecast_new'!$2:$2,0)),0)</f>
        <v>34181.433000000005</v>
      </c>
      <c r="AJ117" s="312">
        <f t="shared" si="50"/>
        <v>79857.062999999995</v>
      </c>
      <c r="AK117" s="858">
        <f>IFERROR(INDEX('Operations Forecast_new'!$15:$15,MATCH(DB[[#This Row],[Datum]],'Operations Forecast_new'!$2:$2,0)),0)</f>
        <v>34984.521000000001</v>
      </c>
      <c r="AL117" s="858">
        <f>IFERROR(INDEX('Operations Forecast_new'!$21:$21,MATCH(DB[[#This Row],[Datum]],'Operations Forecast_new'!$2:$2,0)),0)</f>
        <v>44872.542000000001</v>
      </c>
      <c r="AM117" s="178">
        <f>IFERROR(INDEX('Operations Forecast_new'!$8:$8,MATCH(DB[[#This Row],[Datum]],'Operations Forecast_new'!$2:$2,0)),0)</f>
        <v>50.7</v>
      </c>
      <c r="AN117" s="859">
        <f>IFERROR(INDEX('Operations Forecast_new'!$20:$20,MATCH(DB[[#This Row],[Datum]],'Operations Forecast_new'!$2:$2,0)),0)</f>
        <v>50.7</v>
      </c>
      <c r="AO117" s="44">
        <f t="shared" si="51"/>
        <v>50.193000000000005</v>
      </c>
      <c r="AP117" s="404">
        <f t="shared" si="52"/>
        <v>50.192999999999998</v>
      </c>
      <c r="AQ117" s="44">
        <f t="shared" si="38"/>
        <v>214462</v>
      </c>
      <c r="AR117" s="44" cm="1">
        <f t="array" ref="AR117">IFERROR(INDEX('ST Forecast'!$E$2:$RK$36,25,M117)+(INDEX('ST Forecast'!$E$2:$RK$36,29,M117)),"")</f>
        <v>90650.857877846691</v>
      </c>
      <c r="AS117" s="44" cm="1">
        <f t="array" ref="AS117">IFERROR(INDEX('ST Forecast'!$E$2:$RK$36,26,M117)+INDEX('ST Forecast'!$E$2:$RK$36,30,M117),"")</f>
        <v>57073.43710357981</v>
      </c>
      <c r="AT117" s="44" cm="1">
        <f t="array" ref="AT117">IFERROR(INDEX('ST Forecast'!$E$2:$RK$36,27,M117)+INDEX('ST Forecast'!$E$2:$RK$36,31,M117),"")</f>
        <v>58420.92599927837</v>
      </c>
      <c r="AU117" s="44" cm="1">
        <f t="array" ref="AU117">IFERROR(INDEX('ST Forecast'!$E$2:$RK$36,28,M117),"")</f>
        <v>8316.7790192951325</v>
      </c>
      <c r="AV117" s="44" cm="1">
        <f t="array" ref="AV117">IFERROR(INDEX('ST Forecast'!$E$2:$RK$36,29,M117),"")</f>
        <v>0</v>
      </c>
      <c r="AW117" s="44">
        <f>DB[[#This Row],[Inbound FC]]-DB[[#This Row],[Inbound Act - Ultrafresh2]]</f>
        <v>214462</v>
      </c>
      <c r="AX117" s="178" t="e">
        <f>#REF!</f>
        <v>#REF!</v>
      </c>
      <c r="AY117" s="178" t="e">
        <f>#REF!</f>
        <v>#REF!</v>
      </c>
      <c r="AZ117" s="178" t="e">
        <f>#REF!</f>
        <v>#REF!</v>
      </c>
      <c r="BA117" s="178">
        <f>MONTH(DB[[#This Row],[Datum]])</f>
        <v>4</v>
      </c>
    </row>
    <row r="118" spans="1:53" x14ac:dyDescent="0.3">
      <c r="A118" s="44">
        <f t="shared" si="39"/>
        <v>17</v>
      </c>
      <c r="B118" t="str">
        <f t="shared" si="40"/>
        <v>Wk 17</v>
      </c>
      <c r="C118" t="s">
        <v>114</v>
      </c>
      <c r="D118" s="313">
        <v>44677</v>
      </c>
      <c r="E118" s="44">
        <f>DB[[#This Row],[Sales-FC-Orders-Collect]]+DB[[#This Row],[Sales-FC-Orders-HD]]</f>
        <v>2300</v>
      </c>
      <c r="F118" s="402">
        <f>INDEX('LT Collect Forecast'!$K$1:$Q$55,MATCH(B118,'LT Collect Forecast'!$A:$A,0),MATCH(C118,'LT Collect Forecast'!$K$2:$Q$2,0))</f>
        <v>500</v>
      </c>
      <c r="G118" s="44">
        <f>INDEX('LT HD Forecast'!$K$1:$Q$55,MATCH(B118,'LT HD Forecast'!$A:$A,0),MATCH(C118,'LT HD Forecast'!$K$2:$Q$2,0))</f>
        <v>1800</v>
      </c>
      <c r="H118" s="44" cm="1">
        <f t="array" ref="H118">IFERROR(INDEX('ST Forecast'!$E$2:$RK$36,6,M118),"")</f>
        <v>43.2911570065015</v>
      </c>
      <c r="I118" s="44" cm="1">
        <f t="array" ref="I118">IFERROR(INDEX('ST Forecast'!$E$2:$RK$36,7,M118),"")</f>
        <v>48.544070295072054</v>
      </c>
      <c r="J118" s="44">
        <f>SUM(DB[[#This Row],[Sales-FC-Picks-Collect]:[Sales-FC-Picks-HD]])</f>
        <v>109024.90503438044</v>
      </c>
      <c r="K118" s="44">
        <f t="shared" si="41"/>
        <v>21645.578503250748</v>
      </c>
      <c r="L118" s="44">
        <f t="shared" si="42"/>
        <v>87379.3265311297</v>
      </c>
      <c r="M118" s="403">
        <f>IFERROR(IF(B118=B117,M117+1,MATCH(B118,'ST Forecast'!$E$2:$RK$2,0)+1),"")</f>
        <v>131</v>
      </c>
      <c r="N118">
        <f>SUM(DB[[#This Row],[Ops-FC-Orders-Collect]:[Ops-FC-Orders-HD]])</f>
        <v>2350</v>
      </c>
      <c r="O118" s="44" cm="1">
        <f t="array" ref="O118">IFERROR(INDEX('ST Forecast'!$E$2:$RK$36,13,M118),"")</f>
        <v>500</v>
      </c>
      <c r="P118" s="44">
        <f t="shared" si="43"/>
        <v>1850</v>
      </c>
      <c r="Q118" s="44" cm="1">
        <f t="array" ref="Q118">IFERROR(INDEX('ST Forecast'!$E$2:$RK$36,14,M118),"")</f>
        <v>950</v>
      </c>
      <c r="R118" s="44" cm="1">
        <f t="array" ref="R118">IFERROR(INDEX('ST Forecast'!$E$2:$RK$36,15,M118),"")</f>
        <v>900</v>
      </c>
      <c r="S118" s="312">
        <f>SUM(DB[[#This Row],[Ops-FC-Picks-Collect]:[Ops-FC-Picks-HD]])</f>
        <v>109223.06637815139</v>
      </c>
      <c r="T118" s="44">
        <f t="shared" si="44"/>
        <v>21212.666933185734</v>
      </c>
      <c r="U118" s="44">
        <f t="shared" si="45"/>
        <v>88010.399444965646</v>
      </c>
      <c r="V118" s="44">
        <f t="shared" si="46"/>
        <v>45194.529444712083</v>
      </c>
      <c r="W118" s="404">
        <f t="shared" si="47"/>
        <v>42815.870000253555</v>
      </c>
      <c r="X118" s="44">
        <f>SUM(DB[[#This Row],[Capped-Orders-Collect]:[Capped-Orders-HD]])</f>
        <v>90</v>
      </c>
      <c r="Y118">
        <f>INDEX('Operations Forecast'!$A$2:$BGY$47,3,MATCH(DB!D118,'Operations Forecast'!$A$2:$BGY$2))</f>
        <v>0</v>
      </c>
      <c r="Z118">
        <f t="shared" si="48"/>
        <v>90</v>
      </c>
      <c r="AA118">
        <f>INDEX('Operations Forecast'!$A$2:$BGY$47,10,MATCH(DB!D118,'Operations Forecast'!$A$2:$BGY$2))</f>
        <v>90</v>
      </c>
      <c r="AB118">
        <f>INDEX('Operations Forecast'!$A$2:$BGY$47,21,MATCH(DB!D118,'Operations Forecast'!$A$2:$BGY$2))</f>
        <v>0</v>
      </c>
      <c r="AC118" s="312">
        <f>SUM(DB[[#This Row],[Act-Orders-Collect]:[Act-Orders-HD]])</f>
        <v>2369</v>
      </c>
      <c r="AD118" s="858">
        <f>IFERROR(INDEX('Operations Forecast_new'!$7:$7,MATCH(DB[[#This Row],[Datum]],'Operations Forecast_new'!$2:$2,0)),0)</f>
        <v>510</v>
      </c>
      <c r="AE118" s="312">
        <f t="shared" si="49"/>
        <v>1859</v>
      </c>
      <c r="AF118" s="858">
        <f>IFERROR(INDEX('Operations Forecast_new'!$13:$13,MATCH(DB[[#This Row],[Datum]],'Operations Forecast_new'!$2:$2,0)),0)</f>
        <v>887</v>
      </c>
      <c r="AG118" s="858">
        <f>IFERROR(INDEX('Operations Forecast_new'!$19:$19,MATCH(DB[[#This Row],[Datum]],'Operations Forecast_new'!$2:$2,0)),0)</f>
        <v>972</v>
      </c>
      <c r="AH118" s="312">
        <f t="shared" si="37"/>
        <v>111911.97600000001</v>
      </c>
      <c r="AI118" s="858">
        <f>IFERROR(INDEX('Operations Forecast_new'!$9:$9,MATCH(DB[[#This Row],[Datum]],'Operations Forecast_new'!$2:$2,0)),0)</f>
        <v>22468.05</v>
      </c>
      <c r="AJ118" s="312">
        <f t="shared" si="50"/>
        <v>89443.926000000007</v>
      </c>
      <c r="AK118" s="858">
        <f>IFERROR(INDEX('Operations Forecast_new'!$15:$15,MATCH(DB[[#This Row],[Datum]],'Operations Forecast_new'!$2:$2,0)),0)</f>
        <v>42677.118000000002</v>
      </c>
      <c r="AL118" s="858">
        <f>IFERROR(INDEX('Operations Forecast_new'!$21:$21,MATCH(DB[[#This Row],[Datum]],'Operations Forecast_new'!$2:$2,0)),0)</f>
        <v>46766.808000000005</v>
      </c>
      <c r="AM118" s="178">
        <f>IFERROR(INDEX('Operations Forecast_new'!$8:$8,MATCH(DB[[#This Row],[Datum]],'Operations Forecast_new'!$2:$2,0)),0)</f>
        <v>44.5</v>
      </c>
      <c r="AN118" s="859">
        <f>IFERROR(INDEX('Operations Forecast_new'!$20:$20,MATCH(DB[[#This Row],[Datum]],'Operations Forecast_new'!$2:$2,0)),0)</f>
        <v>48.6</v>
      </c>
      <c r="AO118" s="44">
        <f t="shared" si="51"/>
        <v>44.055</v>
      </c>
      <c r="AP118" s="404">
        <f t="shared" si="52"/>
        <v>48.114000000000004</v>
      </c>
      <c r="AQ118" s="44">
        <f t="shared" si="38"/>
        <v>122545.00000000006</v>
      </c>
      <c r="AR118" s="44" cm="1">
        <f t="array" ref="AR118">IFERROR(INDEX('ST Forecast'!$E$2:$RK$36,25,M118)+(INDEX('ST Forecast'!$E$2:$RK$36,29,M118)),"")</f>
        <v>59145.864877811917</v>
      </c>
      <c r="AS118" s="44" cm="1">
        <f t="array" ref="AS118">IFERROR(INDEX('ST Forecast'!$E$2:$RK$36,26,M118)+INDEX('ST Forecast'!$E$2:$RK$36,30,M118),"")</f>
        <v>50768.287636097586</v>
      </c>
      <c r="AT118" s="44" cm="1">
        <f t="array" ref="AT118">IFERROR(INDEX('ST Forecast'!$E$2:$RK$36,27,M118)+INDEX('ST Forecast'!$E$2:$RK$36,31,M118),"")</f>
        <v>5353.5345895997943</v>
      </c>
      <c r="AU118" s="44" cm="1">
        <f t="array" ref="AU118">IFERROR(INDEX('ST Forecast'!$E$2:$RK$36,28,M118),"")</f>
        <v>7277.3128964907737</v>
      </c>
      <c r="AV118" s="44" cm="1">
        <f t="array" ref="AV118">IFERROR(INDEX('ST Forecast'!$E$2:$RK$36,29,M118),"")</f>
        <v>0</v>
      </c>
      <c r="AW118" s="44">
        <f>DB[[#This Row],[Inbound FC]]-DB[[#This Row],[Inbound Act - Ultrafresh2]]</f>
        <v>122545.00000000006</v>
      </c>
      <c r="AX118" s="178" t="e">
        <f>#REF!</f>
        <v>#REF!</v>
      </c>
      <c r="AY118" s="178" t="e">
        <f>#REF!</f>
        <v>#REF!</v>
      </c>
      <c r="AZ118" s="178" t="e">
        <f>#REF!</f>
        <v>#REF!</v>
      </c>
      <c r="BA118" s="178">
        <f>MONTH(DB[[#This Row],[Datum]])</f>
        <v>4</v>
      </c>
    </row>
    <row r="119" spans="1:53" x14ac:dyDescent="0.3">
      <c r="A119" s="44">
        <f t="shared" si="39"/>
        <v>17</v>
      </c>
      <c r="B119" t="str">
        <f t="shared" si="40"/>
        <v>Wk 17</v>
      </c>
      <c r="C119" t="s">
        <v>115</v>
      </c>
      <c r="D119" s="313">
        <v>44678</v>
      </c>
      <c r="E119" s="44">
        <f>DB[[#This Row],[Sales-FC-Orders-Collect]]+DB[[#This Row],[Sales-FC-Orders-HD]]</f>
        <v>2250</v>
      </c>
      <c r="F119" s="402">
        <f>INDEX('LT Collect Forecast'!$K$1:$Q$55,MATCH(B119,'LT Collect Forecast'!$A:$A,0),MATCH(C119,'LT Collect Forecast'!$K$2:$Q$2,0))</f>
        <v>500</v>
      </c>
      <c r="G119" s="44">
        <f>INDEX('LT HD Forecast'!$K$1:$Q$55,MATCH(B119,'LT HD Forecast'!$A:$A,0),MATCH(C119,'LT HD Forecast'!$K$2:$Q$2,0))</f>
        <v>1750</v>
      </c>
      <c r="H119" s="44" cm="1">
        <f t="array" ref="H119">IFERROR(INDEX('ST Forecast'!$E$2:$RK$36,6,M119),"")</f>
        <v>42.321718957512992</v>
      </c>
      <c r="I119" s="44" cm="1">
        <f t="array" ref="I119">IFERROR(INDEX('ST Forecast'!$E$2:$RK$36,7,M119),"")</f>
        <v>49.141225372253956</v>
      </c>
      <c r="J119" s="44">
        <f>SUM(DB[[#This Row],[Sales-FC-Picks-Collect]:[Sales-FC-Picks-HD]])</f>
        <v>107158.00388020092</v>
      </c>
      <c r="K119" s="44">
        <f t="shared" si="41"/>
        <v>21160.859478756494</v>
      </c>
      <c r="L119" s="44">
        <f t="shared" si="42"/>
        <v>85997.144401444428</v>
      </c>
      <c r="M119" s="403">
        <f>IFERROR(IF(B119=B118,M118+1,MATCH(B119,'ST Forecast'!$E$2:$RK$2,0)+1),"")</f>
        <v>132</v>
      </c>
      <c r="N119">
        <f>SUM(DB[[#This Row],[Ops-FC-Orders-Collect]:[Ops-FC-Orders-HD]])</f>
        <v>2350</v>
      </c>
      <c r="O119" s="44" cm="1">
        <f t="array" ref="O119">IFERROR(INDEX('ST Forecast'!$E$2:$RK$36,13,M119),"")</f>
        <v>500</v>
      </c>
      <c r="P119" s="44">
        <f t="shared" si="43"/>
        <v>1850</v>
      </c>
      <c r="Q119" s="44" cm="1">
        <f t="array" ref="Q119">IFERROR(INDEX('ST Forecast'!$E$2:$RK$36,14,M119),"")</f>
        <v>950</v>
      </c>
      <c r="R119" s="44" cm="1">
        <f t="array" ref="R119">IFERROR(INDEX('ST Forecast'!$E$2:$RK$36,15,M119),"")</f>
        <v>900</v>
      </c>
      <c r="S119" s="312">
        <f>SUM(DB[[#This Row],[Ops-FC-Picks-Collect]:[Ops-FC-Picks-HD]])</f>
        <v>109830.68388907777</v>
      </c>
      <c r="T119" s="44">
        <f t="shared" si="44"/>
        <v>20737.642289181364</v>
      </c>
      <c r="U119" s="44">
        <f t="shared" si="45"/>
        <v>89093.041599896416</v>
      </c>
      <c r="V119" s="44">
        <f t="shared" si="46"/>
        <v>45750.480821568432</v>
      </c>
      <c r="W119" s="404">
        <f t="shared" si="47"/>
        <v>43342.560778327992</v>
      </c>
      <c r="X119" s="44">
        <f>SUM(DB[[#This Row],[Capped-Orders-Collect]:[Capped-Orders-HD]])</f>
        <v>90</v>
      </c>
      <c r="Y119">
        <f>INDEX('Operations Forecast'!$A$2:$BGY$47,3,MATCH(DB!D119,'Operations Forecast'!$A$2:$BGY$2))</f>
        <v>0</v>
      </c>
      <c r="Z119">
        <f t="shared" si="48"/>
        <v>90</v>
      </c>
      <c r="AA119">
        <f>INDEX('Operations Forecast'!$A$2:$BGY$47,10,MATCH(DB!D119,'Operations Forecast'!$A$2:$BGY$2))</f>
        <v>90</v>
      </c>
      <c r="AB119">
        <f>INDEX('Operations Forecast'!$A$2:$BGY$47,21,MATCH(DB!D119,'Operations Forecast'!$A$2:$BGY$2))</f>
        <v>0</v>
      </c>
      <c r="AC119" s="312">
        <f>SUM(DB[[#This Row],[Act-Orders-Collect]:[Act-Orders-HD]])</f>
        <v>2307</v>
      </c>
      <c r="AD119" s="858">
        <f>IFERROR(INDEX('Operations Forecast_new'!$7:$7,MATCH(DB[[#This Row],[Datum]],'Operations Forecast_new'!$2:$2,0)),0)</f>
        <v>512</v>
      </c>
      <c r="AE119" s="312">
        <f t="shared" si="49"/>
        <v>1795</v>
      </c>
      <c r="AF119" s="858">
        <f>IFERROR(INDEX('Operations Forecast_new'!$13:$13,MATCH(DB[[#This Row],[Datum]],'Operations Forecast_new'!$2:$2,0)),0)</f>
        <v>885</v>
      </c>
      <c r="AG119" s="858">
        <f>IFERROR(INDEX('Operations Forecast_new'!$19:$19,MATCH(DB[[#This Row],[Datum]],'Operations Forecast_new'!$2:$2,0)),0)</f>
        <v>910</v>
      </c>
      <c r="AH119" s="312">
        <f t="shared" si="37"/>
        <v>113157.69299999998</v>
      </c>
      <c r="AI119" s="858">
        <f>IFERROR(INDEX('Operations Forecast_new'!$9:$9,MATCH(DB[[#This Row],[Datum]],'Operations Forecast_new'!$2:$2,0)),0)</f>
        <v>24127.488000000001</v>
      </c>
      <c r="AJ119" s="312">
        <f t="shared" si="50"/>
        <v>89030.204999999987</v>
      </c>
      <c r="AK119" s="858">
        <f>IFERROR(INDEX('Operations Forecast_new'!$15:$15,MATCH(DB[[#This Row],[Datum]],'Operations Forecast_new'!$2:$2,0)),0)</f>
        <v>43895.114999999998</v>
      </c>
      <c r="AL119" s="858">
        <f>IFERROR(INDEX('Operations Forecast_new'!$21:$21,MATCH(DB[[#This Row],[Datum]],'Operations Forecast_new'!$2:$2,0)),0)</f>
        <v>45135.09</v>
      </c>
      <c r="AM119" s="178">
        <f>IFERROR(INDEX('Operations Forecast_new'!$8:$8,MATCH(DB[[#This Row],[Datum]],'Operations Forecast_new'!$2:$2,0)),0)</f>
        <v>47.6</v>
      </c>
      <c r="AN119" s="859">
        <f>IFERROR(INDEX('Operations Forecast_new'!$20:$20,MATCH(DB[[#This Row],[Datum]],'Operations Forecast_new'!$2:$2,0)),0)</f>
        <v>50.1</v>
      </c>
      <c r="AO119" s="44">
        <f t="shared" si="51"/>
        <v>47.124000000000002</v>
      </c>
      <c r="AP119" s="404">
        <f t="shared" si="52"/>
        <v>49.59899999999999</v>
      </c>
      <c r="AQ119" s="44">
        <f t="shared" si="38"/>
        <v>140011.00000000009</v>
      </c>
      <c r="AR119" s="44" cm="1">
        <f t="array" ref="AR119">IFERROR(INDEX('ST Forecast'!$E$2:$RK$36,25,M119)+(INDEX('ST Forecast'!$E$2:$RK$36,29,M119)),"")</f>
        <v>61570.415456477662</v>
      </c>
      <c r="AS119" s="44" cm="1">
        <f t="array" ref="AS119">IFERROR(INDEX('ST Forecast'!$E$2:$RK$36,26,M119)+INDEX('ST Forecast'!$E$2:$RK$36,30,M119),"")</f>
        <v>49850.90010282131</v>
      </c>
      <c r="AT119" s="44" cm="1">
        <f t="array" ref="AT119">IFERROR(INDEX('ST Forecast'!$E$2:$RK$36,27,M119)+INDEX('ST Forecast'!$E$2:$RK$36,31,M119),"")</f>
        <v>20491.86698334157</v>
      </c>
      <c r="AU119" s="44" cm="1">
        <f t="array" ref="AU119">IFERROR(INDEX('ST Forecast'!$E$2:$RK$36,28,M119),"")</f>
        <v>8097.8174573595352</v>
      </c>
      <c r="AV119" s="44" cm="1">
        <f t="array" ref="AV119">IFERROR(INDEX('ST Forecast'!$E$2:$RK$36,29,M119),"")</f>
        <v>0</v>
      </c>
      <c r="AW119" s="44">
        <f>DB[[#This Row],[Inbound FC]]-DB[[#This Row],[Inbound Act - Ultrafresh2]]</f>
        <v>140011.00000000009</v>
      </c>
      <c r="AX119" s="178" t="e">
        <f>#REF!</f>
        <v>#REF!</v>
      </c>
      <c r="AY119" s="178" t="e">
        <f>#REF!</f>
        <v>#REF!</v>
      </c>
      <c r="AZ119" s="178" t="e">
        <f>#REF!</f>
        <v>#REF!</v>
      </c>
      <c r="BA119" s="178">
        <f>MONTH(DB[[#This Row],[Datum]])</f>
        <v>4</v>
      </c>
    </row>
    <row r="120" spans="1:53" x14ac:dyDescent="0.3">
      <c r="A120" s="44">
        <f t="shared" si="39"/>
        <v>17</v>
      </c>
      <c r="B120" t="str">
        <f t="shared" si="40"/>
        <v>Wk 17</v>
      </c>
      <c r="C120" t="s">
        <v>116</v>
      </c>
      <c r="D120" s="313">
        <v>44679</v>
      </c>
      <c r="E120" s="44">
        <f>DB[[#This Row],[Sales-FC-Orders-Collect]]+DB[[#This Row],[Sales-FC-Orders-HD]]</f>
        <v>2300</v>
      </c>
      <c r="F120" s="402" cm="1">
        <f t="array" ref="F120">INDEX('LT Collect Forecast'!$K$1:$Q$55,MATCH(B120,'LT Collect Forecast'!$A:$A,0)+1,MATCH(C120,'LT Collect Forecast'!$K$2:$Q$2,0))</f>
        <v>500</v>
      </c>
      <c r="G120" s="44" cm="1">
        <f t="array" ref="G120">INDEX('LT HD Forecast'!$K$1:$Q$55,MATCH(B120,'LT HD Forecast'!$A:$A,0)+1,MATCH(C120,'LT HD Forecast'!$K$2:$Q$2,0))</f>
        <v>1800</v>
      </c>
      <c r="H120" s="44" cm="1">
        <f t="array" ref="H120">IFERROR(INDEX('ST Forecast'!$E$2:$RK$36,6,M120),"")</f>
        <v>43.975975562652401</v>
      </c>
      <c r="I120" s="44" cm="1">
        <f t="array" ref="I120">IFERROR(INDEX('ST Forecast'!$E$2:$RK$36,7,M120),"")</f>
        <v>50.583997054246929</v>
      </c>
      <c r="J120" s="44">
        <f>SUM(DB[[#This Row],[Sales-FC-Picks-Collect]:[Sales-FC-Picks-HD]])</f>
        <v>113039.18247897067</v>
      </c>
      <c r="K120" s="44">
        <f t="shared" si="41"/>
        <v>21987.987781326199</v>
      </c>
      <c r="L120" s="44">
        <f t="shared" si="42"/>
        <v>91051.194697644474</v>
      </c>
      <c r="M120" s="403">
        <f>IFERROR(IF(B120=B119,M119+1,MATCH(B120,'ST Forecast'!$E$2:$RK$2,0)+1),"")</f>
        <v>133</v>
      </c>
      <c r="N120">
        <f>SUM(DB[[#This Row],[Ops-FC-Orders-Collect]:[Ops-FC-Orders-HD]])</f>
        <v>2300</v>
      </c>
      <c r="O120" s="44" cm="1">
        <f t="array" ref="O120">IFERROR(INDEX('ST Forecast'!$E$2:$RK$36,13,M120),"")</f>
        <v>500</v>
      </c>
      <c r="P120" s="44">
        <f t="shared" si="43"/>
        <v>1800</v>
      </c>
      <c r="Q120" s="44" cm="1">
        <f t="array" ref="Q120">IFERROR(INDEX('ST Forecast'!$E$2:$RK$36,14,M120),"")</f>
        <v>900</v>
      </c>
      <c r="R120" s="44" cm="1">
        <f t="array" ref="R120">IFERROR(INDEX('ST Forecast'!$E$2:$RK$36,15,M120),"")</f>
        <v>900</v>
      </c>
      <c r="S120" s="312">
        <f>SUM(DB[[#This Row],[Ops-FC-Picks-Collect]:[Ops-FC-Picks-HD]])</f>
        <v>110778.39882939126</v>
      </c>
      <c r="T120" s="44">
        <f t="shared" si="44"/>
        <v>21548.228025699675</v>
      </c>
      <c r="U120" s="44">
        <f t="shared" si="45"/>
        <v>89230.170803691581</v>
      </c>
      <c r="V120" s="44">
        <f t="shared" si="46"/>
        <v>44615.08540184579</v>
      </c>
      <c r="W120" s="404">
        <f t="shared" si="47"/>
        <v>44615.08540184579</v>
      </c>
      <c r="X120" s="44">
        <f>SUM(DB[[#This Row],[Capped-Orders-Collect]:[Capped-Orders-HD]])</f>
        <v>90</v>
      </c>
      <c r="Y120">
        <f>INDEX('Operations Forecast'!$A$2:$BGY$47,3,MATCH(DB!D120,'Operations Forecast'!$A$2:$BGY$2))</f>
        <v>0</v>
      </c>
      <c r="Z120">
        <f t="shared" si="48"/>
        <v>90</v>
      </c>
      <c r="AA120">
        <f>INDEX('Operations Forecast'!$A$2:$BGY$47,10,MATCH(DB!D120,'Operations Forecast'!$A$2:$BGY$2))</f>
        <v>90</v>
      </c>
      <c r="AB120">
        <f>INDEX('Operations Forecast'!$A$2:$BGY$47,21,MATCH(DB!D120,'Operations Forecast'!$A$2:$BGY$2))</f>
        <v>0</v>
      </c>
      <c r="AC120" s="312">
        <f>SUM(DB[[#This Row],[Act-Orders-Collect]:[Act-Orders-HD]])</f>
        <v>2238</v>
      </c>
      <c r="AD120" s="858">
        <f>IFERROR(INDEX('Operations Forecast_new'!$7:$7,MATCH(DB[[#This Row],[Datum]],'Operations Forecast_new'!$2:$2,0)),0)</f>
        <v>500</v>
      </c>
      <c r="AE120" s="312">
        <f t="shared" si="49"/>
        <v>1738</v>
      </c>
      <c r="AF120" s="858">
        <f>IFERROR(INDEX('Operations Forecast_new'!$13:$13,MATCH(DB[[#This Row],[Datum]],'Operations Forecast_new'!$2:$2,0)),0)</f>
        <v>786</v>
      </c>
      <c r="AG120" s="858">
        <f>IFERROR(INDEX('Operations Forecast_new'!$19:$19,MATCH(DB[[#This Row],[Datum]],'Operations Forecast_new'!$2:$2,0)),0)</f>
        <v>952</v>
      </c>
      <c r="AH120" s="312">
        <f t="shared" si="37"/>
        <v>108018.50400000002</v>
      </c>
      <c r="AI120" s="858">
        <f>IFERROR(INDEX('Operations Forecast_new'!$9:$9,MATCH(DB[[#This Row],[Datum]],'Operations Forecast_new'!$2:$2,0)),0)</f>
        <v>23364</v>
      </c>
      <c r="AJ120" s="312">
        <f t="shared" si="50"/>
        <v>84654.504000000015</v>
      </c>
      <c r="AK120" s="858">
        <f>IFERROR(INDEX('Operations Forecast_new'!$15:$15,MATCH(DB[[#This Row],[Datum]],'Operations Forecast_new'!$2:$2,0)),0)</f>
        <v>38284.488000000005</v>
      </c>
      <c r="AL120" s="858">
        <f>IFERROR(INDEX('Operations Forecast_new'!$21:$21,MATCH(DB[[#This Row],[Datum]],'Operations Forecast_new'!$2:$2,0)),0)</f>
        <v>46370.016000000003</v>
      </c>
      <c r="AM120" s="178">
        <f>IFERROR(INDEX('Operations Forecast_new'!$8:$8,MATCH(DB[[#This Row],[Datum]],'Operations Forecast_new'!$2:$2,0)),0)</f>
        <v>47.2</v>
      </c>
      <c r="AN120" s="859">
        <f>IFERROR(INDEX('Operations Forecast_new'!$20:$20,MATCH(DB[[#This Row],[Datum]],'Operations Forecast_new'!$2:$2,0)),0)</f>
        <v>49.2</v>
      </c>
      <c r="AO120" s="44">
        <f t="shared" si="51"/>
        <v>46.728000000000002</v>
      </c>
      <c r="AP120" s="404">
        <f t="shared" si="52"/>
        <v>48.708000000000006</v>
      </c>
      <c r="AQ120" s="44">
        <f t="shared" si="38"/>
        <v>117039.00000000009</v>
      </c>
      <c r="AR120" s="44" cm="1">
        <f t="array" ref="AR120">IFERROR(INDEX('ST Forecast'!$E$2:$RK$36,25,M120)+(INDEX('ST Forecast'!$E$2:$RK$36,29,M120)),"")</f>
        <v>56480.396073250668</v>
      </c>
      <c r="AS120" s="44" cm="1">
        <f t="array" ref="AS120">IFERROR(INDEX('ST Forecast'!$E$2:$RK$36,26,M120)+INDEX('ST Forecast'!$E$2:$RK$36,30,M120),"")</f>
        <v>44965.569016272646</v>
      </c>
      <c r="AT120" s="44" cm="1">
        <f t="array" ref="AT120">IFERROR(INDEX('ST Forecast'!$E$2:$RK$36,27,M120)+INDEX('ST Forecast'!$E$2:$RK$36,31,M120),"")</f>
        <v>7400.5003883785357</v>
      </c>
      <c r="AU120" s="44" cm="1">
        <f t="array" ref="AU120">IFERROR(INDEX('ST Forecast'!$E$2:$RK$36,28,M120),"")</f>
        <v>8192.5345220982272</v>
      </c>
      <c r="AV120" s="44" cm="1">
        <f t="array" ref="AV120">IFERROR(INDEX('ST Forecast'!$E$2:$RK$36,29,M120),"")</f>
        <v>0</v>
      </c>
      <c r="AW120" s="44">
        <f>DB[[#This Row],[Inbound FC]]-DB[[#This Row],[Inbound Act - Ultrafresh2]]</f>
        <v>117039.00000000009</v>
      </c>
      <c r="AX120" s="178" t="e">
        <f>#REF!</f>
        <v>#REF!</v>
      </c>
      <c r="AY120" s="178" t="e">
        <f>#REF!</f>
        <v>#REF!</v>
      </c>
      <c r="AZ120" s="178" t="e">
        <f>#REF!</f>
        <v>#REF!</v>
      </c>
      <c r="BA120" s="178">
        <f>MONTH(DB[[#This Row],[Datum]])</f>
        <v>4</v>
      </c>
    </row>
    <row r="121" spans="1:53" x14ac:dyDescent="0.3">
      <c r="A121" s="44">
        <f t="shared" si="39"/>
        <v>17</v>
      </c>
      <c r="B121" t="str">
        <f t="shared" si="40"/>
        <v>Wk 17</v>
      </c>
      <c r="C121" t="s">
        <v>117</v>
      </c>
      <c r="D121" s="313">
        <v>44680</v>
      </c>
      <c r="E121" s="44">
        <f>DB[[#This Row],[Sales-FC-Orders-Collect]]+DB[[#This Row],[Sales-FC-Orders-HD]]</f>
        <v>3075</v>
      </c>
      <c r="F121" s="402" cm="1">
        <f t="array" ref="F121">INDEX('LT Collect Forecast'!$K$1:$Q$55,MATCH(B121,'LT Collect Forecast'!$A:$A,0)+1,MATCH(C121,'LT Collect Forecast'!$K$2:$Q$2,0))</f>
        <v>1000</v>
      </c>
      <c r="G121" s="44" cm="1">
        <f t="array" ref="G121">INDEX('LT HD Forecast'!$K$1:$Q$55,MATCH(B121,'LT HD Forecast'!$A:$A,0)+1,MATCH(C121,'LT HD Forecast'!$K$2:$Q$2,0))</f>
        <v>2075</v>
      </c>
      <c r="H121" s="44" cm="1">
        <f t="array" ref="H121">IFERROR(INDEX('ST Forecast'!$E$2:$RK$36,6,M121),"")</f>
        <v>48.820583350306954</v>
      </c>
      <c r="I121" s="44" cm="1">
        <f t="array" ref="I121">IFERROR(INDEX('ST Forecast'!$E$2:$RK$36,7,M121),"")</f>
        <v>51.614225684730052</v>
      </c>
      <c r="J121" s="44">
        <f>SUM(DB[[#This Row],[Sales-FC-Picks-Collect]:[Sales-FC-Picks-HD]])</f>
        <v>155920.1016461218</v>
      </c>
      <c r="K121" s="44">
        <f t="shared" si="41"/>
        <v>48820.583350306952</v>
      </c>
      <c r="L121" s="44">
        <f t="shared" si="42"/>
        <v>107099.51829581485</v>
      </c>
      <c r="M121" s="403">
        <f>IFERROR(IF(B121=B120,M120+1,MATCH(B121,'ST Forecast'!$E$2:$RK$2,0)+1),"")</f>
        <v>134</v>
      </c>
      <c r="N121">
        <f>SUM(DB[[#This Row],[Ops-FC-Orders-Collect]:[Ops-FC-Orders-HD]])</f>
        <v>3075</v>
      </c>
      <c r="O121" s="44" cm="1">
        <f t="array" ref="O121">IFERROR(INDEX('ST Forecast'!$E$2:$RK$36,13,M121),"")</f>
        <v>1000</v>
      </c>
      <c r="P121" s="44">
        <f t="shared" si="43"/>
        <v>2075</v>
      </c>
      <c r="Q121" s="44" cm="1">
        <f t="array" ref="Q121">IFERROR(INDEX('ST Forecast'!$E$2:$RK$36,14,M121),"")</f>
        <v>1050</v>
      </c>
      <c r="R121" s="44" cm="1">
        <f t="array" ref="R121">IFERROR(INDEX('ST Forecast'!$E$2:$RK$36,15,M121),"")</f>
        <v>1025</v>
      </c>
      <c r="S121" s="312">
        <f>SUM(DB[[#This Row],[Ops-FC-Picks-Collect]:[Ops-FC-Picks-HD]])</f>
        <v>152801.69961319937</v>
      </c>
      <c r="T121" s="44">
        <f t="shared" si="44"/>
        <v>47844.17168330081</v>
      </c>
      <c r="U121" s="44">
        <f t="shared" si="45"/>
        <v>104957.52792989856</v>
      </c>
      <c r="V121" s="44">
        <f t="shared" si="46"/>
        <v>53111.038229587226</v>
      </c>
      <c r="W121" s="404">
        <f t="shared" si="47"/>
        <v>51846.489700311336</v>
      </c>
      <c r="X121" s="44">
        <f>SUM(DB[[#This Row],[Capped-Orders-Collect]:[Capped-Orders-HD]])</f>
        <v>90</v>
      </c>
      <c r="Y121">
        <f>INDEX('Operations Forecast'!$A$2:$BGY$47,3,MATCH(DB!D121,'Operations Forecast'!$A$2:$BGY$2))</f>
        <v>0</v>
      </c>
      <c r="Z121">
        <f t="shared" si="48"/>
        <v>90</v>
      </c>
      <c r="AA121">
        <f>INDEX('Operations Forecast'!$A$2:$BGY$47,10,MATCH(DB!D121,'Operations Forecast'!$A$2:$BGY$2))</f>
        <v>90</v>
      </c>
      <c r="AB121">
        <f>INDEX('Operations Forecast'!$A$2:$BGY$47,21,MATCH(DB!D121,'Operations Forecast'!$A$2:$BGY$2))</f>
        <v>0</v>
      </c>
      <c r="AC121" s="312">
        <f>SUM(DB[[#This Row],[Act-Orders-Collect]:[Act-Orders-HD]])</f>
        <v>2935</v>
      </c>
      <c r="AD121" s="858">
        <f>IFERROR(INDEX('Operations Forecast_new'!$7:$7,MATCH(DB[[#This Row],[Datum]],'Operations Forecast_new'!$2:$2,0)),0)</f>
        <v>988</v>
      </c>
      <c r="AE121" s="312">
        <f t="shared" si="49"/>
        <v>1947</v>
      </c>
      <c r="AF121" s="858">
        <f>IFERROR(INDEX('Operations Forecast_new'!$13:$13,MATCH(DB[[#This Row],[Datum]],'Operations Forecast_new'!$2:$2,0)),0)</f>
        <v>1007</v>
      </c>
      <c r="AG121" s="858">
        <f>IFERROR(INDEX('Operations Forecast_new'!$19:$19,MATCH(DB[[#This Row],[Datum]],'Operations Forecast_new'!$2:$2,0)),0)</f>
        <v>940</v>
      </c>
      <c r="AH121" s="312">
        <f t="shared" si="37"/>
        <v>150616.22399999999</v>
      </c>
      <c r="AI121" s="858">
        <f>IFERROR(INDEX('Operations Forecast_new'!$9:$9,MATCH(DB[[#This Row],[Datum]],'Operations Forecast_new'!$2:$2,0)),0)</f>
        <v>51155.675999999992</v>
      </c>
      <c r="AJ121" s="312">
        <f t="shared" si="50"/>
        <v>99460.54800000001</v>
      </c>
      <c r="AK121" s="858">
        <f>IFERROR(INDEX('Operations Forecast_new'!$15:$15,MATCH(DB[[#This Row],[Datum]],'Operations Forecast_new'!$2:$2,0)),0)</f>
        <v>51441.588000000003</v>
      </c>
      <c r="AL121" s="858">
        <f>IFERROR(INDEX('Operations Forecast_new'!$21:$21,MATCH(DB[[#This Row],[Datum]],'Operations Forecast_new'!$2:$2,0)),0)</f>
        <v>48018.96</v>
      </c>
      <c r="AM121" s="178">
        <f>IFERROR(INDEX('Operations Forecast_new'!$8:$8,MATCH(DB[[#This Row],[Datum]],'Operations Forecast_new'!$2:$2,0)),0)</f>
        <v>52.3</v>
      </c>
      <c r="AN121" s="859">
        <f>IFERROR(INDEX('Operations Forecast_new'!$20:$20,MATCH(DB[[#This Row],[Datum]],'Operations Forecast_new'!$2:$2,0)),0)</f>
        <v>51.6</v>
      </c>
      <c r="AO121" s="44">
        <f t="shared" si="51"/>
        <v>51.776999999999994</v>
      </c>
      <c r="AP121" s="404">
        <f t="shared" si="52"/>
        <v>51.084000000000003</v>
      </c>
      <c r="AQ121" s="44">
        <f t="shared" si="38"/>
        <v>114852.00000000007</v>
      </c>
      <c r="AR121" s="44" cm="1">
        <f t="array" ref="AR121">IFERROR(INDEX('ST Forecast'!$E$2:$RK$36,25,M121)+(INDEX('ST Forecast'!$E$2:$RK$36,29,M121)),"")</f>
        <v>55432.868521330565</v>
      </c>
      <c r="AS121" s="44" cm="1">
        <f t="array" ref="AS121">IFERROR(INDEX('ST Forecast'!$E$2:$RK$36,26,M121)+INDEX('ST Forecast'!$E$2:$RK$36,30,M121),"")</f>
        <v>46304.856767363133</v>
      </c>
      <c r="AT121" s="44" cm="1">
        <f t="array" ref="AT121">IFERROR(INDEX('ST Forecast'!$E$2:$RK$36,27,M121)+INDEX('ST Forecast'!$E$2:$RK$36,31,M121),"")</f>
        <v>5017.4560747865326</v>
      </c>
      <c r="AU121" s="44" cm="1">
        <f t="array" ref="AU121">IFERROR(INDEX('ST Forecast'!$E$2:$RK$36,28,M121),"")</f>
        <v>8096.8186365198308</v>
      </c>
      <c r="AV121" s="44" cm="1">
        <f t="array" ref="AV121">IFERROR(INDEX('ST Forecast'!$E$2:$RK$36,29,M121),"")</f>
        <v>0</v>
      </c>
      <c r="AW121" s="44">
        <f>DB[[#This Row],[Inbound FC]]-DB[[#This Row],[Inbound Act - Ultrafresh2]]</f>
        <v>114852.00000000007</v>
      </c>
      <c r="AX121" s="178" t="e">
        <f>#REF!</f>
        <v>#REF!</v>
      </c>
      <c r="AY121" s="178" t="e">
        <f>#REF!</f>
        <v>#REF!</v>
      </c>
      <c r="AZ121" s="178" t="e">
        <f>#REF!</f>
        <v>#REF!</v>
      </c>
      <c r="BA121" s="178">
        <f>MONTH(DB[[#This Row],[Datum]])</f>
        <v>4</v>
      </c>
    </row>
    <row r="122" spans="1:53" x14ac:dyDescent="0.3">
      <c r="A122" s="44">
        <f t="shared" si="39"/>
        <v>17</v>
      </c>
      <c r="B122" t="str">
        <f t="shared" si="40"/>
        <v>Wk 17</v>
      </c>
      <c r="C122" t="s">
        <v>118</v>
      </c>
      <c r="D122" s="313">
        <v>44681</v>
      </c>
      <c r="E122" s="44">
        <f>DB[[#This Row],[Sales-FC-Orders-Collect]]+DB[[#This Row],[Sales-FC-Orders-HD]]</f>
        <v>2900</v>
      </c>
      <c r="F122" s="402" cm="1">
        <f t="array" ref="F122">INDEX('LT Collect Forecast'!$K$1:$Q$55,MATCH(B122,'LT Collect Forecast'!$A:$A,0)+1,MATCH(C122,'LT Collect Forecast'!$K$2:$Q$2,0))</f>
        <v>900</v>
      </c>
      <c r="G122" s="44" cm="1">
        <f t="array" ref="G122">INDEX('LT HD Forecast'!$K$1:$Q$55,MATCH(B122,'LT HD Forecast'!$A:$A,0)+1,MATCH(C122,'LT HD Forecast'!$K$2:$Q$2,0))</f>
        <v>2000</v>
      </c>
      <c r="H122" s="44" cm="1">
        <f t="array" ref="H122">IFERROR(INDEX('ST Forecast'!$E$2:$RK$36,6,M122),"")</f>
        <v>48.214692395544446</v>
      </c>
      <c r="I122" s="44" cm="1">
        <f t="array" ref="I122">IFERROR(INDEX('ST Forecast'!$E$2:$RK$36,7,M122),"")</f>
        <v>50.116990562625269</v>
      </c>
      <c r="J122" s="44">
        <f>SUM(DB[[#This Row],[Sales-FC-Picks-Collect]:[Sales-FC-Picks-HD]])</f>
        <v>143627.20428124053</v>
      </c>
      <c r="K122" s="44">
        <f t="shared" si="41"/>
        <v>43393.223155990003</v>
      </c>
      <c r="L122" s="44">
        <f t="shared" si="42"/>
        <v>100233.98112525053</v>
      </c>
      <c r="M122" s="403">
        <f>IFERROR(IF(B122=B121,M121+1,MATCH(B122,'ST Forecast'!$E$2:$RK$2,0)+1),"")</f>
        <v>135</v>
      </c>
      <c r="N122">
        <f>SUM(DB[[#This Row],[Ops-FC-Orders-Collect]:[Ops-FC-Orders-HD]])</f>
        <v>2850</v>
      </c>
      <c r="O122" s="44" cm="1">
        <f t="array" ref="O122">IFERROR(INDEX('ST Forecast'!$E$2:$RK$36,13,M122),"")</f>
        <v>900</v>
      </c>
      <c r="P122" s="44">
        <f t="shared" si="43"/>
        <v>1950</v>
      </c>
      <c r="Q122" s="44" cm="1">
        <f t="array" ref="Q122">IFERROR(INDEX('ST Forecast'!$E$2:$RK$36,14,M122),"")</f>
        <v>1050</v>
      </c>
      <c r="R122" s="44" cm="1">
        <f t="array" ref="R122">IFERROR(INDEX('ST Forecast'!$E$2:$RK$36,15,M122),"")</f>
        <v>900</v>
      </c>
      <c r="S122" s="312">
        <f>SUM(DB[[#This Row],[Ops-FC-Picks-Collect]:[Ops-FC-Picks-HD]])</f>
        <v>138298.92765804706</v>
      </c>
      <c r="T122" s="44">
        <f t="shared" si="44"/>
        <v>42525.358692870199</v>
      </c>
      <c r="U122" s="44">
        <f t="shared" si="45"/>
        <v>95773.568965176877</v>
      </c>
      <c r="V122" s="44">
        <f t="shared" si="46"/>
        <v>51570.383288941397</v>
      </c>
      <c r="W122" s="404">
        <f t="shared" si="47"/>
        <v>44203.185676235487</v>
      </c>
      <c r="X122" s="44">
        <f>SUM(DB[[#This Row],[Capped-Orders-Collect]:[Capped-Orders-HD]])</f>
        <v>90</v>
      </c>
      <c r="Y122">
        <f>INDEX('Operations Forecast'!$A$2:$BGY$47,3,MATCH(DB!D122,'Operations Forecast'!$A$2:$BGY$2))</f>
        <v>0</v>
      </c>
      <c r="Z122">
        <f t="shared" si="48"/>
        <v>90</v>
      </c>
      <c r="AA122">
        <f>INDEX('Operations Forecast'!$A$2:$BGY$47,10,MATCH(DB!D122,'Operations Forecast'!$A$2:$BGY$2))</f>
        <v>90</v>
      </c>
      <c r="AB122">
        <f>INDEX('Operations Forecast'!$A$2:$BGY$47,21,MATCH(DB!D122,'Operations Forecast'!$A$2:$BGY$2))</f>
        <v>0</v>
      </c>
      <c r="AC122" s="312">
        <f>SUM(DB[[#This Row],[Act-Orders-Collect]:[Act-Orders-HD]])</f>
        <v>2851</v>
      </c>
      <c r="AD122" s="858">
        <f>IFERROR(INDEX('Operations Forecast_new'!$7:$7,MATCH(DB[[#This Row],[Datum]],'Operations Forecast_new'!$2:$2,0)),0)</f>
        <v>896</v>
      </c>
      <c r="AE122" s="312">
        <f t="shared" si="49"/>
        <v>1955</v>
      </c>
      <c r="AF122" s="858">
        <f>IFERROR(INDEX('Operations Forecast_new'!$13:$13,MATCH(DB[[#This Row],[Datum]],'Operations Forecast_new'!$2:$2,0)),0)</f>
        <v>1054</v>
      </c>
      <c r="AG122" s="858">
        <f>IFERROR(INDEX('Operations Forecast_new'!$19:$19,MATCH(DB[[#This Row],[Datum]],'Operations Forecast_new'!$2:$2,0)),0)</f>
        <v>901</v>
      </c>
      <c r="AH122" s="312">
        <f t="shared" si="37"/>
        <v>146043.71100000001</v>
      </c>
      <c r="AI122" s="858">
        <f>IFERROR(INDEX('Operations Forecast_new'!$9:$9,MATCH(DB[[#This Row],[Datum]],'Operations Forecast_new'!$2:$2,0)),0)</f>
        <v>45593.856</v>
      </c>
      <c r="AJ122" s="312">
        <f t="shared" si="50"/>
        <v>100449.85500000001</v>
      </c>
      <c r="AK122" s="858">
        <f>IFERROR(INDEX('Operations Forecast_new'!$15:$15,MATCH(DB[[#This Row],[Datum]],'Operations Forecast_new'!$2:$2,0)),0)</f>
        <v>54155.574000000001</v>
      </c>
      <c r="AL122" s="858">
        <f>IFERROR(INDEX('Operations Forecast_new'!$21:$21,MATCH(DB[[#This Row],[Datum]],'Operations Forecast_new'!$2:$2,0)),0)</f>
        <v>46294.281000000003</v>
      </c>
      <c r="AM122" s="178">
        <f>IFERROR(INDEX('Operations Forecast_new'!$8:$8,MATCH(DB[[#This Row],[Datum]],'Operations Forecast_new'!$2:$2,0)),0)</f>
        <v>51.4</v>
      </c>
      <c r="AN122" s="859">
        <f>IFERROR(INDEX('Operations Forecast_new'!$20:$20,MATCH(DB[[#This Row],[Datum]],'Operations Forecast_new'!$2:$2,0)),0)</f>
        <v>51.9</v>
      </c>
      <c r="AO122" s="44">
        <f t="shared" si="51"/>
        <v>50.886000000000003</v>
      </c>
      <c r="AP122" s="404">
        <f t="shared" si="52"/>
        <v>51.381000000000007</v>
      </c>
      <c r="AQ122" s="44">
        <f t="shared" si="38"/>
        <v>112509.00000000006</v>
      </c>
      <c r="AR122" s="44" cm="1">
        <f t="array" ref="AR122">IFERROR(INDEX('ST Forecast'!$E$2:$RK$36,25,M122)+(INDEX('ST Forecast'!$E$2:$RK$36,29,M122)),"")</f>
        <v>49030.107612966698</v>
      </c>
      <c r="AS122" s="44" cm="1">
        <f t="array" ref="AS122">IFERROR(INDEX('ST Forecast'!$E$2:$RK$36,26,M122)+INDEX('ST Forecast'!$E$2:$RK$36,30,M122),"")</f>
        <v>52758.336668878554</v>
      </c>
      <c r="AT122" s="44" cm="1">
        <f t="array" ref="AT122">IFERROR(INDEX('ST Forecast'!$E$2:$RK$36,27,M122)+INDEX('ST Forecast'!$E$2:$RK$36,31,M122),"")</f>
        <v>4245.2400831995001</v>
      </c>
      <c r="AU122" s="44" cm="1">
        <f t="array" ref="AU122">IFERROR(INDEX('ST Forecast'!$E$2:$RK$36,28,M122),"")</f>
        <v>6475.3156349553001</v>
      </c>
      <c r="AV122" s="44" cm="1">
        <f t="array" ref="AV122">IFERROR(INDEX('ST Forecast'!$E$2:$RK$36,29,M122),"")</f>
        <v>0</v>
      </c>
      <c r="AW122" s="44">
        <f>DB[[#This Row],[Inbound FC]]-DB[[#This Row],[Inbound Act - Ultrafresh2]]</f>
        <v>112509.00000000006</v>
      </c>
      <c r="AX122" s="178" t="e">
        <f>#REF!</f>
        <v>#REF!</v>
      </c>
      <c r="AY122" s="178" t="e">
        <f>#REF!</f>
        <v>#REF!</v>
      </c>
      <c r="AZ122" s="178" t="e">
        <f>#REF!</f>
        <v>#REF!</v>
      </c>
      <c r="BA122" s="178">
        <f>MONTH(DB[[#This Row],[Datum]])</f>
        <v>4</v>
      </c>
    </row>
    <row r="123" spans="1:53" x14ac:dyDescent="0.3">
      <c r="A123" s="44">
        <f t="shared" si="39"/>
        <v>17</v>
      </c>
      <c r="B123" t="str">
        <f t="shared" si="40"/>
        <v>Wk 17</v>
      </c>
      <c r="C123" t="s">
        <v>119</v>
      </c>
      <c r="D123" s="313">
        <v>44682</v>
      </c>
      <c r="E123" s="44">
        <f>DB[[#This Row],[Sales-FC-Orders-Collect]]+DB[[#This Row],[Sales-FC-Orders-HD]]</f>
        <v>0</v>
      </c>
      <c r="F123" s="402" cm="1">
        <f t="array" ref="F123">INDEX('LT Collect Forecast'!$K$1:$Q$55,MATCH(B123,'LT Collect Forecast'!$A:$A,0)+1,MATCH(C123,'LT Collect Forecast'!$K$2:$Q$2,0))</f>
        <v>0</v>
      </c>
      <c r="G123" s="44" cm="1">
        <f t="array" ref="G123">INDEX('LT HD Forecast'!$K$1:$Q$55,MATCH(B123,'LT HD Forecast'!$A:$A,0)+1,MATCH(C123,'LT HD Forecast'!$K$2:$Q$2,0))</f>
        <v>0</v>
      </c>
      <c r="H123" s="44" cm="1">
        <f t="array" ref="H123">IFERROR(INDEX('ST Forecast'!$E$2:$RK$36,6,M123),"")</f>
        <v>0</v>
      </c>
      <c r="I123" s="44" cm="1">
        <f t="array" ref="I123">IFERROR(INDEX('ST Forecast'!$E$2:$RK$36,7,M123),"")</f>
        <v>0</v>
      </c>
      <c r="J123" s="44">
        <f>SUM(DB[[#This Row],[Sales-FC-Picks-Collect]:[Sales-FC-Picks-HD]])</f>
        <v>0</v>
      </c>
      <c r="K123" s="44">
        <f t="shared" si="41"/>
        <v>0</v>
      </c>
      <c r="L123" s="44">
        <f t="shared" si="42"/>
        <v>0</v>
      </c>
      <c r="M123" s="403">
        <f>IFERROR(IF(B123=B122,M122+1,MATCH(B123,'ST Forecast'!$E$2:$RK$2,0)+1),"")</f>
        <v>136</v>
      </c>
      <c r="N123">
        <f>SUM(DB[[#This Row],[Ops-FC-Orders-Collect]:[Ops-FC-Orders-HD]])</f>
        <v>0</v>
      </c>
      <c r="O123" s="44" cm="1">
        <f t="array" ref="O123">IFERROR(INDEX('ST Forecast'!$E$2:$RK$36,13,M123),"")</f>
        <v>0</v>
      </c>
      <c r="P123" s="44">
        <f t="shared" si="43"/>
        <v>0</v>
      </c>
      <c r="Q123" s="44" cm="1">
        <f t="array" ref="Q123">IFERROR(INDEX('ST Forecast'!$E$2:$RK$36,14,M123),"")</f>
        <v>0</v>
      </c>
      <c r="R123" s="44" cm="1">
        <f t="array" ref="R123">IFERROR(INDEX('ST Forecast'!$E$2:$RK$36,15,M123),"")</f>
        <v>0</v>
      </c>
      <c r="S123" s="312">
        <f>SUM(DB[[#This Row],[Ops-FC-Picks-Collect]:[Ops-FC-Picks-HD]])</f>
        <v>0</v>
      </c>
      <c r="T123" s="44">
        <f t="shared" si="44"/>
        <v>0</v>
      </c>
      <c r="U123" s="44">
        <f t="shared" si="45"/>
        <v>0</v>
      </c>
      <c r="V123" s="44">
        <f t="shared" si="46"/>
        <v>0</v>
      </c>
      <c r="W123" s="404">
        <f t="shared" si="47"/>
        <v>0</v>
      </c>
      <c r="X123" s="44">
        <f>SUM(DB[[#This Row],[Capped-Orders-Collect]:[Capped-Orders-HD]])</f>
        <v>90</v>
      </c>
      <c r="Y123">
        <f>INDEX('Operations Forecast'!$A$2:$BGY$47,3,MATCH(DB!D123,'Operations Forecast'!$A$2:$BGY$2))</f>
        <v>0</v>
      </c>
      <c r="Z123">
        <f t="shared" si="48"/>
        <v>90</v>
      </c>
      <c r="AA123">
        <f>INDEX('Operations Forecast'!$A$2:$BGY$47,10,MATCH(DB!D123,'Operations Forecast'!$A$2:$BGY$2))</f>
        <v>90</v>
      </c>
      <c r="AB123">
        <f>INDEX('Operations Forecast'!$A$2:$BGY$47,21,MATCH(DB!D123,'Operations Forecast'!$A$2:$BGY$2))</f>
        <v>0</v>
      </c>
      <c r="AC123" s="312">
        <f>SUM(DB[[#This Row],[Act-Orders-Collect]:[Act-Orders-HD]])</f>
        <v>0</v>
      </c>
      <c r="AD123" s="858">
        <f>IFERROR(INDEX('Operations Forecast_new'!$7:$7,MATCH(DB[[#This Row],[Datum]],'Operations Forecast_new'!$2:$2,0)),0)</f>
        <v>0</v>
      </c>
      <c r="AE123" s="312">
        <f t="shared" si="49"/>
        <v>0</v>
      </c>
      <c r="AF123" s="858">
        <f>IFERROR(INDEX('Operations Forecast_new'!$13:$13,MATCH(DB[[#This Row],[Datum]],'Operations Forecast_new'!$2:$2,0)),0)</f>
        <v>0</v>
      </c>
      <c r="AG123" s="858">
        <f>IFERROR(INDEX('Operations Forecast_new'!$19:$19,MATCH(DB[[#This Row],[Datum]],'Operations Forecast_new'!$2:$2,0)),0)</f>
        <v>0</v>
      </c>
      <c r="AH123" s="312">
        <f t="shared" si="37"/>
        <v>0</v>
      </c>
      <c r="AI123" s="858">
        <f>IFERROR(INDEX('Operations Forecast_new'!$9:$9,MATCH(DB[[#This Row],[Datum]],'Operations Forecast_new'!$2:$2,0)),0)</f>
        <v>0</v>
      </c>
      <c r="AJ123" s="312">
        <f t="shared" si="50"/>
        <v>0</v>
      </c>
      <c r="AK123" s="858">
        <f>IFERROR(INDEX('Operations Forecast_new'!$15:$15,MATCH(DB[[#This Row],[Datum]],'Operations Forecast_new'!$2:$2,0)),0)</f>
        <v>0</v>
      </c>
      <c r="AL123" s="858">
        <f>IFERROR(INDEX('Operations Forecast_new'!$21:$21,MATCH(DB[[#This Row],[Datum]],'Operations Forecast_new'!$2:$2,0)),0)</f>
        <v>0</v>
      </c>
      <c r="AM123" s="178">
        <f>IFERROR(INDEX('Operations Forecast_new'!$8:$8,MATCH(DB[[#This Row],[Datum]],'Operations Forecast_new'!$2:$2,0)),0)</f>
        <v>0</v>
      </c>
      <c r="AN123" s="859">
        <f>IFERROR(INDEX('Operations Forecast_new'!$20:$20,MATCH(DB[[#This Row],[Datum]],'Operations Forecast_new'!$2:$2,0)),0)</f>
        <v>0</v>
      </c>
      <c r="AO123" s="44" t="str">
        <f t="shared" si="51"/>
        <v>-</v>
      </c>
      <c r="AP123" s="404" t="str">
        <f t="shared" si="52"/>
        <v>-</v>
      </c>
      <c r="AQ123" s="44">
        <f t="shared" si="38"/>
        <v>0</v>
      </c>
      <c r="AR123" s="44" cm="1">
        <f t="array" ref="AR123">IFERROR(INDEX('ST Forecast'!$E$2:$RK$36,25,M123)+(INDEX('ST Forecast'!$E$2:$RK$36,29,M123)),"")</f>
        <v>0</v>
      </c>
      <c r="AS123" s="44" cm="1">
        <f t="array" ref="AS123">IFERROR(INDEX('ST Forecast'!$E$2:$RK$36,26,M123)+INDEX('ST Forecast'!$E$2:$RK$36,30,M123),"")</f>
        <v>0</v>
      </c>
      <c r="AT123" s="44" cm="1">
        <f t="array" ref="AT123">IFERROR(INDEX('ST Forecast'!$E$2:$RK$36,27,M123)+INDEX('ST Forecast'!$E$2:$RK$36,31,M123),"")</f>
        <v>0</v>
      </c>
      <c r="AU123" s="44" cm="1">
        <f t="array" ref="AU123">IFERROR(INDEX('ST Forecast'!$E$2:$RK$36,28,M123),"")</f>
        <v>0</v>
      </c>
      <c r="AV123" s="44" cm="1">
        <f t="array" ref="AV123">IFERROR(INDEX('ST Forecast'!$E$2:$RK$36,29,M123),"")</f>
        <v>0</v>
      </c>
      <c r="AW123" s="44">
        <f>DB[[#This Row],[Inbound FC]]-DB[[#This Row],[Inbound Act - Ultrafresh2]]</f>
        <v>0</v>
      </c>
      <c r="AX123" s="178" t="e">
        <f>#REF!</f>
        <v>#REF!</v>
      </c>
      <c r="AY123" s="178" t="e">
        <f>#REF!</f>
        <v>#REF!</v>
      </c>
      <c r="AZ123" s="178" t="e">
        <f>#REF!</f>
        <v>#REF!</v>
      </c>
      <c r="BA123" s="178">
        <f>MONTH(DB[[#This Row],[Datum]])</f>
        <v>5</v>
      </c>
    </row>
    <row r="124" spans="1:53" x14ac:dyDescent="0.3">
      <c r="A124" s="44">
        <f t="shared" si="39"/>
        <v>18</v>
      </c>
      <c r="B124" t="str">
        <f t="shared" si="40"/>
        <v>Wk 18</v>
      </c>
      <c r="C124" t="s">
        <v>113</v>
      </c>
      <c r="D124" s="313">
        <v>44683</v>
      </c>
      <c r="E124" s="44">
        <f>DB[[#This Row],[Sales-FC-Orders-Collect]]+DB[[#This Row],[Sales-FC-Orders-HD]]</f>
        <v>2400</v>
      </c>
      <c r="F124" s="402">
        <f>INDEX('LT Collect Forecast'!$K$1:$Q$55,MATCH(B124,'LT Collect Forecast'!$A:$A,0),MATCH(C124,'LT Collect Forecast'!$K$2:$Q$2,0))</f>
        <v>700</v>
      </c>
      <c r="G124" s="44">
        <f>INDEX('LT HD Forecast'!$K$1:$Q$55,MATCH(B124,'LT HD Forecast'!$A:$A,0),MATCH(C124,'LT HD Forecast'!$K$2:$Q$2,0))</f>
        <v>1700</v>
      </c>
      <c r="H124" s="44" cm="1">
        <f t="array" ref="H124">IFERROR(INDEX('ST Forecast'!$E$2:$RK$36,6,M124),"")</f>
        <v>46.292888639587737</v>
      </c>
      <c r="I124" s="44" cm="1">
        <f t="array" ref="I124">IFERROR(INDEX('ST Forecast'!$E$2:$RK$36,7,M124),"")</f>
        <v>50.413169190426622</v>
      </c>
      <c r="J124" s="44">
        <f>SUM(DB[[#This Row],[Sales-FC-Picks-Collect]:[Sales-FC-Picks-HD]])</f>
        <v>118107.40967143668</v>
      </c>
      <c r="K124" s="44">
        <f t="shared" si="41"/>
        <v>32405.022047711416</v>
      </c>
      <c r="L124" s="44">
        <f t="shared" si="42"/>
        <v>85702.387623725255</v>
      </c>
      <c r="M124" s="403">
        <f>IFERROR(IF(B124=B123,M123+1,MATCH(B124,'ST Forecast'!$E$2:$RK$2,0)+1),"")</f>
        <v>138</v>
      </c>
      <c r="N124">
        <f>SUM(DB[[#This Row],[Ops-FC-Orders-Collect]:[Ops-FC-Orders-HD]])</f>
        <v>2400</v>
      </c>
      <c r="O124" s="44" cm="1">
        <f t="array" ref="O124">IFERROR(INDEX('ST Forecast'!$E$2:$RK$36,13,M124),"")</f>
        <v>700</v>
      </c>
      <c r="P124" s="44">
        <f t="shared" si="43"/>
        <v>1700</v>
      </c>
      <c r="Q124" s="44" cm="1">
        <f t="array" ref="Q124">IFERROR(INDEX('ST Forecast'!$E$2:$RK$36,14,M124),"")</f>
        <v>750</v>
      </c>
      <c r="R124" s="44" cm="1">
        <f t="array" ref="R124">IFERROR(INDEX('ST Forecast'!$E$2:$RK$36,15,M124),"")</f>
        <v>950</v>
      </c>
      <c r="S124" s="312">
        <f>SUM(DB[[#This Row],[Ops-FC-Picks-Collect]:[Ops-FC-Picks-HD]])</f>
        <v>115745.26147800793</v>
      </c>
      <c r="T124" s="44">
        <f t="shared" si="44"/>
        <v>31756.921606757187</v>
      </c>
      <c r="U124" s="44">
        <f t="shared" si="45"/>
        <v>83988.339871250748</v>
      </c>
      <c r="V124" s="44">
        <f t="shared" si="46"/>
        <v>37053.679354963562</v>
      </c>
      <c r="W124" s="404">
        <f t="shared" si="47"/>
        <v>46934.660516287186</v>
      </c>
      <c r="X124" s="44">
        <f>SUM(DB[[#This Row],[Capped-Orders-Collect]:[Capped-Orders-HD]])</f>
        <v>90</v>
      </c>
      <c r="Y124">
        <f>INDEX('Operations Forecast'!$A$2:$BGY$47,3,MATCH(DB!D124,'Operations Forecast'!$A$2:$BGY$2))</f>
        <v>0</v>
      </c>
      <c r="Z124">
        <f t="shared" si="48"/>
        <v>90</v>
      </c>
      <c r="AA124">
        <f>INDEX('Operations Forecast'!$A$2:$BGY$47,10,MATCH(DB!D124,'Operations Forecast'!$A$2:$BGY$2))</f>
        <v>90</v>
      </c>
      <c r="AB124">
        <f>INDEX('Operations Forecast'!$A$2:$BGY$47,21,MATCH(DB!D124,'Operations Forecast'!$A$2:$BGY$2))</f>
        <v>0</v>
      </c>
      <c r="AC124" s="312">
        <f>SUM(DB[[#This Row],[Act-Orders-Collect]:[Act-Orders-HD]])</f>
        <v>2353</v>
      </c>
      <c r="AD124" s="858">
        <f>IFERROR(INDEX('Operations Forecast_new'!$7:$7,MATCH(DB[[#This Row],[Datum]],'Operations Forecast_new'!$2:$2,0)),0)</f>
        <v>683</v>
      </c>
      <c r="AE124" s="312">
        <f t="shared" si="49"/>
        <v>1670</v>
      </c>
      <c r="AF124" s="858">
        <f>IFERROR(INDEX('Operations Forecast_new'!$13:$13,MATCH(DB[[#This Row],[Datum]],'Operations Forecast_new'!$2:$2,0)),0)</f>
        <v>720</v>
      </c>
      <c r="AG124" s="858">
        <f>IFERROR(INDEX('Operations Forecast_new'!$19:$19,MATCH(DB[[#This Row],[Datum]],'Operations Forecast_new'!$2:$2,0)),0)</f>
        <v>950</v>
      </c>
      <c r="AH124" s="312">
        <f t="shared" si="37"/>
        <v>116346.087</v>
      </c>
      <c r="AI124" s="858">
        <f>IFERROR(INDEX('Operations Forecast_new'!$9:$9,MATCH(DB[[#This Row],[Datum]],'Operations Forecast_new'!$2:$2,0)),0)</f>
        <v>32523.777000000002</v>
      </c>
      <c r="AJ124" s="312">
        <f t="shared" si="50"/>
        <v>83822.31</v>
      </c>
      <c r="AK124" s="858">
        <f>IFERROR(INDEX('Operations Forecast_new'!$15:$15,MATCH(DB[[#This Row],[Datum]],'Operations Forecast_new'!$2:$2,0)),0)</f>
        <v>36138.959999999999</v>
      </c>
      <c r="AL124" s="858">
        <f>IFERROR(INDEX('Operations Forecast_new'!$21:$21,MATCH(DB[[#This Row],[Datum]],'Operations Forecast_new'!$2:$2,0)),0)</f>
        <v>47683.35</v>
      </c>
      <c r="AM124" s="178">
        <f>IFERROR(INDEX('Operations Forecast_new'!$8:$8,MATCH(DB[[#This Row],[Datum]],'Operations Forecast_new'!$2:$2,0)),0)</f>
        <v>48.1</v>
      </c>
      <c r="AN124" s="859">
        <f>IFERROR(INDEX('Operations Forecast_new'!$20:$20,MATCH(DB[[#This Row],[Datum]],'Operations Forecast_new'!$2:$2,0)),0)</f>
        <v>50.7</v>
      </c>
      <c r="AO124" s="44">
        <f t="shared" si="51"/>
        <v>47.619</v>
      </c>
      <c r="AP124" s="404">
        <f t="shared" si="52"/>
        <v>50.192999999999998</v>
      </c>
      <c r="AQ124" s="44">
        <f t="shared" si="38"/>
        <v>236342.00000000003</v>
      </c>
      <c r="AR124" s="44" cm="1">
        <f t="array" ref="AR124">IFERROR(INDEX('ST Forecast'!$E$2:$RK$36,25,M124)+(INDEX('ST Forecast'!$E$2:$RK$36,29,M124)),"")</f>
        <v>100942.59476041229</v>
      </c>
      <c r="AS124" s="44" cm="1">
        <f t="array" ref="AS124">IFERROR(INDEX('ST Forecast'!$E$2:$RK$36,26,M124)+INDEX('ST Forecast'!$E$2:$RK$36,30,M124),"")</f>
        <v>63553.075701652539</v>
      </c>
      <c r="AT124" s="44" cm="1">
        <f t="array" ref="AT124">IFERROR(INDEX('ST Forecast'!$E$2:$RK$36,27,M124)+INDEX('ST Forecast'!$E$2:$RK$36,31,M124),"")</f>
        <v>62585.33329465783</v>
      </c>
      <c r="AU124" s="44" cm="1">
        <f t="array" ref="AU124">IFERROR(INDEX('ST Forecast'!$E$2:$RK$36,28,M124),"")</f>
        <v>9260.9962432773555</v>
      </c>
      <c r="AV124" s="44" cm="1">
        <f t="array" ref="AV124">IFERROR(INDEX('ST Forecast'!$E$2:$RK$36,29,M124),"")</f>
        <v>0</v>
      </c>
      <c r="AW124" s="44">
        <f>DB[[#This Row],[Inbound FC]]-DB[[#This Row],[Inbound Act - Ultrafresh2]]</f>
        <v>236342.00000000003</v>
      </c>
      <c r="AX124" s="178" t="e">
        <f>#REF!</f>
        <v>#REF!</v>
      </c>
      <c r="AY124" s="178" t="e">
        <f>#REF!</f>
        <v>#REF!</v>
      </c>
      <c r="AZ124" s="178" t="e">
        <f>#REF!</f>
        <v>#REF!</v>
      </c>
      <c r="BA124" s="178">
        <f>MONTH(DB[[#This Row],[Datum]])</f>
        <v>5</v>
      </c>
    </row>
    <row r="125" spans="1:53" x14ac:dyDescent="0.3">
      <c r="A125" s="44">
        <f t="shared" si="39"/>
        <v>18</v>
      </c>
      <c r="B125" t="str">
        <f t="shared" si="40"/>
        <v>Wk 18</v>
      </c>
      <c r="C125" t="s">
        <v>114</v>
      </c>
      <c r="D125" s="313">
        <v>44684</v>
      </c>
      <c r="E125" s="44">
        <f>DB[[#This Row],[Sales-FC-Orders-Collect]]+DB[[#This Row],[Sales-FC-Orders-HD]]</f>
        <v>2500</v>
      </c>
      <c r="F125" s="402">
        <f>INDEX('LT Collect Forecast'!$K$1:$Q$55,MATCH(B125,'LT Collect Forecast'!$A:$A,0),MATCH(C125,'LT Collect Forecast'!$K$2:$Q$2,0))</f>
        <v>500</v>
      </c>
      <c r="G125" s="44">
        <f>INDEX('LT HD Forecast'!$K$1:$Q$55,MATCH(B125,'LT HD Forecast'!$A:$A,0),MATCH(C125,'LT HD Forecast'!$K$2:$Q$2,0))</f>
        <v>2000</v>
      </c>
      <c r="H125" s="44" cm="1">
        <f t="array" ref="H125">IFERROR(INDEX('ST Forecast'!$E$2:$RK$36,6,M125),"")</f>
        <v>44.053628944800096</v>
      </c>
      <c r="I125" s="44" cm="1">
        <f t="array" ref="I125">IFERROR(INDEX('ST Forecast'!$E$2:$RK$36,7,M125),"")</f>
        <v>48.953486824683829</v>
      </c>
      <c r="J125" s="44">
        <f>SUM(DB[[#This Row],[Sales-FC-Picks-Collect]:[Sales-FC-Picks-HD]])</f>
        <v>119933.78812176771</v>
      </c>
      <c r="K125" s="44">
        <f t="shared" si="41"/>
        <v>22026.814472400049</v>
      </c>
      <c r="L125" s="44">
        <f t="shared" si="42"/>
        <v>97906.973649367661</v>
      </c>
      <c r="M125" s="403">
        <f>IFERROR(IF(B125=B124,M124+1,MATCH(B125,'ST Forecast'!$E$2:$RK$2,0)+1),"")</f>
        <v>139</v>
      </c>
      <c r="N125">
        <f>SUM(DB[[#This Row],[Ops-FC-Orders-Collect]:[Ops-FC-Orders-HD]])</f>
        <v>2500</v>
      </c>
      <c r="O125" s="44" cm="1">
        <f t="array" ref="O125">IFERROR(INDEX('ST Forecast'!$E$2:$RK$36,13,M125),"")</f>
        <v>500</v>
      </c>
      <c r="P125" s="44">
        <f t="shared" si="43"/>
        <v>2000</v>
      </c>
      <c r="Q125" s="44" cm="1">
        <f t="array" ref="Q125">IFERROR(INDEX('ST Forecast'!$E$2:$RK$36,14,M125),"")</f>
        <v>1000</v>
      </c>
      <c r="R125" s="44" cm="1">
        <f t="array" ref="R125">IFERROR(INDEX('ST Forecast'!$E$2:$RK$36,15,M125),"")</f>
        <v>1000</v>
      </c>
      <c r="S125" s="312">
        <f>SUM(DB[[#This Row],[Ops-FC-Picks-Collect]:[Ops-FC-Picks-HD]])</f>
        <v>117535.11235933236</v>
      </c>
      <c r="T125" s="44">
        <f t="shared" si="44"/>
        <v>21586.278182952046</v>
      </c>
      <c r="U125" s="44">
        <f t="shared" si="45"/>
        <v>95948.834176380304</v>
      </c>
      <c r="V125" s="44">
        <f t="shared" si="46"/>
        <v>47974.417088190152</v>
      </c>
      <c r="W125" s="404">
        <f t="shared" si="47"/>
        <v>47974.417088190152</v>
      </c>
      <c r="X125" s="44">
        <f>SUM(DB[[#This Row],[Capped-Orders-Collect]:[Capped-Orders-HD]])</f>
        <v>90</v>
      </c>
      <c r="Y125">
        <f>INDEX('Operations Forecast'!$A$2:$BGY$47,3,MATCH(DB!D125,'Operations Forecast'!$A$2:$BGY$2))</f>
        <v>0</v>
      </c>
      <c r="Z125">
        <f t="shared" si="48"/>
        <v>90</v>
      </c>
      <c r="AA125">
        <f>INDEX('Operations Forecast'!$A$2:$BGY$47,10,MATCH(DB!D125,'Operations Forecast'!$A$2:$BGY$2))</f>
        <v>90</v>
      </c>
      <c r="AB125">
        <f>INDEX('Operations Forecast'!$A$2:$BGY$47,21,MATCH(DB!D125,'Operations Forecast'!$A$2:$BGY$2))</f>
        <v>0</v>
      </c>
      <c r="AC125" s="312">
        <f>SUM(DB[[#This Row],[Act-Orders-Collect]:[Act-Orders-HD]])</f>
        <v>2522</v>
      </c>
      <c r="AD125" s="858">
        <f>IFERROR(INDEX('Operations Forecast_new'!$7:$7,MATCH(DB[[#This Row],[Datum]],'Operations Forecast_new'!$2:$2,0)),0)</f>
        <v>575</v>
      </c>
      <c r="AE125" s="312">
        <f t="shared" si="49"/>
        <v>1947</v>
      </c>
      <c r="AF125" s="858">
        <f>IFERROR(INDEX('Operations Forecast_new'!$13:$13,MATCH(DB[[#This Row],[Datum]],'Operations Forecast_new'!$2:$2,0)),0)</f>
        <v>956</v>
      </c>
      <c r="AG125" s="858">
        <f>IFERROR(INDEX('Operations Forecast_new'!$19:$19,MATCH(DB[[#This Row],[Datum]],'Operations Forecast_new'!$2:$2,0)),0)</f>
        <v>991</v>
      </c>
      <c r="AH125" s="312">
        <f t="shared" si="37"/>
        <v>116806.43700000001</v>
      </c>
      <c r="AI125" s="858">
        <f>IFERROR(INDEX('Operations Forecast_new'!$9:$9,MATCH(DB[[#This Row],[Datum]],'Operations Forecast_new'!$2:$2,0)),0)</f>
        <v>24477.75</v>
      </c>
      <c r="AJ125" s="312">
        <f t="shared" si="50"/>
        <v>92328.687000000005</v>
      </c>
      <c r="AK125" s="858">
        <f>IFERROR(INDEX('Operations Forecast_new'!$15:$15,MATCH(DB[[#This Row],[Datum]],'Operations Forecast_new'!$2:$2,0)),0)</f>
        <v>45334.476000000002</v>
      </c>
      <c r="AL125" s="858">
        <f>IFERROR(INDEX('Operations Forecast_new'!$21:$21,MATCH(DB[[#This Row],[Datum]],'Operations Forecast_new'!$2:$2,0)),0)</f>
        <v>46994.211000000003</v>
      </c>
      <c r="AM125" s="178">
        <f>IFERROR(INDEX('Operations Forecast_new'!$8:$8,MATCH(DB[[#This Row],[Datum]],'Operations Forecast_new'!$2:$2,0)),0)</f>
        <v>43</v>
      </c>
      <c r="AN125" s="859">
        <f>IFERROR(INDEX('Operations Forecast_new'!$20:$20,MATCH(DB[[#This Row],[Datum]],'Operations Forecast_new'!$2:$2,0)),0)</f>
        <v>47.9</v>
      </c>
      <c r="AO125" s="44">
        <f t="shared" si="51"/>
        <v>42.57</v>
      </c>
      <c r="AP125" s="404">
        <f t="shared" si="52"/>
        <v>47.420999999999999</v>
      </c>
      <c r="AQ125" s="44">
        <f t="shared" si="38"/>
        <v>139011.00000000009</v>
      </c>
      <c r="AR125" s="44" cm="1">
        <f t="array" ref="AR125">IFERROR(INDEX('ST Forecast'!$E$2:$RK$36,25,M125)+(INDEX('ST Forecast'!$E$2:$RK$36,29,M125)),"")</f>
        <v>67093.115366024824</v>
      </c>
      <c r="AS125" s="44" cm="1">
        <f t="array" ref="AS125">IFERROR(INDEX('ST Forecast'!$E$2:$RK$36,26,M125)+INDEX('ST Forecast'!$E$2:$RK$36,30,M125),"")</f>
        <v>57589.868477551609</v>
      </c>
      <c r="AT125" s="44" cm="1">
        <f t="array" ref="AT125">IFERROR(INDEX('ST Forecast'!$E$2:$RK$36,27,M125)+INDEX('ST Forecast'!$E$2:$RK$36,31,M125),"")</f>
        <v>6072.8727964001555</v>
      </c>
      <c r="AU125" s="44" cm="1">
        <f t="array" ref="AU125">IFERROR(INDEX('ST Forecast'!$E$2:$RK$36,28,M125),"")</f>
        <v>8255.1433600234941</v>
      </c>
      <c r="AV125" s="44" cm="1">
        <f t="array" ref="AV125">IFERROR(INDEX('ST Forecast'!$E$2:$RK$36,29,M125),"")</f>
        <v>0</v>
      </c>
      <c r="AW125" s="44">
        <f>DB[[#This Row],[Inbound FC]]-DB[[#This Row],[Inbound Act - Ultrafresh2]]</f>
        <v>139011.00000000009</v>
      </c>
      <c r="AX125" s="178" t="e">
        <f>#REF!</f>
        <v>#REF!</v>
      </c>
      <c r="AY125" s="178" t="e">
        <f>#REF!</f>
        <v>#REF!</v>
      </c>
      <c r="AZ125" s="178" t="e">
        <f>#REF!</f>
        <v>#REF!</v>
      </c>
      <c r="BA125" s="178">
        <f>MONTH(DB[[#This Row],[Datum]])</f>
        <v>5</v>
      </c>
    </row>
    <row r="126" spans="1:53" x14ac:dyDescent="0.3">
      <c r="A126" s="44">
        <f t="shared" si="39"/>
        <v>18</v>
      </c>
      <c r="B126" t="str">
        <f t="shared" si="40"/>
        <v>Wk 18</v>
      </c>
      <c r="C126" t="s">
        <v>115</v>
      </c>
      <c r="D126" s="313">
        <v>44685</v>
      </c>
      <c r="E126" s="44">
        <f>DB[[#This Row],[Sales-FC-Orders-Collect]]+DB[[#This Row],[Sales-FC-Orders-HD]]</f>
        <v>2450</v>
      </c>
      <c r="F126" s="402">
        <f>INDEX('LT Collect Forecast'!$K$1:$Q$55,MATCH(B126,'LT Collect Forecast'!$A:$A,0),MATCH(C126,'LT Collect Forecast'!$K$2:$Q$2,0))</f>
        <v>550</v>
      </c>
      <c r="G126" s="44">
        <f>INDEX('LT HD Forecast'!$K$1:$Q$55,MATCH(B126,'LT HD Forecast'!$A:$A,0),MATCH(C126,'LT HD Forecast'!$K$2:$Q$2,0))</f>
        <v>1900</v>
      </c>
      <c r="H126" s="44" cm="1">
        <f t="array" ref="H126">IFERROR(INDEX('ST Forecast'!$E$2:$RK$36,6,M126),"")</f>
        <v>43.702353788872877</v>
      </c>
      <c r="I126" s="44" cm="1">
        <f t="array" ref="I126">IFERROR(INDEX('ST Forecast'!$E$2:$RK$36,7,M126),"")</f>
        <v>49.742543427520708</v>
      </c>
      <c r="J126" s="44">
        <f>SUM(DB[[#This Row],[Sales-FC-Picks-Collect]:[Sales-FC-Picks-HD]])</f>
        <v>118547.12709616942</v>
      </c>
      <c r="K126" s="44">
        <f t="shared" si="41"/>
        <v>24036.294583880081</v>
      </c>
      <c r="L126" s="44">
        <f t="shared" si="42"/>
        <v>94510.832512289344</v>
      </c>
      <c r="M126" s="403">
        <f>IFERROR(IF(B126=B125,M125+1,MATCH(B126,'ST Forecast'!$E$2:$RK$2,0)+1),"")</f>
        <v>140</v>
      </c>
      <c r="N126">
        <f>SUM(DB[[#This Row],[Ops-FC-Orders-Collect]:[Ops-FC-Orders-HD]])</f>
        <v>2450</v>
      </c>
      <c r="O126" s="44" cm="1">
        <f t="array" ref="O126">IFERROR(INDEX('ST Forecast'!$E$2:$RK$36,13,M126),"")</f>
        <v>550</v>
      </c>
      <c r="P126" s="44">
        <f t="shared" si="43"/>
        <v>1900</v>
      </c>
      <c r="Q126" s="44" cm="1">
        <f t="array" ref="Q126">IFERROR(INDEX('ST Forecast'!$E$2:$RK$36,14,M126),"")</f>
        <v>950</v>
      </c>
      <c r="R126" s="44" cm="1">
        <f t="array" ref="R126">IFERROR(INDEX('ST Forecast'!$E$2:$RK$36,15,M126),"")</f>
        <v>950</v>
      </c>
      <c r="S126" s="312">
        <f>SUM(DB[[#This Row],[Ops-FC-Picks-Collect]:[Ops-FC-Picks-HD]])</f>
        <v>116176.18455424604</v>
      </c>
      <c r="T126" s="44">
        <f t="shared" si="44"/>
        <v>23555.56869220248</v>
      </c>
      <c r="U126" s="44">
        <f t="shared" si="45"/>
        <v>92620.61586204356</v>
      </c>
      <c r="V126" s="44">
        <f t="shared" si="46"/>
        <v>46310.30793102178</v>
      </c>
      <c r="W126" s="404">
        <f t="shared" si="47"/>
        <v>46310.30793102178</v>
      </c>
      <c r="X126" s="44">
        <f>SUM(DB[[#This Row],[Capped-Orders-Collect]:[Capped-Orders-HD]])</f>
        <v>90</v>
      </c>
      <c r="Y126">
        <f>INDEX('Operations Forecast'!$A$2:$BGY$47,3,MATCH(DB!D126,'Operations Forecast'!$A$2:$BGY$2))</f>
        <v>0</v>
      </c>
      <c r="Z126">
        <f t="shared" si="48"/>
        <v>90</v>
      </c>
      <c r="AA126">
        <f>INDEX('Operations Forecast'!$A$2:$BGY$47,10,MATCH(DB!D126,'Operations Forecast'!$A$2:$BGY$2))</f>
        <v>90</v>
      </c>
      <c r="AB126">
        <f>INDEX('Operations Forecast'!$A$2:$BGY$47,21,MATCH(DB!D126,'Operations Forecast'!$A$2:$BGY$2))</f>
        <v>0</v>
      </c>
      <c r="AC126" s="312">
        <f>SUM(DB[[#This Row],[Act-Orders-Collect]:[Act-Orders-HD]])</f>
        <v>2426</v>
      </c>
      <c r="AD126" s="858">
        <f>IFERROR(INDEX('Operations Forecast_new'!$7:$7,MATCH(DB[[#This Row],[Datum]],'Operations Forecast_new'!$2:$2,0)),0)</f>
        <v>500</v>
      </c>
      <c r="AE126" s="312">
        <f t="shared" si="49"/>
        <v>1926</v>
      </c>
      <c r="AF126" s="858">
        <f>IFERROR(INDEX('Operations Forecast_new'!$13:$13,MATCH(DB[[#This Row],[Datum]],'Operations Forecast_new'!$2:$2,0)),0)</f>
        <v>938</v>
      </c>
      <c r="AG126" s="858">
        <f>IFERROR(INDEX('Operations Forecast_new'!$19:$19,MATCH(DB[[#This Row],[Datum]],'Operations Forecast_new'!$2:$2,0)),0)</f>
        <v>988</v>
      </c>
      <c r="AH126" s="312">
        <f t="shared" si="37"/>
        <v>116187.39</v>
      </c>
      <c r="AI126" s="858">
        <f>IFERROR(INDEX('Operations Forecast_new'!$9:$9,MATCH(DB[[#This Row],[Datum]],'Operations Forecast_new'!$2:$2,0)),0)</f>
        <v>23710.5</v>
      </c>
      <c r="AJ126" s="312">
        <f t="shared" si="50"/>
        <v>92476.89</v>
      </c>
      <c r="AK126" s="858">
        <f>IFERROR(INDEX('Operations Forecast_new'!$15:$15,MATCH(DB[[#This Row],[Datum]],'Operations Forecast_new'!$2:$2,0)),0)</f>
        <v>45038.07</v>
      </c>
      <c r="AL126" s="858">
        <f>IFERROR(INDEX('Operations Forecast_new'!$21:$21,MATCH(DB[[#This Row],[Datum]],'Operations Forecast_new'!$2:$2,0)),0)</f>
        <v>47438.82</v>
      </c>
      <c r="AM126" s="178">
        <f>IFERROR(INDEX('Operations Forecast_new'!$8:$8,MATCH(DB[[#This Row],[Datum]],'Operations Forecast_new'!$2:$2,0)),0)</f>
        <v>47.9</v>
      </c>
      <c r="AN126" s="859">
        <f>IFERROR(INDEX('Operations Forecast_new'!$20:$20,MATCH(DB[[#This Row],[Datum]],'Operations Forecast_new'!$2:$2,0)),0)</f>
        <v>48.5</v>
      </c>
      <c r="AO126" s="44">
        <f t="shared" si="51"/>
        <v>47.420999999999999</v>
      </c>
      <c r="AP126" s="404">
        <f t="shared" si="52"/>
        <v>48.015000000000001</v>
      </c>
      <c r="AQ126" s="44">
        <f t="shared" si="38"/>
        <v>142911.00000000006</v>
      </c>
      <c r="AR126" s="44" cm="1">
        <f t="array" ref="AR126">IFERROR(INDEX('ST Forecast'!$E$2:$RK$36,25,M126)+(INDEX('ST Forecast'!$E$2:$RK$36,29,M126)),"")</f>
        <v>65257.871426614533</v>
      </c>
      <c r="AS126" s="44" cm="1">
        <f t="array" ref="AS126">IFERROR(INDEX('ST Forecast'!$E$2:$RK$36,26,M126)+INDEX('ST Forecast'!$E$2:$RK$36,30,M126),"")</f>
        <v>52836.473577321965</v>
      </c>
      <c r="AT126" s="44" cm="1">
        <f t="array" ref="AT126">IFERROR(INDEX('ST Forecast'!$E$2:$RK$36,27,M126)+INDEX('ST Forecast'!$E$2:$RK$36,31,M126),"")</f>
        <v>16233.858752921353</v>
      </c>
      <c r="AU126" s="44" cm="1">
        <f t="array" ref="AU126">IFERROR(INDEX('ST Forecast'!$E$2:$RK$36,28,M126),"")</f>
        <v>8582.7962431422347</v>
      </c>
      <c r="AV126" s="44" cm="1">
        <f t="array" ref="AV126">IFERROR(INDEX('ST Forecast'!$E$2:$RK$36,29,M126),"")</f>
        <v>0</v>
      </c>
      <c r="AW126" s="44">
        <f>DB[[#This Row],[Inbound FC]]-DB[[#This Row],[Inbound Act - Ultrafresh2]]</f>
        <v>142911.00000000006</v>
      </c>
      <c r="AX126" s="178" t="e">
        <f>#REF!</f>
        <v>#REF!</v>
      </c>
      <c r="AY126" s="178" t="e">
        <f>#REF!</f>
        <v>#REF!</v>
      </c>
      <c r="AZ126" s="178" t="e">
        <f>#REF!</f>
        <v>#REF!</v>
      </c>
      <c r="BA126" s="178">
        <f>MONTH(DB[[#This Row],[Datum]])</f>
        <v>5</v>
      </c>
    </row>
    <row r="127" spans="1:53" x14ac:dyDescent="0.3">
      <c r="A127" s="44">
        <f t="shared" si="39"/>
        <v>18</v>
      </c>
      <c r="B127" t="str">
        <f t="shared" si="40"/>
        <v>Wk 18</v>
      </c>
      <c r="C127" t="s">
        <v>116</v>
      </c>
      <c r="D127" s="313">
        <v>44686</v>
      </c>
      <c r="E127" s="44">
        <f>DB[[#This Row],[Sales-FC-Orders-Collect]]+DB[[#This Row],[Sales-FC-Orders-HD]]</f>
        <v>2350</v>
      </c>
      <c r="F127" s="402" cm="1">
        <f t="array" ref="F127">INDEX('LT Collect Forecast'!$K$1:$Q$55,MATCH(B127,'LT Collect Forecast'!$A:$A,0)+1,MATCH(C127,'LT Collect Forecast'!$K$2:$Q$2,0))</f>
        <v>500</v>
      </c>
      <c r="G127" s="44" cm="1">
        <f t="array" ref="G127">INDEX('LT HD Forecast'!$K$1:$Q$55,MATCH(B127,'LT HD Forecast'!$A:$A,0)+1,MATCH(C127,'LT HD Forecast'!$K$2:$Q$2,0))</f>
        <v>1850</v>
      </c>
      <c r="H127" s="44" cm="1">
        <f t="array" ref="H127">IFERROR(INDEX('ST Forecast'!$E$2:$RK$36,6,M127),"")</f>
        <v>45.407163214718942</v>
      </c>
      <c r="I127" s="44" cm="1">
        <f t="array" ref="I127">IFERROR(INDEX('ST Forecast'!$E$2:$RK$36,7,M127),"")</f>
        <v>49.452495946291769</v>
      </c>
      <c r="J127" s="44">
        <f>SUM(DB[[#This Row],[Sales-FC-Picks-Collect]:[Sales-FC-Picks-HD]])</f>
        <v>114190.69910799924</v>
      </c>
      <c r="K127" s="44">
        <f t="shared" si="41"/>
        <v>22703.581607359472</v>
      </c>
      <c r="L127" s="44">
        <f t="shared" si="42"/>
        <v>91487.117500639768</v>
      </c>
      <c r="M127" s="403">
        <f>IFERROR(IF(B127=B126,M126+1,MATCH(B127,'ST Forecast'!$E$2:$RK$2,0)+1),"")</f>
        <v>141</v>
      </c>
      <c r="N127">
        <f>SUM(DB[[#This Row],[Ops-FC-Orders-Collect]:[Ops-FC-Orders-HD]])</f>
        <v>2350</v>
      </c>
      <c r="O127" s="44" cm="1">
        <f t="array" ref="O127">IFERROR(INDEX('ST Forecast'!$E$2:$RK$36,13,M127),"")</f>
        <v>500</v>
      </c>
      <c r="P127" s="44">
        <f t="shared" si="43"/>
        <v>1850</v>
      </c>
      <c r="Q127" s="44" cm="1">
        <f t="array" ref="Q127">IFERROR(INDEX('ST Forecast'!$E$2:$RK$36,14,M127),"")</f>
        <v>950</v>
      </c>
      <c r="R127" s="44" cm="1">
        <f t="array" ref="R127">IFERROR(INDEX('ST Forecast'!$E$2:$RK$36,15,M127),"")</f>
        <v>900</v>
      </c>
      <c r="S127" s="312">
        <f>SUM(DB[[#This Row],[Ops-FC-Picks-Collect]:[Ops-FC-Picks-HD]])</f>
        <v>111906.88512583927</v>
      </c>
      <c r="T127" s="44">
        <f t="shared" si="44"/>
        <v>22249.509975212284</v>
      </c>
      <c r="U127" s="44">
        <f t="shared" si="45"/>
        <v>89657.375150626976</v>
      </c>
      <c r="V127" s="44">
        <f t="shared" si="46"/>
        <v>46040.273725997635</v>
      </c>
      <c r="W127" s="404">
        <f t="shared" si="47"/>
        <v>43617.101424629342</v>
      </c>
      <c r="X127" s="44">
        <f>SUM(DB[[#This Row],[Capped-Orders-Collect]:[Capped-Orders-HD]])</f>
        <v>90</v>
      </c>
      <c r="Y127">
        <f>INDEX('Operations Forecast'!$A$2:$BGY$47,3,MATCH(DB!D127,'Operations Forecast'!$A$2:$BGY$2))</f>
        <v>0</v>
      </c>
      <c r="Z127">
        <f t="shared" si="48"/>
        <v>90</v>
      </c>
      <c r="AA127">
        <f>INDEX('Operations Forecast'!$A$2:$BGY$47,10,MATCH(DB!D127,'Operations Forecast'!$A$2:$BGY$2))</f>
        <v>90</v>
      </c>
      <c r="AB127">
        <f>INDEX('Operations Forecast'!$A$2:$BGY$47,21,MATCH(DB!D127,'Operations Forecast'!$A$2:$BGY$2))</f>
        <v>0</v>
      </c>
      <c r="AC127" s="312">
        <f>SUM(DB[[#This Row],[Act-Orders-Collect]:[Act-Orders-HD]])</f>
        <v>2322</v>
      </c>
      <c r="AD127" s="858">
        <f>IFERROR(INDEX('Operations Forecast_new'!$7:$7,MATCH(DB[[#This Row],[Datum]],'Operations Forecast_new'!$2:$2,0)),0)</f>
        <v>490</v>
      </c>
      <c r="AE127" s="312">
        <f t="shared" si="49"/>
        <v>1832</v>
      </c>
      <c r="AF127" s="858">
        <f>IFERROR(INDEX('Operations Forecast_new'!$13:$13,MATCH(DB[[#This Row],[Datum]],'Operations Forecast_new'!$2:$2,0)),0)</f>
        <v>866</v>
      </c>
      <c r="AG127" s="858">
        <f>IFERROR(INDEX('Operations Forecast_new'!$19:$19,MATCH(DB[[#This Row],[Datum]],'Operations Forecast_new'!$2:$2,0)),0)</f>
        <v>966</v>
      </c>
      <c r="AH127" s="312">
        <f t="shared" si="37"/>
        <v>111828.22199999999</v>
      </c>
      <c r="AI127" s="858">
        <f>IFERROR(INDEX('Operations Forecast_new'!$9:$9,MATCH(DB[[#This Row],[Datum]],'Operations Forecast_new'!$2:$2,0)),0)</f>
        <v>23139.27</v>
      </c>
      <c r="AJ127" s="312">
        <f t="shared" si="50"/>
        <v>88688.95199999999</v>
      </c>
      <c r="AK127" s="858">
        <f>IFERROR(INDEX('Operations Forecast_new'!$15:$15,MATCH(DB[[#This Row],[Datum]],'Operations Forecast_new'!$2:$2,0)),0)</f>
        <v>41923.925999999999</v>
      </c>
      <c r="AL127" s="858">
        <f>IFERROR(INDEX('Operations Forecast_new'!$21:$21,MATCH(DB[[#This Row],[Datum]],'Operations Forecast_new'!$2:$2,0)),0)</f>
        <v>46765.025999999998</v>
      </c>
      <c r="AM127" s="178">
        <f>IFERROR(INDEX('Operations Forecast_new'!$8:$8,MATCH(DB[[#This Row],[Datum]],'Operations Forecast_new'!$2:$2,0)),0)</f>
        <v>47.7</v>
      </c>
      <c r="AN127" s="859">
        <f>IFERROR(INDEX('Operations Forecast_new'!$20:$20,MATCH(DB[[#This Row],[Datum]],'Operations Forecast_new'!$2:$2,0)),0)</f>
        <v>48.9</v>
      </c>
      <c r="AO127" s="44">
        <f t="shared" si="51"/>
        <v>47.222999999999999</v>
      </c>
      <c r="AP127" s="404">
        <f t="shared" si="52"/>
        <v>48.410999999999994</v>
      </c>
      <c r="AQ127" s="44">
        <f t="shared" si="38"/>
        <v>132468.00000000006</v>
      </c>
      <c r="AR127" s="44" cm="1">
        <f t="array" ref="AR127">IFERROR(INDEX('ST Forecast'!$E$2:$RK$36,25,M127)+(INDEX('ST Forecast'!$E$2:$RK$36,29,M127)),"")</f>
        <v>63816.388972557019</v>
      </c>
      <c r="AS127" s="44" cm="1">
        <f t="array" ref="AS127">IFERROR(INDEX('ST Forecast'!$E$2:$RK$36,26,M127)+INDEX('ST Forecast'!$E$2:$RK$36,30,M127),"")</f>
        <v>50805.951130251342</v>
      </c>
      <c r="AT127" s="44" cm="1">
        <f t="array" ref="AT127">IFERROR(INDEX('ST Forecast'!$E$2:$RK$36,27,M127)+INDEX('ST Forecast'!$E$2:$RK$36,31,M127),"")</f>
        <v>8589.0327118003843</v>
      </c>
      <c r="AU127" s="44" cm="1">
        <f t="array" ref="AU127">IFERROR(INDEX('ST Forecast'!$E$2:$RK$36,28,M127),"")</f>
        <v>9256.6271853913331</v>
      </c>
      <c r="AV127" s="44" cm="1">
        <f t="array" ref="AV127">IFERROR(INDEX('ST Forecast'!$E$2:$RK$36,29,M127),"")</f>
        <v>0</v>
      </c>
      <c r="AW127" s="44">
        <f>DB[[#This Row],[Inbound FC]]-DB[[#This Row],[Inbound Act - Ultrafresh2]]</f>
        <v>132468.00000000006</v>
      </c>
      <c r="AX127" s="178" t="e">
        <f>#REF!</f>
        <v>#REF!</v>
      </c>
      <c r="AY127" s="178" t="e">
        <f>#REF!</f>
        <v>#REF!</v>
      </c>
      <c r="AZ127" s="178" t="e">
        <f>#REF!</f>
        <v>#REF!</v>
      </c>
      <c r="BA127" s="178">
        <f>MONTH(DB[[#This Row],[Datum]])</f>
        <v>5</v>
      </c>
    </row>
    <row r="128" spans="1:53" x14ac:dyDescent="0.3">
      <c r="A128" s="44">
        <f t="shared" si="39"/>
        <v>18</v>
      </c>
      <c r="B128" t="str">
        <f t="shared" si="40"/>
        <v>Wk 18</v>
      </c>
      <c r="C128" t="s">
        <v>117</v>
      </c>
      <c r="D128" s="313">
        <v>44687</v>
      </c>
      <c r="E128" s="44">
        <f>DB[[#This Row],[Sales-FC-Orders-Collect]]+DB[[#This Row],[Sales-FC-Orders-HD]]</f>
        <v>3250</v>
      </c>
      <c r="F128" s="402" cm="1">
        <f t="array" ref="F128">INDEX('LT Collect Forecast'!$K$1:$Q$55,MATCH(B128,'LT Collect Forecast'!$A:$A,0)+1,MATCH(C128,'LT Collect Forecast'!$K$2:$Q$2,0))</f>
        <v>1100</v>
      </c>
      <c r="G128" s="44" cm="1">
        <f t="array" ref="G128">INDEX('LT HD Forecast'!$K$1:$Q$55,MATCH(B128,'LT HD Forecast'!$A:$A,0)+1,MATCH(C128,'LT HD Forecast'!$K$2:$Q$2,0))</f>
        <v>2150</v>
      </c>
      <c r="H128" s="44" cm="1">
        <f t="array" ref="H128">IFERROR(INDEX('ST Forecast'!$E$2:$RK$36,6,M128),"")</f>
        <v>53.212223501816112</v>
      </c>
      <c r="I128" s="44" cm="1">
        <f t="array" ref="I128">IFERROR(INDEX('ST Forecast'!$E$2:$RK$36,7,M128),"")</f>
        <v>52.99509950875369</v>
      </c>
      <c r="J128" s="44">
        <f>SUM(DB[[#This Row],[Sales-FC-Picks-Collect]:[Sales-FC-Picks-HD]])</f>
        <v>172472.90979581815</v>
      </c>
      <c r="K128" s="44">
        <f t="shared" si="41"/>
        <v>58533.44585199772</v>
      </c>
      <c r="L128" s="44">
        <f t="shared" si="42"/>
        <v>113939.46394382043</v>
      </c>
      <c r="M128" s="403">
        <f>IFERROR(IF(B128=B127,M127+1,MATCH(B128,'ST Forecast'!$E$2:$RK$2,0)+1),"")</f>
        <v>142</v>
      </c>
      <c r="N128">
        <f>SUM(DB[[#This Row],[Ops-FC-Orders-Collect]:[Ops-FC-Orders-HD]])</f>
        <v>3250</v>
      </c>
      <c r="O128" s="44" cm="1">
        <f t="array" ref="O128">IFERROR(INDEX('ST Forecast'!$E$2:$RK$36,13,M128),"")</f>
        <v>1100</v>
      </c>
      <c r="P128" s="44">
        <f t="shared" si="43"/>
        <v>2150</v>
      </c>
      <c r="Q128" s="44" cm="1">
        <f t="array" ref="Q128">IFERROR(INDEX('ST Forecast'!$E$2:$RK$36,14,M128),"")</f>
        <v>1100</v>
      </c>
      <c r="R128" s="44" cm="1">
        <f t="array" ref="R128">IFERROR(INDEX('ST Forecast'!$E$2:$RK$36,15,M128),"")</f>
        <v>1050</v>
      </c>
      <c r="S128" s="312">
        <f>SUM(DB[[#This Row],[Ops-FC-Picks-Collect]:[Ops-FC-Picks-HD]])</f>
        <v>169023.45159990177</v>
      </c>
      <c r="T128" s="44">
        <f t="shared" si="44"/>
        <v>57362.776934957765</v>
      </c>
      <c r="U128" s="44">
        <f t="shared" si="45"/>
        <v>111660.67466494402</v>
      </c>
      <c r="V128" s="44">
        <f t="shared" si="46"/>
        <v>57128.717270436471</v>
      </c>
      <c r="W128" s="404">
        <f t="shared" si="47"/>
        <v>54531.957394507546</v>
      </c>
      <c r="X128" s="44">
        <f>SUM(DB[[#This Row],[Capped-Orders-Collect]:[Capped-Orders-HD]])</f>
        <v>90</v>
      </c>
      <c r="Y128">
        <f>INDEX('Operations Forecast'!$A$2:$BGY$47,3,MATCH(DB!D128,'Operations Forecast'!$A$2:$BGY$2))</f>
        <v>0</v>
      </c>
      <c r="Z128">
        <f t="shared" si="48"/>
        <v>90</v>
      </c>
      <c r="AA128">
        <f>INDEX('Operations Forecast'!$A$2:$BGY$47,10,MATCH(DB!D128,'Operations Forecast'!$A$2:$BGY$2))</f>
        <v>90</v>
      </c>
      <c r="AB128">
        <f>INDEX('Operations Forecast'!$A$2:$BGY$47,21,MATCH(DB!D128,'Operations Forecast'!$A$2:$BGY$2))</f>
        <v>0</v>
      </c>
      <c r="AC128" s="312">
        <f>SUM(DB[[#This Row],[Act-Orders-Collect]:[Act-Orders-HD]])</f>
        <v>3191</v>
      </c>
      <c r="AD128" s="858">
        <f>IFERROR(INDEX('Operations Forecast_new'!$7:$7,MATCH(DB[[#This Row],[Datum]],'Operations Forecast_new'!$2:$2,0)),0)</f>
        <v>1180</v>
      </c>
      <c r="AE128" s="312">
        <f t="shared" si="49"/>
        <v>2011</v>
      </c>
      <c r="AF128" s="858">
        <f>IFERROR(INDEX('Operations Forecast_new'!$13:$13,MATCH(DB[[#This Row],[Datum]],'Operations Forecast_new'!$2:$2,0)),0)</f>
        <v>1025</v>
      </c>
      <c r="AG128" s="858">
        <f>IFERROR(INDEX('Operations Forecast_new'!$19:$19,MATCH(DB[[#This Row],[Datum]],'Operations Forecast_new'!$2:$2,0)),0)</f>
        <v>986</v>
      </c>
      <c r="AH128" s="312">
        <f t="shared" si="37"/>
        <v>162870.84</v>
      </c>
      <c r="AI128" s="858">
        <f>IFERROR(INDEX('Operations Forecast_new'!$9:$9,MATCH(DB[[#This Row],[Datum]],'Operations Forecast_new'!$2:$2,0)),0)</f>
        <v>59344.56</v>
      </c>
      <c r="AJ128" s="312">
        <f t="shared" si="50"/>
        <v>103526.28</v>
      </c>
      <c r="AK128" s="858">
        <f>IFERROR(INDEX('Operations Forecast_new'!$15:$15,MATCH(DB[[#This Row],[Datum]],'Operations Forecast_new'!$2:$2,0)),0)</f>
        <v>52767</v>
      </c>
      <c r="AL128" s="858">
        <f>IFERROR(INDEX('Operations Forecast_new'!$21:$21,MATCH(DB[[#This Row],[Datum]],'Operations Forecast_new'!$2:$2,0)),0)</f>
        <v>50759.28</v>
      </c>
      <c r="AM128" s="178">
        <f>IFERROR(INDEX('Operations Forecast_new'!$8:$8,MATCH(DB[[#This Row],[Datum]],'Operations Forecast_new'!$2:$2,0)),0)</f>
        <v>50.8</v>
      </c>
      <c r="AN128" s="859">
        <f>IFERROR(INDEX('Operations Forecast_new'!$20:$20,MATCH(DB[[#This Row],[Datum]],'Operations Forecast_new'!$2:$2,0)),0)</f>
        <v>52</v>
      </c>
      <c r="AO128" s="44">
        <f t="shared" si="51"/>
        <v>50.291999999999994</v>
      </c>
      <c r="AP128" s="404">
        <f t="shared" si="52"/>
        <v>51.48</v>
      </c>
      <c r="AQ128" s="44">
        <f t="shared" si="38"/>
        <v>120554.00000000009</v>
      </c>
      <c r="AR128" s="44" cm="1">
        <f t="array" ref="AR128">IFERROR(INDEX('ST Forecast'!$E$2:$RK$36,25,M128)+(INDEX('ST Forecast'!$E$2:$RK$36,29,M128)),"")</f>
        <v>58184.916516216392</v>
      </c>
      <c r="AS128" s="44" cm="1">
        <f t="array" ref="AS128">IFERROR(INDEX('ST Forecast'!$E$2:$RK$36,26,M128)+INDEX('ST Forecast'!$E$2:$RK$36,30,M128),"")</f>
        <v>48603.730912240935</v>
      </c>
      <c r="AT128" s="44" cm="1">
        <f t="array" ref="AT128">IFERROR(INDEX('ST Forecast'!$E$2:$RK$36,27,M128)+INDEX('ST Forecast'!$E$2:$RK$36,31,M128),"")</f>
        <v>5266.5552157543243</v>
      </c>
      <c r="AU128" s="44" cm="1">
        <f t="array" ref="AU128">IFERROR(INDEX('ST Forecast'!$E$2:$RK$36,28,M128),"")</f>
        <v>8498.7973557884216</v>
      </c>
      <c r="AV128" s="44" cm="1">
        <f t="array" ref="AV128">IFERROR(INDEX('ST Forecast'!$E$2:$RK$36,29,M128),"")</f>
        <v>0</v>
      </c>
      <c r="AW128" s="44">
        <f>DB[[#This Row],[Inbound FC]]-DB[[#This Row],[Inbound Act - Ultrafresh2]]</f>
        <v>120554.00000000009</v>
      </c>
      <c r="AX128" s="178" t="e">
        <f>#REF!</f>
        <v>#REF!</v>
      </c>
      <c r="AY128" s="178" t="e">
        <f>#REF!</f>
        <v>#REF!</v>
      </c>
      <c r="AZ128" s="178" t="e">
        <f>#REF!</f>
        <v>#REF!</v>
      </c>
      <c r="BA128" s="178">
        <f>MONTH(DB[[#This Row],[Datum]])</f>
        <v>5</v>
      </c>
    </row>
    <row r="129" spans="1:53" x14ac:dyDescent="0.3">
      <c r="A129" s="44">
        <f t="shared" si="39"/>
        <v>18</v>
      </c>
      <c r="B129" t="str">
        <f t="shared" si="40"/>
        <v>Wk 18</v>
      </c>
      <c r="C129" t="s">
        <v>118</v>
      </c>
      <c r="D129" s="313">
        <v>44688</v>
      </c>
      <c r="E129" s="44">
        <f>DB[[#This Row],[Sales-FC-Orders-Collect]]+DB[[#This Row],[Sales-FC-Orders-HD]]</f>
        <v>3100</v>
      </c>
      <c r="F129" s="402" cm="1">
        <f t="array" ref="F129">INDEX('LT Collect Forecast'!$K$1:$Q$55,MATCH(B129,'LT Collect Forecast'!$A:$A,0)+1,MATCH(C129,'LT Collect Forecast'!$K$2:$Q$2,0))</f>
        <v>1000</v>
      </c>
      <c r="G129" s="44" cm="1">
        <f t="array" ref="G129">INDEX('LT HD Forecast'!$K$1:$Q$55,MATCH(B129,'LT HD Forecast'!$A:$A,0)+1,MATCH(C129,'LT HD Forecast'!$K$2:$Q$2,0))</f>
        <v>2100</v>
      </c>
      <c r="H129" s="44" cm="1">
        <f t="array" ref="H129">IFERROR(INDEX('ST Forecast'!$E$2:$RK$36,6,M129),"")</f>
        <v>52.245101128905709</v>
      </c>
      <c r="I129" s="44" cm="1">
        <f t="array" ref="I129">IFERROR(INDEX('ST Forecast'!$E$2:$RK$36,7,M129),"")</f>
        <v>51.485016046863088</v>
      </c>
      <c r="J129" s="44">
        <f>SUM(DB[[#This Row],[Sales-FC-Picks-Collect]:[Sales-FC-Picks-HD]])</f>
        <v>160363.63482731819</v>
      </c>
      <c r="K129" s="44">
        <f t="shared" si="41"/>
        <v>52245.101128905706</v>
      </c>
      <c r="L129" s="44">
        <f t="shared" si="42"/>
        <v>108118.53369841249</v>
      </c>
      <c r="M129" s="403">
        <f>IFERROR(IF(B129=B128,M128+1,MATCH(B129,'ST Forecast'!$E$2:$RK$2,0)+1),"")</f>
        <v>143</v>
      </c>
      <c r="N129">
        <f>SUM(DB[[#This Row],[Ops-FC-Orders-Collect]:[Ops-FC-Orders-HD]])</f>
        <v>3100</v>
      </c>
      <c r="O129" s="44" cm="1">
        <f t="array" ref="O129">IFERROR(INDEX('ST Forecast'!$E$2:$RK$36,13,M129),"")</f>
        <v>1000</v>
      </c>
      <c r="P129" s="44">
        <f t="shared" si="43"/>
        <v>2100</v>
      </c>
      <c r="Q129" s="44" cm="1">
        <f t="array" ref="Q129">IFERROR(INDEX('ST Forecast'!$E$2:$RK$36,14,M129),"")</f>
        <v>1100</v>
      </c>
      <c r="R129" s="44" cm="1">
        <f t="array" ref="R129">IFERROR(INDEX('ST Forecast'!$E$2:$RK$36,15,M129),"")</f>
        <v>1000</v>
      </c>
      <c r="S129" s="312">
        <f>SUM(DB[[#This Row],[Ops-FC-Picks-Collect]:[Ops-FC-Picks-HD]])</f>
        <v>157156.3621307718</v>
      </c>
      <c r="T129" s="44">
        <f t="shared" si="44"/>
        <v>51200.199106327593</v>
      </c>
      <c r="U129" s="44">
        <f t="shared" si="45"/>
        <v>105956.16302444422</v>
      </c>
      <c r="V129" s="44">
        <f t="shared" si="46"/>
        <v>55500.847298518405</v>
      </c>
      <c r="W129" s="404">
        <f t="shared" si="47"/>
        <v>50455.315725925822</v>
      </c>
      <c r="X129" s="44">
        <f>SUM(DB[[#This Row],[Capped-Orders-Collect]:[Capped-Orders-HD]])</f>
        <v>90</v>
      </c>
      <c r="Y129">
        <f>INDEX('Operations Forecast'!$A$2:$BGY$47,3,MATCH(DB!D129,'Operations Forecast'!$A$2:$BGY$2))</f>
        <v>0</v>
      </c>
      <c r="Z129">
        <f t="shared" si="48"/>
        <v>90</v>
      </c>
      <c r="AA129">
        <f>INDEX('Operations Forecast'!$A$2:$BGY$47,10,MATCH(DB!D129,'Operations Forecast'!$A$2:$BGY$2))</f>
        <v>90</v>
      </c>
      <c r="AB129">
        <f>INDEX('Operations Forecast'!$A$2:$BGY$47,21,MATCH(DB!D129,'Operations Forecast'!$A$2:$BGY$2))</f>
        <v>0</v>
      </c>
      <c r="AC129" s="312">
        <f>SUM(DB[[#This Row],[Act-Orders-Collect]:[Act-Orders-HD]])</f>
        <v>2893</v>
      </c>
      <c r="AD129" s="858">
        <f>IFERROR(INDEX('Operations Forecast_new'!$7:$7,MATCH(DB[[#This Row],[Datum]],'Operations Forecast_new'!$2:$2,0)),0)</f>
        <v>1050</v>
      </c>
      <c r="AE129" s="312">
        <f t="shared" si="49"/>
        <v>1843</v>
      </c>
      <c r="AF129" s="858">
        <f>IFERROR(INDEX('Operations Forecast_new'!$13:$13,MATCH(DB[[#This Row],[Datum]],'Operations Forecast_new'!$2:$2,0)),0)</f>
        <v>1042</v>
      </c>
      <c r="AG129" s="858">
        <f>IFERROR(INDEX('Operations Forecast_new'!$19:$19,MATCH(DB[[#This Row],[Datum]],'Operations Forecast_new'!$2:$2,0)),0)</f>
        <v>801</v>
      </c>
      <c r="AH129" s="312">
        <f t="shared" si="37"/>
        <v>146069.74799999999</v>
      </c>
      <c r="AI129" s="858">
        <f>IFERROR(INDEX('Operations Forecast_new'!$9:$9,MATCH(DB[[#This Row],[Datum]],'Operations Forecast_new'!$2:$2,0)),0)</f>
        <v>52286.85</v>
      </c>
      <c r="AJ129" s="312">
        <f t="shared" si="50"/>
        <v>93782.897999999986</v>
      </c>
      <c r="AK129" s="858">
        <f>IFERROR(INDEX('Operations Forecast_new'!$15:$15,MATCH(DB[[#This Row],[Datum]],'Operations Forecast_new'!$2:$2,0)),0)</f>
        <v>53023.211999999992</v>
      </c>
      <c r="AL129" s="858">
        <f>IFERROR(INDEX('Operations Forecast_new'!$21:$21,MATCH(DB[[#This Row],[Datum]],'Operations Forecast_new'!$2:$2,0)),0)</f>
        <v>40759.686000000002</v>
      </c>
      <c r="AM129" s="178">
        <f>IFERROR(INDEX('Operations Forecast_new'!$8:$8,MATCH(DB[[#This Row],[Datum]],'Operations Forecast_new'!$2:$2,0)),0)</f>
        <v>50.3</v>
      </c>
      <c r="AN129" s="859">
        <f>IFERROR(INDEX('Operations Forecast_new'!$20:$20,MATCH(DB[[#This Row],[Datum]],'Operations Forecast_new'!$2:$2,0)),0)</f>
        <v>51.4</v>
      </c>
      <c r="AO129" s="44">
        <f t="shared" si="51"/>
        <v>49.796999999999997</v>
      </c>
      <c r="AP129" s="404">
        <f t="shared" si="52"/>
        <v>50.885999999999996</v>
      </c>
      <c r="AQ129" s="44">
        <f t="shared" si="38"/>
        <v>130600.00000000001</v>
      </c>
      <c r="AR129" s="44" cm="1">
        <f t="array" ref="AR129">IFERROR(INDEX('ST Forecast'!$E$2:$RK$36,25,M129)+(INDEX('ST Forecast'!$E$2:$RK$36,29,M129)),"")</f>
        <v>60796.611304095575</v>
      </c>
      <c r="AS129" s="44" cm="1">
        <f t="array" ref="AS129">IFERROR(INDEX('ST Forecast'!$E$2:$RK$36,26,M129)+INDEX('ST Forecast'!$E$2:$RK$36,30,M129),"")</f>
        <v>56242.714975679657</v>
      </c>
      <c r="AT129" s="44" cm="1">
        <f t="array" ref="AT129">IFERROR(INDEX('ST Forecast'!$E$2:$RK$36,27,M129)+INDEX('ST Forecast'!$E$2:$RK$36,31,M129),"")</f>
        <v>6657.701514712021</v>
      </c>
      <c r="AU129" s="44" cm="1">
        <f t="array" ref="AU129">IFERROR(INDEX('ST Forecast'!$E$2:$RK$36,28,M129),"")</f>
        <v>6902.972205512755</v>
      </c>
      <c r="AV129" s="44" cm="1">
        <f t="array" ref="AV129">IFERROR(INDEX('ST Forecast'!$E$2:$RK$36,29,M129),"")</f>
        <v>0</v>
      </c>
      <c r="AW129" s="44">
        <f>DB[[#This Row],[Inbound FC]]-DB[[#This Row],[Inbound Act - Ultrafresh2]]</f>
        <v>130600.00000000001</v>
      </c>
      <c r="AX129" s="178" t="e">
        <f>#REF!</f>
        <v>#REF!</v>
      </c>
      <c r="AY129" s="178" t="e">
        <f>#REF!</f>
        <v>#REF!</v>
      </c>
      <c r="AZ129" s="178" t="e">
        <f>#REF!</f>
        <v>#REF!</v>
      </c>
      <c r="BA129" s="178">
        <f>MONTH(DB[[#This Row],[Datum]])</f>
        <v>5</v>
      </c>
    </row>
    <row r="130" spans="1:53" x14ac:dyDescent="0.3">
      <c r="A130" s="44">
        <f t="shared" si="39"/>
        <v>18</v>
      </c>
      <c r="B130" t="str">
        <f t="shared" si="40"/>
        <v>Wk 18</v>
      </c>
      <c r="C130" t="s">
        <v>119</v>
      </c>
      <c r="D130" s="313">
        <v>44689</v>
      </c>
      <c r="E130" s="44">
        <f>DB[[#This Row],[Sales-FC-Orders-Collect]]+DB[[#This Row],[Sales-FC-Orders-HD]]</f>
        <v>100</v>
      </c>
      <c r="F130" s="402" cm="1">
        <f t="array" ref="F130">INDEX('LT Collect Forecast'!$K$1:$Q$55,MATCH(B130,'LT Collect Forecast'!$A:$A,0)+1,MATCH(C130,'LT Collect Forecast'!$K$2:$Q$2,0))</f>
        <v>0</v>
      </c>
      <c r="G130" s="44" cm="1">
        <f t="array" ref="G130">INDEX('LT HD Forecast'!$K$1:$Q$55,MATCH(B130,'LT HD Forecast'!$A:$A,0)+1,MATCH(C130,'LT HD Forecast'!$K$2:$Q$2,0))</f>
        <v>100</v>
      </c>
      <c r="H130" s="44" cm="1">
        <f t="array" ref="H130">IFERROR(INDEX('ST Forecast'!$E$2:$RK$36,6,M130),"")</f>
        <v>0</v>
      </c>
      <c r="I130" s="44" cm="1">
        <f t="array" ref="I130">IFERROR(INDEX('ST Forecast'!$E$2:$RK$36,7,M130),"")</f>
        <v>55.893814952991569</v>
      </c>
      <c r="J130" s="44">
        <f>SUM(DB[[#This Row],[Sales-FC-Picks-Collect]:[Sales-FC-Picks-HD]])</f>
        <v>5589.381495299157</v>
      </c>
      <c r="K130" s="44">
        <f t="shared" ref="K130:K193" si="53">F130*H130</f>
        <v>0</v>
      </c>
      <c r="L130" s="44">
        <f t="shared" ref="L130:L193" si="54">G130*I130</f>
        <v>5589.381495299157</v>
      </c>
      <c r="M130" s="403">
        <f>IFERROR(IF(B130=B129,M129+1,MATCH(B130,'ST Forecast'!$E$2:$RK$2,0)+1),"")</f>
        <v>144</v>
      </c>
      <c r="N130">
        <f>SUM(DB[[#This Row],[Ops-FC-Orders-Collect]:[Ops-FC-Orders-HD]])</f>
        <v>100</v>
      </c>
      <c r="O130" s="44" cm="1">
        <f t="array" ref="O130">IFERROR(INDEX('ST Forecast'!$E$2:$RK$36,13,M130),"")</f>
        <v>0</v>
      </c>
      <c r="P130" s="44">
        <f t="shared" si="43"/>
        <v>100</v>
      </c>
      <c r="Q130" s="44" cm="1">
        <f t="array" ref="Q130">IFERROR(INDEX('ST Forecast'!$E$2:$RK$36,14,M130),"")</f>
        <v>100</v>
      </c>
      <c r="R130" s="44" cm="1">
        <f t="array" ref="R130">IFERROR(INDEX('ST Forecast'!$E$2:$RK$36,15,M130),"")</f>
        <v>0</v>
      </c>
      <c r="S130" s="312">
        <f>SUM(DB[[#This Row],[Ops-FC-Picks-Collect]:[Ops-FC-Picks-HD]])</f>
        <v>5477.5938653931735</v>
      </c>
      <c r="T130" s="44">
        <f t="shared" si="44"/>
        <v>0</v>
      </c>
      <c r="U130" s="44">
        <f t="shared" si="45"/>
        <v>5477.5938653931735</v>
      </c>
      <c r="V130" s="44">
        <f t="shared" si="46"/>
        <v>5477.5938653931735</v>
      </c>
      <c r="W130" s="404">
        <f t="shared" si="47"/>
        <v>0</v>
      </c>
      <c r="X130" s="44">
        <f>SUM(DB[[#This Row],[Capped-Orders-Collect]:[Capped-Orders-HD]])</f>
        <v>90</v>
      </c>
      <c r="Y130">
        <f>INDEX('Operations Forecast'!$A$2:$BGY$47,3,MATCH(DB!D130,'Operations Forecast'!$A$2:$BGY$2))</f>
        <v>0</v>
      </c>
      <c r="Z130">
        <f t="shared" si="48"/>
        <v>90</v>
      </c>
      <c r="AA130">
        <f>INDEX('Operations Forecast'!$A$2:$BGY$47,10,MATCH(DB!D130,'Operations Forecast'!$A$2:$BGY$2))</f>
        <v>90</v>
      </c>
      <c r="AB130">
        <f>INDEX('Operations Forecast'!$A$2:$BGY$47,21,MATCH(DB!D130,'Operations Forecast'!$A$2:$BGY$2))</f>
        <v>0</v>
      </c>
      <c r="AC130" s="312">
        <f>SUM(DB[[#This Row],[Act-Orders-Collect]:[Act-Orders-HD]])</f>
        <v>73</v>
      </c>
      <c r="AD130" s="858">
        <f>IFERROR(INDEX('Operations Forecast_new'!$7:$7,MATCH(DB[[#This Row],[Datum]],'Operations Forecast_new'!$2:$2,0)),0)</f>
        <v>0</v>
      </c>
      <c r="AE130" s="312">
        <f t="shared" si="49"/>
        <v>73</v>
      </c>
      <c r="AF130" s="858">
        <f>IFERROR(INDEX('Operations Forecast_new'!$13:$13,MATCH(DB[[#This Row],[Datum]],'Operations Forecast_new'!$2:$2,0)),0)</f>
        <v>73</v>
      </c>
      <c r="AG130" s="858">
        <f>IFERROR(INDEX('Operations Forecast_new'!$19:$19,MATCH(DB[[#This Row],[Datum]],'Operations Forecast_new'!$2:$2,0)),0)</f>
        <v>0</v>
      </c>
      <c r="AH130" s="312">
        <f t="shared" si="37"/>
        <v>3765.2670000000003</v>
      </c>
      <c r="AI130" s="858">
        <f>IFERROR(INDEX('Operations Forecast_new'!$9:$9,MATCH(DB[[#This Row],[Datum]],'Operations Forecast_new'!$2:$2,0)),0)</f>
        <v>0</v>
      </c>
      <c r="AJ130" s="312">
        <f t="shared" si="50"/>
        <v>3765.2670000000003</v>
      </c>
      <c r="AK130" s="858">
        <f>IFERROR(INDEX('Operations Forecast_new'!$15:$15,MATCH(DB[[#This Row],[Datum]],'Operations Forecast_new'!$2:$2,0)),0)</f>
        <v>3765.2670000000003</v>
      </c>
      <c r="AL130" s="858">
        <f>IFERROR(INDEX('Operations Forecast_new'!$21:$21,MATCH(DB[[#This Row],[Datum]],'Operations Forecast_new'!$2:$2,0)),0)</f>
        <v>0</v>
      </c>
      <c r="AM130" s="178">
        <f>IFERROR(INDEX('Operations Forecast_new'!$8:$8,MATCH(DB[[#This Row],[Datum]],'Operations Forecast_new'!$2:$2,0)),0)</f>
        <v>0</v>
      </c>
      <c r="AN130" s="859">
        <f>IFERROR(INDEX('Operations Forecast_new'!$20:$20,MATCH(DB[[#This Row],[Datum]],'Operations Forecast_new'!$2:$2,0)),0)</f>
        <v>55.893814952991569</v>
      </c>
      <c r="AO130" s="44" t="str">
        <f t="shared" si="51"/>
        <v>-</v>
      </c>
      <c r="AP130" s="404">
        <f t="shared" si="52"/>
        <v>51.579000000000001</v>
      </c>
      <c r="AQ130" s="44">
        <f t="shared" si="38"/>
        <v>0</v>
      </c>
      <c r="AR130" s="44" cm="1">
        <f t="array" ref="AR130">IFERROR(INDEX('ST Forecast'!$E$2:$RK$36,25,M130)+(INDEX('ST Forecast'!$E$2:$RK$36,29,M130)),"")</f>
        <v>0</v>
      </c>
      <c r="AS130" s="44" cm="1">
        <f t="array" ref="AS130">IFERROR(INDEX('ST Forecast'!$E$2:$RK$36,26,M130)+INDEX('ST Forecast'!$E$2:$RK$36,30,M130),"")</f>
        <v>0</v>
      </c>
      <c r="AT130" s="44" cm="1">
        <f t="array" ref="AT130">IFERROR(INDEX('ST Forecast'!$E$2:$RK$36,27,M130)+INDEX('ST Forecast'!$E$2:$RK$36,31,M130),"")</f>
        <v>0</v>
      </c>
      <c r="AU130" s="44" cm="1">
        <f t="array" ref="AU130">IFERROR(INDEX('ST Forecast'!$E$2:$RK$36,28,M130),"")</f>
        <v>0</v>
      </c>
      <c r="AV130" s="44" cm="1">
        <f t="array" ref="AV130">IFERROR(INDEX('ST Forecast'!$E$2:$RK$36,29,M130),"")</f>
        <v>0</v>
      </c>
      <c r="AW130" s="44">
        <f>DB[[#This Row],[Inbound FC]]-DB[[#This Row],[Inbound Act - Ultrafresh2]]</f>
        <v>0</v>
      </c>
      <c r="AX130" s="178" t="e">
        <f>#REF!</f>
        <v>#REF!</v>
      </c>
      <c r="AY130" s="178" t="e">
        <f>#REF!</f>
        <v>#REF!</v>
      </c>
      <c r="AZ130" s="178" t="e">
        <f>#REF!</f>
        <v>#REF!</v>
      </c>
      <c r="BA130" s="178">
        <f>MONTH(DB[[#This Row],[Datum]])</f>
        <v>5</v>
      </c>
    </row>
    <row r="131" spans="1:53" x14ac:dyDescent="0.3">
      <c r="A131" s="44">
        <f t="shared" si="39"/>
        <v>19</v>
      </c>
      <c r="B131" t="str">
        <f t="shared" si="40"/>
        <v>Wk 19</v>
      </c>
      <c r="C131" t="s">
        <v>113</v>
      </c>
      <c r="D131" s="313">
        <v>44690</v>
      </c>
      <c r="E131" s="44">
        <f>DB[[#This Row],[Sales-FC-Orders-Collect]]+DB[[#This Row],[Sales-FC-Orders-HD]]</f>
        <v>2500</v>
      </c>
      <c r="F131" s="402">
        <f>INDEX('LT Collect Forecast'!$K$1:$Q$55,MATCH(B131,'LT Collect Forecast'!$A:$A,0),MATCH(C131,'LT Collect Forecast'!$K$2:$Q$2,0))</f>
        <v>750</v>
      </c>
      <c r="G131" s="44">
        <f>INDEX('LT HD Forecast'!$K$1:$Q$55,MATCH(B131,'LT HD Forecast'!$A:$A,0),MATCH(C131,'LT HD Forecast'!$K$2:$Q$2,0))</f>
        <v>1750</v>
      </c>
      <c r="H131" s="44" cm="1">
        <f t="array" ref="H131">IFERROR(INDEX('ST Forecast'!$E$2:$RK$36,6,M131),"")</f>
        <v>49.979842246608499</v>
      </c>
      <c r="I131" s="44" cm="1">
        <f t="array" ref="I131">IFERROR(INDEX('ST Forecast'!$E$2:$RK$36,7,M131),"")</f>
        <v>51.217559468310512</v>
      </c>
      <c r="J131" s="44">
        <f>SUM(DB[[#This Row],[Sales-FC-Picks-Collect]:[Sales-FC-Picks-HD]])</f>
        <v>127115.61075449976</v>
      </c>
      <c r="K131" s="44">
        <f t="shared" si="53"/>
        <v>37484.881684956374</v>
      </c>
      <c r="L131" s="44">
        <f t="shared" si="54"/>
        <v>89630.729069543391</v>
      </c>
      <c r="M131" s="403">
        <f>IFERROR(IF(B131=B130,M130+1,MATCH(B131,'ST Forecast'!$E$2:$RK$2,0)+1),"")</f>
        <v>146</v>
      </c>
      <c r="N131">
        <f>SUM(DB[[#This Row],[Ops-FC-Orders-Collect]:[Ops-FC-Orders-HD]])</f>
        <v>2450</v>
      </c>
      <c r="O131" s="44" cm="1">
        <f t="array" ref="O131">IFERROR(INDEX('ST Forecast'!$E$2:$RK$36,13,M131),"")</f>
        <v>750</v>
      </c>
      <c r="P131" s="44">
        <f t="shared" si="43"/>
        <v>1700</v>
      </c>
      <c r="Q131" s="44" cm="1">
        <f t="array" ref="Q131">IFERROR(INDEX('ST Forecast'!$E$2:$RK$36,14,M131),"")</f>
        <v>750</v>
      </c>
      <c r="R131" s="44" cm="1">
        <f t="array" ref="R131">IFERROR(INDEX('ST Forecast'!$E$2:$RK$36,15,M131),"")</f>
        <v>950</v>
      </c>
      <c r="S131" s="312">
        <f>SUM(DB[[#This Row],[Ops-FC-Picks-Collect]:[Ops-FC-Picks-HD]])</f>
        <v>122063.63812546254</v>
      </c>
      <c r="T131" s="44">
        <f t="shared" si="44"/>
        <v>36735.184051257245</v>
      </c>
      <c r="U131" s="44">
        <f t="shared" si="45"/>
        <v>85328.454074205307</v>
      </c>
      <c r="V131" s="44">
        <f t="shared" si="46"/>
        <v>37644.906209208224</v>
      </c>
      <c r="W131" s="404">
        <f t="shared" si="47"/>
        <v>47683.547864997083</v>
      </c>
      <c r="X131" s="44">
        <f>SUM(DB[[#This Row],[Capped-Orders-Collect]:[Capped-Orders-HD]])</f>
        <v>90</v>
      </c>
      <c r="Y131">
        <f>INDEX('Operations Forecast'!$A$2:$BGY$47,3,MATCH(DB!D131,'Operations Forecast'!$A$2:$BGY$2))</f>
        <v>0</v>
      </c>
      <c r="Z131">
        <f t="shared" si="48"/>
        <v>90</v>
      </c>
      <c r="AA131">
        <f>INDEX('Operations Forecast'!$A$2:$BGY$47,10,MATCH(DB!D131,'Operations Forecast'!$A$2:$BGY$2))</f>
        <v>90</v>
      </c>
      <c r="AB131">
        <f>INDEX('Operations Forecast'!$A$2:$BGY$47,21,MATCH(DB!D131,'Operations Forecast'!$A$2:$BGY$2))</f>
        <v>0</v>
      </c>
      <c r="AC131" s="312">
        <f>SUM(DB[[#This Row],[Act-Orders-Collect]:[Act-Orders-HD]])</f>
        <v>2287</v>
      </c>
      <c r="AD131" s="858">
        <f>IFERROR(INDEX('Operations Forecast_new'!$7:$7,MATCH(DB[[#This Row],[Datum]],'Operations Forecast_new'!$2:$2,0)),0)</f>
        <v>800</v>
      </c>
      <c r="AE131" s="312">
        <f t="shared" si="49"/>
        <v>1487</v>
      </c>
      <c r="AF131" s="858">
        <f>IFERROR(INDEX('Operations Forecast_new'!$13:$13,MATCH(DB[[#This Row],[Datum]],'Operations Forecast_new'!$2:$2,0)),0)</f>
        <v>608</v>
      </c>
      <c r="AG131" s="858">
        <f>IFERROR(INDEX('Operations Forecast_new'!$19:$19,MATCH(DB[[#This Row],[Datum]],'Operations Forecast_new'!$2:$2,0)),0)</f>
        <v>879</v>
      </c>
      <c r="AH131" s="312">
        <f t="shared" ref="AH131:AH194" si="55">AI131+AJ131</f>
        <v>109201.75200000001</v>
      </c>
      <c r="AI131" s="858">
        <f>IFERROR(INDEX('Operations Forecast_new'!$9:$9,MATCH(DB[[#This Row],[Datum]],'Operations Forecast_new'!$2:$2,0)),0)</f>
        <v>35006.400000000001</v>
      </c>
      <c r="AJ131" s="312">
        <f t="shared" si="50"/>
        <v>74195.351999999999</v>
      </c>
      <c r="AK131" s="858">
        <f>IFERROR(INDEX('Operations Forecast_new'!$15:$15,MATCH(DB[[#This Row],[Datum]],'Operations Forecast_new'!$2:$2,0)),0)</f>
        <v>30336.768</v>
      </c>
      <c r="AL131" s="858">
        <f>IFERROR(INDEX('Operations Forecast_new'!$21:$21,MATCH(DB[[#This Row],[Datum]],'Operations Forecast_new'!$2:$2,0)),0)</f>
        <v>43858.583999999995</v>
      </c>
      <c r="AM131" s="178">
        <f>IFERROR(INDEX('Operations Forecast_new'!$8:$8,MATCH(DB[[#This Row],[Datum]],'Operations Forecast_new'!$2:$2,0)),0)</f>
        <v>44.2</v>
      </c>
      <c r="AN131" s="859">
        <f>IFERROR(INDEX('Operations Forecast_new'!$20:$20,MATCH(DB[[#This Row],[Datum]],'Operations Forecast_new'!$2:$2,0)),0)</f>
        <v>50.4</v>
      </c>
      <c r="AO131" s="44">
        <f t="shared" si="51"/>
        <v>43.758000000000003</v>
      </c>
      <c r="AP131" s="404">
        <f t="shared" si="52"/>
        <v>49.896000000000001</v>
      </c>
      <c r="AQ131" s="44">
        <f t="shared" ref="AQ131:AQ194" si="56">SUM(AR131:AU131)</f>
        <v>242984.00000000003</v>
      </c>
      <c r="AR131" s="44" cm="1">
        <f t="array" ref="AR131">IFERROR(INDEX('ST Forecast'!$E$2:$RK$36,25,M131)+(INDEX('ST Forecast'!$E$2:$RK$36,29,M131)),"")</f>
        <v>103769.4674692777</v>
      </c>
      <c r="AS131" s="44" cm="1">
        <f t="array" ref="AS131">IFERROR(INDEX('ST Forecast'!$E$2:$RK$36,26,M131)+INDEX('ST Forecast'!$E$2:$RK$36,30,M131),"")</f>
        <v>65332.864062471621</v>
      </c>
      <c r="AT131" s="44" cm="1">
        <f t="array" ref="AT131">IFERROR(INDEX('ST Forecast'!$E$2:$RK$36,27,M131)+INDEX('ST Forecast'!$E$2:$RK$36,31,M131),"")</f>
        <v>64361.320287377872</v>
      </c>
      <c r="AU131" s="44" cm="1">
        <f t="array" ref="AU131">IFERROR(INDEX('ST Forecast'!$E$2:$RK$36,28,M131),"")</f>
        <v>9520.348180872812</v>
      </c>
      <c r="AV131" s="44" cm="1">
        <f t="array" ref="AV131">IFERROR(INDEX('ST Forecast'!$E$2:$RK$36,29,M131),"")</f>
        <v>0</v>
      </c>
      <c r="AW131" s="44">
        <f>DB[[#This Row],[Inbound FC]]-DB[[#This Row],[Inbound Act - Ultrafresh2]]</f>
        <v>242984.00000000003</v>
      </c>
      <c r="AX131" s="178" t="e">
        <f>#REF!</f>
        <v>#REF!</v>
      </c>
      <c r="AY131" s="178" t="e">
        <f>#REF!</f>
        <v>#REF!</v>
      </c>
      <c r="AZ131" s="178" t="e">
        <f>#REF!</f>
        <v>#REF!</v>
      </c>
      <c r="BA131" s="178">
        <f>MONTH(DB[[#This Row],[Datum]])</f>
        <v>5</v>
      </c>
    </row>
    <row r="132" spans="1:53" x14ac:dyDescent="0.3">
      <c r="A132" s="44">
        <f t="shared" si="39"/>
        <v>19</v>
      </c>
      <c r="B132" t="str">
        <f t="shared" si="40"/>
        <v>Wk 19</v>
      </c>
      <c r="C132" t="s">
        <v>114</v>
      </c>
      <c r="D132" s="313">
        <v>44691</v>
      </c>
      <c r="E132" s="44">
        <f>DB[[#This Row],[Sales-FC-Orders-Collect]]+DB[[#This Row],[Sales-FC-Orders-HD]]</f>
        <v>2650</v>
      </c>
      <c r="F132" s="402">
        <f>INDEX('LT Collect Forecast'!$K$1:$Q$55,MATCH(B132,'LT Collect Forecast'!$A:$A,0),MATCH(C132,'LT Collect Forecast'!$K$2:$Q$2,0))</f>
        <v>600</v>
      </c>
      <c r="G132" s="44">
        <f>INDEX('LT HD Forecast'!$K$1:$Q$55,MATCH(B132,'LT HD Forecast'!$A:$A,0),MATCH(C132,'LT HD Forecast'!$K$2:$Q$2,0))</f>
        <v>2050</v>
      </c>
      <c r="H132" s="44" cm="1">
        <f t="array" ref="H132">IFERROR(INDEX('ST Forecast'!$E$2:$RK$36,6,M132),"")</f>
        <v>46.91041871841535</v>
      </c>
      <c r="I132" s="44" cm="1">
        <f t="array" ref="I132">IFERROR(INDEX('ST Forecast'!$E$2:$RK$36,7,M132),"")</f>
        <v>50.017703439379112</v>
      </c>
      <c r="J132" s="44">
        <f>SUM(DB[[#This Row],[Sales-FC-Picks-Collect]:[Sales-FC-Picks-HD]])</f>
        <v>130682.54328177639</v>
      </c>
      <c r="K132" s="44">
        <f t="shared" si="53"/>
        <v>28146.251231049209</v>
      </c>
      <c r="L132" s="44">
        <f t="shared" si="54"/>
        <v>102536.29205072718</v>
      </c>
      <c r="M132" s="403">
        <f>IFERROR(IF(B132=B131,M131+1,MATCH(B132,'ST Forecast'!$E$2:$RK$2,0)+1),"")</f>
        <v>147</v>
      </c>
      <c r="N132">
        <f>SUM(DB[[#This Row],[Ops-FC-Orders-Collect]:[Ops-FC-Orders-HD]])</f>
        <v>2650</v>
      </c>
      <c r="O132" s="44" cm="1">
        <f t="array" ref="O132">IFERROR(INDEX('ST Forecast'!$E$2:$RK$36,13,M132),"")</f>
        <v>600</v>
      </c>
      <c r="P132" s="44">
        <f t="shared" si="43"/>
        <v>2050</v>
      </c>
      <c r="Q132" s="44" cm="1">
        <f t="array" ref="Q132">IFERROR(INDEX('ST Forecast'!$E$2:$RK$36,14,M132),"")</f>
        <v>1050</v>
      </c>
      <c r="R132" s="44" cm="1">
        <f t="array" ref="R132">IFERROR(INDEX('ST Forecast'!$E$2:$RK$36,15,M132),"")</f>
        <v>1000</v>
      </c>
      <c r="S132" s="312">
        <f>SUM(DB[[#This Row],[Ops-FC-Picks-Collect]:[Ops-FC-Picks-HD]])</f>
        <v>128068.89241614085</v>
      </c>
      <c r="T132" s="44">
        <f t="shared" si="44"/>
        <v>27583.326206428224</v>
      </c>
      <c r="U132" s="44">
        <f t="shared" si="45"/>
        <v>100485.56620971262</v>
      </c>
      <c r="V132" s="44">
        <f t="shared" si="46"/>
        <v>51468.216839121102</v>
      </c>
      <c r="W132" s="404">
        <f t="shared" si="47"/>
        <v>49017.349370591524</v>
      </c>
      <c r="X132" s="44">
        <f>SUM(DB[[#This Row],[Capped-Orders-Collect]:[Capped-Orders-HD]])</f>
        <v>90</v>
      </c>
      <c r="Y132">
        <f>INDEX('Operations Forecast'!$A$2:$BGY$47,3,MATCH(DB!D132,'Operations Forecast'!$A$2:$BGY$2))</f>
        <v>0</v>
      </c>
      <c r="Z132">
        <f t="shared" si="48"/>
        <v>90</v>
      </c>
      <c r="AA132">
        <f>INDEX('Operations Forecast'!$A$2:$BGY$47,10,MATCH(DB!D132,'Operations Forecast'!$A$2:$BGY$2))</f>
        <v>90</v>
      </c>
      <c r="AB132">
        <f>INDEX('Operations Forecast'!$A$2:$BGY$47,21,MATCH(DB!D132,'Operations Forecast'!$A$2:$BGY$2))</f>
        <v>0</v>
      </c>
      <c r="AC132" s="312">
        <f>SUM(DB[[#This Row],[Act-Orders-Collect]:[Act-Orders-HD]])</f>
        <v>2445</v>
      </c>
      <c r="AD132" s="858">
        <f>IFERROR(INDEX('Operations Forecast_new'!$7:$7,MATCH(DB[[#This Row],[Datum]],'Operations Forecast_new'!$2:$2,0)),0)</f>
        <v>592</v>
      </c>
      <c r="AE132" s="312">
        <f t="shared" si="49"/>
        <v>1853</v>
      </c>
      <c r="AF132" s="858">
        <f>IFERROR(INDEX('Operations Forecast_new'!$13:$13,MATCH(DB[[#This Row],[Datum]],'Operations Forecast_new'!$2:$2,0)),0)</f>
        <v>840</v>
      </c>
      <c r="AG132" s="858">
        <f>IFERROR(INDEX('Operations Forecast_new'!$19:$19,MATCH(DB[[#This Row],[Datum]],'Operations Forecast_new'!$2:$2,0)),0)</f>
        <v>1013</v>
      </c>
      <c r="AH132" s="312">
        <f t="shared" si="55"/>
        <v>115332.52499999999</v>
      </c>
      <c r="AI132" s="858">
        <f>IFERROR(INDEX('Operations Forecast_new'!$9:$9,MATCH(DB[[#This Row],[Datum]],'Operations Forecast_new'!$2:$2,0)),0)</f>
        <v>25260.047999999999</v>
      </c>
      <c r="AJ132" s="312">
        <f t="shared" si="50"/>
        <v>90072.476999999999</v>
      </c>
      <c r="AK132" s="858">
        <f>IFERROR(INDEX('Operations Forecast_new'!$15:$15,MATCH(DB[[#This Row],[Datum]],'Operations Forecast_new'!$2:$2,0)),0)</f>
        <v>40831.56</v>
      </c>
      <c r="AL132" s="858">
        <f>IFERROR(INDEX('Operations Forecast_new'!$21:$21,MATCH(DB[[#This Row],[Datum]],'Operations Forecast_new'!$2:$2,0)),0)</f>
        <v>49240.917000000001</v>
      </c>
      <c r="AM132" s="178">
        <f>IFERROR(INDEX('Operations Forecast_new'!$8:$8,MATCH(DB[[#This Row],[Datum]],'Operations Forecast_new'!$2:$2,0)),0)</f>
        <v>43.1</v>
      </c>
      <c r="AN132" s="859">
        <f>IFERROR(INDEX('Operations Forecast_new'!$20:$20,MATCH(DB[[#This Row],[Datum]],'Operations Forecast_new'!$2:$2,0)),0)</f>
        <v>49.1</v>
      </c>
      <c r="AO132" s="44">
        <f t="shared" si="51"/>
        <v>42.668999999999997</v>
      </c>
      <c r="AP132" s="404">
        <f t="shared" si="52"/>
        <v>48.609000000000002</v>
      </c>
      <c r="AQ132" s="44">
        <f t="shared" si="56"/>
        <v>144209.00000000009</v>
      </c>
      <c r="AR132" s="44" cm="1">
        <f t="array" ref="AR132">IFERROR(INDEX('ST Forecast'!$E$2:$RK$36,25,M132)+(INDEX('ST Forecast'!$E$2:$RK$36,29,M132)),"")</f>
        <v>66717.729732460546</v>
      </c>
      <c r="AS132" s="44" cm="1">
        <f t="array" ref="AS132">IFERROR(INDEX('ST Forecast'!$E$2:$RK$36,26,M132)+INDEX('ST Forecast'!$E$2:$RK$36,30,M132),"")</f>
        <v>62627.490552972362</v>
      </c>
      <c r="AT132" s="44" cm="1">
        <f t="array" ref="AT132">IFERROR(INDEX('ST Forecast'!$E$2:$RK$36,27,M132)+INDEX('ST Forecast'!$E$2:$RK$36,31,M132),"")</f>
        <v>6299.9540546868238</v>
      </c>
      <c r="AU132" s="44" cm="1">
        <f t="array" ref="AU132">IFERROR(INDEX('ST Forecast'!$E$2:$RK$36,28,M132),"")</f>
        <v>8563.8256598803546</v>
      </c>
      <c r="AV132" s="44" cm="1">
        <f t="array" ref="AV132">IFERROR(INDEX('ST Forecast'!$E$2:$RK$36,29,M132),"")</f>
        <v>0</v>
      </c>
      <c r="AW132" s="44">
        <f>DB[[#This Row],[Inbound FC]]-DB[[#This Row],[Inbound Act - Ultrafresh2]]</f>
        <v>144209.00000000009</v>
      </c>
      <c r="AX132" s="178" t="e">
        <f>#REF!</f>
        <v>#REF!</v>
      </c>
      <c r="AY132" s="178" t="e">
        <f>#REF!</f>
        <v>#REF!</v>
      </c>
      <c r="AZ132" s="178" t="e">
        <f>#REF!</f>
        <v>#REF!</v>
      </c>
      <c r="BA132" s="178">
        <f>MONTH(DB[[#This Row],[Datum]])</f>
        <v>5</v>
      </c>
    </row>
    <row r="133" spans="1:53" x14ac:dyDescent="0.3">
      <c r="A133" s="44">
        <f t="shared" si="39"/>
        <v>19</v>
      </c>
      <c r="B133" t="str">
        <f t="shared" si="40"/>
        <v>Wk 19</v>
      </c>
      <c r="C133" t="s">
        <v>115</v>
      </c>
      <c r="D133" s="313">
        <v>44692</v>
      </c>
      <c r="E133" s="44">
        <f>DB[[#This Row],[Sales-FC-Orders-Collect]]+DB[[#This Row],[Sales-FC-Orders-HD]]</f>
        <v>2650</v>
      </c>
      <c r="F133" s="402">
        <f>INDEX('LT Collect Forecast'!$K$1:$Q$55,MATCH(B133,'LT Collect Forecast'!$A:$A,0),MATCH(C133,'LT Collect Forecast'!$K$2:$Q$2,0))</f>
        <v>600</v>
      </c>
      <c r="G133" s="44">
        <f>INDEX('LT HD Forecast'!$K$1:$Q$55,MATCH(B133,'LT HD Forecast'!$A:$A,0),MATCH(C133,'LT HD Forecast'!$K$2:$Q$2,0))</f>
        <v>2050</v>
      </c>
      <c r="H133" s="44" cm="1">
        <f t="array" ref="H133">IFERROR(INDEX('ST Forecast'!$E$2:$RK$36,6,M133),"")</f>
        <v>47.80715560545606</v>
      </c>
      <c r="I133" s="44" cm="1">
        <f t="array" ref="I133">IFERROR(INDEX('ST Forecast'!$E$2:$RK$36,7,M133),"")</f>
        <v>50.711392192436755</v>
      </c>
      <c r="J133" s="44">
        <f>SUM(DB[[#This Row],[Sales-FC-Picks-Collect]:[Sales-FC-Picks-HD]])</f>
        <v>132642.64735776899</v>
      </c>
      <c r="K133" s="44">
        <f t="shared" si="53"/>
        <v>28684.293363273635</v>
      </c>
      <c r="L133" s="44">
        <f t="shared" si="54"/>
        <v>103958.35399449535</v>
      </c>
      <c r="M133" s="403">
        <f>IFERROR(IF(B133=B132,M132+1,MATCH(B133,'ST Forecast'!$E$2:$RK$2,0)+1),"")</f>
        <v>148</v>
      </c>
      <c r="N133">
        <f>SUM(DB[[#This Row],[Ops-FC-Orders-Collect]:[Ops-FC-Orders-HD]])</f>
        <v>2650</v>
      </c>
      <c r="O133" s="44" cm="1">
        <f t="array" ref="O133">IFERROR(INDEX('ST Forecast'!$E$2:$RK$36,13,M133),"")</f>
        <v>600</v>
      </c>
      <c r="P133" s="44">
        <f t="shared" si="43"/>
        <v>2050</v>
      </c>
      <c r="Q133" s="44" cm="1">
        <f t="array" ref="Q133">IFERROR(INDEX('ST Forecast'!$E$2:$RK$36,14,M133),"")</f>
        <v>1050</v>
      </c>
      <c r="R133" s="44" cm="1">
        <f t="array" ref="R133">IFERROR(INDEX('ST Forecast'!$E$2:$RK$36,15,M133),"")</f>
        <v>1000</v>
      </c>
      <c r="S133" s="312">
        <f>SUM(DB[[#This Row],[Ops-FC-Picks-Collect]:[Ops-FC-Picks-HD]])</f>
        <v>129989.7944106136</v>
      </c>
      <c r="T133" s="44">
        <f t="shared" si="44"/>
        <v>28110.607496008161</v>
      </c>
      <c r="U133" s="44">
        <f t="shared" si="45"/>
        <v>101879.18691460544</v>
      </c>
      <c r="V133" s="44">
        <f t="shared" si="46"/>
        <v>52182.022566017418</v>
      </c>
      <c r="W133" s="404">
        <f t="shared" si="47"/>
        <v>49697.164348588019</v>
      </c>
      <c r="X133" s="44">
        <f>SUM(DB[[#This Row],[Capped-Orders-Collect]:[Capped-Orders-HD]])</f>
        <v>90</v>
      </c>
      <c r="Y133">
        <f>INDEX('Operations Forecast'!$A$2:$BGY$47,3,MATCH(DB!D133,'Operations Forecast'!$A$2:$BGY$2))</f>
        <v>0</v>
      </c>
      <c r="Z133">
        <f t="shared" si="48"/>
        <v>90</v>
      </c>
      <c r="AA133">
        <f>INDEX('Operations Forecast'!$A$2:$BGY$47,10,MATCH(DB!D133,'Operations Forecast'!$A$2:$BGY$2))</f>
        <v>90</v>
      </c>
      <c r="AB133">
        <f>INDEX('Operations Forecast'!$A$2:$BGY$47,21,MATCH(DB!D133,'Operations Forecast'!$A$2:$BGY$2))</f>
        <v>0</v>
      </c>
      <c r="AC133" s="312">
        <f>SUM(DB[[#This Row],[Act-Orders-Collect]:[Act-Orders-HD]])</f>
        <v>2341</v>
      </c>
      <c r="AD133" s="858">
        <f>IFERROR(INDEX('Operations Forecast_new'!$7:$7,MATCH(DB[[#This Row],[Datum]],'Operations Forecast_new'!$2:$2,0)),0)</f>
        <v>590</v>
      </c>
      <c r="AE133" s="312">
        <f t="shared" si="49"/>
        <v>1751</v>
      </c>
      <c r="AF133" s="858">
        <f>IFERROR(INDEX('Operations Forecast_new'!$13:$13,MATCH(DB[[#This Row],[Datum]],'Operations Forecast_new'!$2:$2,0)),0)</f>
        <v>776</v>
      </c>
      <c r="AG133" s="858">
        <f>IFERROR(INDEX('Operations Forecast_new'!$19:$19,MATCH(DB[[#This Row],[Datum]],'Operations Forecast_new'!$2:$2,0)),0)</f>
        <v>975</v>
      </c>
      <c r="AH133" s="312">
        <f t="shared" si="55"/>
        <v>109716.255</v>
      </c>
      <c r="AI133" s="858">
        <f>IFERROR(INDEX('Operations Forecast_new'!$9:$9,MATCH(DB[[#This Row],[Datum]],'Operations Forecast_new'!$2:$2,0)),0)</f>
        <v>25641.989999999998</v>
      </c>
      <c r="AJ133" s="312">
        <f t="shared" si="50"/>
        <v>84074.264999999999</v>
      </c>
      <c r="AK133" s="858">
        <f>IFERROR(INDEX('Operations Forecast_new'!$15:$15,MATCH(DB[[#This Row],[Datum]],'Operations Forecast_new'!$2:$2,0)),0)</f>
        <v>37259.64</v>
      </c>
      <c r="AL133" s="858">
        <f>IFERROR(INDEX('Operations Forecast_new'!$21:$21,MATCH(DB[[#This Row],[Datum]],'Operations Forecast_new'!$2:$2,0)),0)</f>
        <v>46814.625</v>
      </c>
      <c r="AM133" s="178">
        <f>IFERROR(INDEX('Operations Forecast_new'!$8:$8,MATCH(DB[[#This Row],[Datum]],'Operations Forecast_new'!$2:$2,0)),0)</f>
        <v>43.9</v>
      </c>
      <c r="AN133" s="859">
        <f>IFERROR(INDEX('Operations Forecast_new'!$20:$20,MATCH(DB[[#This Row],[Datum]],'Operations Forecast_new'!$2:$2,0)),0)</f>
        <v>48.5</v>
      </c>
      <c r="AO133" s="44">
        <f t="shared" si="51"/>
        <v>43.460999999999999</v>
      </c>
      <c r="AP133" s="404">
        <f t="shared" si="52"/>
        <v>48.015000000000001</v>
      </c>
      <c r="AQ133" s="44">
        <f t="shared" si="56"/>
        <v>167169.04660000009</v>
      </c>
      <c r="AR133" s="44" cm="1">
        <f t="array" ref="AR133">IFERROR(INDEX('ST Forecast'!$E$2:$RK$36,25,M133)+(INDEX('ST Forecast'!$E$2:$RK$36,29,M133)),"")</f>
        <v>63909.213526771855</v>
      </c>
      <c r="AS133" s="44" cm="1">
        <f t="array" ref="AS133">IFERROR(INDEX('ST Forecast'!$E$2:$RK$36,26,M133)+INDEX('ST Forecast'!$E$2:$RK$36,30,M133),"")</f>
        <v>66120.839586393296</v>
      </c>
      <c r="AT133" s="44" cm="1">
        <f t="array" ref="AT133">IFERROR(INDEX('ST Forecast'!$E$2:$RK$36,27,M133)+INDEX('ST Forecast'!$E$2:$RK$36,31,M133),"")</f>
        <v>27728.850000451646</v>
      </c>
      <c r="AU133" s="44" cm="1">
        <f t="array" ref="AU133">IFERROR(INDEX('ST Forecast'!$E$2:$RK$36,28,M133),"")</f>
        <v>9410.143486383291</v>
      </c>
      <c r="AV133" s="44" cm="1">
        <f t="array" ref="AV133">IFERROR(INDEX('ST Forecast'!$E$2:$RK$36,29,M133),"")</f>
        <v>0</v>
      </c>
      <c r="AW133" s="44">
        <f>DB[[#This Row],[Inbound FC]]-DB[[#This Row],[Inbound Act - Ultrafresh2]]</f>
        <v>167169.04660000009</v>
      </c>
      <c r="AX133" s="178" t="e">
        <f>#REF!</f>
        <v>#REF!</v>
      </c>
      <c r="AY133" s="178" t="e">
        <f>#REF!</f>
        <v>#REF!</v>
      </c>
      <c r="AZ133" s="178" t="e">
        <f>#REF!</f>
        <v>#REF!</v>
      </c>
      <c r="BA133" s="178">
        <f>MONTH(DB[[#This Row],[Datum]])</f>
        <v>5</v>
      </c>
    </row>
    <row r="134" spans="1:53" x14ac:dyDescent="0.3">
      <c r="A134" s="44">
        <f t="shared" si="39"/>
        <v>19</v>
      </c>
      <c r="B134" t="str">
        <f t="shared" si="40"/>
        <v>Wk 19</v>
      </c>
      <c r="C134" t="s">
        <v>116</v>
      </c>
      <c r="D134" s="313">
        <v>44693</v>
      </c>
      <c r="E134" s="44">
        <f>DB[[#This Row],[Sales-FC-Orders-Collect]]+DB[[#This Row],[Sales-FC-Orders-HD]]</f>
        <v>2600</v>
      </c>
      <c r="F134" s="402" cm="1">
        <f t="array" ref="F134">INDEX('LT Collect Forecast'!$K$1:$Q$55,MATCH(B134,'LT Collect Forecast'!$A:$A,0)+1,MATCH(C134,'LT Collect Forecast'!$K$2:$Q$2,0))</f>
        <v>650</v>
      </c>
      <c r="G134" s="44" cm="1">
        <f t="array" ref="G134">INDEX('LT HD Forecast'!$K$1:$Q$55,MATCH(B134,'LT HD Forecast'!$A:$A,0)+1,MATCH(C134,'LT HD Forecast'!$K$2:$Q$2,0))</f>
        <v>1950</v>
      </c>
      <c r="H134" s="44" cm="1">
        <f t="array" ref="H134">IFERROR(INDEX('ST Forecast'!$E$2:$RK$36,6,M134),"")</f>
        <v>49.107096258977116</v>
      </c>
      <c r="I134" s="44" cm="1">
        <f t="array" ref="I134">IFERROR(INDEX('ST Forecast'!$E$2:$RK$36,7,M134),"")</f>
        <v>50.504609732851733</v>
      </c>
      <c r="J134" s="44">
        <f>SUM(DB[[#This Row],[Sales-FC-Picks-Collect]:[Sales-FC-Picks-HD]])</f>
        <v>130403.60154739601</v>
      </c>
      <c r="K134" s="44">
        <f t="shared" si="53"/>
        <v>31919.612568335124</v>
      </c>
      <c r="L134" s="44">
        <f t="shared" si="54"/>
        <v>98483.988979060887</v>
      </c>
      <c r="M134" s="403">
        <f>IFERROR(IF(B134=B133,M133+1,MATCH(B134,'ST Forecast'!$E$2:$RK$2,0)+1),"")</f>
        <v>149</v>
      </c>
      <c r="N134">
        <f>SUM(DB[[#This Row],[Ops-FC-Orders-Collect]:[Ops-FC-Orders-HD]])</f>
        <v>2550</v>
      </c>
      <c r="O134" s="44" cm="1">
        <f t="array" ref="O134">IFERROR(INDEX('ST Forecast'!$E$2:$RK$36,13,M134),"")</f>
        <v>550</v>
      </c>
      <c r="P134" s="44">
        <f t="shared" si="43"/>
        <v>2000</v>
      </c>
      <c r="Q134" s="44" cm="1">
        <f t="array" ref="Q134">IFERROR(INDEX('ST Forecast'!$E$2:$RK$36,14,M134),"")</f>
        <v>1000</v>
      </c>
      <c r="R134" s="44" cm="1">
        <f t="array" ref="R134">IFERROR(INDEX('ST Forecast'!$E$2:$RK$36,15,M134),"")</f>
        <v>1000</v>
      </c>
      <c r="S134" s="312">
        <f>SUM(DB[[#This Row],[Ops-FC-Picks-Collect]:[Ops-FC-Picks-HD]])</f>
        <v>125457.75995997805</v>
      </c>
      <c r="T134" s="44">
        <f t="shared" si="44"/>
        <v>26468.724883588664</v>
      </c>
      <c r="U134" s="44">
        <f t="shared" si="45"/>
        <v>98989.035076389395</v>
      </c>
      <c r="V134" s="44">
        <f t="shared" si="46"/>
        <v>49494.517538194697</v>
      </c>
      <c r="W134" s="404">
        <f t="shared" si="47"/>
        <v>49494.517538194697</v>
      </c>
      <c r="X134" s="44">
        <f>SUM(DB[[#This Row],[Capped-Orders-Collect]:[Capped-Orders-HD]])</f>
        <v>90</v>
      </c>
      <c r="Y134">
        <f>INDEX('Operations Forecast'!$A$2:$BGY$47,3,MATCH(DB!D134,'Operations Forecast'!$A$2:$BGY$2))</f>
        <v>0</v>
      </c>
      <c r="Z134">
        <f t="shared" si="48"/>
        <v>90</v>
      </c>
      <c r="AA134">
        <f>INDEX('Operations Forecast'!$A$2:$BGY$47,10,MATCH(DB!D134,'Operations Forecast'!$A$2:$BGY$2))</f>
        <v>90</v>
      </c>
      <c r="AB134">
        <f>INDEX('Operations Forecast'!$A$2:$BGY$47,21,MATCH(DB!D134,'Operations Forecast'!$A$2:$BGY$2))</f>
        <v>0</v>
      </c>
      <c r="AC134" s="312">
        <f>SUM(DB[[#This Row],[Act-Orders-Collect]:[Act-Orders-HD]])</f>
        <v>2298</v>
      </c>
      <c r="AD134" s="858">
        <f>IFERROR(INDEX('Operations Forecast_new'!$7:$7,MATCH(DB[[#This Row],[Datum]],'Operations Forecast_new'!$2:$2,0)),0)</f>
        <v>590</v>
      </c>
      <c r="AE134" s="312">
        <f t="shared" si="49"/>
        <v>1708</v>
      </c>
      <c r="AF134" s="858">
        <f>IFERROR(INDEX('Operations Forecast_new'!$13:$13,MATCH(DB[[#This Row],[Datum]],'Operations Forecast_new'!$2:$2,0)),0)</f>
        <v>760</v>
      </c>
      <c r="AG134" s="858">
        <f>IFERROR(INDEX('Operations Forecast_new'!$19:$19,MATCH(DB[[#This Row],[Datum]],'Operations Forecast_new'!$2:$2,0)),0)</f>
        <v>948</v>
      </c>
      <c r="AH134" s="312">
        <f t="shared" si="55"/>
        <v>110652.10199999998</v>
      </c>
      <c r="AI134" s="858">
        <f>IFERROR(INDEX('Operations Forecast_new'!$9:$9,MATCH(DB[[#This Row],[Datum]],'Operations Forecast_new'!$2:$2,0)),0)</f>
        <v>27627.93</v>
      </c>
      <c r="AJ134" s="312">
        <f t="shared" si="50"/>
        <v>83024.171999999991</v>
      </c>
      <c r="AK134" s="858">
        <f>IFERROR(INDEX('Operations Forecast_new'!$15:$15,MATCH(DB[[#This Row],[Datum]],'Operations Forecast_new'!$2:$2,0)),0)</f>
        <v>36942.839999999997</v>
      </c>
      <c r="AL134" s="858">
        <f>IFERROR(INDEX('Operations Forecast_new'!$21:$21,MATCH(DB[[#This Row],[Datum]],'Operations Forecast_new'!$2:$2,0)),0)</f>
        <v>46081.332000000002</v>
      </c>
      <c r="AM134" s="178">
        <f>IFERROR(INDEX('Operations Forecast_new'!$8:$8,MATCH(DB[[#This Row],[Datum]],'Operations Forecast_new'!$2:$2,0)),0)</f>
        <v>47.3</v>
      </c>
      <c r="AN134" s="859">
        <f>IFERROR(INDEX('Operations Forecast_new'!$20:$20,MATCH(DB[[#This Row],[Datum]],'Operations Forecast_new'!$2:$2,0)),0)</f>
        <v>49.1</v>
      </c>
      <c r="AO134" s="44">
        <f t="shared" si="51"/>
        <v>46.826999999999998</v>
      </c>
      <c r="AP134" s="404">
        <f t="shared" si="52"/>
        <v>48.608999999999995</v>
      </c>
      <c r="AQ134" s="44">
        <f t="shared" si="56"/>
        <v>142393.00000000006</v>
      </c>
      <c r="AR134" s="44" cm="1">
        <f t="array" ref="AR134">IFERROR(INDEX('ST Forecast'!$E$2:$RK$36,25,M134)+(INDEX('ST Forecast'!$E$2:$RK$36,29,M134)),"")</f>
        <v>59648.343564024806</v>
      </c>
      <c r="AS134" s="44" cm="1">
        <f t="array" ref="AS134">IFERROR(INDEX('ST Forecast'!$E$2:$RK$36,26,M134)+INDEX('ST Forecast'!$E$2:$RK$36,30,M134),"")</f>
        <v>56955.186764741855</v>
      </c>
      <c r="AT134" s="44" cm="1">
        <f t="array" ref="AT134">IFERROR(INDEX('ST Forecast'!$E$2:$RK$36,27,M134)+INDEX('ST Forecast'!$E$2:$RK$36,31,M134),"")</f>
        <v>16372.846281885773</v>
      </c>
      <c r="AU134" s="44" cm="1">
        <f t="array" ref="AU134">IFERROR(INDEX('ST Forecast'!$E$2:$RK$36,28,M134),"")</f>
        <v>9416.6233893476328</v>
      </c>
      <c r="AV134" s="44" cm="1">
        <f t="array" ref="AV134">IFERROR(INDEX('ST Forecast'!$E$2:$RK$36,29,M134),"")</f>
        <v>0</v>
      </c>
      <c r="AW134" s="44">
        <f>DB[[#This Row],[Inbound FC]]-DB[[#This Row],[Inbound Act - Ultrafresh2]]</f>
        <v>142393.00000000006</v>
      </c>
      <c r="AX134" s="178" t="e">
        <f>#REF!</f>
        <v>#REF!</v>
      </c>
      <c r="AY134" s="178" t="e">
        <f>#REF!</f>
        <v>#REF!</v>
      </c>
      <c r="AZ134" s="178" t="e">
        <f>#REF!</f>
        <v>#REF!</v>
      </c>
      <c r="BA134" s="178">
        <f>MONTH(DB[[#This Row],[Datum]])</f>
        <v>5</v>
      </c>
    </row>
    <row r="135" spans="1:53" x14ac:dyDescent="0.3">
      <c r="A135" s="44">
        <f t="shared" ref="A135:A198" si="57">(WEEKNUM(D135,2))-1</f>
        <v>19</v>
      </c>
      <c r="B135" t="str">
        <f t="shared" si="40"/>
        <v>Wk 19</v>
      </c>
      <c r="C135" t="s">
        <v>117</v>
      </c>
      <c r="D135" s="313">
        <v>44694</v>
      </c>
      <c r="E135" s="44">
        <f>DB[[#This Row],[Sales-FC-Orders-Collect]]+DB[[#This Row],[Sales-FC-Orders-HD]]</f>
        <v>3350</v>
      </c>
      <c r="F135" s="402" cm="1">
        <f t="array" ref="F135">INDEX('LT Collect Forecast'!$K$1:$Q$55,MATCH(B135,'LT Collect Forecast'!$A:$A,0)+1,MATCH(C135,'LT Collect Forecast'!$K$2:$Q$2,0))</f>
        <v>1200</v>
      </c>
      <c r="G135" s="44" cm="1">
        <f t="array" ref="G135">INDEX('LT HD Forecast'!$K$1:$Q$55,MATCH(B135,'LT HD Forecast'!$A:$A,0)+1,MATCH(C135,'LT HD Forecast'!$K$2:$Q$2,0))</f>
        <v>2150</v>
      </c>
      <c r="H135" s="44" cm="1">
        <f t="array" ref="H135">IFERROR(INDEX('ST Forecast'!$E$2:$RK$36,6,M135),"")</f>
        <v>52.959454453078131</v>
      </c>
      <c r="I135" s="44" cm="1">
        <f t="array" ref="I135">IFERROR(INDEX('ST Forecast'!$E$2:$RK$36,7,M135),"")</f>
        <v>52.841494836950964</v>
      </c>
      <c r="J135" s="44">
        <f>SUM(DB[[#This Row],[Sales-FC-Picks-Collect]:[Sales-FC-Picks-HD]])</f>
        <v>177160.55924313833</v>
      </c>
      <c r="K135" s="44">
        <f t="shared" si="53"/>
        <v>63551.345343693756</v>
      </c>
      <c r="L135" s="44">
        <f t="shared" si="54"/>
        <v>113609.21389944457</v>
      </c>
      <c r="M135" s="403">
        <f>IFERROR(IF(B135=B134,M134+1,MATCH(B135,'ST Forecast'!$E$2:$RK$2,0)+1),"")</f>
        <v>150</v>
      </c>
      <c r="N135">
        <f>SUM(DB[[#This Row],[Ops-FC-Orders-Collect]:[Ops-FC-Orders-HD]])</f>
        <v>3350</v>
      </c>
      <c r="O135" s="44" cm="1">
        <f t="array" ref="O135">IFERROR(INDEX('ST Forecast'!$E$2:$RK$36,13,M135),"")</f>
        <v>1200</v>
      </c>
      <c r="P135" s="44">
        <f t="shared" si="43"/>
        <v>2150</v>
      </c>
      <c r="Q135" s="44" cm="1">
        <f t="array" ref="Q135">IFERROR(INDEX('ST Forecast'!$E$2:$RK$36,14,M135),"")</f>
        <v>1100</v>
      </c>
      <c r="R135" s="44" cm="1">
        <f t="array" ref="R135">IFERROR(INDEX('ST Forecast'!$E$2:$RK$36,15,M135),"")</f>
        <v>1050</v>
      </c>
      <c r="S135" s="312">
        <f>SUM(DB[[#This Row],[Ops-FC-Picks-Collect]:[Ops-FC-Picks-HD]])</f>
        <v>173617.34805827556</v>
      </c>
      <c r="T135" s="44">
        <f t="shared" si="44"/>
        <v>62280.318436819878</v>
      </c>
      <c r="U135" s="44">
        <f t="shared" si="45"/>
        <v>111337.02962145567</v>
      </c>
      <c r="V135" s="44">
        <f t="shared" si="46"/>
        <v>56963.131434233139</v>
      </c>
      <c r="W135" s="404">
        <f t="shared" si="47"/>
        <v>54373.898187222541</v>
      </c>
      <c r="X135" s="44">
        <f>SUM(DB[[#This Row],[Capped-Orders-Collect]:[Capped-Orders-HD]])</f>
        <v>90</v>
      </c>
      <c r="Y135">
        <f>INDEX('Operations Forecast'!$A$2:$BGY$47,3,MATCH(DB!D135,'Operations Forecast'!$A$2:$BGY$2))</f>
        <v>0</v>
      </c>
      <c r="Z135">
        <f t="shared" si="48"/>
        <v>90</v>
      </c>
      <c r="AA135">
        <f>INDEX('Operations Forecast'!$A$2:$BGY$47,10,MATCH(DB!D135,'Operations Forecast'!$A$2:$BGY$2))</f>
        <v>90</v>
      </c>
      <c r="AB135">
        <f>INDEX('Operations Forecast'!$A$2:$BGY$47,21,MATCH(DB!D135,'Operations Forecast'!$A$2:$BGY$2))</f>
        <v>0</v>
      </c>
      <c r="AC135" s="312">
        <f>SUM(DB[[#This Row],[Act-Orders-Collect]:[Act-Orders-HD]])</f>
        <v>3082</v>
      </c>
      <c r="AD135" s="858">
        <f>IFERROR(INDEX('Operations Forecast_new'!$7:$7,MATCH(DB[[#This Row],[Datum]],'Operations Forecast_new'!$2:$2,0)),0)</f>
        <v>1175</v>
      </c>
      <c r="AE135" s="312">
        <f t="shared" si="49"/>
        <v>1907</v>
      </c>
      <c r="AF135" s="858">
        <f>IFERROR(INDEX('Operations Forecast_new'!$13:$13,MATCH(DB[[#This Row],[Datum]],'Operations Forecast_new'!$2:$2,0)),0)</f>
        <v>942</v>
      </c>
      <c r="AG135" s="858">
        <f>IFERROR(INDEX('Operations Forecast_new'!$19:$19,MATCH(DB[[#This Row],[Datum]],'Operations Forecast_new'!$2:$2,0)),0)</f>
        <v>965</v>
      </c>
      <c r="AH135" s="312">
        <f t="shared" si="55"/>
        <v>154141.81199999998</v>
      </c>
      <c r="AI135" s="858">
        <f>IFERROR(INDEX('Operations Forecast_new'!$9:$9,MATCH(DB[[#This Row],[Datum]],'Operations Forecast_new'!$2:$2,0)),0)</f>
        <v>58046.175000000003</v>
      </c>
      <c r="AJ135" s="312">
        <f t="shared" si="50"/>
        <v>96095.636999999988</v>
      </c>
      <c r="AK135" s="858">
        <f>IFERROR(INDEX('Operations Forecast_new'!$15:$15,MATCH(DB[[#This Row],[Datum]],'Operations Forecast_new'!$2:$2,0)),0)</f>
        <v>47468.321999999993</v>
      </c>
      <c r="AL135" s="858">
        <f>IFERROR(INDEX('Operations Forecast_new'!$21:$21,MATCH(DB[[#This Row],[Datum]],'Operations Forecast_new'!$2:$2,0)),0)</f>
        <v>48627.315000000002</v>
      </c>
      <c r="AM135" s="178">
        <f>IFERROR(INDEX('Operations Forecast_new'!$8:$8,MATCH(DB[[#This Row],[Datum]],'Operations Forecast_new'!$2:$2,0)),0)</f>
        <v>49.9</v>
      </c>
      <c r="AN135" s="859">
        <f>IFERROR(INDEX('Operations Forecast_new'!$20:$20,MATCH(DB[[#This Row],[Datum]],'Operations Forecast_new'!$2:$2,0)),0)</f>
        <v>50.9</v>
      </c>
      <c r="AO135" s="44">
        <f t="shared" si="51"/>
        <v>49.401000000000003</v>
      </c>
      <c r="AP135" s="404">
        <f t="shared" si="52"/>
        <v>50.390999999999991</v>
      </c>
      <c r="AQ135" s="44">
        <f t="shared" si="56"/>
        <v>130273.00000000009</v>
      </c>
      <c r="AR135" s="44" cm="1">
        <f t="array" ref="AR135">IFERROR(INDEX('ST Forecast'!$E$2:$RK$36,25,M135)+(INDEX('ST Forecast'!$E$2:$RK$36,29,M135)),"")</f>
        <v>57664.833847380076</v>
      </c>
      <c r="AS135" s="44" cm="1">
        <f t="array" ref="AS135">IFERROR(INDEX('ST Forecast'!$E$2:$RK$36,26,M135)+INDEX('ST Forecast'!$E$2:$RK$36,30,M135),"")</f>
        <v>57733.058105167511</v>
      </c>
      <c r="AT135" s="44" cm="1">
        <f t="array" ref="AT135">IFERROR(INDEX('ST Forecast'!$E$2:$RK$36,27,M135)+INDEX('ST Forecast'!$E$2:$RK$36,31,M135),"")</f>
        <v>5691.1421240436903</v>
      </c>
      <c r="AU135" s="44" cm="1">
        <f t="array" ref="AU135">IFERROR(INDEX('ST Forecast'!$E$2:$RK$36,28,M135),"")</f>
        <v>9183.9659234088031</v>
      </c>
      <c r="AV135" s="44" cm="1">
        <f t="array" ref="AV135">IFERROR(INDEX('ST Forecast'!$E$2:$RK$36,29,M135),"")</f>
        <v>0</v>
      </c>
      <c r="AW135" s="44">
        <f>DB[[#This Row],[Inbound FC]]-DB[[#This Row],[Inbound Act - Ultrafresh2]]</f>
        <v>130273.00000000009</v>
      </c>
      <c r="AX135" s="178" t="e">
        <f>#REF!</f>
        <v>#REF!</v>
      </c>
      <c r="AY135" s="178" t="e">
        <f>#REF!</f>
        <v>#REF!</v>
      </c>
      <c r="AZ135" s="178" t="e">
        <f>#REF!</f>
        <v>#REF!</v>
      </c>
      <c r="BA135" s="178">
        <f>MONTH(DB[[#This Row],[Datum]])</f>
        <v>5</v>
      </c>
    </row>
    <row r="136" spans="1:53" x14ac:dyDescent="0.3">
      <c r="A136" s="44">
        <f t="shared" si="57"/>
        <v>19</v>
      </c>
      <c r="B136" t="str">
        <f t="shared" si="40"/>
        <v>Wk 19</v>
      </c>
      <c r="C136" t="s">
        <v>118</v>
      </c>
      <c r="D136" s="313">
        <v>44695</v>
      </c>
      <c r="E136" s="44">
        <f>DB[[#This Row],[Sales-FC-Orders-Collect]]+DB[[#This Row],[Sales-FC-Orders-HD]]</f>
        <v>3100</v>
      </c>
      <c r="F136" s="402" cm="1">
        <f t="array" ref="F136">INDEX('LT Collect Forecast'!$K$1:$Q$55,MATCH(B136,'LT Collect Forecast'!$A:$A,0)+1,MATCH(C136,'LT Collect Forecast'!$K$2:$Q$2,0))</f>
        <v>1100</v>
      </c>
      <c r="G136" s="44" cm="1">
        <f t="array" ref="G136">INDEX('LT HD Forecast'!$K$1:$Q$55,MATCH(B136,'LT HD Forecast'!$A:$A,0)+1,MATCH(C136,'LT HD Forecast'!$K$2:$Q$2,0))</f>
        <v>2000</v>
      </c>
      <c r="H136" s="44" cm="1">
        <f t="array" ref="H136">IFERROR(INDEX('ST Forecast'!$E$2:$RK$36,6,M136),"")</f>
        <v>52.206442087555587</v>
      </c>
      <c r="I136" s="44" cm="1">
        <f t="array" ref="I136">IFERROR(INDEX('ST Forecast'!$E$2:$RK$36,7,M136),"")</f>
        <v>51.413692586151477</v>
      </c>
      <c r="J136" s="44">
        <f>SUM(DB[[#This Row],[Sales-FC-Picks-Collect]:[Sales-FC-Picks-HD]])</f>
        <v>160254.47146861409</v>
      </c>
      <c r="K136" s="44">
        <f t="shared" si="53"/>
        <v>57427.086296311143</v>
      </c>
      <c r="L136" s="44">
        <f t="shared" si="54"/>
        <v>102827.38517230295</v>
      </c>
      <c r="M136" s="403">
        <f>IFERROR(IF(B136=B135,M135+1,MATCH(B136,'ST Forecast'!$E$2:$RK$2,0)+1),"")</f>
        <v>151</v>
      </c>
      <c r="N136">
        <f>SUM(DB[[#This Row],[Ops-FC-Orders-Collect]:[Ops-FC-Orders-HD]])</f>
        <v>3100</v>
      </c>
      <c r="O136" s="44" cm="1">
        <f t="array" ref="O136">IFERROR(INDEX('ST Forecast'!$E$2:$RK$36,13,M136),"")</f>
        <v>1100</v>
      </c>
      <c r="P136" s="44">
        <f t="shared" si="43"/>
        <v>2000</v>
      </c>
      <c r="Q136" s="44" cm="1">
        <f t="array" ref="Q136">IFERROR(INDEX('ST Forecast'!$E$2:$RK$36,14,M136),"")</f>
        <v>1050</v>
      </c>
      <c r="R136" s="44" cm="1">
        <f t="array" ref="R136">IFERROR(INDEX('ST Forecast'!$E$2:$RK$36,15,M136),"")</f>
        <v>950</v>
      </c>
      <c r="S136" s="312">
        <f>SUM(DB[[#This Row],[Ops-FC-Picks-Collect]:[Ops-FC-Picks-HD]])</f>
        <v>157049.38203924181</v>
      </c>
      <c r="T136" s="44">
        <f t="shared" si="44"/>
        <v>56278.544570384918</v>
      </c>
      <c r="U136" s="44">
        <f t="shared" si="45"/>
        <v>100770.83746885689</v>
      </c>
      <c r="V136" s="44">
        <f t="shared" si="46"/>
        <v>52904.689671149863</v>
      </c>
      <c r="W136" s="404">
        <f t="shared" si="47"/>
        <v>47866.147797707024</v>
      </c>
      <c r="X136" s="44">
        <f>SUM(DB[[#This Row],[Capped-Orders-Collect]:[Capped-Orders-HD]])</f>
        <v>90</v>
      </c>
      <c r="Y136">
        <f>INDEX('Operations Forecast'!$A$2:$BGY$47,3,MATCH(DB!D136,'Operations Forecast'!$A$2:$BGY$2))</f>
        <v>0</v>
      </c>
      <c r="Z136">
        <f t="shared" si="48"/>
        <v>90</v>
      </c>
      <c r="AA136">
        <f>INDEX('Operations Forecast'!$A$2:$BGY$47,10,MATCH(DB!D136,'Operations Forecast'!$A$2:$BGY$2))</f>
        <v>90</v>
      </c>
      <c r="AB136">
        <f>INDEX('Operations Forecast'!$A$2:$BGY$47,21,MATCH(DB!D136,'Operations Forecast'!$A$2:$BGY$2))</f>
        <v>0</v>
      </c>
      <c r="AC136" s="312">
        <f>SUM(DB[[#This Row],[Act-Orders-Collect]:[Act-Orders-HD]])</f>
        <v>2668</v>
      </c>
      <c r="AD136" s="858">
        <f>IFERROR(INDEX('Operations Forecast_new'!$7:$7,MATCH(DB[[#This Row],[Datum]],'Operations Forecast_new'!$2:$2,0)),0)</f>
        <v>922</v>
      </c>
      <c r="AE136" s="312">
        <f t="shared" si="49"/>
        <v>1746</v>
      </c>
      <c r="AF136" s="858">
        <f>IFERROR(INDEX('Operations Forecast_new'!$13:$13,MATCH(DB[[#This Row],[Datum]],'Operations Forecast_new'!$2:$2,0)),0)</f>
        <v>1006</v>
      </c>
      <c r="AG136" s="858">
        <f>IFERROR(INDEX('Operations Forecast_new'!$19:$19,MATCH(DB[[#This Row],[Datum]],'Operations Forecast_new'!$2:$2,0)),0)</f>
        <v>740</v>
      </c>
      <c r="AH136" s="312">
        <f t="shared" si="55"/>
        <v>138428.53200000001</v>
      </c>
      <c r="AI136" s="858">
        <f>IFERROR(INDEX('Operations Forecast_new'!$9:$9,MATCH(DB[[#This Row],[Datum]],'Operations Forecast_new'!$2:$2,0)),0)</f>
        <v>46643.058000000005</v>
      </c>
      <c r="AJ136" s="312">
        <f t="shared" si="50"/>
        <v>91785.473999999987</v>
      </c>
      <c r="AK136" s="858">
        <f>IFERROR(INDEX('Operations Forecast_new'!$15:$15,MATCH(DB[[#This Row],[Datum]],'Operations Forecast_new'!$2:$2,0)),0)</f>
        <v>52884.413999999997</v>
      </c>
      <c r="AL136" s="858">
        <f>IFERROR(INDEX('Operations Forecast_new'!$21:$21,MATCH(DB[[#This Row],[Datum]],'Operations Forecast_new'!$2:$2,0)),0)</f>
        <v>38901.06</v>
      </c>
      <c r="AM136" s="178">
        <f>IFERROR(INDEX('Operations Forecast_new'!$8:$8,MATCH(DB[[#This Row],[Datum]],'Operations Forecast_new'!$2:$2,0)),0)</f>
        <v>51.1</v>
      </c>
      <c r="AN136" s="859">
        <f>IFERROR(INDEX('Operations Forecast_new'!$20:$20,MATCH(DB[[#This Row],[Datum]],'Operations Forecast_new'!$2:$2,0)),0)</f>
        <v>53.1</v>
      </c>
      <c r="AO136" s="44">
        <f t="shared" si="51"/>
        <v>50.589000000000006</v>
      </c>
      <c r="AP136" s="404">
        <f t="shared" si="52"/>
        <v>52.568999999999996</v>
      </c>
      <c r="AQ136" s="44">
        <f t="shared" si="56"/>
        <v>129334.98000000007</v>
      </c>
      <c r="AR136" s="44" cm="1">
        <f t="array" ref="AR136">IFERROR(INDEX('ST Forecast'!$E$2:$RK$36,25,M136)+(INDEX('ST Forecast'!$E$2:$RK$36,29,M136)),"")</f>
        <v>59931.051336991906</v>
      </c>
      <c r="AS136" s="44" cm="1">
        <f t="array" ref="AS136">IFERROR(INDEX('ST Forecast'!$E$2:$RK$36,26,M136)+INDEX('ST Forecast'!$E$2:$RK$36,30,M136),"")</f>
        <v>57162.485486692851</v>
      </c>
      <c r="AT136" s="44" cm="1">
        <f t="array" ref="AT136">IFERROR(INDEX('ST Forecast'!$E$2:$RK$36,27,M136)+INDEX('ST Forecast'!$E$2:$RK$36,31,M136),"")</f>
        <v>5539.3760041345167</v>
      </c>
      <c r="AU136" s="44" cm="1">
        <f t="array" ref="AU136">IFERROR(INDEX('ST Forecast'!$E$2:$RK$36,28,M136),"")</f>
        <v>6702.0671721807958</v>
      </c>
      <c r="AV136" s="44" cm="1">
        <f t="array" ref="AV136">IFERROR(INDEX('ST Forecast'!$E$2:$RK$36,29,M136),"")</f>
        <v>0</v>
      </c>
      <c r="AW136" s="44">
        <f>DB[[#This Row],[Inbound FC]]-DB[[#This Row],[Inbound Act - Ultrafresh2]]</f>
        <v>129334.98000000007</v>
      </c>
      <c r="AX136" s="178" t="e">
        <f>#REF!</f>
        <v>#REF!</v>
      </c>
      <c r="AY136" s="178" t="e">
        <f>#REF!</f>
        <v>#REF!</v>
      </c>
      <c r="AZ136" s="178" t="e">
        <f>#REF!</f>
        <v>#REF!</v>
      </c>
      <c r="BA136" s="178">
        <f>MONTH(DB[[#This Row],[Datum]])</f>
        <v>5</v>
      </c>
    </row>
    <row r="137" spans="1:53" x14ac:dyDescent="0.3">
      <c r="A137" s="44">
        <f t="shared" si="57"/>
        <v>19</v>
      </c>
      <c r="B137" t="str">
        <f t="shared" si="40"/>
        <v>Wk 19</v>
      </c>
      <c r="C137" t="s">
        <v>119</v>
      </c>
      <c r="D137" s="313">
        <v>44696</v>
      </c>
      <c r="E137" s="44">
        <f>DB[[#This Row],[Sales-FC-Orders-Collect]]+DB[[#This Row],[Sales-FC-Orders-HD]]</f>
        <v>100</v>
      </c>
      <c r="F137" s="402" cm="1">
        <f t="array" ref="F137">INDEX('LT Collect Forecast'!$K$1:$Q$55,MATCH(B137,'LT Collect Forecast'!$A:$A,0)+1,MATCH(C137,'LT Collect Forecast'!$K$2:$Q$2,0))</f>
        <v>0</v>
      </c>
      <c r="G137" s="44" cm="1">
        <f t="array" ref="G137">INDEX('LT HD Forecast'!$K$1:$Q$55,MATCH(B137,'LT HD Forecast'!$A:$A,0)+1,MATCH(C137,'LT HD Forecast'!$K$2:$Q$2,0))</f>
        <v>100</v>
      </c>
      <c r="H137" s="44" cm="1">
        <f t="array" ref="H137">IFERROR(INDEX('ST Forecast'!$E$2:$RK$36,6,M137),"")</f>
        <v>0</v>
      </c>
      <c r="I137" s="44" cm="1">
        <f t="array" ref="I137">IFERROR(INDEX('ST Forecast'!$E$2:$RK$36,7,M137),"")</f>
        <v>54.175497006192309</v>
      </c>
      <c r="J137" s="44">
        <f>SUM(DB[[#This Row],[Sales-FC-Picks-Collect]:[Sales-FC-Picks-HD]])</f>
        <v>5417.5497006192309</v>
      </c>
      <c r="K137" s="44">
        <f t="shared" si="53"/>
        <v>0</v>
      </c>
      <c r="L137" s="44">
        <f t="shared" si="54"/>
        <v>5417.5497006192309</v>
      </c>
      <c r="M137" s="403">
        <f>IFERROR(IF(B137=B136,M136+1,MATCH(B137,'ST Forecast'!$E$2:$RK$2,0)+1),"")</f>
        <v>152</v>
      </c>
      <c r="N137">
        <f>SUM(DB[[#This Row],[Ops-FC-Orders-Collect]:[Ops-FC-Orders-HD]])</f>
        <v>100</v>
      </c>
      <c r="O137" s="44" cm="1">
        <f t="array" ref="O137">IFERROR(INDEX('ST Forecast'!$E$2:$RK$36,13,M137),"")</f>
        <v>0</v>
      </c>
      <c r="P137" s="44">
        <f t="shared" si="43"/>
        <v>100</v>
      </c>
      <c r="Q137" s="44" cm="1">
        <f t="array" ref="Q137">IFERROR(INDEX('ST Forecast'!$E$2:$RK$36,14,M137),"")</f>
        <v>100</v>
      </c>
      <c r="R137" s="44" cm="1">
        <f t="array" ref="R137">IFERROR(INDEX('ST Forecast'!$E$2:$RK$36,15,M137),"")</f>
        <v>0</v>
      </c>
      <c r="S137" s="312">
        <f>SUM(DB[[#This Row],[Ops-FC-Picks-Collect]:[Ops-FC-Picks-HD]])</f>
        <v>5309.1987066068459</v>
      </c>
      <c r="T137" s="44">
        <f t="shared" si="44"/>
        <v>0</v>
      </c>
      <c r="U137" s="44">
        <f t="shared" si="45"/>
        <v>5309.1987066068459</v>
      </c>
      <c r="V137" s="44">
        <f t="shared" si="46"/>
        <v>5309.1987066068459</v>
      </c>
      <c r="W137" s="404">
        <f t="shared" si="47"/>
        <v>0</v>
      </c>
      <c r="X137" s="44">
        <f>SUM(DB[[#This Row],[Capped-Orders-Collect]:[Capped-Orders-HD]])</f>
        <v>90</v>
      </c>
      <c r="Y137">
        <f>INDEX('Operations Forecast'!$A$2:$BGY$47,3,MATCH(DB!D137,'Operations Forecast'!$A$2:$BGY$2))</f>
        <v>0</v>
      </c>
      <c r="Z137">
        <f t="shared" si="48"/>
        <v>90</v>
      </c>
      <c r="AA137">
        <f>INDEX('Operations Forecast'!$A$2:$BGY$47,10,MATCH(DB!D137,'Operations Forecast'!$A$2:$BGY$2))</f>
        <v>90</v>
      </c>
      <c r="AB137">
        <f>INDEX('Operations Forecast'!$A$2:$BGY$47,21,MATCH(DB!D137,'Operations Forecast'!$A$2:$BGY$2))</f>
        <v>0</v>
      </c>
      <c r="AC137" s="312">
        <f>SUM(DB[[#This Row],[Act-Orders-Collect]:[Act-Orders-HD]])</f>
        <v>72</v>
      </c>
      <c r="AD137" s="858">
        <f>IFERROR(INDEX('Operations Forecast_new'!$7:$7,MATCH(DB[[#This Row],[Datum]],'Operations Forecast_new'!$2:$2,0)),0)</f>
        <v>0</v>
      </c>
      <c r="AE137" s="312">
        <f t="shared" si="49"/>
        <v>72</v>
      </c>
      <c r="AF137" s="858">
        <f>IFERROR(INDEX('Operations Forecast_new'!$13:$13,MATCH(DB[[#This Row],[Datum]],'Operations Forecast_new'!$2:$2,0)),0)</f>
        <v>72</v>
      </c>
      <c r="AG137" s="858">
        <f>IFERROR(INDEX('Operations Forecast_new'!$19:$19,MATCH(DB[[#This Row],[Datum]],'Operations Forecast_new'!$2:$2,0)),0)</f>
        <v>0</v>
      </c>
      <c r="AH137" s="312">
        <f t="shared" si="55"/>
        <v>3962.9300750835837</v>
      </c>
      <c r="AI137" s="858">
        <f>IFERROR(INDEX('Operations Forecast_new'!$9:$9,MATCH(DB[[#This Row],[Datum]],'Operations Forecast_new'!$2:$2,0)),0)</f>
        <v>0</v>
      </c>
      <c r="AJ137" s="312">
        <f t="shared" si="50"/>
        <v>3962.9300750835837</v>
      </c>
      <c r="AK137" s="858">
        <f>IFERROR(INDEX('Operations Forecast_new'!$15:$15,MATCH(DB[[#This Row],[Datum]],'Operations Forecast_new'!$2:$2,0)),0)</f>
        <v>3962.9300750835837</v>
      </c>
      <c r="AL137" s="858">
        <f>IFERROR(INDEX('Operations Forecast_new'!$21:$21,MATCH(DB[[#This Row],[Datum]],'Operations Forecast_new'!$2:$2,0)),0)</f>
        <v>0</v>
      </c>
      <c r="AM137" s="178">
        <f>IFERROR(INDEX('Operations Forecast_new'!$8:$8,MATCH(DB[[#This Row],[Datum]],'Operations Forecast_new'!$2:$2,0)),0)</f>
        <v>0</v>
      </c>
      <c r="AN137" s="859">
        <f>IFERROR(INDEX('Operations Forecast_new'!$20:$20,MATCH(DB[[#This Row],[Datum]],'Operations Forecast_new'!$2:$2,0)),0)</f>
        <v>54.175497006192309</v>
      </c>
      <c r="AO137" s="44" t="str">
        <f t="shared" si="51"/>
        <v>-</v>
      </c>
      <c r="AP137" s="404">
        <f t="shared" si="52"/>
        <v>55.040695487271996</v>
      </c>
      <c r="AQ137" s="44">
        <f t="shared" si="56"/>
        <v>0</v>
      </c>
      <c r="AR137" s="44" cm="1">
        <f t="array" ref="AR137">IFERROR(INDEX('ST Forecast'!$E$2:$RK$36,25,M137)+(INDEX('ST Forecast'!$E$2:$RK$36,29,M137)),"")</f>
        <v>0</v>
      </c>
      <c r="AS137" s="44" cm="1">
        <f t="array" ref="AS137">IFERROR(INDEX('ST Forecast'!$E$2:$RK$36,26,M137)+INDEX('ST Forecast'!$E$2:$RK$36,30,M137),"")</f>
        <v>0</v>
      </c>
      <c r="AT137" s="44" cm="1">
        <f t="array" ref="AT137">IFERROR(INDEX('ST Forecast'!$E$2:$RK$36,27,M137)+INDEX('ST Forecast'!$E$2:$RK$36,31,M137),"")</f>
        <v>0</v>
      </c>
      <c r="AU137" s="44" cm="1">
        <f t="array" ref="AU137">IFERROR(INDEX('ST Forecast'!$E$2:$RK$36,28,M137),"")</f>
        <v>0</v>
      </c>
      <c r="AV137" s="44" cm="1">
        <f t="array" ref="AV137">IFERROR(INDEX('ST Forecast'!$E$2:$RK$36,29,M137),"")</f>
        <v>0</v>
      </c>
      <c r="AW137" s="44">
        <f>DB[[#This Row],[Inbound FC]]-DB[[#This Row],[Inbound Act - Ultrafresh2]]</f>
        <v>0</v>
      </c>
      <c r="AX137" s="178" t="e">
        <f>#REF!</f>
        <v>#REF!</v>
      </c>
      <c r="AY137" s="178" t="e">
        <f>#REF!</f>
        <v>#REF!</v>
      </c>
      <c r="AZ137" s="178" t="e">
        <f>#REF!</f>
        <v>#REF!</v>
      </c>
      <c r="BA137" s="178">
        <f>MONTH(DB[[#This Row],[Datum]])</f>
        <v>5</v>
      </c>
    </row>
    <row r="138" spans="1:53" x14ac:dyDescent="0.3">
      <c r="A138" s="44">
        <f t="shared" si="57"/>
        <v>20</v>
      </c>
      <c r="B138" t="str">
        <f t="shared" si="40"/>
        <v>Wk 20</v>
      </c>
      <c r="C138" t="s">
        <v>113</v>
      </c>
      <c r="D138" s="313">
        <v>44697</v>
      </c>
      <c r="E138" s="44">
        <f>DB[[#This Row],[Sales-FC-Orders-Collect]]+DB[[#This Row],[Sales-FC-Orders-HD]]</f>
        <v>2450</v>
      </c>
      <c r="F138" s="402">
        <f>INDEX('LT Collect Forecast'!$K$1:$Q$55,MATCH(B138,'LT Collect Forecast'!$A:$A,0),MATCH(C138,'LT Collect Forecast'!$K$2:$Q$2,0))</f>
        <v>800</v>
      </c>
      <c r="G138" s="44">
        <f>INDEX('LT HD Forecast'!$K$1:$Q$55,MATCH(B138,'LT HD Forecast'!$A:$A,0),MATCH(C138,'LT HD Forecast'!$K$2:$Q$2,0))</f>
        <v>1650</v>
      </c>
      <c r="H138" s="44" cm="1">
        <f t="array" ref="H138">IFERROR(INDEX('ST Forecast'!$E$2:$RK$36,6,M138),"")</f>
        <v>49.260059107617707</v>
      </c>
      <c r="I138" s="44" cm="1">
        <f t="array" ref="I138">IFERROR(INDEX('ST Forecast'!$E$2:$RK$36,7,M138),"")</f>
        <v>50.867613187396906</v>
      </c>
      <c r="J138" s="44">
        <f>SUM(DB[[#This Row],[Sales-FC-Picks-Collect]:[Sales-FC-Picks-HD]])</f>
        <v>123339.60904529906</v>
      </c>
      <c r="K138" s="44">
        <f t="shared" si="53"/>
        <v>39408.047286094166</v>
      </c>
      <c r="L138" s="44">
        <f t="shared" si="54"/>
        <v>83931.561759204895</v>
      </c>
      <c r="M138" s="403">
        <f>IFERROR(IF(B138=B137,M137+1,MATCH(B138,'ST Forecast'!$E$2:$RK$2,0)+1),"")</f>
        <v>154</v>
      </c>
      <c r="N138">
        <f>SUM(DB[[#This Row],[Ops-FC-Orders-Collect]:[Ops-FC-Orders-HD]])</f>
        <v>2450</v>
      </c>
      <c r="O138" s="44" cm="1">
        <f t="array" ref="O138">IFERROR(INDEX('ST Forecast'!$E$2:$RK$36,13,M138),"")</f>
        <v>800</v>
      </c>
      <c r="P138" s="44">
        <f t="shared" si="43"/>
        <v>1650</v>
      </c>
      <c r="Q138" s="44" cm="1">
        <f t="array" ref="Q138">IFERROR(INDEX('ST Forecast'!$E$2:$RK$36,14,M138),"")</f>
        <v>700</v>
      </c>
      <c r="R138" s="44" cm="1">
        <f t="array" ref="R138">IFERROR(INDEX('ST Forecast'!$E$2:$RK$36,15,M138),"")</f>
        <v>950</v>
      </c>
      <c r="S138" s="312">
        <f>SUM(DB[[#This Row],[Ops-FC-Picks-Collect]:[Ops-FC-Picks-HD]])</f>
        <v>120872.81686439307</v>
      </c>
      <c r="T138" s="44">
        <f t="shared" si="44"/>
        <v>38619.886340372279</v>
      </c>
      <c r="U138" s="44">
        <f t="shared" si="45"/>
        <v>82252.93052402079</v>
      </c>
      <c r="V138" s="44">
        <f t="shared" si="46"/>
        <v>34895.182646554276</v>
      </c>
      <c r="W138" s="404">
        <f t="shared" si="47"/>
        <v>47357.747877466514</v>
      </c>
      <c r="X138" s="44">
        <f>SUM(DB[[#This Row],[Capped-Orders-Collect]:[Capped-Orders-HD]])</f>
        <v>90</v>
      </c>
      <c r="Y138">
        <f>INDEX('Operations Forecast'!$A$2:$BGY$47,3,MATCH(DB!D138,'Operations Forecast'!$A$2:$BGY$2))</f>
        <v>0</v>
      </c>
      <c r="Z138">
        <f t="shared" si="48"/>
        <v>90</v>
      </c>
      <c r="AA138">
        <f>INDEX('Operations Forecast'!$A$2:$BGY$47,10,MATCH(DB!D138,'Operations Forecast'!$A$2:$BGY$2))</f>
        <v>90</v>
      </c>
      <c r="AB138">
        <f>INDEX('Operations Forecast'!$A$2:$BGY$47,21,MATCH(DB!D138,'Operations Forecast'!$A$2:$BGY$2))</f>
        <v>0</v>
      </c>
      <c r="AC138" s="312">
        <f>SUM(DB[[#This Row],[Act-Orders-Collect]:[Act-Orders-HD]])</f>
        <v>2292</v>
      </c>
      <c r="AD138" s="858">
        <f>IFERROR(INDEX('Operations Forecast_new'!$7:$7,MATCH(DB[[#This Row],[Datum]],'Operations Forecast_new'!$2:$2,0)),0)</f>
        <v>700</v>
      </c>
      <c r="AE138" s="312">
        <f t="shared" si="49"/>
        <v>1592</v>
      </c>
      <c r="AF138" s="858">
        <f>IFERROR(INDEX('Operations Forecast_new'!$13:$13,MATCH(DB[[#This Row],[Datum]],'Operations Forecast_new'!$2:$2,0)),0)</f>
        <v>648</v>
      </c>
      <c r="AG138" s="858">
        <f>IFERROR(INDEX('Operations Forecast_new'!$19:$19,MATCH(DB[[#This Row],[Datum]],'Operations Forecast_new'!$2:$2,0)),0)</f>
        <v>944</v>
      </c>
      <c r="AH138" s="312">
        <f t="shared" si="55"/>
        <v>112125.02399999999</v>
      </c>
      <c r="AI138" s="858">
        <f>IFERROR(INDEX('Operations Forecast_new'!$9:$9,MATCH(DB[[#This Row],[Datum]],'Operations Forecast_new'!$2:$2,0)),0)</f>
        <v>32848.199999999997</v>
      </c>
      <c r="AJ138" s="312">
        <f t="shared" si="50"/>
        <v>79276.823999999993</v>
      </c>
      <c r="AK138" s="858">
        <f>IFERROR(INDEX('Operations Forecast_new'!$15:$15,MATCH(DB[[#This Row],[Datum]],'Operations Forecast_new'!$2:$2,0)),0)</f>
        <v>32268.455999999998</v>
      </c>
      <c r="AL138" s="858">
        <f>IFERROR(INDEX('Operations Forecast_new'!$21:$21,MATCH(DB[[#This Row],[Datum]],'Operations Forecast_new'!$2:$2,0)),0)</f>
        <v>47008.367999999995</v>
      </c>
      <c r="AM138" s="178">
        <f>IFERROR(INDEX('Operations Forecast_new'!$8:$8,MATCH(DB[[#This Row],[Datum]],'Operations Forecast_new'!$2:$2,0)),0)</f>
        <v>47.4</v>
      </c>
      <c r="AN138" s="859">
        <f>IFERROR(INDEX('Operations Forecast_new'!$20:$20,MATCH(DB[[#This Row],[Datum]],'Operations Forecast_new'!$2:$2,0)),0)</f>
        <v>50.3</v>
      </c>
      <c r="AO138" s="44">
        <f t="shared" si="51"/>
        <v>46.925999999999995</v>
      </c>
      <c r="AP138" s="404">
        <f t="shared" si="52"/>
        <v>49.796999999999997</v>
      </c>
      <c r="AQ138" s="44">
        <f t="shared" si="56"/>
        <v>237033.00000000003</v>
      </c>
      <c r="AR138" s="44" cm="1">
        <f t="array" ref="AR138">IFERROR(INDEX('ST Forecast'!$E$2:$RK$36,25,M138)+(INDEX('ST Forecast'!$E$2:$RK$36,29,M138)),"")</f>
        <v>101870.5203639978</v>
      </c>
      <c r="AS138" s="44" cm="1">
        <f t="array" ref="AS138">IFERROR(INDEX('ST Forecast'!$E$2:$RK$36,26,M138)+INDEX('ST Forecast'!$E$2:$RK$36,30,M138),"")</f>
        <v>64137.294150466361</v>
      </c>
      <c r="AT138" s="44" cm="1">
        <f t="array" ref="AT138">IFERROR(INDEX('ST Forecast'!$E$2:$RK$36,27,M138)+INDEX('ST Forecast'!$E$2:$RK$36,31,M138),"")</f>
        <v>61679.056543329534</v>
      </c>
      <c r="AU138" s="44" cm="1">
        <f t="array" ref="AU138">IFERROR(INDEX('ST Forecast'!$E$2:$RK$36,28,M138),"")</f>
        <v>9346.1289422063146</v>
      </c>
      <c r="AV138" s="44" cm="1">
        <f t="array" ref="AV138">IFERROR(INDEX('ST Forecast'!$E$2:$RK$36,29,M138),"")</f>
        <v>0</v>
      </c>
      <c r="AW138" s="44">
        <f>DB[[#This Row],[Inbound FC]]-DB[[#This Row],[Inbound Act - Ultrafresh2]]</f>
        <v>237033.00000000003</v>
      </c>
      <c r="AX138" s="178" t="e">
        <f>#REF!</f>
        <v>#REF!</v>
      </c>
      <c r="AY138" s="178" t="e">
        <f>#REF!</f>
        <v>#REF!</v>
      </c>
      <c r="AZ138" s="178" t="e">
        <f>#REF!</f>
        <v>#REF!</v>
      </c>
      <c r="BA138" s="178">
        <f>MONTH(DB[[#This Row],[Datum]])</f>
        <v>5</v>
      </c>
    </row>
    <row r="139" spans="1:53" x14ac:dyDescent="0.3">
      <c r="A139" s="44">
        <f t="shared" si="57"/>
        <v>20</v>
      </c>
      <c r="B139" t="str">
        <f t="shared" si="40"/>
        <v>Wk 20</v>
      </c>
      <c r="C139" t="s">
        <v>114</v>
      </c>
      <c r="D139" s="313">
        <v>44698</v>
      </c>
      <c r="E139" s="44">
        <f>DB[[#This Row],[Sales-FC-Orders-Collect]]+DB[[#This Row],[Sales-FC-Orders-HD]]</f>
        <v>2550</v>
      </c>
      <c r="F139" s="402">
        <f>INDEX('LT Collect Forecast'!$K$1:$Q$55,MATCH(B139,'LT Collect Forecast'!$A:$A,0),MATCH(C139,'LT Collect Forecast'!$K$2:$Q$2,0))</f>
        <v>650</v>
      </c>
      <c r="G139" s="44">
        <f>INDEX('LT HD Forecast'!$K$1:$Q$55,MATCH(B139,'LT HD Forecast'!$A:$A,0),MATCH(C139,'LT HD Forecast'!$K$2:$Q$2,0))</f>
        <v>1900</v>
      </c>
      <c r="H139" s="44" cm="1">
        <f t="array" ref="H139">IFERROR(INDEX('ST Forecast'!$E$2:$RK$36,6,M139),"")</f>
        <v>46.457358826095223</v>
      </c>
      <c r="I139" s="44" cm="1">
        <f t="array" ref="I139">IFERROR(INDEX('ST Forecast'!$E$2:$RK$36,7,M139),"")</f>
        <v>49.729867391912698</v>
      </c>
      <c r="J139" s="44">
        <f>SUM(DB[[#This Row],[Sales-FC-Picks-Collect]:[Sales-FC-Picks-HD]])</f>
        <v>124684.03128159602</v>
      </c>
      <c r="K139" s="44">
        <f t="shared" si="53"/>
        <v>30197.283236961895</v>
      </c>
      <c r="L139" s="44">
        <f t="shared" si="54"/>
        <v>94486.748044634121</v>
      </c>
      <c r="M139" s="403">
        <f>IFERROR(IF(B139=B138,M138+1,MATCH(B139,'ST Forecast'!$E$2:$RK$2,0)+1),"")</f>
        <v>155</v>
      </c>
      <c r="N139">
        <f>SUM(DB[[#This Row],[Ops-FC-Orders-Collect]:[Ops-FC-Orders-HD]])</f>
        <v>2550</v>
      </c>
      <c r="O139" s="44" cm="1">
        <f t="array" ref="O139">IFERROR(INDEX('ST Forecast'!$E$2:$RK$36,13,M139),"")</f>
        <v>650</v>
      </c>
      <c r="P139" s="44">
        <f t="shared" si="43"/>
        <v>1900</v>
      </c>
      <c r="Q139" s="44" cm="1">
        <f t="array" ref="Q139">IFERROR(INDEX('ST Forecast'!$E$2:$RK$36,14,M139),"")</f>
        <v>900</v>
      </c>
      <c r="R139" s="44" cm="1">
        <f t="array" ref="R139">IFERROR(INDEX('ST Forecast'!$E$2:$RK$36,15,M139),"")</f>
        <v>1000</v>
      </c>
      <c r="S139" s="312">
        <f>SUM(DB[[#This Row],[Ops-FC-Picks-Collect]:[Ops-FC-Picks-HD]])</f>
        <v>122190.35065596408</v>
      </c>
      <c r="T139" s="44">
        <f t="shared" si="44"/>
        <v>29593.337572222656</v>
      </c>
      <c r="U139" s="44">
        <f t="shared" si="45"/>
        <v>92597.013083741433</v>
      </c>
      <c r="V139" s="44">
        <f t="shared" si="46"/>
        <v>43861.743039666995</v>
      </c>
      <c r="W139" s="404">
        <f t="shared" si="47"/>
        <v>48735.270044074437</v>
      </c>
      <c r="X139" s="44">
        <f>SUM(DB[[#This Row],[Capped-Orders-Collect]:[Capped-Orders-HD]])</f>
        <v>90</v>
      </c>
      <c r="Y139">
        <f>INDEX('Operations Forecast'!$A$2:$BGY$47,3,MATCH(DB!D139,'Operations Forecast'!$A$2:$BGY$2))</f>
        <v>0</v>
      </c>
      <c r="Z139">
        <f t="shared" si="48"/>
        <v>90</v>
      </c>
      <c r="AA139">
        <f>INDEX('Operations Forecast'!$A$2:$BGY$47,10,MATCH(DB!D139,'Operations Forecast'!$A$2:$BGY$2))</f>
        <v>90</v>
      </c>
      <c r="AB139">
        <f>INDEX('Operations Forecast'!$A$2:$BGY$47,21,MATCH(DB!D139,'Operations Forecast'!$A$2:$BGY$2))</f>
        <v>0</v>
      </c>
      <c r="AC139" s="312">
        <f>SUM(DB[[#This Row],[Act-Orders-Collect]:[Act-Orders-HD]])</f>
        <v>2368</v>
      </c>
      <c r="AD139" s="858">
        <f>IFERROR(INDEX('Operations Forecast_new'!$7:$7,MATCH(DB[[#This Row],[Datum]],'Operations Forecast_new'!$2:$2,0)),0)</f>
        <v>545</v>
      </c>
      <c r="AE139" s="312">
        <f t="shared" si="49"/>
        <v>1823</v>
      </c>
      <c r="AF139" s="858">
        <f>IFERROR(INDEX('Operations Forecast_new'!$13:$13,MATCH(DB[[#This Row],[Datum]],'Operations Forecast_new'!$2:$2,0)),0)</f>
        <v>800</v>
      </c>
      <c r="AG139" s="858">
        <f>IFERROR(INDEX('Operations Forecast_new'!$19:$19,MATCH(DB[[#This Row],[Datum]],'Operations Forecast_new'!$2:$2,0)),0)</f>
        <v>1023</v>
      </c>
      <c r="AH139" s="312">
        <f t="shared" si="55"/>
        <v>107358.76799999998</v>
      </c>
      <c r="AI139" s="858">
        <f>IFERROR(INDEX('Operations Forecast_new'!$9:$9,MATCH(DB[[#This Row],[Datum]],'Operations Forecast_new'!$2:$2,0)),0)</f>
        <v>22715.055</v>
      </c>
      <c r="AJ139" s="312">
        <f t="shared" si="50"/>
        <v>84643.712999999989</v>
      </c>
      <c r="AK139" s="858">
        <f>IFERROR(INDEX('Operations Forecast_new'!$15:$15,MATCH(DB[[#This Row],[Datum]],'Operations Forecast_new'!$2:$2,0)),0)</f>
        <v>37144.800000000003</v>
      </c>
      <c r="AL139" s="858">
        <f>IFERROR(INDEX('Operations Forecast_new'!$21:$21,MATCH(DB[[#This Row],[Datum]],'Operations Forecast_new'!$2:$2,0)),0)</f>
        <v>47498.912999999993</v>
      </c>
      <c r="AM139" s="178">
        <f>IFERROR(INDEX('Operations Forecast_new'!$8:$8,MATCH(DB[[#This Row],[Datum]],'Operations Forecast_new'!$2:$2,0)),0)</f>
        <v>42.1</v>
      </c>
      <c r="AN139" s="859">
        <f>IFERROR(INDEX('Operations Forecast_new'!$20:$20,MATCH(DB[[#This Row],[Datum]],'Operations Forecast_new'!$2:$2,0)),0)</f>
        <v>46.9</v>
      </c>
      <c r="AO139" s="44">
        <f t="shared" si="51"/>
        <v>41.679000000000002</v>
      </c>
      <c r="AP139" s="404">
        <f t="shared" si="52"/>
        <v>46.430999999999997</v>
      </c>
      <c r="AQ139" s="44">
        <f t="shared" si="56"/>
        <v>134845.00000000009</v>
      </c>
      <c r="AR139" s="44" cm="1">
        <f t="array" ref="AR139">IFERROR(INDEX('ST Forecast'!$E$2:$RK$36,25,M139)+(INDEX('ST Forecast'!$E$2:$RK$36,29,M139)),"")</f>
        <v>62385.511762605958</v>
      </c>
      <c r="AS139" s="44" cm="1">
        <f t="array" ref="AS139">IFERROR(INDEX('ST Forecast'!$E$2:$RK$36,26,M139)+INDEX('ST Forecast'!$E$2:$RK$36,30,M139),"")</f>
        <v>58560.866267816557</v>
      </c>
      <c r="AT139" s="44" cm="1">
        <f t="array" ref="AT139">IFERROR(INDEX('ST Forecast'!$E$2:$RK$36,27,M139)+INDEX('ST Forecast'!$E$2:$RK$36,31,M139),"")</f>
        <v>5890.8757740795982</v>
      </c>
      <c r="AU139" s="44" cm="1">
        <f t="array" ref="AU139">IFERROR(INDEX('ST Forecast'!$E$2:$RK$36,28,M139),"")</f>
        <v>8007.7461954979672</v>
      </c>
      <c r="AV139" s="44" cm="1">
        <f t="array" ref="AV139">IFERROR(INDEX('ST Forecast'!$E$2:$RK$36,29,M139),"")</f>
        <v>0</v>
      </c>
      <c r="AW139" s="44">
        <f>DB[[#This Row],[Inbound FC]]-DB[[#This Row],[Inbound Act - Ultrafresh2]]</f>
        <v>134845.00000000009</v>
      </c>
      <c r="AX139" s="178" t="e">
        <f>#REF!</f>
        <v>#REF!</v>
      </c>
      <c r="AY139" s="178" t="e">
        <f>#REF!</f>
        <v>#REF!</v>
      </c>
      <c r="AZ139" s="178" t="e">
        <f>#REF!</f>
        <v>#REF!</v>
      </c>
      <c r="BA139" s="178">
        <f>MONTH(DB[[#This Row],[Datum]])</f>
        <v>5</v>
      </c>
    </row>
    <row r="140" spans="1:53" x14ac:dyDescent="0.3">
      <c r="A140" s="44">
        <f t="shared" si="57"/>
        <v>20</v>
      </c>
      <c r="B140" t="str">
        <f t="shared" si="40"/>
        <v>Wk 20</v>
      </c>
      <c r="C140" t="s">
        <v>115</v>
      </c>
      <c r="D140" s="313">
        <v>44699</v>
      </c>
      <c r="E140" s="44">
        <f>DB[[#This Row],[Sales-FC-Orders-Collect]]+DB[[#This Row],[Sales-FC-Orders-HD]]</f>
        <v>2600</v>
      </c>
      <c r="F140" s="402">
        <f>INDEX('LT Collect Forecast'!$K$1:$Q$55,MATCH(B140,'LT Collect Forecast'!$A:$A,0),MATCH(C140,'LT Collect Forecast'!$K$2:$Q$2,0))</f>
        <v>650</v>
      </c>
      <c r="G140" s="44">
        <f>INDEX('LT HD Forecast'!$K$1:$Q$55,MATCH(B140,'LT HD Forecast'!$A:$A,0),MATCH(C140,'LT HD Forecast'!$K$2:$Q$2,0))</f>
        <v>1950</v>
      </c>
      <c r="H140" s="44" cm="1">
        <f t="array" ref="H140">IFERROR(INDEX('ST Forecast'!$E$2:$RK$36,6,M140),"")</f>
        <v>46.753026479484454</v>
      </c>
      <c r="I140" s="44" cm="1">
        <f t="array" ref="I140">IFERROR(INDEX('ST Forecast'!$E$2:$RK$36,7,M140),"")</f>
        <v>50.649111953764155</v>
      </c>
      <c r="J140" s="44">
        <f>SUM(DB[[#This Row],[Sales-FC-Picks-Collect]:[Sales-FC-Picks-HD]])</f>
        <v>129155.235521505</v>
      </c>
      <c r="K140" s="44">
        <f t="shared" si="53"/>
        <v>30389.467211664894</v>
      </c>
      <c r="L140" s="44">
        <f t="shared" si="54"/>
        <v>98765.768309840103</v>
      </c>
      <c r="M140" s="403">
        <f>IFERROR(IF(B140=B139,M139+1,MATCH(B140,'ST Forecast'!$E$2:$RK$2,0)+1),"")</f>
        <v>156</v>
      </c>
      <c r="N140">
        <f>SUM(DB[[#This Row],[Ops-FC-Orders-Collect]:[Ops-FC-Orders-HD]])</f>
        <v>2600</v>
      </c>
      <c r="O140" s="44" cm="1">
        <f t="array" ref="O140">IFERROR(INDEX('ST Forecast'!$E$2:$RK$36,13,M140),"")</f>
        <v>650</v>
      </c>
      <c r="P140" s="44">
        <f t="shared" si="43"/>
        <v>1950</v>
      </c>
      <c r="Q140" s="44" cm="1">
        <f t="array" ref="Q140">IFERROR(INDEX('ST Forecast'!$E$2:$RK$36,14,M140),"")</f>
        <v>950</v>
      </c>
      <c r="R140" s="44" cm="1">
        <f t="array" ref="R140">IFERROR(INDEX('ST Forecast'!$E$2:$RK$36,15,M140),"")</f>
        <v>1000</v>
      </c>
      <c r="S140" s="312">
        <f>SUM(DB[[#This Row],[Ops-FC-Picks-Collect]:[Ops-FC-Picks-HD]])</f>
        <v>126572.13081107489</v>
      </c>
      <c r="T140" s="44">
        <f t="shared" si="44"/>
        <v>29781.677867431597</v>
      </c>
      <c r="U140" s="44">
        <f t="shared" si="45"/>
        <v>96790.452943643293</v>
      </c>
      <c r="V140" s="44">
        <f t="shared" si="46"/>
        <v>47154.323228954425</v>
      </c>
      <c r="W140" s="404">
        <f t="shared" si="47"/>
        <v>49636.129714688876</v>
      </c>
      <c r="X140" s="44">
        <f>SUM(DB[[#This Row],[Capped-Orders-Collect]:[Capped-Orders-HD]])</f>
        <v>90</v>
      </c>
      <c r="Y140">
        <f>INDEX('Operations Forecast'!$A$2:$BGY$47,3,MATCH(DB!D140,'Operations Forecast'!$A$2:$BGY$2))</f>
        <v>0</v>
      </c>
      <c r="Z140">
        <f t="shared" si="48"/>
        <v>90</v>
      </c>
      <c r="AA140">
        <f>INDEX('Operations Forecast'!$A$2:$BGY$47,10,MATCH(DB!D140,'Operations Forecast'!$A$2:$BGY$2))</f>
        <v>90</v>
      </c>
      <c r="AB140">
        <f>INDEX('Operations Forecast'!$A$2:$BGY$47,21,MATCH(DB!D140,'Operations Forecast'!$A$2:$BGY$2))</f>
        <v>0</v>
      </c>
      <c r="AC140" s="312">
        <f>SUM(DB[[#This Row],[Act-Orders-Collect]:[Act-Orders-HD]])</f>
        <v>2321</v>
      </c>
      <c r="AD140" s="858">
        <f>IFERROR(INDEX('Operations Forecast_new'!$7:$7,MATCH(DB[[#This Row],[Datum]],'Operations Forecast_new'!$2:$2,0)),0)</f>
        <v>575</v>
      </c>
      <c r="AE140" s="312">
        <f t="shared" si="49"/>
        <v>1746</v>
      </c>
      <c r="AF140" s="858">
        <f>IFERROR(INDEX('Operations Forecast_new'!$13:$13,MATCH(DB[[#This Row],[Datum]],'Operations Forecast_new'!$2:$2,0)),0)</f>
        <v>806</v>
      </c>
      <c r="AG140" s="858">
        <f>IFERROR(INDEX('Operations Forecast_new'!$19:$19,MATCH(DB[[#This Row],[Datum]],'Operations Forecast_new'!$2:$2,0)),0)</f>
        <v>940</v>
      </c>
      <c r="AH140" s="312">
        <f t="shared" si="55"/>
        <v>112049.48700000001</v>
      </c>
      <c r="AI140" s="858">
        <f>IFERROR(INDEX('Operations Forecast_new'!$9:$9,MATCH(DB[[#This Row],[Datum]],'Operations Forecast_new'!$2:$2,0)),0)</f>
        <v>25103.924999999999</v>
      </c>
      <c r="AJ140" s="312">
        <f t="shared" si="50"/>
        <v>86945.562000000005</v>
      </c>
      <c r="AK140" s="858">
        <f>IFERROR(INDEX('Operations Forecast_new'!$15:$15,MATCH(DB[[#This Row],[Datum]],'Operations Forecast_new'!$2:$2,0)),0)</f>
        <v>40136.381999999998</v>
      </c>
      <c r="AL140" s="858">
        <f>IFERROR(INDEX('Operations Forecast_new'!$21:$21,MATCH(DB[[#This Row],[Datum]],'Operations Forecast_new'!$2:$2,0)),0)</f>
        <v>46809.18</v>
      </c>
      <c r="AM140" s="178">
        <f>IFERROR(INDEX('Operations Forecast_new'!$8:$8,MATCH(DB[[#This Row],[Datum]],'Operations Forecast_new'!$2:$2,0)),0)</f>
        <v>44.1</v>
      </c>
      <c r="AN140" s="859">
        <f>IFERROR(INDEX('Operations Forecast_new'!$20:$20,MATCH(DB[[#This Row],[Datum]],'Operations Forecast_new'!$2:$2,0)),0)</f>
        <v>50.3</v>
      </c>
      <c r="AO140" s="44">
        <f t="shared" si="51"/>
        <v>43.658999999999999</v>
      </c>
      <c r="AP140" s="404">
        <f t="shared" si="52"/>
        <v>49.797000000000004</v>
      </c>
      <c r="AQ140" s="44">
        <f t="shared" si="56"/>
        <v>150045.83140000008</v>
      </c>
      <c r="AR140" s="44" cm="1">
        <f t="array" ref="AR140">IFERROR(INDEX('ST Forecast'!$E$2:$RK$36,25,M140)+(INDEX('ST Forecast'!$E$2:$RK$36,29,M140)),"")</f>
        <v>60376.833053928051</v>
      </c>
      <c r="AS140" s="44" cm="1">
        <f t="array" ref="AS140">IFERROR(INDEX('ST Forecast'!$E$2:$RK$36,26,M140)+INDEX('ST Forecast'!$E$2:$RK$36,30,M140),"")</f>
        <v>59736.652417713362</v>
      </c>
      <c r="AT140" s="44" cm="1">
        <f t="array" ref="AT140">IFERROR(INDEX('ST Forecast'!$E$2:$RK$36,27,M140)+INDEX('ST Forecast'!$E$2:$RK$36,31,M140),"")</f>
        <v>21239.854416768856</v>
      </c>
      <c r="AU140" s="44" cm="1">
        <f t="array" ref="AU140">IFERROR(INDEX('ST Forecast'!$E$2:$RK$36,28,M140),"")</f>
        <v>8692.4915115898129</v>
      </c>
      <c r="AV140" s="44" cm="1">
        <f t="array" ref="AV140">IFERROR(INDEX('ST Forecast'!$E$2:$RK$36,29,M140),"")</f>
        <v>0</v>
      </c>
      <c r="AW140" s="44">
        <f>DB[[#This Row],[Inbound FC]]-DB[[#This Row],[Inbound Act - Ultrafresh2]]</f>
        <v>150045.83140000008</v>
      </c>
      <c r="AX140" s="178" t="e">
        <f>#REF!</f>
        <v>#REF!</v>
      </c>
      <c r="AY140" s="178" t="e">
        <f>#REF!</f>
        <v>#REF!</v>
      </c>
      <c r="AZ140" s="178" t="e">
        <f>#REF!</f>
        <v>#REF!</v>
      </c>
      <c r="BA140" s="178">
        <f>MONTH(DB[[#This Row],[Datum]])</f>
        <v>5</v>
      </c>
    </row>
    <row r="141" spans="1:53" x14ac:dyDescent="0.3">
      <c r="A141" s="44">
        <f t="shared" si="57"/>
        <v>20</v>
      </c>
      <c r="B141" t="str">
        <f t="shared" ref="B141:B204" si="58">"Wk "&amp;A141</f>
        <v>Wk 20</v>
      </c>
      <c r="C141" t="s">
        <v>116</v>
      </c>
      <c r="D141" s="313">
        <v>44700</v>
      </c>
      <c r="E141" s="44">
        <f>DB[[#This Row],[Sales-FC-Orders-Collect]]+DB[[#This Row],[Sales-FC-Orders-HD]]</f>
        <v>2450</v>
      </c>
      <c r="F141" s="402" cm="1">
        <f t="array" ref="F141">INDEX('LT Collect Forecast'!$K$1:$Q$55,MATCH(B141,'LT Collect Forecast'!$A:$A,0)+1,MATCH(C141,'LT Collect Forecast'!$K$2:$Q$2,0))</f>
        <v>600</v>
      </c>
      <c r="G141" s="44" cm="1">
        <f t="array" ref="G141">INDEX('LT HD Forecast'!$K$1:$Q$55,MATCH(B141,'LT HD Forecast'!$A:$A,0)+1,MATCH(C141,'LT HD Forecast'!$K$2:$Q$2,0))</f>
        <v>1850</v>
      </c>
      <c r="H141" s="44" cm="1">
        <f t="array" ref="H141">IFERROR(INDEX('ST Forecast'!$E$2:$RK$36,6,M141),"")</f>
        <v>47.906080226006011</v>
      </c>
      <c r="I141" s="44" cm="1">
        <f t="array" ref="I141">IFERROR(INDEX('ST Forecast'!$E$2:$RK$36,7,M141),"")</f>
        <v>50.163748746151356</v>
      </c>
      <c r="J141" s="44">
        <f>SUM(DB[[#This Row],[Sales-FC-Picks-Collect]:[Sales-FC-Picks-HD]])</f>
        <v>121546.58331598362</v>
      </c>
      <c r="K141" s="44">
        <f t="shared" si="53"/>
        <v>28743.648135603606</v>
      </c>
      <c r="L141" s="44">
        <f t="shared" si="54"/>
        <v>92802.935180380009</v>
      </c>
      <c r="M141" s="403">
        <f>IFERROR(IF(B141=B140,M140+1,MATCH(B141,'ST Forecast'!$E$2:$RK$2,0)+1),"")</f>
        <v>157</v>
      </c>
      <c r="N141">
        <f>SUM(DB[[#This Row],[Ops-FC-Orders-Collect]:[Ops-FC-Orders-HD]])</f>
        <v>2550</v>
      </c>
      <c r="O141" s="44" cm="1">
        <f t="array" ref="O141">IFERROR(INDEX('ST Forecast'!$E$2:$RK$36,13,M141),"")</f>
        <v>650</v>
      </c>
      <c r="P141" s="44">
        <f t="shared" ref="P141:P204" si="59">IFERROR(Q141+R141,"")</f>
        <v>1900</v>
      </c>
      <c r="Q141" s="44" cm="1">
        <f t="array" ref="Q141">IFERROR(INDEX('ST Forecast'!$E$2:$RK$36,14,M141),"")</f>
        <v>900</v>
      </c>
      <c r="R141" s="44" cm="1">
        <f t="array" ref="R141">IFERROR(INDEX('ST Forecast'!$E$2:$RK$36,15,M141),"")</f>
        <v>1000</v>
      </c>
      <c r="S141" s="312">
        <f>SUM(DB[[#This Row],[Ops-FC-Picks-Collect]:[Ops-FC-Picks-HD]])</f>
        <v>123921.07326929964</v>
      </c>
      <c r="T141" s="44">
        <f t="shared" ref="T141:T204" si="60">IFERROR(O141*H141*$B$1,"")</f>
        <v>30516.173103965826</v>
      </c>
      <c r="U141" s="44">
        <f t="shared" ref="U141:U204" si="61">IFERROR(V141+W141,"")</f>
        <v>93404.90016533382</v>
      </c>
      <c r="V141" s="44">
        <f t="shared" ref="V141:V204" si="62">IFERROR(Q141*I141*$B$1,"")</f>
        <v>44244.426394105496</v>
      </c>
      <c r="W141" s="404">
        <f t="shared" ref="W141:W204" si="63">IFERROR(R141*I141*$B$1,"")</f>
        <v>49160.473771228331</v>
      </c>
      <c r="X141" s="44">
        <f>SUM(DB[[#This Row],[Capped-Orders-Collect]:[Capped-Orders-HD]])</f>
        <v>90</v>
      </c>
      <c r="Y141">
        <f>INDEX('Operations Forecast'!$A$2:$BGY$47,3,MATCH(DB!D141,'Operations Forecast'!$A$2:$BGY$2))</f>
        <v>0</v>
      </c>
      <c r="Z141">
        <f t="shared" ref="Z141:Z204" si="64">SUM(AA141:AB141)</f>
        <v>90</v>
      </c>
      <c r="AA141">
        <f>INDEX('Operations Forecast'!$A$2:$BGY$47,10,MATCH(DB!D141,'Operations Forecast'!$A$2:$BGY$2))</f>
        <v>90</v>
      </c>
      <c r="AB141">
        <f>INDEX('Operations Forecast'!$A$2:$BGY$47,21,MATCH(DB!D141,'Operations Forecast'!$A$2:$BGY$2))</f>
        <v>0</v>
      </c>
      <c r="AC141" s="312">
        <f>SUM(DB[[#This Row],[Act-Orders-Collect]:[Act-Orders-HD]])</f>
        <v>2181</v>
      </c>
      <c r="AD141" s="858">
        <f>IFERROR(INDEX('Operations Forecast_new'!$7:$7,MATCH(DB[[#This Row],[Datum]],'Operations Forecast_new'!$2:$2,0)),0)</f>
        <v>550</v>
      </c>
      <c r="AE141" s="312">
        <f t="shared" ref="AE141:AE204" si="65">AF141+AG141</f>
        <v>1631</v>
      </c>
      <c r="AF141" s="858">
        <f>IFERROR(INDEX('Operations Forecast_new'!$13:$13,MATCH(DB[[#This Row],[Datum]],'Operations Forecast_new'!$2:$2,0)),0)</f>
        <v>710</v>
      </c>
      <c r="AG141" s="858">
        <f>IFERROR(INDEX('Operations Forecast_new'!$19:$19,MATCH(DB[[#This Row],[Datum]],'Operations Forecast_new'!$2:$2,0)),0)</f>
        <v>921</v>
      </c>
      <c r="AH141" s="312">
        <f t="shared" si="55"/>
        <v>107674.083</v>
      </c>
      <c r="AI141" s="858">
        <f>IFERROR(INDEX('Operations Forecast_new'!$9:$9,MATCH(DB[[#This Row],[Datum]],'Operations Forecast_new'!$2:$2,0)),0)</f>
        <v>25809.3</v>
      </c>
      <c r="AJ141" s="312">
        <f t="shared" ref="AJ141:AJ204" si="66">AK141+AL141</f>
        <v>81864.782999999996</v>
      </c>
      <c r="AK141" s="858">
        <f>IFERROR(INDEX('Operations Forecast_new'!$15:$15,MATCH(DB[[#This Row],[Datum]],'Operations Forecast_new'!$2:$2,0)),0)</f>
        <v>35637.03</v>
      </c>
      <c r="AL141" s="858">
        <f>IFERROR(INDEX('Operations Forecast_new'!$21:$21,MATCH(DB[[#This Row],[Datum]],'Operations Forecast_new'!$2:$2,0)),0)</f>
        <v>46227.753000000004</v>
      </c>
      <c r="AM141" s="178">
        <f>IFERROR(INDEX('Operations Forecast_new'!$8:$8,MATCH(DB[[#This Row],[Datum]],'Operations Forecast_new'!$2:$2,0)),0)</f>
        <v>47.4</v>
      </c>
      <c r="AN141" s="859">
        <f>IFERROR(INDEX('Operations Forecast_new'!$20:$20,MATCH(DB[[#This Row],[Datum]],'Operations Forecast_new'!$2:$2,0)),0)</f>
        <v>50.7</v>
      </c>
      <c r="AO141" s="44">
        <f t="shared" ref="AO141:AO204" si="67">IFERROR(AI141/AD141,"-")</f>
        <v>46.926000000000002</v>
      </c>
      <c r="AP141" s="404">
        <f t="shared" ref="AP141:AP204" si="68">IFERROR(AJ141/AE141,"-")</f>
        <v>50.192999999999998</v>
      </c>
      <c r="AQ141" s="44">
        <f t="shared" si="56"/>
        <v>130031.00000000006</v>
      </c>
      <c r="AR141" s="44" cm="1">
        <f t="array" ref="AR141">IFERROR(INDEX('ST Forecast'!$E$2:$RK$36,25,M141)+(INDEX('ST Forecast'!$E$2:$RK$36,29,M141)),"")</f>
        <v>56748.692723049957</v>
      </c>
      <c r="AS141" s="44" cm="1">
        <f t="array" ref="AS141">IFERROR(INDEX('ST Forecast'!$E$2:$RK$36,26,M141)+INDEX('ST Forecast'!$E$2:$RK$36,30,M141),"")</f>
        <v>54186.456816306723</v>
      </c>
      <c r="AT141" s="44" cm="1">
        <f t="array" ref="AT141">IFERROR(INDEX('ST Forecast'!$E$2:$RK$36,27,M141)+INDEX('ST Forecast'!$E$2:$RK$36,31,M141),"")</f>
        <v>10136.992003204667</v>
      </c>
      <c r="AU141" s="44" cm="1">
        <f t="array" ref="AU141">IFERROR(INDEX('ST Forecast'!$E$2:$RK$36,28,M141),"")</f>
        <v>8958.8584574387187</v>
      </c>
      <c r="AV141" s="44" cm="1">
        <f t="array" ref="AV141">IFERROR(INDEX('ST Forecast'!$E$2:$RK$36,29,M141),"")</f>
        <v>0</v>
      </c>
      <c r="AW141" s="44">
        <f>DB[[#This Row],[Inbound FC]]-DB[[#This Row],[Inbound Act - Ultrafresh2]]</f>
        <v>130031.00000000006</v>
      </c>
      <c r="AX141" s="178" t="e">
        <f>#REF!</f>
        <v>#REF!</v>
      </c>
      <c r="AY141" s="178" t="e">
        <f>#REF!</f>
        <v>#REF!</v>
      </c>
      <c r="AZ141" s="178" t="e">
        <f>#REF!</f>
        <v>#REF!</v>
      </c>
      <c r="BA141" s="178">
        <f>MONTH(DB[[#This Row],[Datum]])</f>
        <v>5</v>
      </c>
    </row>
    <row r="142" spans="1:53" x14ac:dyDescent="0.3">
      <c r="A142" s="44">
        <f t="shared" si="57"/>
        <v>20</v>
      </c>
      <c r="B142" t="str">
        <f t="shared" si="58"/>
        <v>Wk 20</v>
      </c>
      <c r="C142" t="s">
        <v>117</v>
      </c>
      <c r="D142" s="313">
        <v>44701</v>
      </c>
      <c r="E142" s="44">
        <f>DB[[#This Row],[Sales-FC-Orders-Collect]]+DB[[#This Row],[Sales-FC-Orders-HD]]</f>
        <v>2950</v>
      </c>
      <c r="F142" s="402" cm="1">
        <f t="array" ref="F142">INDEX('LT Collect Forecast'!$K$1:$Q$55,MATCH(B142,'LT Collect Forecast'!$A:$A,0)+1,MATCH(C142,'LT Collect Forecast'!$K$2:$Q$2,0))</f>
        <v>1050</v>
      </c>
      <c r="G142" s="44" cm="1">
        <f t="array" ref="G142">INDEX('LT HD Forecast'!$K$1:$Q$55,MATCH(B142,'LT HD Forecast'!$A:$A,0)+1,MATCH(C142,'LT HD Forecast'!$K$2:$Q$2,0))</f>
        <v>1900</v>
      </c>
      <c r="H142" s="44" cm="1">
        <f t="array" ref="H142">IFERROR(INDEX('ST Forecast'!$E$2:$RK$36,6,M142),"")</f>
        <v>51.376068525329821</v>
      </c>
      <c r="I142" s="44" cm="1">
        <f t="array" ref="I142">IFERROR(INDEX('ST Forecast'!$E$2:$RK$36,7,M142),"")</f>
        <v>50.644815107310272</v>
      </c>
      <c r="J142" s="44">
        <f>SUM(DB[[#This Row],[Sales-FC-Picks-Collect]:[Sales-FC-Picks-HD]])</f>
        <v>150170.02065548583</v>
      </c>
      <c r="K142" s="44">
        <f t="shared" si="53"/>
        <v>53944.871951596309</v>
      </c>
      <c r="L142" s="44">
        <f t="shared" si="54"/>
        <v>96225.148703889514</v>
      </c>
      <c r="M142" s="403">
        <f>IFERROR(IF(B142=B141,M141+1,MATCH(B142,'ST Forecast'!$E$2:$RK$2,0)+1),"")</f>
        <v>158</v>
      </c>
      <c r="N142">
        <f>SUM(DB[[#This Row],[Ops-FC-Orders-Collect]:[Ops-FC-Orders-HD]])</f>
        <v>3050</v>
      </c>
      <c r="O142" s="44" cm="1">
        <f t="array" ref="O142">IFERROR(INDEX('ST Forecast'!$E$2:$RK$36,13,M142),"")</f>
        <v>1050</v>
      </c>
      <c r="P142" s="44">
        <f t="shared" si="59"/>
        <v>2000</v>
      </c>
      <c r="Q142" s="44" cm="1">
        <f t="array" ref="Q142">IFERROR(INDEX('ST Forecast'!$E$2:$RK$36,14,M142),"")</f>
        <v>950</v>
      </c>
      <c r="R142" s="44" cm="1">
        <f t="array" ref="R142">IFERROR(INDEX('ST Forecast'!$E$2:$RK$36,15,M142),"")</f>
        <v>1050</v>
      </c>
      <c r="S142" s="312">
        <f>SUM(DB[[#This Row],[Ops-FC-Picks-Collect]:[Ops-FC-Picks-HD]])</f>
        <v>152129.81212289253</v>
      </c>
      <c r="T142" s="44">
        <f t="shared" si="60"/>
        <v>52865.974512564382</v>
      </c>
      <c r="U142" s="44">
        <f t="shared" si="61"/>
        <v>99263.837610328133</v>
      </c>
      <c r="V142" s="44">
        <f t="shared" si="62"/>
        <v>47150.322864905858</v>
      </c>
      <c r="W142" s="404">
        <f t="shared" si="63"/>
        <v>52113.514745422268</v>
      </c>
      <c r="X142" s="44">
        <f>SUM(DB[[#This Row],[Capped-Orders-Collect]:[Capped-Orders-HD]])</f>
        <v>90</v>
      </c>
      <c r="Y142">
        <f>INDEX('Operations Forecast'!$A$2:$BGY$47,3,MATCH(DB!D142,'Operations Forecast'!$A$2:$BGY$2))</f>
        <v>0</v>
      </c>
      <c r="Z142">
        <f t="shared" si="64"/>
        <v>90</v>
      </c>
      <c r="AA142">
        <f>INDEX('Operations Forecast'!$A$2:$BGY$47,10,MATCH(DB!D142,'Operations Forecast'!$A$2:$BGY$2))</f>
        <v>90</v>
      </c>
      <c r="AB142">
        <f>INDEX('Operations Forecast'!$A$2:$BGY$47,21,MATCH(DB!D142,'Operations Forecast'!$A$2:$BGY$2))</f>
        <v>0</v>
      </c>
      <c r="AC142" s="312">
        <f>SUM(DB[[#This Row],[Act-Orders-Collect]:[Act-Orders-HD]])</f>
        <v>2820</v>
      </c>
      <c r="AD142" s="858">
        <f>IFERROR(INDEX('Operations Forecast_new'!$7:$7,MATCH(DB[[#This Row],[Datum]],'Operations Forecast_new'!$2:$2,0)),0)</f>
        <v>1015</v>
      </c>
      <c r="AE142" s="312">
        <f t="shared" si="65"/>
        <v>1805</v>
      </c>
      <c r="AF142" s="858">
        <f>IFERROR(INDEX('Operations Forecast_new'!$13:$13,MATCH(DB[[#This Row],[Datum]],'Operations Forecast_new'!$2:$2,0)),0)</f>
        <v>840</v>
      </c>
      <c r="AG142" s="858">
        <f>IFERROR(INDEX('Operations Forecast_new'!$19:$19,MATCH(DB[[#This Row],[Datum]],'Operations Forecast_new'!$2:$2,0)),0)</f>
        <v>965</v>
      </c>
      <c r="AH142" s="312">
        <f t="shared" si="55"/>
        <v>142114.005</v>
      </c>
      <c r="AI142" s="858">
        <f>IFERROR(INDEX('Operations Forecast_new'!$9:$9,MATCH(DB[[#This Row],[Datum]],'Operations Forecast_new'!$2:$2,0)),0)</f>
        <v>50443.47</v>
      </c>
      <c r="AJ142" s="312">
        <f t="shared" si="66"/>
        <v>91670.535000000003</v>
      </c>
      <c r="AK142" s="858">
        <f>IFERROR(INDEX('Operations Forecast_new'!$15:$15,MATCH(DB[[#This Row],[Datum]],'Operations Forecast_new'!$2:$2,0)),0)</f>
        <v>42661.08</v>
      </c>
      <c r="AL142" s="858">
        <f>IFERROR(INDEX('Operations Forecast_new'!$21:$21,MATCH(DB[[#This Row],[Datum]],'Operations Forecast_new'!$2:$2,0)),0)</f>
        <v>49009.455000000002</v>
      </c>
      <c r="AM142" s="178">
        <f>IFERROR(INDEX('Operations Forecast_new'!$8:$8,MATCH(DB[[#This Row],[Datum]],'Operations Forecast_new'!$2:$2,0)),0)</f>
        <v>50.2</v>
      </c>
      <c r="AN142" s="859">
        <f>IFERROR(INDEX('Operations Forecast_new'!$20:$20,MATCH(DB[[#This Row],[Datum]],'Operations Forecast_new'!$2:$2,0)),0)</f>
        <v>51.3</v>
      </c>
      <c r="AO142" s="44">
        <f t="shared" si="67"/>
        <v>49.698</v>
      </c>
      <c r="AP142" s="404">
        <f t="shared" si="68"/>
        <v>50.786999999999999</v>
      </c>
      <c r="AQ142" s="44">
        <f t="shared" si="56"/>
        <v>125595.00000000007</v>
      </c>
      <c r="AR142" s="44" cm="1">
        <f t="array" ref="AR142">IFERROR(INDEX('ST Forecast'!$E$2:$RK$36,25,M142)+(INDEX('ST Forecast'!$E$2:$RK$36,29,M142)),"")</f>
        <v>55594.135446805565</v>
      </c>
      <c r="AS142" s="44" cm="1">
        <f t="array" ref="AS142">IFERROR(INDEX('ST Forecast'!$E$2:$RK$36,26,M142)+INDEX('ST Forecast'!$E$2:$RK$36,30,M142),"")</f>
        <v>55659.909825662362</v>
      </c>
      <c r="AT142" s="44" cm="1">
        <f t="array" ref="AT142">IFERROR(INDEX('ST Forecast'!$E$2:$RK$36,27,M142)+INDEX('ST Forecast'!$E$2:$RK$36,31,M142),"")</f>
        <v>5486.7777288407215</v>
      </c>
      <c r="AU142" s="44" cm="1">
        <f t="array" ref="AU142">IFERROR(INDEX('ST Forecast'!$E$2:$RK$36,28,M142),"")</f>
        <v>8854.1769986914296</v>
      </c>
      <c r="AV142" s="44" cm="1">
        <f t="array" ref="AV142">IFERROR(INDEX('ST Forecast'!$E$2:$RK$36,29,M142),"")</f>
        <v>0</v>
      </c>
      <c r="AW142" s="44">
        <f>DB[[#This Row],[Inbound FC]]-DB[[#This Row],[Inbound Act - Ultrafresh2]]</f>
        <v>125595.00000000007</v>
      </c>
      <c r="AX142" s="178" t="e">
        <f>#REF!</f>
        <v>#REF!</v>
      </c>
      <c r="AY142" s="178" t="e">
        <f>#REF!</f>
        <v>#REF!</v>
      </c>
      <c r="AZ142" s="178" t="e">
        <f>#REF!</f>
        <v>#REF!</v>
      </c>
      <c r="BA142" s="178">
        <f>MONTH(DB[[#This Row],[Datum]])</f>
        <v>5</v>
      </c>
    </row>
    <row r="143" spans="1:53" x14ac:dyDescent="0.3">
      <c r="A143" s="44">
        <f t="shared" si="57"/>
        <v>20</v>
      </c>
      <c r="B143" t="str">
        <f t="shared" si="58"/>
        <v>Wk 20</v>
      </c>
      <c r="C143" t="s">
        <v>118</v>
      </c>
      <c r="D143" s="313">
        <v>44702</v>
      </c>
      <c r="E143" s="44">
        <f>DB[[#This Row],[Sales-FC-Orders-Collect]]+DB[[#This Row],[Sales-FC-Orders-HD]]</f>
        <v>2750</v>
      </c>
      <c r="F143" s="402" cm="1">
        <f t="array" ref="F143">INDEX('LT Collect Forecast'!$K$1:$Q$55,MATCH(B143,'LT Collect Forecast'!$A:$A,0)+1,MATCH(C143,'LT Collect Forecast'!$K$2:$Q$2,0))</f>
        <v>900</v>
      </c>
      <c r="G143" s="44" cm="1">
        <f t="array" ref="G143">INDEX('LT HD Forecast'!$K$1:$Q$55,MATCH(B143,'LT HD Forecast'!$A:$A,0)+1,MATCH(C143,'LT HD Forecast'!$K$2:$Q$2,0))</f>
        <v>1850</v>
      </c>
      <c r="H143" s="44" cm="1">
        <f t="array" ref="H143">IFERROR(INDEX('ST Forecast'!$E$2:$RK$36,6,M143),"")</f>
        <v>51.440959297862342</v>
      </c>
      <c r="I143" s="44" cm="1">
        <f t="array" ref="I143">IFERROR(INDEX('ST Forecast'!$E$2:$RK$36,7,M143),"")</f>
        <v>50.232870264314293</v>
      </c>
      <c r="J143" s="44">
        <f>SUM(DB[[#This Row],[Sales-FC-Picks-Collect]:[Sales-FC-Picks-HD]])</f>
        <v>139227.67335705756</v>
      </c>
      <c r="K143" s="44">
        <f t="shared" si="53"/>
        <v>46296.863368076105</v>
      </c>
      <c r="L143" s="44">
        <f t="shared" si="54"/>
        <v>92930.809988981448</v>
      </c>
      <c r="M143" s="403">
        <f>IFERROR(IF(B143=B142,M142+1,MATCH(B143,'ST Forecast'!$E$2:$RK$2,0)+1),"")</f>
        <v>159</v>
      </c>
      <c r="N143">
        <f>SUM(DB[[#This Row],[Ops-FC-Orders-Collect]:[Ops-FC-Orders-HD]])</f>
        <v>2900</v>
      </c>
      <c r="O143" s="44" cm="1">
        <f t="array" ref="O143">IFERROR(INDEX('ST Forecast'!$E$2:$RK$36,13,M143),"")</f>
        <v>1050</v>
      </c>
      <c r="P143" s="44">
        <f t="shared" si="59"/>
        <v>1850</v>
      </c>
      <c r="Q143" s="44" cm="1">
        <f t="array" ref="Q143">IFERROR(INDEX('ST Forecast'!$E$2:$RK$36,14,M143),"")</f>
        <v>900</v>
      </c>
      <c r="R143" s="44" cm="1">
        <f t="array" ref="R143">IFERROR(INDEX('ST Forecast'!$E$2:$RK$36,15,M143),"")</f>
        <v>950</v>
      </c>
      <c r="S143" s="312">
        <f>SUM(DB[[#This Row],[Ops-FC-Picks-Collect]:[Ops-FC-Picks-HD]])</f>
        <v>144004.94090670216</v>
      </c>
      <c r="T143" s="44">
        <f t="shared" si="60"/>
        <v>52932.747117500352</v>
      </c>
      <c r="U143" s="44">
        <f t="shared" si="61"/>
        <v>91072.193789201818</v>
      </c>
      <c r="V143" s="44">
        <f t="shared" si="62"/>
        <v>44305.391573125205</v>
      </c>
      <c r="W143" s="404">
        <f t="shared" si="63"/>
        <v>46766.802216076605</v>
      </c>
      <c r="X143" s="44">
        <f>SUM(DB[[#This Row],[Capped-Orders-Collect]:[Capped-Orders-HD]])</f>
        <v>90</v>
      </c>
      <c r="Y143">
        <f>INDEX('Operations Forecast'!$A$2:$BGY$47,3,MATCH(DB!D143,'Operations Forecast'!$A$2:$BGY$2))</f>
        <v>0</v>
      </c>
      <c r="Z143">
        <f t="shared" si="64"/>
        <v>90</v>
      </c>
      <c r="AA143">
        <f>INDEX('Operations Forecast'!$A$2:$BGY$47,10,MATCH(DB!D143,'Operations Forecast'!$A$2:$BGY$2))</f>
        <v>90</v>
      </c>
      <c r="AB143">
        <f>INDEX('Operations Forecast'!$A$2:$BGY$47,21,MATCH(DB!D143,'Operations Forecast'!$A$2:$BGY$2))</f>
        <v>0</v>
      </c>
      <c r="AC143" s="312">
        <f>SUM(DB[[#This Row],[Act-Orders-Collect]:[Act-Orders-HD]])</f>
        <v>2664</v>
      </c>
      <c r="AD143" s="858">
        <f>IFERROR(INDEX('Operations Forecast_new'!$7:$7,MATCH(DB[[#This Row],[Datum]],'Operations Forecast_new'!$2:$2,0)),0)</f>
        <v>825</v>
      </c>
      <c r="AE143" s="312">
        <f t="shared" si="65"/>
        <v>1839</v>
      </c>
      <c r="AF143" s="858">
        <f>IFERROR(INDEX('Operations Forecast_new'!$13:$13,MATCH(DB[[#This Row],[Datum]],'Operations Forecast_new'!$2:$2,0)),0)</f>
        <v>1054</v>
      </c>
      <c r="AG143" s="858">
        <f>IFERROR(INDEX('Operations Forecast_new'!$19:$19,MATCH(DB[[#This Row],[Datum]],'Operations Forecast_new'!$2:$2,0)),0)</f>
        <v>785</v>
      </c>
      <c r="AH143" s="312">
        <f t="shared" si="55"/>
        <v>133344.981</v>
      </c>
      <c r="AI143" s="858">
        <f>IFERROR(INDEX('Operations Forecast_new'!$9:$9,MATCH(DB[[#This Row],[Datum]],'Operations Forecast_new'!$2:$2,0)),0)</f>
        <v>43042.724999999999</v>
      </c>
      <c r="AJ143" s="312">
        <f t="shared" si="66"/>
        <v>90302.255999999994</v>
      </c>
      <c r="AK143" s="858">
        <f>IFERROR(INDEX('Operations Forecast_new'!$15:$15,MATCH(DB[[#This Row],[Datum]],'Operations Forecast_new'!$2:$2,0)),0)</f>
        <v>51755.616000000002</v>
      </c>
      <c r="AL143" s="858">
        <f>IFERROR(INDEX('Operations Forecast_new'!$21:$21,MATCH(DB[[#This Row],[Datum]],'Operations Forecast_new'!$2:$2,0)),0)</f>
        <v>38546.639999999999</v>
      </c>
      <c r="AM143" s="178">
        <f>IFERROR(INDEX('Operations Forecast_new'!$8:$8,MATCH(DB[[#This Row],[Datum]],'Operations Forecast_new'!$2:$2,0)),0)</f>
        <v>52.7</v>
      </c>
      <c r="AN143" s="859">
        <f>IFERROR(INDEX('Operations Forecast_new'!$20:$20,MATCH(DB[[#This Row],[Datum]],'Operations Forecast_new'!$2:$2,0)),0)</f>
        <v>49.6</v>
      </c>
      <c r="AO143" s="44">
        <f t="shared" si="67"/>
        <v>52.172999999999995</v>
      </c>
      <c r="AP143" s="404">
        <f t="shared" si="68"/>
        <v>49.103999999999999</v>
      </c>
      <c r="AQ143" s="44">
        <f t="shared" si="56"/>
        <v>133231.38000000006</v>
      </c>
      <c r="AR143" s="44" cm="1">
        <f t="array" ref="AR143">IFERROR(INDEX('ST Forecast'!$E$2:$RK$36,25,M143)+(INDEX('ST Forecast'!$E$2:$RK$36,29,M143)),"")</f>
        <v>61736.559393895419</v>
      </c>
      <c r="AS143" s="44" cm="1">
        <f t="array" ref="AS143">IFERROR(INDEX('ST Forecast'!$E$2:$RK$36,26,M143)+INDEX('ST Forecast'!$E$2:$RK$36,30,M143),"")</f>
        <v>58884.586564455029</v>
      </c>
      <c r="AT143" s="44" cm="1">
        <f t="array" ref="AT143">IFERROR(INDEX('ST Forecast'!$E$2:$RK$36,27,M143)+INDEX('ST Forecast'!$E$2:$RK$36,31,M143),"")</f>
        <v>5706.2575752493822</v>
      </c>
      <c r="AU143" s="44" cm="1">
        <f t="array" ref="AU143">IFERROR(INDEX('ST Forecast'!$E$2:$RK$36,28,M143),"")</f>
        <v>6903.9764664002341</v>
      </c>
      <c r="AV143" s="44" cm="1">
        <f t="array" ref="AV143">IFERROR(INDEX('ST Forecast'!$E$2:$RK$36,29,M143),"")</f>
        <v>0</v>
      </c>
      <c r="AW143" s="44">
        <f>DB[[#This Row],[Inbound FC]]-DB[[#This Row],[Inbound Act - Ultrafresh2]]</f>
        <v>133231.38000000006</v>
      </c>
      <c r="AX143" s="178" t="e">
        <f>#REF!</f>
        <v>#REF!</v>
      </c>
      <c r="AY143" s="178" t="e">
        <f>#REF!</f>
        <v>#REF!</v>
      </c>
      <c r="AZ143" s="178" t="e">
        <f>#REF!</f>
        <v>#REF!</v>
      </c>
      <c r="BA143" s="178">
        <f>MONTH(DB[[#This Row],[Datum]])</f>
        <v>5</v>
      </c>
    </row>
    <row r="144" spans="1:53" x14ac:dyDescent="0.3">
      <c r="A144" s="44">
        <f t="shared" si="57"/>
        <v>20</v>
      </c>
      <c r="B144" t="str">
        <f t="shared" si="58"/>
        <v>Wk 20</v>
      </c>
      <c r="C144" t="s">
        <v>119</v>
      </c>
      <c r="D144" s="313">
        <v>44703</v>
      </c>
      <c r="E144" s="44">
        <f>DB[[#This Row],[Sales-FC-Orders-Collect]]+DB[[#This Row],[Sales-FC-Orders-HD]]</f>
        <v>100</v>
      </c>
      <c r="F144" s="402" cm="1">
        <f t="array" ref="F144">INDEX('LT Collect Forecast'!$K$1:$Q$55,MATCH(B144,'LT Collect Forecast'!$A:$A,0)+1,MATCH(C144,'LT Collect Forecast'!$K$2:$Q$2,0))</f>
        <v>0</v>
      </c>
      <c r="G144" s="44" cm="1">
        <f t="array" ref="G144">INDEX('LT HD Forecast'!$K$1:$Q$55,MATCH(B144,'LT HD Forecast'!$A:$A,0)+1,MATCH(C144,'LT HD Forecast'!$K$2:$Q$2,0))</f>
        <v>100</v>
      </c>
      <c r="H144" s="44" cm="1">
        <f t="array" ref="H144">IFERROR(INDEX('ST Forecast'!$E$2:$RK$36,6,M144),"")</f>
        <v>0</v>
      </c>
      <c r="I144" s="44" cm="1">
        <f t="array" ref="I144">IFERROR(INDEX('ST Forecast'!$E$2:$RK$36,7,M144),"")</f>
        <v>53.39240619094776</v>
      </c>
      <c r="J144" s="44">
        <f>SUM(DB[[#This Row],[Sales-FC-Picks-Collect]:[Sales-FC-Picks-HD]])</f>
        <v>5339.2406190947759</v>
      </c>
      <c r="K144" s="44">
        <f t="shared" si="53"/>
        <v>0</v>
      </c>
      <c r="L144" s="44">
        <f t="shared" si="54"/>
        <v>5339.2406190947759</v>
      </c>
      <c r="M144" s="403">
        <f>IFERROR(IF(B144=B143,M143+1,MATCH(B144,'ST Forecast'!$E$2:$RK$2,0)+1),"")</f>
        <v>160</v>
      </c>
      <c r="N144">
        <f>SUM(DB[[#This Row],[Ops-FC-Orders-Collect]:[Ops-FC-Orders-HD]])</f>
        <v>100</v>
      </c>
      <c r="O144" s="44" cm="1">
        <f t="array" ref="O144">IFERROR(INDEX('ST Forecast'!$E$2:$RK$36,13,M144),"")</f>
        <v>0</v>
      </c>
      <c r="P144" s="44">
        <f t="shared" si="59"/>
        <v>100</v>
      </c>
      <c r="Q144" s="44" cm="1">
        <f t="array" ref="Q144">IFERROR(INDEX('ST Forecast'!$E$2:$RK$36,14,M144),"")</f>
        <v>100</v>
      </c>
      <c r="R144" s="44" cm="1">
        <f t="array" ref="R144">IFERROR(INDEX('ST Forecast'!$E$2:$RK$36,15,M144),"")</f>
        <v>0</v>
      </c>
      <c r="S144" s="312">
        <f>SUM(DB[[#This Row],[Ops-FC-Picks-Collect]:[Ops-FC-Picks-HD]])</f>
        <v>5232.4558067128801</v>
      </c>
      <c r="T144" s="44">
        <f t="shared" si="60"/>
        <v>0</v>
      </c>
      <c r="U144" s="44">
        <f t="shared" si="61"/>
        <v>5232.4558067128801</v>
      </c>
      <c r="V144" s="44">
        <f t="shared" si="62"/>
        <v>5232.4558067128801</v>
      </c>
      <c r="W144" s="404">
        <f t="shared" si="63"/>
        <v>0</v>
      </c>
      <c r="X144" s="44">
        <f>SUM(DB[[#This Row],[Capped-Orders-Collect]:[Capped-Orders-HD]])</f>
        <v>90</v>
      </c>
      <c r="Y144">
        <f>INDEX('Operations Forecast'!$A$2:$BGY$47,3,MATCH(DB!D144,'Operations Forecast'!$A$2:$BGY$2))</f>
        <v>0</v>
      </c>
      <c r="Z144">
        <f t="shared" si="64"/>
        <v>90</v>
      </c>
      <c r="AA144">
        <f>INDEX('Operations Forecast'!$A$2:$BGY$47,10,MATCH(DB!D144,'Operations Forecast'!$A$2:$BGY$2))</f>
        <v>90</v>
      </c>
      <c r="AB144">
        <f>INDEX('Operations Forecast'!$A$2:$BGY$47,21,MATCH(DB!D144,'Operations Forecast'!$A$2:$BGY$2))</f>
        <v>0</v>
      </c>
      <c r="AC144" s="312">
        <f>SUM(DB[[#This Row],[Act-Orders-Collect]:[Act-Orders-HD]])</f>
        <v>70</v>
      </c>
      <c r="AD144" s="858">
        <f>IFERROR(INDEX('Operations Forecast_new'!$7:$7,MATCH(DB[[#This Row],[Datum]],'Operations Forecast_new'!$2:$2,0)),0)</f>
        <v>0</v>
      </c>
      <c r="AE144" s="312">
        <f t="shared" si="65"/>
        <v>70</v>
      </c>
      <c r="AF144" s="858">
        <f>IFERROR(INDEX('Operations Forecast_new'!$13:$13,MATCH(DB[[#This Row],[Datum]],'Operations Forecast_new'!$2:$2,0)),0)</f>
        <v>70</v>
      </c>
      <c r="AG144" s="858">
        <f>IFERROR(INDEX('Operations Forecast_new'!$19:$19,MATCH(DB[[#This Row],[Datum]],'Operations Forecast_new'!$2:$2,0)),0)</f>
        <v>0</v>
      </c>
      <c r="AH144" s="312">
        <f t="shared" si="55"/>
        <v>3659.5528820377099</v>
      </c>
      <c r="AI144" s="858">
        <f>IFERROR(INDEX('Operations Forecast_new'!$9:$9,MATCH(DB[[#This Row],[Datum]],'Operations Forecast_new'!$2:$2,0)),0)</f>
        <v>0</v>
      </c>
      <c r="AJ144" s="312">
        <f t="shared" si="66"/>
        <v>3659.5528820377099</v>
      </c>
      <c r="AK144" s="858">
        <f>IFERROR(INDEX('Operations Forecast_new'!$15:$15,MATCH(DB[[#This Row],[Datum]],'Operations Forecast_new'!$2:$2,0)),0)</f>
        <v>3659.5528820377099</v>
      </c>
      <c r="AL144" s="858">
        <f>IFERROR(INDEX('Operations Forecast_new'!$21:$21,MATCH(DB[[#This Row],[Datum]],'Operations Forecast_new'!$2:$2,0)),0)</f>
        <v>0</v>
      </c>
      <c r="AM144" s="178">
        <f>IFERROR(INDEX('Operations Forecast_new'!$8:$8,MATCH(DB[[#This Row],[Datum]],'Operations Forecast_new'!$2:$2,0)),0)</f>
        <v>0</v>
      </c>
      <c r="AN144" s="859">
        <f>IFERROR(INDEX('Operations Forecast_new'!$20:$20,MATCH(DB[[#This Row],[Datum]],'Operations Forecast_new'!$2:$2,0)),0)</f>
        <v>53.39240619094776</v>
      </c>
      <c r="AO144" s="44" t="str">
        <f t="shared" si="67"/>
        <v>-</v>
      </c>
      <c r="AP144" s="404">
        <f t="shared" si="68"/>
        <v>52.279326886252996</v>
      </c>
      <c r="AQ144" s="44">
        <f t="shared" si="56"/>
        <v>0</v>
      </c>
      <c r="AR144" s="44" cm="1">
        <f t="array" ref="AR144">IFERROR(INDEX('ST Forecast'!$E$2:$RK$36,25,M144)+(INDEX('ST Forecast'!$E$2:$RK$36,29,M144)),"")</f>
        <v>0</v>
      </c>
      <c r="AS144" s="44" cm="1">
        <f t="array" ref="AS144">IFERROR(INDEX('ST Forecast'!$E$2:$RK$36,26,M144)+INDEX('ST Forecast'!$E$2:$RK$36,30,M144),"")</f>
        <v>0</v>
      </c>
      <c r="AT144" s="44" cm="1">
        <f t="array" ref="AT144">IFERROR(INDEX('ST Forecast'!$E$2:$RK$36,27,M144)+INDEX('ST Forecast'!$E$2:$RK$36,31,M144),"")</f>
        <v>0</v>
      </c>
      <c r="AU144" s="44" cm="1">
        <f t="array" ref="AU144">IFERROR(INDEX('ST Forecast'!$E$2:$RK$36,28,M144),"")</f>
        <v>0</v>
      </c>
      <c r="AV144" s="44" cm="1">
        <f t="array" ref="AV144">IFERROR(INDEX('ST Forecast'!$E$2:$RK$36,29,M144),"")</f>
        <v>0</v>
      </c>
      <c r="AW144" s="44">
        <f>DB[[#This Row],[Inbound FC]]-DB[[#This Row],[Inbound Act - Ultrafresh2]]</f>
        <v>0</v>
      </c>
      <c r="AX144" s="178" t="e">
        <f>#REF!</f>
        <v>#REF!</v>
      </c>
      <c r="AY144" s="178" t="e">
        <f>#REF!</f>
        <v>#REF!</v>
      </c>
      <c r="AZ144" s="178" t="e">
        <f>#REF!</f>
        <v>#REF!</v>
      </c>
      <c r="BA144" s="178">
        <f>MONTH(DB[[#This Row],[Datum]])</f>
        <v>5</v>
      </c>
    </row>
    <row r="145" spans="1:53" x14ac:dyDescent="0.3">
      <c r="A145" s="44">
        <f t="shared" si="57"/>
        <v>21</v>
      </c>
      <c r="B145" t="str">
        <f t="shared" si="58"/>
        <v>Wk 21</v>
      </c>
      <c r="C145" t="s">
        <v>113</v>
      </c>
      <c r="D145" s="313">
        <v>44704</v>
      </c>
      <c r="E145" s="44">
        <f>DB[[#This Row],[Sales-FC-Orders-Collect]]+DB[[#This Row],[Sales-FC-Orders-HD]]</f>
        <v>2200</v>
      </c>
      <c r="F145" s="402">
        <f>INDEX('LT Collect Forecast'!$K$1:$Q$55,MATCH(B145,'LT Collect Forecast'!$A:$A,0),MATCH(C145,'LT Collect Forecast'!$K$2:$Q$2,0))</f>
        <v>700</v>
      </c>
      <c r="G145" s="44">
        <f>INDEX('LT HD Forecast'!$K$1:$Q$55,MATCH(B145,'LT HD Forecast'!$A:$A,0),MATCH(C145,'LT HD Forecast'!$K$2:$Q$2,0))</f>
        <v>1500</v>
      </c>
      <c r="H145" s="44" cm="1">
        <f t="array" ref="H145">IFERROR(INDEX('ST Forecast'!$E$2:$RK$36,6,M145),"")</f>
        <v>47.927321055158174</v>
      </c>
      <c r="I145" s="44" cm="1">
        <f t="array" ref="I145">IFERROR(INDEX('ST Forecast'!$E$2:$RK$36,7,M145),"")</f>
        <v>49.579974707286013</v>
      </c>
      <c r="J145" s="44">
        <f>SUM(DB[[#This Row],[Sales-FC-Picks-Collect]:[Sales-FC-Picks-HD]])</f>
        <v>107919.08679953974</v>
      </c>
      <c r="K145" s="44">
        <f t="shared" si="53"/>
        <v>33549.124738610721</v>
      </c>
      <c r="L145" s="44">
        <f t="shared" si="54"/>
        <v>74369.962060929014</v>
      </c>
      <c r="M145" s="403">
        <f>IFERROR(IF(B145=B144,M144+1,MATCH(B145,'ST Forecast'!$E$2:$RK$2,0)+1),"")</f>
        <v>162</v>
      </c>
      <c r="N145">
        <f>SUM(DB[[#This Row],[Ops-FC-Orders-Collect]:[Ops-FC-Orders-HD]])</f>
        <v>2250</v>
      </c>
      <c r="O145" s="44" cm="1">
        <f t="array" ref="O145">IFERROR(INDEX('ST Forecast'!$E$2:$RK$36,13,M145),"")</f>
        <v>700</v>
      </c>
      <c r="P145" s="44">
        <f t="shared" si="59"/>
        <v>1550</v>
      </c>
      <c r="Q145" s="44" cm="1">
        <f t="array" ref="Q145">IFERROR(INDEX('ST Forecast'!$E$2:$RK$36,14,M145),"")</f>
        <v>650</v>
      </c>
      <c r="R145" s="44" cm="1">
        <f t="array" ref="R145">IFERROR(INDEX('ST Forecast'!$E$2:$RK$36,15,M145),"")</f>
        <v>900</v>
      </c>
      <c r="S145" s="312">
        <f>SUM(DB[[#This Row],[Ops-FC-Picks-Collect]:[Ops-FC-Picks-HD]])</f>
        <v>108190.12382420596</v>
      </c>
      <c r="T145" s="44">
        <f t="shared" si="60"/>
        <v>32878.142243838505</v>
      </c>
      <c r="U145" s="44">
        <f t="shared" si="61"/>
        <v>75311.981580367457</v>
      </c>
      <c r="V145" s="44">
        <f t="shared" si="62"/>
        <v>31582.443888541191</v>
      </c>
      <c r="W145" s="404">
        <f t="shared" si="63"/>
        <v>43729.537691826263</v>
      </c>
      <c r="X145" s="44">
        <f>SUM(DB[[#This Row],[Capped-Orders-Collect]:[Capped-Orders-HD]])</f>
        <v>90</v>
      </c>
      <c r="Y145">
        <f>INDEX('Operations Forecast'!$A$2:$BGY$47,3,MATCH(DB!D145,'Operations Forecast'!$A$2:$BGY$2))</f>
        <v>0</v>
      </c>
      <c r="Z145">
        <f t="shared" si="64"/>
        <v>90</v>
      </c>
      <c r="AA145">
        <f>INDEX('Operations Forecast'!$A$2:$BGY$47,10,MATCH(DB!D145,'Operations Forecast'!$A$2:$BGY$2))</f>
        <v>90</v>
      </c>
      <c r="AB145">
        <f>INDEX('Operations Forecast'!$A$2:$BGY$47,21,MATCH(DB!D145,'Operations Forecast'!$A$2:$BGY$2))</f>
        <v>0</v>
      </c>
      <c r="AC145" s="312">
        <f>SUM(DB[[#This Row],[Act-Orders-Collect]:[Act-Orders-HD]])</f>
        <v>2140</v>
      </c>
      <c r="AD145" s="858">
        <f>IFERROR(INDEX('Operations Forecast_new'!$7:$7,MATCH(DB[[#This Row],[Datum]],'Operations Forecast_new'!$2:$2,0)),0)</f>
        <v>592</v>
      </c>
      <c r="AE145" s="312">
        <f t="shared" si="65"/>
        <v>1548</v>
      </c>
      <c r="AF145" s="858">
        <f>IFERROR(INDEX('Operations Forecast_new'!$13:$13,MATCH(DB[[#This Row],[Datum]],'Operations Forecast_new'!$2:$2,0)),0)</f>
        <v>660</v>
      </c>
      <c r="AG145" s="858">
        <f>IFERROR(INDEX('Operations Forecast_new'!$19:$19,MATCH(DB[[#This Row],[Datum]],'Operations Forecast_new'!$2:$2,0)),0)</f>
        <v>888</v>
      </c>
      <c r="AH145" s="312">
        <f t="shared" si="55"/>
        <v>103860.9</v>
      </c>
      <c r="AI145" s="858">
        <f>IFERROR(INDEX('Operations Forecast_new'!$9:$9,MATCH(DB[[#This Row],[Datum]],'Operations Forecast_new'!$2:$2,0)),0)</f>
        <v>28307.663999999997</v>
      </c>
      <c r="AJ145" s="312">
        <f t="shared" si="66"/>
        <v>75553.23599999999</v>
      </c>
      <c r="AK145" s="858">
        <f>IFERROR(INDEX('Operations Forecast_new'!$15:$15,MATCH(DB[[#This Row],[Datum]],'Operations Forecast_new'!$2:$2,0)),0)</f>
        <v>32212.619999999995</v>
      </c>
      <c r="AL145" s="858">
        <f>IFERROR(INDEX('Operations Forecast_new'!$21:$21,MATCH(DB[[#This Row],[Datum]],'Operations Forecast_new'!$2:$2,0)),0)</f>
        <v>43340.615999999995</v>
      </c>
      <c r="AM145" s="178">
        <f>IFERROR(INDEX('Operations Forecast_new'!$8:$8,MATCH(DB[[#This Row],[Datum]],'Operations Forecast_new'!$2:$2,0)),0)</f>
        <v>48.3</v>
      </c>
      <c r="AN145" s="859">
        <f>IFERROR(INDEX('Operations Forecast_new'!$20:$20,MATCH(DB[[#This Row],[Datum]],'Operations Forecast_new'!$2:$2,0)),0)</f>
        <v>49.3</v>
      </c>
      <c r="AO145" s="44">
        <f t="shared" si="67"/>
        <v>47.816999999999993</v>
      </c>
      <c r="AP145" s="404">
        <f t="shared" si="68"/>
        <v>48.806999999999995</v>
      </c>
      <c r="AQ145" s="44">
        <f t="shared" si="56"/>
        <v>290514</v>
      </c>
      <c r="AR145" s="44" cm="1">
        <f t="array" ref="AR145">IFERROR(INDEX('ST Forecast'!$E$2:$RK$36,25,M145)+(INDEX('ST Forecast'!$E$2:$RK$36,29,M145)),"")</f>
        <v>112076.06545034557</v>
      </c>
      <c r="AS145" s="44" cm="1">
        <f t="array" ref="AS145">IFERROR(INDEX('ST Forecast'!$E$2:$RK$36,26,M145)+INDEX('ST Forecast'!$E$2:$RK$36,30,M145),"")</f>
        <v>70562.666719783883</v>
      </c>
      <c r="AT145" s="44" cm="1">
        <f t="array" ref="AT145">IFERROR(INDEX('ST Forecast'!$E$2:$RK$36,27,M145)+INDEX('ST Forecast'!$E$2:$RK$36,31,M145),"")</f>
        <v>97592.829345299164</v>
      </c>
      <c r="AU145" s="44" cm="1">
        <f t="array" ref="AU145">IFERROR(INDEX('ST Forecast'!$E$2:$RK$36,28,M145),"")</f>
        <v>10282.438484571387</v>
      </c>
      <c r="AV145" s="44" cm="1">
        <f t="array" ref="AV145">IFERROR(INDEX('ST Forecast'!$E$2:$RK$36,29,M145),"")</f>
        <v>0</v>
      </c>
      <c r="AW145" s="44">
        <f>DB[[#This Row],[Inbound FC]]-DB[[#This Row],[Inbound Act - Ultrafresh2]]</f>
        <v>290514</v>
      </c>
      <c r="AX145" s="178" t="e">
        <f>#REF!</f>
        <v>#REF!</v>
      </c>
      <c r="AY145" s="178" t="e">
        <f>#REF!</f>
        <v>#REF!</v>
      </c>
      <c r="AZ145" s="178" t="e">
        <f>#REF!</f>
        <v>#REF!</v>
      </c>
      <c r="BA145" s="178">
        <f>MONTH(DB[[#This Row],[Datum]])</f>
        <v>5</v>
      </c>
    </row>
    <row r="146" spans="1:53" x14ac:dyDescent="0.3">
      <c r="A146" s="44">
        <f t="shared" si="57"/>
        <v>21</v>
      </c>
      <c r="B146" t="str">
        <f t="shared" si="58"/>
        <v>Wk 21</v>
      </c>
      <c r="C146" t="s">
        <v>114</v>
      </c>
      <c r="D146" s="313">
        <v>44705</v>
      </c>
      <c r="E146" s="44">
        <f>DB[[#This Row],[Sales-FC-Orders-Collect]]+DB[[#This Row],[Sales-FC-Orders-HD]]</f>
        <v>2350</v>
      </c>
      <c r="F146" s="402">
        <f>INDEX('LT Collect Forecast'!$K$1:$Q$55,MATCH(B146,'LT Collect Forecast'!$A:$A,0),MATCH(C146,'LT Collect Forecast'!$K$2:$Q$2,0))</f>
        <v>550</v>
      </c>
      <c r="G146" s="44">
        <f>INDEX('LT HD Forecast'!$K$1:$Q$55,MATCH(B146,'LT HD Forecast'!$A:$A,0),MATCH(C146,'LT HD Forecast'!$K$2:$Q$2,0))</f>
        <v>1800</v>
      </c>
      <c r="H146" s="44" cm="1">
        <f t="array" ref="H146">IFERROR(INDEX('ST Forecast'!$E$2:$RK$36,6,M146),"")</f>
        <v>43.808758596704443</v>
      </c>
      <c r="I146" s="44" cm="1">
        <f t="array" ref="I146">IFERROR(INDEX('ST Forecast'!$E$2:$RK$36,7,M146),"")</f>
        <v>48.463647578540169</v>
      </c>
      <c r="J146" s="44">
        <f>SUM(DB[[#This Row],[Sales-FC-Picks-Collect]:[Sales-FC-Picks-HD]])</f>
        <v>111329.38286955975</v>
      </c>
      <c r="K146" s="44">
        <f t="shared" si="53"/>
        <v>24094.817228187443</v>
      </c>
      <c r="L146" s="44">
        <f t="shared" si="54"/>
        <v>87234.565641372305</v>
      </c>
      <c r="M146" s="403">
        <f>IFERROR(IF(B146=B145,M145+1,MATCH(B146,'ST Forecast'!$E$2:$RK$2,0)+1),"")</f>
        <v>163</v>
      </c>
      <c r="N146">
        <f>SUM(DB[[#This Row],[Ops-FC-Orders-Collect]:[Ops-FC-Orders-HD]])</f>
        <v>2400</v>
      </c>
      <c r="O146" s="44" cm="1">
        <f t="array" ref="O146">IFERROR(INDEX('ST Forecast'!$E$2:$RK$36,13,M146),"")</f>
        <v>550</v>
      </c>
      <c r="P146" s="44">
        <f t="shared" si="59"/>
        <v>1850</v>
      </c>
      <c r="Q146" s="44" cm="1">
        <f t="array" ref="Q146">IFERROR(INDEX('ST Forecast'!$E$2:$RK$36,14,M146),"")</f>
        <v>850</v>
      </c>
      <c r="R146" s="44" cm="1">
        <f t="array" ref="R146">IFERROR(INDEX('ST Forecast'!$E$2:$RK$36,15,M146),"")</f>
        <v>1000</v>
      </c>
      <c r="S146" s="312">
        <f>SUM(DB[[#This Row],[Ops-FC-Picks-Collect]:[Ops-FC-Picks-HD]])</f>
        <v>111477.51394351701</v>
      </c>
      <c r="T146" s="44">
        <f t="shared" si="60"/>
        <v>23612.920883623694</v>
      </c>
      <c r="U146" s="44">
        <f t="shared" si="61"/>
        <v>87864.593059893319</v>
      </c>
      <c r="V146" s="44">
        <f t="shared" si="62"/>
        <v>40370.218432923961</v>
      </c>
      <c r="W146" s="404">
        <f t="shared" si="63"/>
        <v>47494.374626969366</v>
      </c>
      <c r="X146" s="44">
        <f>SUM(DB[[#This Row],[Capped-Orders-Collect]:[Capped-Orders-HD]])</f>
        <v>90</v>
      </c>
      <c r="Y146">
        <f>INDEX('Operations Forecast'!$A$2:$BGY$47,3,MATCH(DB!D146,'Operations Forecast'!$A$2:$BGY$2))</f>
        <v>0</v>
      </c>
      <c r="Z146">
        <f t="shared" si="64"/>
        <v>90</v>
      </c>
      <c r="AA146">
        <f>INDEX('Operations Forecast'!$A$2:$BGY$47,10,MATCH(DB!D146,'Operations Forecast'!$A$2:$BGY$2))</f>
        <v>90</v>
      </c>
      <c r="AB146">
        <f>INDEX('Operations Forecast'!$A$2:$BGY$47,21,MATCH(DB!D146,'Operations Forecast'!$A$2:$BGY$2))</f>
        <v>0</v>
      </c>
      <c r="AC146" s="312">
        <f>SUM(DB[[#This Row],[Act-Orders-Collect]:[Act-Orders-HD]])</f>
        <v>2464</v>
      </c>
      <c r="AD146" s="858">
        <f>IFERROR(INDEX('Operations Forecast_new'!$7:$7,MATCH(DB[[#This Row],[Datum]],'Operations Forecast_new'!$2:$2,0)),0)</f>
        <v>550</v>
      </c>
      <c r="AE146" s="312">
        <f t="shared" si="65"/>
        <v>1914</v>
      </c>
      <c r="AF146" s="858">
        <f>IFERROR(INDEX('Operations Forecast_new'!$13:$13,MATCH(DB[[#This Row],[Datum]],'Operations Forecast_new'!$2:$2,0)),0)</f>
        <v>896</v>
      </c>
      <c r="AG146" s="858">
        <f>IFERROR(INDEX('Operations Forecast_new'!$19:$19,MATCH(DB[[#This Row],[Datum]],'Operations Forecast_new'!$2:$2,0)),0)</f>
        <v>1018</v>
      </c>
      <c r="AH146" s="312">
        <f t="shared" si="55"/>
        <v>114364.60200000001</v>
      </c>
      <c r="AI146" s="858">
        <f>IFERROR(INDEX('Operations Forecast_new'!$9:$9,MATCH(DB[[#This Row],[Datum]],'Operations Forecast_new'!$2:$2,0)),0)</f>
        <v>23032.35</v>
      </c>
      <c r="AJ146" s="312">
        <f t="shared" si="66"/>
        <v>91332.252000000008</v>
      </c>
      <c r="AK146" s="858">
        <f>IFERROR(INDEX('Operations Forecast_new'!$15:$15,MATCH(DB[[#This Row],[Datum]],'Operations Forecast_new'!$2:$2,0)),0)</f>
        <v>42755.328000000001</v>
      </c>
      <c r="AL146" s="858">
        <f>IFERROR(INDEX('Operations Forecast_new'!$21:$21,MATCH(DB[[#This Row],[Datum]],'Operations Forecast_new'!$2:$2,0)),0)</f>
        <v>48576.924000000006</v>
      </c>
      <c r="AM146" s="178">
        <f>IFERROR(INDEX('Operations Forecast_new'!$8:$8,MATCH(DB[[#This Row],[Datum]],'Operations Forecast_new'!$2:$2,0)),0)</f>
        <v>42.3</v>
      </c>
      <c r="AN146" s="859">
        <f>IFERROR(INDEX('Operations Forecast_new'!$20:$20,MATCH(DB[[#This Row],[Datum]],'Operations Forecast_new'!$2:$2,0)),0)</f>
        <v>48.2</v>
      </c>
      <c r="AO146" s="44">
        <f t="shared" si="67"/>
        <v>41.876999999999995</v>
      </c>
      <c r="AP146" s="404">
        <f t="shared" si="68"/>
        <v>47.718000000000004</v>
      </c>
      <c r="AQ146" s="44">
        <f t="shared" si="56"/>
        <v>121793.00000000007</v>
      </c>
      <c r="AR146" s="44" cm="1">
        <f t="array" ref="AR146">IFERROR(INDEX('ST Forecast'!$E$2:$RK$36,25,M146)+(INDEX('ST Forecast'!$E$2:$RK$36,29,M146)),"")</f>
        <v>53338.467507959816</v>
      </c>
      <c r="AS146" s="44" cm="1">
        <f t="array" ref="AS146">IFERROR(INDEX('ST Forecast'!$E$2:$RK$36,26,M146)+INDEX('ST Forecast'!$E$2:$RK$36,30,M146),"")</f>
        <v>50068.465809014575</v>
      </c>
      <c r="AT146" s="44" cm="1">
        <f t="array" ref="AT146">IFERROR(INDEX('ST Forecast'!$E$2:$RK$36,27,M146)+INDEX('ST Forecast'!$E$2:$RK$36,31,M146),"")</f>
        <v>11539.590663307034</v>
      </c>
      <c r="AU146" s="44" cm="1">
        <f t="array" ref="AU146">IFERROR(INDEX('ST Forecast'!$E$2:$RK$36,28,M146),"")</f>
        <v>6846.4760197186451</v>
      </c>
      <c r="AV146" s="44" cm="1">
        <f t="array" ref="AV146">IFERROR(INDEX('ST Forecast'!$E$2:$RK$36,29,M146),"")</f>
        <v>0</v>
      </c>
      <c r="AW146" s="44">
        <f>DB[[#This Row],[Inbound FC]]-DB[[#This Row],[Inbound Act - Ultrafresh2]]</f>
        <v>121793.00000000007</v>
      </c>
      <c r="AX146" s="178" t="e">
        <f>#REF!</f>
        <v>#REF!</v>
      </c>
      <c r="AY146" s="178" t="e">
        <f>#REF!</f>
        <v>#REF!</v>
      </c>
      <c r="AZ146" s="178" t="e">
        <f>#REF!</f>
        <v>#REF!</v>
      </c>
      <c r="BA146" s="178">
        <f>MONTH(DB[[#This Row],[Datum]])</f>
        <v>5</v>
      </c>
    </row>
    <row r="147" spans="1:53" x14ac:dyDescent="0.3">
      <c r="A147" s="44">
        <f t="shared" si="57"/>
        <v>21</v>
      </c>
      <c r="B147" t="str">
        <f t="shared" si="58"/>
        <v>Wk 21</v>
      </c>
      <c r="C147" t="s">
        <v>115</v>
      </c>
      <c r="D147" s="313">
        <v>44706</v>
      </c>
      <c r="E147" s="44">
        <f>DB[[#This Row],[Sales-FC-Orders-Collect]]+DB[[#This Row],[Sales-FC-Orders-HD]]</f>
        <v>2350</v>
      </c>
      <c r="F147" s="402">
        <f>INDEX('LT Collect Forecast'!$K$1:$Q$55,MATCH(B147,'LT Collect Forecast'!$A:$A,0),MATCH(C147,'LT Collect Forecast'!$K$2:$Q$2,0))</f>
        <v>600</v>
      </c>
      <c r="G147" s="44">
        <f>INDEX('LT HD Forecast'!$K$1:$Q$55,MATCH(B147,'LT HD Forecast'!$A:$A,0),MATCH(C147,'LT HD Forecast'!$K$2:$Q$2,0))</f>
        <v>1750</v>
      </c>
      <c r="H147" s="44" cm="1">
        <f t="array" ref="H147">IFERROR(INDEX('ST Forecast'!$E$2:$RK$36,6,M147),"")</f>
        <v>45.830678953212043</v>
      </c>
      <c r="I147" s="44" cm="1">
        <f t="array" ref="I147">IFERROR(INDEX('ST Forecast'!$E$2:$RK$36,7,M147),"")</f>
        <v>48.929243226483848</v>
      </c>
      <c r="J147" s="44">
        <f>SUM(DB[[#This Row],[Sales-FC-Picks-Collect]:[Sales-FC-Picks-HD]])</f>
        <v>113124.58301827396</v>
      </c>
      <c r="K147" s="44">
        <f t="shared" si="53"/>
        <v>27498.407371927227</v>
      </c>
      <c r="L147" s="44">
        <f t="shared" si="54"/>
        <v>85626.175646346732</v>
      </c>
      <c r="M147" s="403">
        <f>IFERROR(IF(B147=B146,M146+1,MATCH(B147,'ST Forecast'!$E$2:$RK$2,0)+1),"")</f>
        <v>164</v>
      </c>
      <c r="N147">
        <f>SUM(DB[[#This Row],[Ops-FC-Orders-Collect]:[Ops-FC-Orders-HD]])</f>
        <v>2450</v>
      </c>
      <c r="O147" s="44" cm="1">
        <f t="array" ref="O147">IFERROR(INDEX('ST Forecast'!$E$2:$RK$36,13,M147),"")</f>
        <v>600</v>
      </c>
      <c r="P147" s="44">
        <f t="shared" si="59"/>
        <v>1850</v>
      </c>
      <c r="Q147" s="44" cm="1">
        <f t="array" ref="Q147">IFERROR(INDEX('ST Forecast'!$E$2:$RK$36,14,M147),"")</f>
        <v>850</v>
      </c>
      <c r="R147" s="44" cm="1">
        <f t="array" ref="R147">IFERROR(INDEX('ST Forecast'!$E$2:$RK$36,15,M147),"")</f>
        <v>1000</v>
      </c>
      <c r="S147" s="312">
        <f>SUM(DB[[#This Row],[Ops-FC-Picks-Collect]:[Ops-FC-Picks-HD]])</f>
        <v>115657.1571941039</v>
      </c>
      <c r="T147" s="44">
        <f t="shared" si="60"/>
        <v>26948.439224488684</v>
      </c>
      <c r="U147" s="44">
        <f t="shared" si="61"/>
        <v>88708.717969615216</v>
      </c>
      <c r="V147" s="44">
        <f t="shared" si="62"/>
        <v>40758.059607661045</v>
      </c>
      <c r="W147" s="404">
        <f t="shared" si="63"/>
        <v>47950.658361954171</v>
      </c>
      <c r="X147" s="44">
        <f>SUM(DB[[#This Row],[Capped-Orders-Collect]:[Capped-Orders-HD]])</f>
        <v>90</v>
      </c>
      <c r="Y147">
        <f>INDEX('Operations Forecast'!$A$2:$BGY$47,3,MATCH(DB!D147,'Operations Forecast'!$A$2:$BGY$2))</f>
        <v>0</v>
      </c>
      <c r="Z147">
        <f t="shared" si="64"/>
        <v>90</v>
      </c>
      <c r="AA147">
        <f>INDEX('Operations Forecast'!$A$2:$BGY$47,10,MATCH(DB!D147,'Operations Forecast'!$A$2:$BGY$2))</f>
        <v>90</v>
      </c>
      <c r="AB147">
        <f>INDEX('Operations Forecast'!$A$2:$BGY$47,21,MATCH(DB!D147,'Operations Forecast'!$A$2:$BGY$2))</f>
        <v>0</v>
      </c>
      <c r="AC147" s="312">
        <f>SUM(DB[[#This Row],[Act-Orders-Collect]:[Act-Orders-HD]])</f>
        <v>2459</v>
      </c>
      <c r="AD147" s="858">
        <f>IFERROR(INDEX('Operations Forecast_new'!$7:$7,MATCH(DB[[#This Row],[Datum]],'Operations Forecast_new'!$2:$2,0)),0)</f>
        <v>568</v>
      </c>
      <c r="AE147" s="312">
        <f t="shared" si="65"/>
        <v>1891</v>
      </c>
      <c r="AF147" s="858">
        <f>IFERROR(INDEX('Operations Forecast_new'!$13:$13,MATCH(DB[[#This Row],[Datum]],'Operations Forecast_new'!$2:$2,0)),0)</f>
        <v>1024</v>
      </c>
      <c r="AG147" s="858">
        <f>IFERROR(INDEX('Operations Forecast_new'!$19:$19,MATCH(DB[[#This Row],[Datum]],'Operations Forecast_new'!$2:$2,0)),0)</f>
        <v>867</v>
      </c>
      <c r="AH147" s="312">
        <f t="shared" si="55"/>
        <v>118966.51799999998</v>
      </c>
      <c r="AI147" s="858">
        <f>IFERROR(INDEX('Operations Forecast_new'!$9:$9,MATCH(DB[[#This Row],[Datum]],'Operations Forecast_new'!$2:$2,0)),0)</f>
        <v>26485.272000000001</v>
      </c>
      <c r="AJ147" s="312">
        <f t="shared" si="66"/>
        <v>92481.245999999985</v>
      </c>
      <c r="AK147" s="858">
        <f>IFERROR(INDEX('Operations Forecast_new'!$15:$15,MATCH(DB[[#This Row],[Datum]],'Operations Forecast_new'!$2:$2,0)),0)</f>
        <v>50079.743999999999</v>
      </c>
      <c r="AL147" s="858">
        <f>IFERROR(INDEX('Operations Forecast_new'!$21:$21,MATCH(DB[[#This Row],[Datum]],'Operations Forecast_new'!$2:$2,0)),0)</f>
        <v>42401.501999999993</v>
      </c>
      <c r="AM147" s="178">
        <f>IFERROR(INDEX('Operations Forecast_new'!$8:$8,MATCH(DB[[#This Row],[Datum]],'Operations Forecast_new'!$2:$2,0)),0)</f>
        <v>47.1</v>
      </c>
      <c r="AN147" s="859">
        <f>IFERROR(INDEX('Operations Forecast_new'!$20:$20,MATCH(DB[[#This Row],[Datum]],'Operations Forecast_new'!$2:$2,0)),0)</f>
        <v>49.4</v>
      </c>
      <c r="AO147" s="44">
        <f t="shared" si="67"/>
        <v>46.629000000000005</v>
      </c>
      <c r="AP147" s="404">
        <f t="shared" si="68"/>
        <v>48.905999999999992</v>
      </c>
      <c r="AQ147" s="44">
        <f t="shared" si="56"/>
        <v>142569.80300000007</v>
      </c>
      <c r="AR147" s="44" cm="1">
        <f t="array" ref="AR147">IFERROR(INDEX('ST Forecast'!$E$2:$RK$36,25,M147)+(INDEX('ST Forecast'!$E$2:$RK$36,29,M147)),"")</f>
        <v>55812.465627458027</v>
      </c>
      <c r="AS147" s="44" cm="1">
        <f t="array" ref="AS147">IFERROR(INDEX('ST Forecast'!$E$2:$RK$36,26,M147)+INDEX('ST Forecast'!$E$2:$RK$36,30,M147),"")</f>
        <v>55220.681362752024</v>
      </c>
      <c r="AT147" s="44" cm="1">
        <f t="array" ref="AT147">IFERROR(INDEX('ST Forecast'!$E$2:$RK$36,27,M147)+INDEX('ST Forecast'!$E$2:$RK$36,31,M147),"")</f>
        <v>23501.299414086403</v>
      </c>
      <c r="AU147" s="44" cm="1">
        <f t="array" ref="AU147">IFERROR(INDEX('ST Forecast'!$E$2:$RK$36,28,M147),"")</f>
        <v>8035.3565957036199</v>
      </c>
      <c r="AV147" s="44" cm="1">
        <f t="array" ref="AV147">IFERROR(INDEX('ST Forecast'!$E$2:$RK$36,29,M147),"")</f>
        <v>0</v>
      </c>
      <c r="AW147" s="44">
        <f>DB[[#This Row],[Inbound FC]]-DB[[#This Row],[Inbound Act - Ultrafresh2]]</f>
        <v>142569.80300000007</v>
      </c>
      <c r="AX147" s="178" t="e">
        <f>#REF!</f>
        <v>#REF!</v>
      </c>
      <c r="AY147" s="178" t="e">
        <f>#REF!</f>
        <v>#REF!</v>
      </c>
      <c r="AZ147" s="178" t="e">
        <f>#REF!</f>
        <v>#REF!</v>
      </c>
      <c r="BA147" s="178">
        <f>MONTH(DB[[#This Row],[Datum]])</f>
        <v>5</v>
      </c>
    </row>
    <row r="148" spans="1:53" x14ac:dyDescent="0.3">
      <c r="A148" s="44">
        <f t="shared" si="57"/>
        <v>21</v>
      </c>
      <c r="B148" t="str">
        <f t="shared" si="58"/>
        <v>Wk 21</v>
      </c>
      <c r="C148" t="s">
        <v>116</v>
      </c>
      <c r="D148" s="313">
        <v>44707</v>
      </c>
      <c r="E148" s="44">
        <f>DB[[#This Row],[Sales-FC-Orders-Collect]]+DB[[#This Row],[Sales-FC-Orders-HD]]</f>
        <v>0</v>
      </c>
      <c r="F148" s="402" cm="1">
        <f t="array" ref="F148">INDEX('LT Collect Forecast'!$K$1:$Q$55,MATCH(B148,'LT Collect Forecast'!$A:$A,0)+1,MATCH(C148,'LT Collect Forecast'!$K$2:$Q$2,0))</f>
        <v>0</v>
      </c>
      <c r="G148" s="44" cm="1">
        <f t="array" ref="G148">INDEX('LT HD Forecast'!$K$1:$Q$55,MATCH(B148,'LT HD Forecast'!$A:$A,0)+1,MATCH(C148,'LT HD Forecast'!$K$2:$Q$2,0))</f>
        <v>0</v>
      </c>
      <c r="H148" s="44" cm="1">
        <f t="array" ref="H148">IFERROR(INDEX('ST Forecast'!$E$2:$RK$36,6,M148),"")</f>
        <v>0</v>
      </c>
      <c r="I148" s="44" cm="1">
        <f t="array" ref="I148">IFERROR(INDEX('ST Forecast'!$E$2:$RK$36,7,M148),"")</f>
        <v>0</v>
      </c>
      <c r="J148" s="44">
        <f>SUM(DB[[#This Row],[Sales-FC-Picks-Collect]:[Sales-FC-Picks-HD]])</f>
        <v>0</v>
      </c>
      <c r="K148" s="44">
        <f t="shared" si="53"/>
        <v>0</v>
      </c>
      <c r="L148" s="44">
        <f t="shared" si="54"/>
        <v>0</v>
      </c>
      <c r="M148" s="403">
        <f>IFERROR(IF(B148=B147,M147+1,MATCH(B148,'ST Forecast'!$E$2:$RK$2,0)+1),"")</f>
        <v>165</v>
      </c>
      <c r="N148">
        <f>SUM(DB[[#This Row],[Ops-FC-Orders-Collect]:[Ops-FC-Orders-HD]])</f>
        <v>0</v>
      </c>
      <c r="O148" s="44" cm="1">
        <f t="array" ref="O148">IFERROR(INDEX('ST Forecast'!$E$2:$RK$36,13,M148),"")</f>
        <v>0</v>
      </c>
      <c r="P148" s="44">
        <f t="shared" si="59"/>
        <v>0</v>
      </c>
      <c r="Q148" s="44" cm="1">
        <f t="array" ref="Q148">IFERROR(INDEX('ST Forecast'!$E$2:$RK$36,14,M148),"")</f>
        <v>0</v>
      </c>
      <c r="R148" s="44" cm="1">
        <f t="array" ref="R148">IFERROR(INDEX('ST Forecast'!$E$2:$RK$36,15,M148),"")</f>
        <v>0</v>
      </c>
      <c r="S148" s="312">
        <f>SUM(DB[[#This Row],[Ops-FC-Picks-Collect]:[Ops-FC-Picks-HD]])</f>
        <v>0</v>
      </c>
      <c r="T148" s="44">
        <f t="shared" si="60"/>
        <v>0</v>
      </c>
      <c r="U148" s="44">
        <f t="shared" si="61"/>
        <v>0</v>
      </c>
      <c r="V148" s="44">
        <f t="shared" si="62"/>
        <v>0</v>
      </c>
      <c r="W148" s="404">
        <f t="shared" si="63"/>
        <v>0</v>
      </c>
      <c r="X148" s="44">
        <f>SUM(DB[[#This Row],[Capped-Orders-Collect]:[Capped-Orders-HD]])</f>
        <v>90</v>
      </c>
      <c r="Y148">
        <f>INDEX('Operations Forecast'!$A$2:$BGY$47,3,MATCH(DB!D148,'Operations Forecast'!$A$2:$BGY$2))</f>
        <v>0</v>
      </c>
      <c r="Z148">
        <f t="shared" si="64"/>
        <v>90</v>
      </c>
      <c r="AA148">
        <f>INDEX('Operations Forecast'!$A$2:$BGY$47,10,MATCH(DB!D148,'Operations Forecast'!$A$2:$BGY$2))</f>
        <v>90</v>
      </c>
      <c r="AB148">
        <f>INDEX('Operations Forecast'!$A$2:$BGY$47,21,MATCH(DB!D148,'Operations Forecast'!$A$2:$BGY$2))</f>
        <v>0</v>
      </c>
      <c r="AC148" s="312">
        <f>SUM(DB[[#This Row],[Act-Orders-Collect]:[Act-Orders-HD]])</f>
        <v>0</v>
      </c>
      <c r="AD148" s="858">
        <f>IFERROR(INDEX('Operations Forecast_new'!$7:$7,MATCH(DB[[#This Row],[Datum]],'Operations Forecast_new'!$2:$2,0)),0)</f>
        <v>0</v>
      </c>
      <c r="AE148" s="312">
        <f t="shared" si="65"/>
        <v>0</v>
      </c>
      <c r="AF148" s="858">
        <f>IFERROR(INDEX('Operations Forecast_new'!$13:$13,MATCH(DB[[#This Row],[Datum]],'Operations Forecast_new'!$2:$2,0)),0)</f>
        <v>0</v>
      </c>
      <c r="AG148" s="858">
        <f>IFERROR(INDEX('Operations Forecast_new'!$19:$19,MATCH(DB[[#This Row],[Datum]],'Operations Forecast_new'!$2:$2,0)),0)</f>
        <v>0</v>
      </c>
      <c r="AH148" s="312">
        <f t="shared" si="55"/>
        <v>0</v>
      </c>
      <c r="AI148" s="858">
        <f>IFERROR(INDEX('Operations Forecast_new'!$9:$9,MATCH(DB[[#This Row],[Datum]],'Operations Forecast_new'!$2:$2,0)),0)</f>
        <v>0</v>
      </c>
      <c r="AJ148" s="312">
        <f t="shared" si="66"/>
        <v>0</v>
      </c>
      <c r="AK148" s="858">
        <f>IFERROR(INDEX('Operations Forecast_new'!$15:$15,MATCH(DB[[#This Row],[Datum]],'Operations Forecast_new'!$2:$2,0)),0)</f>
        <v>0</v>
      </c>
      <c r="AL148" s="858">
        <f>IFERROR(INDEX('Operations Forecast_new'!$21:$21,MATCH(DB[[#This Row],[Datum]],'Operations Forecast_new'!$2:$2,0)),0)</f>
        <v>0</v>
      </c>
      <c r="AM148" s="178">
        <f>IFERROR(INDEX('Operations Forecast_new'!$8:$8,MATCH(DB[[#This Row],[Datum]],'Operations Forecast_new'!$2:$2,0)),0)</f>
        <v>0</v>
      </c>
      <c r="AN148" s="859">
        <f>IFERROR(INDEX('Operations Forecast_new'!$20:$20,MATCH(DB[[#This Row],[Datum]],'Operations Forecast_new'!$2:$2,0)),0)</f>
        <v>0</v>
      </c>
      <c r="AO148" s="44" t="str">
        <f t="shared" si="67"/>
        <v>-</v>
      </c>
      <c r="AP148" s="404" t="str">
        <f t="shared" si="68"/>
        <v>-</v>
      </c>
      <c r="AQ148" s="44">
        <f t="shared" si="56"/>
        <v>0</v>
      </c>
      <c r="AR148" s="44" cm="1">
        <f t="array" ref="AR148">IFERROR(INDEX('ST Forecast'!$E$2:$RK$36,25,M148)+(INDEX('ST Forecast'!$E$2:$RK$36,29,M148)),"")</f>
        <v>0</v>
      </c>
      <c r="AS148" s="44" cm="1">
        <f t="array" ref="AS148">IFERROR(INDEX('ST Forecast'!$E$2:$RK$36,26,M148)+INDEX('ST Forecast'!$E$2:$RK$36,30,M148),"")</f>
        <v>0</v>
      </c>
      <c r="AT148" s="44" cm="1">
        <f t="array" ref="AT148">IFERROR(INDEX('ST Forecast'!$E$2:$RK$36,27,M148)+INDEX('ST Forecast'!$E$2:$RK$36,31,M148),"")</f>
        <v>0</v>
      </c>
      <c r="AU148" s="44" cm="1">
        <f t="array" ref="AU148">IFERROR(INDEX('ST Forecast'!$E$2:$RK$36,28,M148),"")</f>
        <v>0</v>
      </c>
      <c r="AV148" s="44" cm="1">
        <f t="array" ref="AV148">IFERROR(INDEX('ST Forecast'!$E$2:$RK$36,29,M148),"")</f>
        <v>0</v>
      </c>
      <c r="AW148" s="44">
        <f>DB[[#This Row],[Inbound FC]]-DB[[#This Row],[Inbound Act - Ultrafresh2]]</f>
        <v>0</v>
      </c>
      <c r="AX148" s="178" t="e">
        <f>#REF!</f>
        <v>#REF!</v>
      </c>
      <c r="AY148" s="178" t="e">
        <f>#REF!</f>
        <v>#REF!</v>
      </c>
      <c r="AZ148" s="178" t="e">
        <f>#REF!</f>
        <v>#REF!</v>
      </c>
      <c r="BA148" s="178">
        <f>MONTH(DB[[#This Row],[Datum]])</f>
        <v>5</v>
      </c>
    </row>
    <row r="149" spans="1:53" x14ac:dyDescent="0.3">
      <c r="A149" s="44">
        <f t="shared" si="57"/>
        <v>21</v>
      </c>
      <c r="B149" t="str">
        <f t="shared" si="58"/>
        <v>Wk 21</v>
      </c>
      <c r="C149" t="s">
        <v>117</v>
      </c>
      <c r="D149" s="313">
        <v>44708</v>
      </c>
      <c r="E149" s="44">
        <f>DB[[#This Row],[Sales-FC-Orders-Collect]]+DB[[#This Row],[Sales-FC-Orders-HD]]</f>
        <v>2700</v>
      </c>
      <c r="F149" s="402" cm="1">
        <f t="array" ref="F149">INDEX('LT Collect Forecast'!$K$1:$Q$55,MATCH(B149,'LT Collect Forecast'!$A:$A,0)+1,MATCH(C149,'LT Collect Forecast'!$K$2:$Q$2,0))</f>
        <v>850</v>
      </c>
      <c r="G149" s="44" cm="1">
        <f t="array" ref="G149">INDEX('LT HD Forecast'!$K$1:$Q$55,MATCH(B149,'LT HD Forecast'!$A:$A,0)+1,MATCH(C149,'LT HD Forecast'!$K$2:$Q$2,0))</f>
        <v>1850</v>
      </c>
      <c r="H149" s="44" cm="1">
        <f t="array" ref="H149">IFERROR(INDEX('ST Forecast'!$E$2:$RK$36,6,M149),"")</f>
        <v>53.989050314939441</v>
      </c>
      <c r="I149" s="44" cm="1">
        <f t="array" ref="I149">IFERROR(INDEX('ST Forecast'!$E$2:$RK$36,7,M149),"")</f>
        <v>52.344376659698256</v>
      </c>
      <c r="J149" s="44">
        <f>SUM(DB[[#This Row],[Sales-FC-Picks-Collect]:[Sales-FC-Picks-HD]])</f>
        <v>142727.78958814029</v>
      </c>
      <c r="K149" s="44">
        <f t="shared" si="53"/>
        <v>45890.692767698521</v>
      </c>
      <c r="L149" s="44">
        <f t="shared" si="54"/>
        <v>96837.096820441773</v>
      </c>
      <c r="M149" s="403">
        <f>IFERROR(IF(B149=B148,M148+1,MATCH(B149,'ST Forecast'!$E$2:$RK$2,0)+1),"")</f>
        <v>166</v>
      </c>
      <c r="N149">
        <f>SUM(DB[[#This Row],[Ops-FC-Orders-Collect]:[Ops-FC-Orders-HD]])</f>
        <v>2650</v>
      </c>
      <c r="O149" s="44" cm="1">
        <f t="array" ref="O149">IFERROR(INDEX('ST Forecast'!$E$2:$RK$36,13,M149),"")</f>
        <v>850</v>
      </c>
      <c r="P149" s="44">
        <f t="shared" si="59"/>
        <v>1800</v>
      </c>
      <c r="Q149" s="44" cm="1">
        <f t="array" ref="Q149">IFERROR(INDEX('ST Forecast'!$E$2:$RK$36,14,M149),"")</f>
        <v>800</v>
      </c>
      <c r="R149" s="44" cm="1">
        <f t="array" ref="R149">IFERROR(INDEX('ST Forecast'!$E$2:$RK$36,15,M149),"")</f>
        <v>1000</v>
      </c>
      <c r="S149" s="312">
        <f>SUM(DB[[#This Row],[Ops-FC-Picks-Collect]:[Ops-FC-Picks-HD]])</f>
        <v>137308.35934005227</v>
      </c>
      <c r="T149" s="44">
        <f t="shared" si="60"/>
        <v>44972.878912344553</v>
      </c>
      <c r="U149" s="44">
        <f t="shared" si="61"/>
        <v>92335.48042770772</v>
      </c>
      <c r="V149" s="44">
        <f t="shared" si="62"/>
        <v>41037.99130120343</v>
      </c>
      <c r="W149" s="404">
        <f t="shared" si="63"/>
        <v>51297.48912650429</v>
      </c>
      <c r="X149" s="44">
        <f>SUM(DB[[#This Row],[Capped-Orders-Collect]:[Capped-Orders-HD]])</f>
        <v>90</v>
      </c>
      <c r="Y149">
        <f>INDEX('Operations Forecast'!$A$2:$BGY$47,3,MATCH(DB!D149,'Operations Forecast'!$A$2:$BGY$2))</f>
        <v>0</v>
      </c>
      <c r="Z149">
        <f t="shared" si="64"/>
        <v>90</v>
      </c>
      <c r="AA149">
        <f>INDEX('Operations Forecast'!$A$2:$BGY$47,10,MATCH(DB!D149,'Operations Forecast'!$A$2:$BGY$2))</f>
        <v>90</v>
      </c>
      <c r="AB149">
        <f>INDEX('Operations Forecast'!$A$2:$BGY$47,21,MATCH(DB!D149,'Operations Forecast'!$A$2:$BGY$2))</f>
        <v>0</v>
      </c>
      <c r="AC149" s="312">
        <f>SUM(DB[[#This Row],[Act-Orders-Collect]:[Act-Orders-HD]])</f>
        <v>2794</v>
      </c>
      <c r="AD149" s="858">
        <f>IFERROR(INDEX('Operations Forecast_new'!$7:$7,MATCH(DB[[#This Row],[Datum]],'Operations Forecast_new'!$2:$2,0)),0)</f>
        <v>895</v>
      </c>
      <c r="AE149" s="312">
        <f t="shared" si="65"/>
        <v>1899</v>
      </c>
      <c r="AF149" s="858">
        <f>IFERROR(INDEX('Operations Forecast_new'!$13:$13,MATCH(DB[[#This Row],[Datum]],'Operations Forecast_new'!$2:$2,0)),0)</f>
        <v>886</v>
      </c>
      <c r="AG149" s="858">
        <f>IFERROR(INDEX('Operations Forecast_new'!$19:$19,MATCH(DB[[#This Row],[Datum]],'Operations Forecast_new'!$2:$2,0)),0)</f>
        <v>1013</v>
      </c>
      <c r="AH149" s="312">
        <f t="shared" si="55"/>
        <v>141155.38799999998</v>
      </c>
      <c r="AI149" s="858">
        <f>IFERROR(INDEX('Operations Forecast_new'!$9:$9,MATCH(DB[[#This Row],[Datum]],'Operations Forecast_new'!$2:$2,0)),0)</f>
        <v>43770.87</v>
      </c>
      <c r="AJ149" s="312">
        <f t="shared" si="66"/>
        <v>97384.517999999982</v>
      </c>
      <c r="AK149" s="858">
        <f>IFERROR(INDEX('Operations Forecast_new'!$15:$15,MATCH(DB[[#This Row],[Datum]],'Operations Forecast_new'!$2:$2,0)),0)</f>
        <v>45435.851999999992</v>
      </c>
      <c r="AL149" s="858">
        <f>IFERROR(INDEX('Operations Forecast_new'!$21:$21,MATCH(DB[[#This Row],[Datum]],'Operations Forecast_new'!$2:$2,0)),0)</f>
        <v>51948.66599999999</v>
      </c>
      <c r="AM149" s="178">
        <f>IFERROR(INDEX('Operations Forecast_new'!$8:$8,MATCH(DB[[#This Row],[Datum]],'Operations Forecast_new'!$2:$2,0)),0)</f>
        <v>49.4</v>
      </c>
      <c r="AN149" s="859">
        <f>IFERROR(INDEX('Operations Forecast_new'!$20:$20,MATCH(DB[[#This Row],[Datum]],'Operations Forecast_new'!$2:$2,0)),0)</f>
        <v>51.8</v>
      </c>
      <c r="AO149" s="44">
        <f t="shared" si="67"/>
        <v>48.906000000000006</v>
      </c>
      <c r="AP149" s="404">
        <f t="shared" si="68"/>
        <v>51.281999999999989</v>
      </c>
      <c r="AQ149" s="44">
        <f t="shared" si="56"/>
        <v>113902.00000000006</v>
      </c>
      <c r="AR149" s="44" cm="1">
        <f t="array" ref="AR149">IFERROR(INDEX('ST Forecast'!$E$2:$RK$36,25,M149)+(INDEX('ST Forecast'!$E$2:$RK$36,29,M149)),"")</f>
        <v>50418.27473754566</v>
      </c>
      <c r="AS149" s="44" cm="1">
        <f t="array" ref="AS149">IFERROR(INDEX('ST Forecast'!$E$2:$RK$36,26,M149)+INDEX('ST Forecast'!$E$2:$RK$36,30,M149),"")</f>
        <v>50477.925466480308</v>
      </c>
      <c r="AT149" s="44" cm="1">
        <f t="array" ref="AT149">IFERROR(INDEX('ST Forecast'!$E$2:$RK$36,27,M149)+INDEX('ST Forecast'!$E$2:$RK$36,31,M149),"")</f>
        <v>4975.954113383621</v>
      </c>
      <c r="AU149" s="44" cm="1">
        <f t="array" ref="AU149">IFERROR(INDEX('ST Forecast'!$E$2:$RK$36,28,M149),"")</f>
        <v>8029.8456825904796</v>
      </c>
      <c r="AV149" s="44" cm="1">
        <f t="array" ref="AV149">IFERROR(INDEX('ST Forecast'!$E$2:$RK$36,29,M149),"")</f>
        <v>0</v>
      </c>
      <c r="AW149" s="44">
        <f>DB[[#This Row],[Inbound FC]]-DB[[#This Row],[Inbound Act - Ultrafresh2]]</f>
        <v>113902.00000000006</v>
      </c>
      <c r="AX149" s="178" t="e">
        <f>#REF!</f>
        <v>#REF!</v>
      </c>
      <c r="AY149" s="178" t="e">
        <f>#REF!</f>
        <v>#REF!</v>
      </c>
      <c r="AZ149" s="178" t="e">
        <f>#REF!</f>
        <v>#REF!</v>
      </c>
      <c r="BA149" s="178">
        <f>MONTH(DB[[#This Row],[Datum]])</f>
        <v>5</v>
      </c>
    </row>
    <row r="150" spans="1:53" x14ac:dyDescent="0.3">
      <c r="A150" s="44">
        <f t="shared" si="57"/>
        <v>21</v>
      </c>
      <c r="B150" t="str">
        <f t="shared" si="58"/>
        <v>Wk 21</v>
      </c>
      <c r="C150" t="s">
        <v>118</v>
      </c>
      <c r="D150" s="313">
        <v>44709</v>
      </c>
      <c r="E150" s="44">
        <f>DB[[#This Row],[Sales-FC-Orders-Collect]]+DB[[#This Row],[Sales-FC-Orders-HD]]</f>
        <v>3250</v>
      </c>
      <c r="F150" s="402" cm="1">
        <f t="array" ref="F150">INDEX('LT Collect Forecast'!$K$1:$Q$55,MATCH(B150,'LT Collect Forecast'!$A:$A,0)+1,MATCH(C150,'LT Collect Forecast'!$K$2:$Q$2,0))</f>
        <v>1100</v>
      </c>
      <c r="G150" s="44" cm="1">
        <f t="array" ref="G150">INDEX('LT HD Forecast'!$K$1:$Q$55,MATCH(B150,'LT HD Forecast'!$A:$A,0)+1,MATCH(C150,'LT HD Forecast'!$K$2:$Q$2,0))</f>
        <v>2150</v>
      </c>
      <c r="H150" s="44" cm="1">
        <f t="array" ref="H150">IFERROR(INDEX('ST Forecast'!$E$2:$RK$36,6,M150),"")</f>
        <v>53.773680133137383</v>
      </c>
      <c r="I150" s="44" cm="1">
        <f t="array" ref="I150">IFERROR(INDEX('ST Forecast'!$E$2:$RK$36,7,M150),"")</f>
        <v>52.15984564458136</v>
      </c>
      <c r="J150" s="44">
        <f>SUM(DB[[#This Row],[Sales-FC-Picks-Collect]:[Sales-FC-Picks-HD]])</f>
        <v>171294.71628230103</v>
      </c>
      <c r="K150" s="44">
        <f t="shared" si="53"/>
        <v>59151.048146451118</v>
      </c>
      <c r="L150" s="44">
        <f t="shared" si="54"/>
        <v>112143.66813584992</v>
      </c>
      <c r="M150" s="403">
        <f>IFERROR(IF(B150=B149,M149+1,MATCH(B150,'ST Forecast'!$E$2:$RK$2,0)+1),"")</f>
        <v>167</v>
      </c>
      <c r="N150">
        <f>SUM(DB[[#This Row],[Ops-FC-Orders-Collect]:[Ops-FC-Orders-HD]])</f>
        <v>3250</v>
      </c>
      <c r="O150" s="44" cm="1">
        <f t="array" ref="O150">IFERROR(INDEX('ST Forecast'!$E$2:$RK$36,13,M150),"")</f>
        <v>1100</v>
      </c>
      <c r="P150" s="44">
        <f t="shared" si="59"/>
        <v>2150</v>
      </c>
      <c r="Q150" s="44" cm="1">
        <f t="array" ref="Q150">IFERROR(INDEX('ST Forecast'!$E$2:$RK$36,14,M150),"")</f>
        <v>1100</v>
      </c>
      <c r="R150" s="44" cm="1">
        <f t="array" ref="R150">IFERROR(INDEX('ST Forecast'!$E$2:$RK$36,15,M150),"")</f>
        <v>1050</v>
      </c>
      <c r="S150" s="312">
        <f>SUM(DB[[#This Row],[Ops-FC-Picks-Collect]:[Ops-FC-Picks-HD]])</f>
        <v>167868.82195665501</v>
      </c>
      <c r="T150" s="44">
        <f t="shared" si="60"/>
        <v>57968.027183522092</v>
      </c>
      <c r="U150" s="44">
        <f t="shared" si="61"/>
        <v>109900.79477313292</v>
      </c>
      <c r="V150" s="44">
        <f t="shared" si="62"/>
        <v>56228.313604858704</v>
      </c>
      <c r="W150" s="404">
        <f t="shared" si="63"/>
        <v>53672.481168274215</v>
      </c>
      <c r="X150" s="44">
        <f>SUM(DB[[#This Row],[Capped-Orders-Collect]:[Capped-Orders-HD]])</f>
        <v>90</v>
      </c>
      <c r="Y150">
        <f>INDEX('Operations Forecast'!$A$2:$BGY$47,3,MATCH(DB!D150,'Operations Forecast'!$A$2:$BGY$2))</f>
        <v>0</v>
      </c>
      <c r="Z150">
        <f t="shared" si="64"/>
        <v>90</v>
      </c>
      <c r="AA150">
        <f>INDEX('Operations Forecast'!$A$2:$BGY$47,10,MATCH(DB!D150,'Operations Forecast'!$A$2:$BGY$2))</f>
        <v>90</v>
      </c>
      <c r="AB150">
        <f>INDEX('Operations Forecast'!$A$2:$BGY$47,21,MATCH(DB!D150,'Operations Forecast'!$A$2:$BGY$2))</f>
        <v>0</v>
      </c>
      <c r="AC150" s="312">
        <f>SUM(DB[[#This Row],[Act-Orders-Collect]:[Act-Orders-HD]])</f>
        <v>3159</v>
      </c>
      <c r="AD150" s="858">
        <f>IFERROR(INDEX('Operations Forecast_new'!$7:$7,MATCH(DB[[#This Row],[Datum]],'Operations Forecast_new'!$2:$2,0)),0)</f>
        <v>1080</v>
      </c>
      <c r="AE150" s="312">
        <f t="shared" si="65"/>
        <v>2079</v>
      </c>
      <c r="AF150" s="858">
        <f>IFERROR(INDEX('Operations Forecast_new'!$13:$13,MATCH(DB[[#This Row],[Datum]],'Operations Forecast_new'!$2:$2,0)),0)</f>
        <v>1088</v>
      </c>
      <c r="AG150" s="858">
        <f>IFERROR(INDEX('Operations Forecast_new'!$19:$19,MATCH(DB[[#This Row],[Datum]],'Operations Forecast_new'!$2:$2,0)),0)</f>
        <v>991</v>
      </c>
      <c r="AH150" s="312">
        <f t="shared" si="55"/>
        <v>156931.82999999999</v>
      </c>
      <c r="AI150" s="858">
        <f>IFERROR(INDEX('Operations Forecast_new'!$9:$9,MATCH(DB[[#This Row],[Datum]],'Operations Forecast_new'!$2:$2,0)),0)</f>
        <v>51963.12</v>
      </c>
      <c r="AJ150" s="312">
        <f t="shared" si="66"/>
        <v>104968.70999999999</v>
      </c>
      <c r="AK150" s="858">
        <f>IFERROR(INDEX('Operations Forecast_new'!$15:$15,MATCH(DB[[#This Row],[Datum]],'Operations Forecast_new'!$2:$2,0)),0)</f>
        <v>54933.120000000003</v>
      </c>
      <c r="AL150" s="858">
        <f>IFERROR(INDEX('Operations Forecast_new'!$21:$21,MATCH(DB[[#This Row],[Datum]],'Operations Forecast_new'!$2:$2,0)),0)</f>
        <v>50035.59</v>
      </c>
      <c r="AM150" s="178">
        <f>IFERROR(INDEX('Operations Forecast_new'!$8:$8,MATCH(DB[[#This Row],[Datum]],'Operations Forecast_new'!$2:$2,0)),0)</f>
        <v>48.6</v>
      </c>
      <c r="AN150" s="859">
        <f>IFERROR(INDEX('Operations Forecast_new'!$20:$20,MATCH(DB[[#This Row],[Datum]],'Operations Forecast_new'!$2:$2,0)),0)</f>
        <v>51</v>
      </c>
      <c r="AO150" s="44">
        <f t="shared" si="67"/>
        <v>48.114000000000004</v>
      </c>
      <c r="AP150" s="404">
        <f t="shared" si="68"/>
        <v>50.489999999999995</v>
      </c>
      <c r="AQ150" s="44">
        <f t="shared" si="56"/>
        <v>121712.52000000008</v>
      </c>
      <c r="AR150" s="44" cm="1">
        <f t="array" ref="AR150">IFERROR(INDEX('ST Forecast'!$E$2:$RK$36,25,M150)+(INDEX('ST Forecast'!$E$2:$RK$36,29,M150)),"")</f>
        <v>56398.967119913374</v>
      </c>
      <c r="AS150" s="44" cm="1">
        <f t="array" ref="AS150">IFERROR(INDEX('ST Forecast'!$E$2:$RK$36,26,M150)+INDEX('ST Forecast'!$E$2:$RK$36,30,M150),"")</f>
        <v>53793.56890184553</v>
      </c>
      <c r="AT150" s="44" cm="1">
        <f t="array" ref="AT150">IFERROR(INDEX('ST Forecast'!$E$2:$RK$36,27,M150)+INDEX('ST Forecast'!$E$2:$RK$36,31,M150),"")</f>
        <v>5212.9084698566658</v>
      </c>
      <c r="AU150" s="44" cm="1">
        <f t="array" ref="AU150">IFERROR(INDEX('ST Forecast'!$E$2:$RK$36,28,M150),"")</f>
        <v>6307.0755083844952</v>
      </c>
      <c r="AV150" s="44" cm="1">
        <f t="array" ref="AV150">IFERROR(INDEX('ST Forecast'!$E$2:$RK$36,29,M150),"")</f>
        <v>0</v>
      </c>
      <c r="AW150" s="44">
        <f>DB[[#This Row],[Inbound FC]]-DB[[#This Row],[Inbound Act - Ultrafresh2]]</f>
        <v>121712.52000000008</v>
      </c>
      <c r="AX150" s="178" t="e">
        <f>#REF!</f>
        <v>#REF!</v>
      </c>
      <c r="AY150" s="178" t="e">
        <f>#REF!</f>
        <v>#REF!</v>
      </c>
      <c r="AZ150" s="178" t="e">
        <f>#REF!</f>
        <v>#REF!</v>
      </c>
      <c r="BA150" s="178">
        <f>MONTH(DB[[#This Row],[Datum]])</f>
        <v>5</v>
      </c>
    </row>
    <row r="151" spans="1:53" x14ac:dyDescent="0.3">
      <c r="A151" s="44">
        <f t="shared" si="57"/>
        <v>21</v>
      </c>
      <c r="B151" t="str">
        <f t="shared" si="58"/>
        <v>Wk 21</v>
      </c>
      <c r="C151" t="s">
        <v>119</v>
      </c>
      <c r="D151" s="313">
        <v>44710</v>
      </c>
      <c r="E151" s="44">
        <f>DB[[#This Row],[Sales-FC-Orders-Collect]]+DB[[#This Row],[Sales-FC-Orders-HD]]</f>
        <v>100</v>
      </c>
      <c r="F151" s="402" cm="1">
        <f t="array" ref="F151">INDEX('LT Collect Forecast'!$K$1:$Q$55,MATCH(B151,'LT Collect Forecast'!$A:$A,0)+1,MATCH(C151,'LT Collect Forecast'!$K$2:$Q$2,0))</f>
        <v>0</v>
      </c>
      <c r="G151" s="44" cm="1">
        <f t="array" ref="G151">INDEX('LT HD Forecast'!$K$1:$Q$55,MATCH(B151,'LT HD Forecast'!$A:$A,0)+1,MATCH(C151,'LT HD Forecast'!$K$2:$Q$2,0))</f>
        <v>100</v>
      </c>
      <c r="H151" s="44" cm="1">
        <f t="array" ref="H151">IFERROR(INDEX('ST Forecast'!$E$2:$RK$36,6,M151),"")</f>
        <v>0</v>
      </c>
      <c r="I151" s="44" cm="1">
        <f t="array" ref="I151">IFERROR(INDEX('ST Forecast'!$E$2:$RK$36,7,M151),"")</f>
        <v>53.17665414566661</v>
      </c>
      <c r="J151" s="44">
        <f>SUM(DB[[#This Row],[Sales-FC-Picks-Collect]:[Sales-FC-Picks-HD]])</f>
        <v>5317.6654145666607</v>
      </c>
      <c r="K151" s="44">
        <f t="shared" si="53"/>
        <v>0</v>
      </c>
      <c r="L151" s="44">
        <f t="shared" si="54"/>
        <v>5317.6654145666607</v>
      </c>
      <c r="M151" s="403">
        <f>IFERROR(IF(B151=B150,M150+1,MATCH(B151,'ST Forecast'!$E$2:$RK$2,0)+1),"")</f>
        <v>168</v>
      </c>
      <c r="N151">
        <f>SUM(DB[[#This Row],[Ops-FC-Orders-Collect]:[Ops-FC-Orders-HD]])</f>
        <v>100</v>
      </c>
      <c r="O151" s="44" cm="1">
        <f t="array" ref="O151">IFERROR(INDEX('ST Forecast'!$E$2:$RK$36,13,M151),"")</f>
        <v>0</v>
      </c>
      <c r="P151" s="44">
        <f t="shared" si="59"/>
        <v>100</v>
      </c>
      <c r="Q151" s="44" cm="1">
        <f t="array" ref="Q151">IFERROR(INDEX('ST Forecast'!$E$2:$RK$36,14,M151),"")</f>
        <v>100</v>
      </c>
      <c r="R151" s="44" cm="1">
        <f t="array" ref="R151">IFERROR(INDEX('ST Forecast'!$E$2:$RK$36,15,M151),"")</f>
        <v>0</v>
      </c>
      <c r="S151" s="312">
        <f>SUM(DB[[#This Row],[Ops-FC-Picks-Collect]:[Ops-FC-Picks-HD]])</f>
        <v>5211.3121062753271</v>
      </c>
      <c r="T151" s="44">
        <f t="shared" si="60"/>
        <v>0</v>
      </c>
      <c r="U151" s="44">
        <f t="shared" si="61"/>
        <v>5211.3121062753271</v>
      </c>
      <c r="V151" s="44">
        <f t="shared" si="62"/>
        <v>5211.3121062753271</v>
      </c>
      <c r="W151" s="404">
        <f t="shared" si="63"/>
        <v>0</v>
      </c>
      <c r="X151" s="44">
        <f>SUM(DB[[#This Row],[Capped-Orders-Collect]:[Capped-Orders-HD]])</f>
        <v>90</v>
      </c>
      <c r="Y151">
        <f>INDEX('Operations Forecast'!$A$2:$BGY$47,3,MATCH(DB!D151,'Operations Forecast'!$A$2:$BGY$2))</f>
        <v>0</v>
      </c>
      <c r="Z151">
        <f t="shared" si="64"/>
        <v>90</v>
      </c>
      <c r="AA151">
        <f>INDEX('Operations Forecast'!$A$2:$BGY$47,10,MATCH(DB!D151,'Operations Forecast'!$A$2:$BGY$2))</f>
        <v>90</v>
      </c>
      <c r="AB151">
        <f>INDEX('Operations Forecast'!$A$2:$BGY$47,21,MATCH(DB!D151,'Operations Forecast'!$A$2:$BGY$2))</f>
        <v>0</v>
      </c>
      <c r="AC151" s="312">
        <f>SUM(DB[[#This Row],[Act-Orders-Collect]:[Act-Orders-HD]])</f>
        <v>100</v>
      </c>
      <c r="AD151" s="858">
        <f>IFERROR(INDEX('Operations Forecast_new'!$7:$7,MATCH(DB[[#This Row],[Datum]],'Operations Forecast_new'!$2:$2,0)),0)</f>
        <v>0</v>
      </c>
      <c r="AE151" s="312">
        <f t="shared" si="65"/>
        <v>100</v>
      </c>
      <c r="AF151" s="858">
        <f>IFERROR(INDEX('Operations Forecast_new'!$13:$13,MATCH(DB[[#This Row],[Datum]],'Operations Forecast_new'!$2:$2,0)),0)</f>
        <v>100</v>
      </c>
      <c r="AG151" s="858">
        <f>IFERROR(INDEX('Operations Forecast_new'!$19:$19,MATCH(DB[[#This Row],[Datum]],'Operations Forecast_new'!$2:$2,0)),0)</f>
        <v>0</v>
      </c>
      <c r="AH151" s="312">
        <f t="shared" si="55"/>
        <v>5451.1554994475882</v>
      </c>
      <c r="AI151" s="858">
        <f>IFERROR(INDEX('Operations Forecast_new'!$9:$9,MATCH(DB[[#This Row],[Datum]],'Operations Forecast_new'!$2:$2,0)),0)</f>
        <v>0</v>
      </c>
      <c r="AJ151" s="312">
        <f t="shared" si="66"/>
        <v>5451.1554994475882</v>
      </c>
      <c r="AK151" s="858">
        <f>IFERROR(INDEX('Operations Forecast_new'!$15:$15,MATCH(DB[[#This Row],[Datum]],'Operations Forecast_new'!$2:$2,0)),0)</f>
        <v>5451.1554994475882</v>
      </c>
      <c r="AL151" s="858">
        <f>IFERROR(INDEX('Operations Forecast_new'!$21:$21,MATCH(DB[[#This Row],[Datum]],'Operations Forecast_new'!$2:$2,0)),0)</f>
        <v>0</v>
      </c>
      <c r="AM151" s="178">
        <f>IFERROR(INDEX('Operations Forecast_new'!$8:$8,MATCH(DB[[#This Row],[Datum]],'Operations Forecast_new'!$2:$2,0)),0)</f>
        <v>0</v>
      </c>
      <c r="AN151" s="859">
        <f>IFERROR(INDEX('Operations Forecast_new'!$20:$20,MATCH(DB[[#This Row],[Datum]],'Operations Forecast_new'!$2:$2,0)),0)</f>
        <v>53.17665414566661</v>
      </c>
      <c r="AO151" s="44" t="str">
        <f t="shared" si="67"/>
        <v>-</v>
      </c>
      <c r="AP151" s="404">
        <f t="shared" si="68"/>
        <v>54.51155499447588</v>
      </c>
      <c r="AQ151" s="44">
        <f t="shared" si="56"/>
        <v>0</v>
      </c>
      <c r="AR151" s="44" cm="1">
        <f t="array" ref="AR151">IFERROR(INDEX('ST Forecast'!$E$2:$RK$36,25,M151)+(INDEX('ST Forecast'!$E$2:$RK$36,29,M151)),"")</f>
        <v>0</v>
      </c>
      <c r="AS151" s="44" cm="1">
        <f t="array" ref="AS151">IFERROR(INDEX('ST Forecast'!$E$2:$RK$36,26,M151)+INDEX('ST Forecast'!$E$2:$RK$36,30,M151),"")</f>
        <v>0</v>
      </c>
      <c r="AT151" s="44" cm="1">
        <f t="array" ref="AT151">IFERROR(INDEX('ST Forecast'!$E$2:$RK$36,27,M151)+INDEX('ST Forecast'!$E$2:$RK$36,31,M151),"")</f>
        <v>0</v>
      </c>
      <c r="AU151" s="44" cm="1">
        <f t="array" ref="AU151">IFERROR(INDEX('ST Forecast'!$E$2:$RK$36,28,M151),"")</f>
        <v>0</v>
      </c>
      <c r="AV151" s="44" cm="1">
        <f t="array" ref="AV151">IFERROR(INDEX('ST Forecast'!$E$2:$RK$36,29,M151),"")</f>
        <v>0</v>
      </c>
      <c r="AW151" s="44">
        <f>DB[[#This Row],[Inbound FC]]-DB[[#This Row],[Inbound Act - Ultrafresh2]]</f>
        <v>0</v>
      </c>
      <c r="AX151" s="178" t="e">
        <f>#REF!</f>
        <v>#REF!</v>
      </c>
      <c r="AY151" s="178" t="e">
        <f>#REF!</f>
        <v>#REF!</v>
      </c>
      <c r="AZ151" s="178" t="e">
        <f>#REF!</f>
        <v>#REF!</v>
      </c>
      <c r="BA151" s="178">
        <f>MONTH(DB[[#This Row],[Datum]])</f>
        <v>5</v>
      </c>
    </row>
    <row r="152" spans="1:53" x14ac:dyDescent="0.3">
      <c r="A152" s="44">
        <f t="shared" si="57"/>
        <v>22</v>
      </c>
      <c r="B152" t="str">
        <f t="shared" si="58"/>
        <v>Wk 22</v>
      </c>
      <c r="C152" t="s">
        <v>113</v>
      </c>
      <c r="D152" s="313">
        <v>44711</v>
      </c>
      <c r="E152" s="44">
        <f>DB[[#This Row],[Sales-FC-Orders-Collect]]+DB[[#This Row],[Sales-FC-Orders-HD]]</f>
        <v>2450</v>
      </c>
      <c r="F152" s="402">
        <f>INDEX('LT Collect Forecast'!$K$1:$Q$55,MATCH(B152,'LT Collect Forecast'!$A:$A,0),MATCH(C152,'LT Collect Forecast'!$K$2:$Q$2,0))</f>
        <v>800</v>
      </c>
      <c r="G152" s="44">
        <f>INDEX('LT HD Forecast'!$K$1:$Q$55,MATCH(B152,'LT HD Forecast'!$A:$A,0),MATCH(C152,'LT HD Forecast'!$K$2:$Q$2,0))</f>
        <v>1650</v>
      </c>
      <c r="H152" s="44" cm="1">
        <f t="array" ref="H152">IFERROR(INDEX('ST Forecast'!$E$2:$RK$36,6,M152),"")</f>
        <v>49.731801262164637</v>
      </c>
      <c r="I152" s="44" cm="1">
        <f t="array" ref="I152">IFERROR(INDEX('ST Forecast'!$E$2:$RK$36,7,M152),"")</f>
        <v>50.640972064084153</v>
      </c>
      <c r="J152" s="44">
        <f>SUM(DB[[#This Row],[Sales-FC-Picks-Collect]:[Sales-FC-Picks-HD]])</f>
        <v>123343.04491547056</v>
      </c>
      <c r="K152" s="44">
        <f t="shared" si="53"/>
        <v>39785.441009731709</v>
      </c>
      <c r="L152" s="44">
        <f t="shared" si="54"/>
        <v>83557.603905738855</v>
      </c>
      <c r="M152" s="403">
        <f>IFERROR(IF(B152=B151,M151+1,MATCH(B152,'ST Forecast'!$E$2:$RK$2,0)+1),"")</f>
        <v>170</v>
      </c>
      <c r="N152">
        <f>SUM(DB[[#This Row],[Ops-FC-Orders-Collect]:[Ops-FC-Orders-HD]])</f>
        <v>2450</v>
      </c>
      <c r="O152" s="44" cm="1">
        <f t="array" ref="O152">IFERROR(INDEX('ST Forecast'!$E$2:$RK$36,13,M152),"")</f>
        <v>800</v>
      </c>
      <c r="P152" s="44">
        <f t="shared" si="59"/>
        <v>1650</v>
      </c>
      <c r="Q152" s="44" cm="1">
        <f t="array" ref="Q152">IFERROR(INDEX('ST Forecast'!$E$2:$RK$36,14,M152),"")</f>
        <v>750</v>
      </c>
      <c r="R152" s="44" cm="1">
        <f t="array" ref="R152">IFERROR(INDEX('ST Forecast'!$E$2:$RK$36,15,M152),"")</f>
        <v>900</v>
      </c>
      <c r="S152" s="312">
        <f>SUM(DB[[#This Row],[Ops-FC-Picks-Collect]:[Ops-FC-Picks-HD]])</f>
        <v>120876.18401716114</v>
      </c>
      <c r="T152" s="44">
        <f t="shared" si="60"/>
        <v>38989.732189537077</v>
      </c>
      <c r="U152" s="44">
        <f t="shared" si="61"/>
        <v>81886.451827624071</v>
      </c>
      <c r="V152" s="44">
        <f t="shared" si="62"/>
        <v>37221.114467101848</v>
      </c>
      <c r="W152" s="404">
        <f t="shared" si="63"/>
        <v>44665.337360522222</v>
      </c>
      <c r="X152" s="44">
        <f>SUM(DB[[#This Row],[Capped-Orders-Collect]:[Capped-Orders-HD]])</f>
        <v>90</v>
      </c>
      <c r="Y152">
        <f>INDEX('Operations Forecast'!$A$2:$BGY$47,3,MATCH(DB!D152,'Operations Forecast'!$A$2:$BGY$2))</f>
        <v>0</v>
      </c>
      <c r="Z152">
        <f t="shared" si="64"/>
        <v>90</v>
      </c>
      <c r="AA152">
        <f>INDEX('Operations Forecast'!$A$2:$BGY$47,10,MATCH(DB!D152,'Operations Forecast'!$A$2:$BGY$2))</f>
        <v>90</v>
      </c>
      <c r="AB152">
        <f>INDEX('Operations Forecast'!$A$2:$BGY$47,21,MATCH(DB!D152,'Operations Forecast'!$A$2:$BGY$2))</f>
        <v>0</v>
      </c>
      <c r="AC152" s="312">
        <f>SUM(DB[[#This Row],[Act-Orders-Collect]:[Act-Orders-HD]])</f>
        <v>2655</v>
      </c>
      <c r="AD152" s="858">
        <f>IFERROR(INDEX('Operations Forecast_new'!$7:$7,MATCH(DB[[#This Row],[Datum]],'Operations Forecast_new'!$2:$2,0)),0)</f>
        <v>870</v>
      </c>
      <c r="AE152" s="312">
        <f t="shared" si="65"/>
        <v>1785</v>
      </c>
      <c r="AF152" s="858">
        <f>IFERROR(INDEX('Operations Forecast_new'!$13:$13,MATCH(DB[[#This Row],[Datum]],'Operations Forecast_new'!$2:$2,0)),0)</f>
        <v>796</v>
      </c>
      <c r="AG152" s="858">
        <f>IFERROR(INDEX('Operations Forecast_new'!$19:$19,MATCH(DB[[#This Row],[Datum]],'Operations Forecast_new'!$2:$2,0)),0)</f>
        <v>989</v>
      </c>
      <c r="AH152" s="312">
        <f t="shared" si="55"/>
        <v>128479.23000000001</v>
      </c>
      <c r="AI152" s="858">
        <f>IFERROR(INDEX('Operations Forecast_new'!$9:$9,MATCH(DB[[#This Row],[Datum]],'Operations Forecast_new'!$2:$2,0)),0)</f>
        <v>37294.29</v>
      </c>
      <c r="AJ152" s="312">
        <f t="shared" si="66"/>
        <v>91184.94</v>
      </c>
      <c r="AK152" s="858">
        <f>IFERROR(INDEX('Operations Forecast_new'!$15:$15,MATCH(DB[[#This Row],[Datum]],'Operations Forecast_new'!$2:$2,0)),0)</f>
        <v>40662.864000000001</v>
      </c>
      <c r="AL152" s="858">
        <f>IFERROR(INDEX('Operations Forecast_new'!$21:$21,MATCH(DB[[#This Row],[Datum]],'Operations Forecast_new'!$2:$2,0)),0)</f>
        <v>50522.076000000001</v>
      </c>
      <c r="AM152" s="178">
        <f>IFERROR(INDEX('Operations Forecast_new'!$8:$8,MATCH(DB[[#This Row],[Datum]],'Operations Forecast_new'!$2:$2,0)),0)</f>
        <v>43.3</v>
      </c>
      <c r="AN152" s="859">
        <f>IFERROR(INDEX('Operations Forecast_new'!$20:$20,MATCH(DB[[#This Row],[Datum]],'Operations Forecast_new'!$2:$2,0)),0)</f>
        <v>51.6</v>
      </c>
      <c r="AO152" s="44">
        <f t="shared" si="67"/>
        <v>42.867000000000004</v>
      </c>
      <c r="AP152" s="404">
        <f t="shared" si="68"/>
        <v>51.084000000000003</v>
      </c>
      <c r="AQ152" s="44">
        <f t="shared" si="56"/>
        <v>228949.00000000003</v>
      </c>
      <c r="AR152" s="44" cm="1">
        <f t="array" ref="AR152">IFERROR(INDEX('ST Forecast'!$E$2:$RK$36,25,M152)+(INDEX('ST Forecast'!$E$2:$RK$36,29,M152)),"")</f>
        <v>98434.304386934265</v>
      </c>
      <c r="AS152" s="44" cm="1">
        <f t="array" ref="AS152">IFERROR(INDEX('ST Forecast'!$E$2:$RK$36,26,M152)+INDEX('ST Forecast'!$E$2:$RK$36,30,M152),"")</f>
        <v>61973.865573700758</v>
      </c>
      <c r="AT152" s="44" cm="1">
        <f t="array" ref="AT152">IFERROR(INDEX('ST Forecast'!$E$2:$RK$36,27,M152)+INDEX('ST Forecast'!$E$2:$RK$36,31,M152),"")</f>
        <v>59509.957340870344</v>
      </c>
      <c r="AU152" s="44" cm="1">
        <f t="array" ref="AU152">IFERROR(INDEX('ST Forecast'!$E$2:$RK$36,28,M152),"")</f>
        <v>9030.8726984946625</v>
      </c>
      <c r="AV152" s="44" cm="1">
        <f t="array" ref="AV152">IFERROR(INDEX('ST Forecast'!$E$2:$RK$36,29,M152),"")</f>
        <v>0</v>
      </c>
      <c r="AW152" s="44">
        <f>DB[[#This Row],[Inbound FC]]-DB[[#This Row],[Inbound Act - Ultrafresh2]]</f>
        <v>228949.00000000003</v>
      </c>
      <c r="AX152" s="178" t="e">
        <f>#REF!</f>
        <v>#REF!</v>
      </c>
      <c r="AY152" s="178" t="e">
        <f>#REF!</f>
        <v>#REF!</v>
      </c>
      <c r="AZ152" s="178" t="e">
        <f>#REF!</f>
        <v>#REF!</v>
      </c>
      <c r="BA152" s="178">
        <f>MONTH(DB[[#This Row],[Datum]])</f>
        <v>5</v>
      </c>
    </row>
    <row r="153" spans="1:53" x14ac:dyDescent="0.3">
      <c r="A153" s="44">
        <f t="shared" si="57"/>
        <v>22</v>
      </c>
      <c r="B153" t="str">
        <f t="shared" si="58"/>
        <v>Wk 22</v>
      </c>
      <c r="C153" t="s">
        <v>114</v>
      </c>
      <c r="D153" s="313">
        <v>44712</v>
      </c>
      <c r="E153" s="44">
        <f>DB[[#This Row],[Sales-FC-Orders-Collect]]+DB[[#This Row],[Sales-FC-Orders-HD]]</f>
        <v>2600</v>
      </c>
      <c r="F153" s="402">
        <f>INDEX('LT Collect Forecast'!$K$1:$Q$55,MATCH(B153,'LT Collect Forecast'!$A:$A,0),MATCH(C153,'LT Collect Forecast'!$K$2:$Q$2,0))</f>
        <v>650</v>
      </c>
      <c r="G153" s="44">
        <f>INDEX('LT HD Forecast'!$K$1:$Q$55,MATCH(B153,'LT HD Forecast'!$A:$A,0),MATCH(C153,'LT HD Forecast'!$K$2:$Q$2,0))</f>
        <v>1950</v>
      </c>
      <c r="H153" s="44" cm="1">
        <f t="array" ref="H153">IFERROR(INDEX('ST Forecast'!$E$2:$RK$36,6,M153),"")</f>
        <v>45.456816486982042</v>
      </c>
      <c r="I153" s="44" cm="1">
        <f t="array" ref="I153">IFERROR(INDEX('ST Forecast'!$E$2:$RK$36,7,M153),"")</f>
        <v>48.962087033349874</v>
      </c>
      <c r="J153" s="44">
        <f>SUM(DB[[#This Row],[Sales-FC-Picks-Collect]:[Sales-FC-Picks-HD]])</f>
        <v>125023.00043157057</v>
      </c>
      <c r="K153" s="44">
        <f t="shared" si="53"/>
        <v>29546.930716538329</v>
      </c>
      <c r="L153" s="44">
        <f t="shared" si="54"/>
        <v>95476.069715032252</v>
      </c>
      <c r="M153" s="403">
        <f>IFERROR(IF(B153=B152,M152+1,MATCH(B153,'ST Forecast'!$E$2:$RK$2,0)+1),"")</f>
        <v>171</v>
      </c>
      <c r="N153">
        <f>SUM(DB[[#This Row],[Ops-FC-Orders-Collect]:[Ops-FC-Orders-HD]])</f>
        <v>2600</v>
      </c>
      <c r="O153" s="44" cm="1">
        <f t="array" ref="O153">IFERROR(INDEX('ST Forecast'!$E$2:$RK$36,13,M153),"")</f>
        <v>650</v>
      </c>
      <c r="P153" s="44">
        <f t="shared" si="59"/>
        <v>1950</v>
      </c>
      <c r="Q153" s="44" cm="1">
        <f t="array" ref="Q153">IFERROR(INDEX('ST Forecast'!$E$2:$RK$36,14,M153),"")</f>
        <v>950</v>
      </c>
      <c r="R153" s="44" cm="1">
        <f t="array" ref="R153">IFERROR(INDEX('ST Forecast'!$E$2:$RK$36,15,M153),"")</f>
        <v>1000</v>
      </c>
      <c r="S153" s="312">
        <f>SUM(DB[[#This Row],[Ops-FC-Picks-Collect]:[Ops-FC-Picks-HD]])</f>
        <v>122522.54042293917</v>
      </c>
      <c r="T153" s="44">
        <f t="shared" si="60"/>
        <v>28955.992102207561</v>
      </c>
      <c r="U153" s="44">
        <f t="shared" si="61"/>
        <v>93566.548320731614</v>
      </c>
      <c r="V153" s="44">
        <f t="shared" si="62"/>
        <v>45583.703028048731</v>
      </c>
      <c r="W153" s="404">
        <f t="shared" si="63"/>
        <v>47982.845292682876</v>
      </c>
      <c r="X153" s="44">
        <f>SUM(DB[[#This Row],[Capped-Orders-Collect]:[Capped-Orders-HD]])</f>
        <v>90</v>
      </c>
      <c r="Y153">
        <f>INDEX('Operations Forecast'!$A$2:$BGY$47,3,MATCH(DB!D153,'Operations Forecast'!$A$2:$BGY$2))</f>
        <v>0</v>
      </c>
      <c r="Z153">
        <f t="shared" si="64"/>
        <v>90</v>
      </c>
      <c r="AA153">
        <f>INDEX('Operations Forecast'!$A$2:$BGY$47,10,MATCH(DB!D153,'Operations Forecast'!$A$2:$BGY$2))</f>
        <v>90</v>
      </c>
      <c r="AB153">
        <f>INDEX('Operations Forecast'!$A$2:$BGY$47,21,MATCH(DB!D153,'Operations Forecast'!$A$2:$BGY$2))</f>
        <v>0</v>
      </c>
      <c r="AC153" s="312">
        <f>SUM(DB[[#This Row],[Act-Orders-Collect]:[Act-Orders-HD]])</f>
        <v>2621</v>
      </c>
      <c r="AD153" s="858">
        <f>IFERROR(INDEX('Operations Forecast_new'!$7:$7,MATCH(DB[[#This Row],[Datum]],'Operations Forecast_new'!$2:$2,0)),0)</f>
        <v>650</v>
      </c>
      <c r="AE153" s="312">
        <f t="shared" si="65"/>
        <v>1971</v>
      </c>
      <c r="AF153" s="858">
        <f>IFERROR(INDEX('Operations Forecast_new'!$13:$13,MATCH(DB[[#This Row],[Datum]],'Operations Forecast_new'!$2:$2,0)),0)</f>
        <v>982</v>
      </c>
      <c r="AG153" s="858">
        <f>IFERROR(INDEX('Operations Forecast_new'!$19:$19,MATCH(DB[[#This Row],[Datum]],'Operations Forecast_new'!$2:$2,0)),0)</f>
        <v>989</v>
      </c>
      <c r="AH153" s="312">
        <f t="shared" si="55"/>
        <v>123022.152</v>
      </c>
      <c r="AI153" s="858">
        <f>IFERROR(INDEX('Operations Forecast_new'!$9:$9,MATCH(DB[[#This Row],[Datum]],'Operations Forecast_new'!$2:$2,0)),0)</f>
        <v>27799.200000000004</v>
      </c>
      <c r="AJ153" s="312">
        <f t="shared" si="66"/>
        <v>95222.95199999999</v>
      </c>
      <c r="AK153" s="858">
        <f>IFERROR(INDEX('Operations Forecast_new'!$15:$15,MATCH(DB[[#This Row],[Datum]],'Operations Forecast_new'!$2:$2,0)),0)</f>
        <v>47442.383999999998</v>
      </c>
      <c r="AL153" s="858">
        <f>IFERROR(INDEX('Operations Forecast_new'!$21:$21,MATCH(DB[[#This Row],[Datum]],'Operations Forecast_new'!$2:$2,0)),0)</f>
        <v>47780.567999999999</v>
      </c>
      <c r="AM153" s="178">
        <f>IFERROR(INDEX('Operations Forecast_new'!$8:$8,MATCH(DB[[#This Row],[Datum]],'Operations Forecast_new'!$2:$2,0)),0)</f>
        <v>43.2</v>
      </c>
      <c r="AN153" s="859">
        <f>IFERROR(INDEX('Operations Forecast_new'!$20:$20,MATCH(DB[[#This Row],[Datum]],'Operations Forecast_new'!$2:$2,0)),0)</f>
        <v>48.8</v>
      </c>
      <c r="AO153" s="44">
        <f t="shared" si="67"/>
        <v>42.768000000000008</v>
      </c>
      <c r="AP153" s="404">
        <f t="shared" si="68"/>
        <v>48.311999999999998</v>
      </c>
      <c r="AQ153" s="44">
        <f t="shared" si="56"/>
        <v>152335.00000000009</v>
      </c>
      <c r="AR153" s="44" cm="1">
        <f t="array" ref="AR153">IFERROR(INDEX('ST Forecast'!$E$2:$RK$36,25,M153)+(INDEX('ST Forecast'!$E$2:$RK$36,29,M153)),"")</f>
        <v>70477.191845130175</v>
      </c>
      <c r="AS153" s="44" cm="1">
        <f t="array" ref="AS153">IFERROR(INDEX('ST Forecast'!$E$2:$RK$36,26,M153)+INDEX('ST Forecast'!$E$2:$RK$36,30,M153),"")</f>
        <v>66156.472712431569</v>
      </c>
      <c r="AT153" s="44" cm="1">
        <f t="array" ref="AT153">IFERROR(INDEX('ST Forecast'!$E$2:$RK$36,27,M153)+INDEX('ST Forecast'!$E$2:$RK$36,31,M153),"")</f>
        <v>6654.9487266447813</v>
      </c>
      <c r="AU153" s="44" cm="1">
        <f t="array" ref="AU153">IFERROR(INDEX('ST Forecast'!$E$2:$RK$36,28,M153),"")</f>
        <v>9046.386715793562</v>
      </c>
      <c r="AV153" s="44" cm="1">
        <f t="array" ref="AV153">IFERROR(INDEX('ST Forecast'!$E$2:$RK$36,29,M153),"")</f>
        <v>0</v>
      </c>
      <c r="AW153" s="44">
        <f>DB[[#This Row],[Inbound FC]]-DB[[#This Row],[Inbound Act - Ultrafresh2]]</f>
        <v>152335.00000000009</v>
      </c>
      <c r="AX153" s="178" t="e">
        <f>#REF!</f>
        <v>#REF!</v>
      </c>
      <c r="AY153" s="178" t="e">
        <f>#REF!</f>
        <v>#REF!</v>
      </c>
      <c r="AZ153" s="178" t="e">
        <f>#REF!</f>
        <v>#REF!</v>
      </c>
      <c r="BA153" s="178">
        <f>MONTH(DB[[#This Row],[Datum]])</f>
        <v>5</v>
      </c>
    </row>
    <row r="154" spans="1:53" x14ac:dyDescent="0.3">
      <c r="A154" s="44">
        <f t="shared" si="57"/>
        <v>22</v>
      </c>
      <c r="B154" t="str">
        <f t="shared" si="58"/>
        <v>Wk 22</v>
      </c>
      <c r="C154" t="s">
        <v>115</v>
      </c>
      <c r="D154" s="313">
        <v>44713</v>
      </c>
      <c r="E154" s="44">
        <f>DB[[#This Row],[Sales-FC-Orders-Collect]]+DB[[#This Row],[Sales-FC-Orders-HD]]</f>
        <v>2600</v>
      </c>
      <c r="F154" s="402">
        <f>INDEX('LT Collect Forecast'!$K$1:$Q$55,MATCH(B154,'LT Collect Forecast'!$A:$A,0),MATCH(C154,'LT Collect Forecast'!$K$2:$Q$2,0))</f>
        <v>650</v>
      </c>
      <c r="G154" s="44">
        <f>INDEX('LT HD Forecast'!$K$1:$Q$55,MATCH(B154,'LT HD Forecast'!$A:$A,0),MATCH(C154,'LT HD Forecast'!$K$2:$Q$2,0))</f>
        <v>1950</v>
      </c>
      <c r="H154" s="44" cm="1">
        <f t="array" ref="H154">IFERROR(INDEX('ST Forecast'!$E$2:$RK$36,6,M154),"")</f>
        <v>47.615552205801009</v>
      </c>
      <c r="I154" s="44" cm="1">
        <f t="array" ref="I154">IFERROR(INDEX('ST Forecast'!$E$2:$RK$36,7,M154),"")</f>
        <v>49.942837309800005</v>
      </c>
      <c r="J154" s="44">
        <f>SUM(DB[[#This Row],[Sales-FC-Picks-Collect]:[Sales-FC-Picks-HD]])</f>
        <v>128338.64168788066</v>
      </c>
      <c r="K154" s="44">
        <f t="shared" si="53"/>
        <v>30950.108933770654</v>
      </c>
      <c r="L154" s="44">
        <f t="shared" si="54"/>
        <v>97388.532754110012</v>
      </c>
      <c r="M154" s="403">
        <f>IFERROR(IF(B154=B153,M153+1,MATCH(B154,'ST Forecast'!$E$2:$RK$2,0)+1),"")</f>
        <v>172</v>
      </c>
      <c r="N154">
        <f>SUM(DB[[#This Row],[Ops-FC-Orders-Collect]:[Ops-FC-Orders-HD]])</f>
        <v>2600</v>
      </c>
      <c r="O154" s="44" cm="1">
        <f t="array" ref="O154">IFERROR(INDEX('ST Forecast'!$E$2:$RK$36,13,M154),"")</f>
        <v>650</v>
      </c>
      <c r="P154" s="44">
        <f t="shared" si="59"/>
        <v>1950</v>
      </c>
      <c r="Q154" s="44" cm="1">
        <f t="array" ref="Q154">IFERROR(INDEX('ST Forecast'!$E$2:$RK$36,14,M154),"")</f>
        <v>950</v>
      </c>
      <c r="R154" s="44" cm="1">
        <f t="array" ref="R154">IFERROR(INDEX('ST Forecast'!$E$2:$RK$36,15,M154),"")</f>
        <v>1000</v>
      </c>
      <c r="S154" s="312">
        <f>SUM(DB[[#This Row],[Ops-FC-Picks-Collect]:[Ops-FC-Picks-HD]])</f>
        <v>125771.86885412305</v>
      </c>
      <c r="T154" s="44">
        <f t="shared" si="60"/>
        <v>30331.106755095239</v>
      </c>
      <c r="U154" s="44">
        <f t="shared" si="61"/>
        <v>95440.762099027808</v>
      </c>
      <c r="V154" s="44">
        <f t="shared" si="62"/>
        <v>46496.781535423805</v>
      </c>
      <c r="W154" s="404">
        <f t="shared" si="63"/>
        <v>48943.980563604004</v>
      </c>
      <c r="X154" s="44">
        <f>SUM(DB[[#This Row],[Capped-Orders-Collect]:[Capped-Orders-HD]])</f>
        <v>90</v>
      </c>
      <c r="Y154">
        <f>INDEX('Operations Forecast'!$A$2:$BGY$47,3,MATCH(DB!D154,'Operations Forecast'!$A$2:$BGY$2))</f>
        <v>0</v>
      </c>
      <c r="Z154">
        <f t="shared" si="64"/>
        <v>90</v>
      </c>
      <c r="AA154">
        <f>INDEX('Operations Forecast'!$A$2:$BGY$47,10,MATCH(DB!D154,'Operations Forecast'!$A$2:$BGY$2))</f>
        <v>90</v>
      </c>
      <c r="AB154">
        <f>INDEX('Operations Forecast'!$A$2:$BGY$47,21,MATCH(DB!D154,'Operations Forecast'!$A$2:$BGY$2))</f>
        <v>0</v>
      </c>
      <c r="AC154" s="312">
        <f>SUM(DB[[#This Row],[Act-Orders-Collect]:[Act-Orders-HD]])</f>
        <v>2767</v>
      </c>
      <c r="AD154" s="858">
        <f>IFERROR(INDEX('Operations Forecast_new'!$7:$7,MATCH(DB[[#This Row],[Datum]],'Operations Forecast_new'!$2:$2,0)),0)</f>
        <v>715</v>
      </c>
      <c r="AE154" s="312">
        <f t="shared" si="65"/>
        <v>2052</v>
      </c>
      <c r="AF154" s="858">
        <f>IFERROR(INDEX('Operations Forecast_new'!$13:$13,MATCH(DB[[#This Row],[Datum]],'Operations Forecast_new'!$2:$2,0)),0)</f>
        <v>1022</v>
      </c>
      <c r="AG154" s="858">
        <f>IFERROR(INDEX('Operations Forecast_new'!$19:$19,MATCH(DB[[#This Row],[Datum]],'Operations Forecast_new'!$2:$2,0)),0)</f>
        <v>1030</v>
      </c>
      <c r="AH154" s="312">
        <f t="shared" si="55"/>
        <v>132741.27899999998</v>
      </c>
      <c r="AI154" s="858">
        <f>IFERROR(INDEX('Operations Forecast_new'!$9:$9,MATCH(DB[[#This Row],[Datum]],'Operations Forecast_new'!$2:$2,0)),0)</f>
        <v>28526.354999999996</v>
      </c>
      <c r="AJ154" s="312">
        <f t="shared" si="66"/>
        <v>104214.924</v>
      </c>
      <c r="AK154" s="858">
        <f>IFERROR(INDEX('Operations Forecast_new'!$15:$15,MATCH(DB[[#This Row],[Datum]],'Operations Forecast_new'!$2:$2,0)),0)</f>
        <v>51904.313999999998</v>
      </c>
      <c r="AL154" s="858">
        <f>IFERROR(INDEX('Operations Forecast_new'!$21:$21,MATCH(DB[[#This Row],[Datum]],'Operations Forecast_new'!$2:$2,0)),0)</f>
        <v>52310.61</v>
      </c>
      <c r="AM154" s="178">
        <f>IFERROR(INDEX('Operations Forecast_new'!$8:$8,MATCH(DB[[#This Row],[Datum]],'Operations Forecast_new'!$2:$2,0)),0)</f>
        <v>40.299999999999997</v>
      </c>
      <c r="AN154" s="859">
        <f>IFERROR(INDEX('Operations Forecast_new'!$20:$20,MATCH(DB[[#This Row],[Datum]],'Operations Forecast_new'!$2:$2,0)),0)</f>
        <v>51.3</v>
      </c>
      <c r="AO154" s="44">
        <f t="shared" si="67"/>
        <v>39.896999999999991</v>
      </c>
      <c r="AP154" s="404">
        <f t="shared" si="68"/>
        <v>50.786999999999999</v>
      </c>
      <c r="AQ154" s="44">
        <f t="shared" si="56"/>
        <v>144820.78200000009</v>
      </c>
      <c r="AR154" s="44" cm="1">
        <f t="array" ref="AR154">IFERROR(INDEX('ST Forecast'!$E$2:$RK$36,25,M154)+(INDEX('ST Forecast'!$E$2:$RK$36,29,M154)),"")</f>
        <v>62515.902111117161</v>
      </c>
      <c r="AS154" s="44" cm="1">
        <f t="array" ref="AS154">IFERROR(INDEX('ST Forecast'!$E$2:$RK$36,26,M154)+INDEX('ST Forecast'!$E$2:$RK$36,30,M154),"")</f>
        <v>61853.040745876577</v>
      </c>
      <c r="AT154" s="44" cm="1">
        <f t="array" ref="AT154">IFERROR(INDEX('ST Forecast'!$E$2:$RK$36,27,M154)+INDEX('ST Forecast'!$E$2:$RK$36,31,M154),"")</f>
        <v>11451.384482608897</v>
      </c>
      <c r="AU154" s="44" cm="1">
        <f t="array" ref="AU154">IFERROR(INDEX('ST Forecast'!$E$2:$RK$36,28,M154),"")</f>
        <v>9000.4546603974504</v>
      </c>
      <c r="AV154" s="44" cm="1">
        <f t="array" ref="AV154">IFERROR(INDEX('ST Forecast'!$E$2:$RK$36,29,M154),"")</f>
        <v>0</v>
      </c>
      <c r="AW154" s="44">
        <f>DB[[#This Row],[Inbound FC]]-DB[[#This Row],[Inbound Act - Ultrafresh2]]</f>
        <v>144820.78200000009</v>
      </c>
      <c r="AX154" s="178" t="e">
        <f>#REF!</f>
        <v>#REF!</v>
      </c>
      <c r="AY154" s="178" t="e">
        <f>#REF!</f>
        <v>#REF!</v>
      </c>
      <c r="AZ154" s="178" t="e">
        <f>#REF!</f>
        <v>#REF!</v>
      </c>
      <c r="BA154" s="178">
        <f>MONTH(DB[[#This Row],[Datum]])</f>
        <v>6</v>
      </c>
    </row>
    <row r="155" spans="1:53" x14ac:dyDescent="0.3">
      <c r="A155" s="44">
        <f t="shared" si="57"/>
        <v>22</v>
      </c>
      <c r="B155" t="str">
        <f t="shared" si="58"/>
        <v>Wk 22</v>
      </c>
      <c r="C155" t="s">
        <v>116</v>
      </c>
      <c r="D155" s="313">
        <v>44714</v>
      </c>
      <c r="E155" s="44">
        <f>DB[[#This Row],[Sales-FC-Orders-Collect]]+DB[[#This Row],[Sales-FC-Orders-HD]]</f>
        <v>2550</v>
      </c>
      <c r="F155" s="402" cm="1">
        <f t="array" ref="F155">INDEX('LT Collect Forecast'!$K$1:$Q$55,MATCH(B155,'LT Collect Forecast'!$A:$A,0)+1,MATCH(C155,'LT Collect Forecast'!$K$2:$Q$2,0))</f>
        <v>600</v>
      </c>
      <c r="G155" s="44" cm="1">
        <f t="array" ref="G155">INDEX('LT HD Forecast'!$K$1:$Q$55,MATCH(B155,'LT HD Forecast'!$A:$A,0)+1,MATCH(C155,'LT HD Forecast'!$K$2:$Q$2,0))</f>
        <v>1950</v>
      </c>
      <c r="H155" s="44" cm="1">
        <f t="array" ref="H155">IFERROR(INDEX('ST Forecast'!$E$2:$RK$36,6,M155),"")</f>
        <v>51.05920829402632</v>
      </c>
      <c r="I155" s="44" cm="1">
        <f t="array" ref="I155">IFERROR(INDEX('ST Forecast'!$E$2:$RK$36,7,M155),"")</f>
        <v>50.041550454896878</v>
      </c>
      <c r="J155" s="44">
        <f>SUM(DB[[#This Row],[Sales-FC-Picks-Collect]:[Sales-FC-Picks-HD]])</f>
        <v>128216.54836346471</v>
      </c>
      <c r="K155" s="44">
        <f t="shared" si="53"/>
        <v>30635.524976415792</v>
      </c>
      <c r="L155" s="44">
        <f t="shared" si="54"/>
        <v>97581.023387048917</v>
      </c>
      <c r="M155" s="403">
        <f>IFERROR(IF(B155=B154,M154+1,MATCH(B155,'ST Forecast'!$E$2:$RK$2,0)+1),"")</f>
        <v>173</v>
      </c>
      <c r="N155">
        <f>SUM(DB[[#This Row],[Ops-FC-Orders-Collect]:[Ops-FC-Orders-HD]])</f>
        <v>2550</v>
      </c>
      <c r="O155" s="44" cm="1">
        <f t="array" ref="O155">IFERROR(INDEX('ST Forecast'!$E$2:$RK$36,13,M155),"")</f>
        <v>600</v>
      </c>
      <c r="P155" s="44">
        <f t="shared" si="59"/>
        <v>1950</v>
      </c>
      <c r="Q155" s="44" cm="1">
        <f t="array" ref="Q155">IFERROR(INDEX('ST Forecast'!$E$2:$RK$36,14,M155),"")</f>
        <v>950</v>
      </c>
      <c r="R155" s="44" cm="1">
        <f t="array" ref="R155">IFERROR(INDEX('ST Forecast'!$E$2:$RK$36,15,M155),"")</f>
        <v>1000</v>
      </c>
      <c r="S155" s="312">
        <f>SUM(DB[[#This Row],[Ops-FC-Picks-Collect]:[Ops-FC-Picks-HD]])</f>
        <v>125652.21739619541</v>
      </c>
      <c r="T155" s="44">
        <f t="shared" si="60"/>
        <v>30022.814476887477</v>
      </c>
      <c r="U155" s="44">
        <f t="shared" si="61"/>
        <v>95629.402919307933</v>
      </c>
      <c r="V155" s="44">
        <f t="shared" si="62"/>
        <v>46588.683473508994</v>
      </c>
      <c r="W155" s="404">
        <f t="shared" si="63"/>
        <v>49040.719445798939</v>
      </c>
      <c r="X155" s="44">
        <f>SUM(DB[[#This Row],[Capped-Orders-Collect]:[Capped-Orders-HD]])</f>
        <v>90</v>
      </c>
      <c r="Y155">
        <f>INDEX('Operations Forecast'!$A$2:$BGY$47,3,MATCH(DB!D155,'Operations Forecast'!$A$2:$BGY$2))</f>
        <v>0</v>
      </c>
      <c r="Z155">
        <f t="shared" si="64"/>
        <v>90</v>
      </c>
      <c r="AA155">
        <f>INDEX('Operations Forecast'!$A$2:$BGY$47,10,MATCH(DB!D155,'Operations Forecast'!$A$2:$BGY$2))</f>
        <v>90</v>
      </c>
      <c r="AB155">
        <f>INDEX('Operations Forecast'!$A$2:$BGY$47,21,MATCH(DB!D155,'Operations Forecast'!$A$2:$BGY$2))</f>
        <v>0</v>
      </c>
      <c r="AC155" s="312">
        <f>SUM(DB[[#This Row],[Act-Orders-Collect]:[Act-Orders-HD]])</f>
        <v>2469</v>
      </c>
      <c r="AD155" s="858">
        <f>IFERROR(INDEX('Operations Forecast_new'!$7:$7,MATCH(DB[[#This Row],[Datum]],'Operations Forecast_new'!$2:$2,0)),0)</f>
        <v>600</v>
      </c>
      <c r="AE155" s="312">
        <f t="shared" si="65"/>
        <v>1869</v>
      </c>
      <c r="AF155" s="858">
        <f>IFERROR(INDEX('Operations Forecast_new'!$13:$13,MATCH(DB[[#This Row],[Datum]],'Operations Forecast_new'!$2:$2,0)),0)</f>
        <v>981</v>
      </c>
      <c r="AG155" s="858">
        <f>IFERROR(INDEX('Operations Forecast_new'!$19:$19,MATCH(DB[[#This Row],[Datum]],'Operations Forecast_new'!$2:$2,0)),0)</f>
        <v>888</v>
      </c>
      <c r="AH155" s="312">
        <f t="shared" si="55"/>
        <v>121607.24400000001</v>
      </c>
      <c r="AI155" s="858">
        <f>IFERROR(INDEX('Operations Forecast_new'!$9:$9,MATCH(DB[[#This Row],[Datum]],'Operations Forecast_new'!$2:$2,0)),0)</f>
        <v>24651</v>
      </c>
      <c r="AJ155" s="312">
        <f t="shared" si="66"/>
        <v>96956.244000000006</v>
      </c>
      <c r="AK155" s="858">
        <f>IFERROR(INDEX('Operations Forecast_new'!$15:$15,MATCH(DB[[#This Row],[Datum]],'Operations Forecast_new'!$2:$2,0)),0)</f>
        <v>50890.356</v>
      </c>
      <c r="AL155" s="858">
        <f>IFERROR(INDEX('Operations Forecast_new'!$21:$21,MATCH(DB[[#This Row],[Datum]],'Operations Forecast_new'!$2:$2,0)),0)</f>
        <v>46065.887999999999</v>
      </c>
      <c r="AM155" s="178">
        <f>IFERROR(INDEX('Operations Forecast_new'!$8:$8,MATCH(DB[[#This Row],[Datum]],'Operations Forecast_new'!$2:$2,0)),0)</f>
        <v>41.5</v>
      </c>
      <c r="AN155" s="859">
        <f>IFERROR(INDEX('Operations Forecast_new'!$20:$20,MATCH(DB[[#This Row],[Datum]],'Operations Forecast_new'!$2:$2,0)),0)</f>
        <v>52.4</v>
      </c>
      <c r="AO155" s="44">
        <f t="shared" si="67"/>
        <v>41.085000000000001</v>
      </c>
      <c r="AP155" s="404">
        <f t="shared" si="68"/>
        <v>51.876000000000005</v>
      </c>
      <c r="AQ155" s="44">
        <f t="shared" si="56"/>
        <v>142883.00000000006</v>
      </c>
      <c r="AR155" s="44" cm="1">
        <f t="array" ref="AR155">IFERROR(INDEX('ST Forecast'!$E$2:$RK$36,25,M155)+(INDEX('ST Forecast'!$E$2:$RK$36,29,M155)),"")</f>
        <v>59605.342185646317</v>
      </c>
      <c r="AS155" s="44" cm="1">
        <f t="array" ref="AS155">IFERROR(INDEX('ST Forecast'!$E$2:$RK$36,26,M155)+INDEX('ST Forecast'!$E$2:$RK$36,30,M155),"")</f>
        <v>56914.126923171236</v>
      </c>
      <c r="AT155" s="44" cm="1">
        <f t="array" ref="AT155">IFERROR(INDEX('ST Forecast'!$E$2:$RK$36,27,M155)+INDEX('ST Forecast'!$E$2:$RK$36,31,M155),"")</f>
        <v>16953.696085745483</v>
      </c>
      <c r="AU155" s="44" cm="1">
        <f t="array" ref="AU155">IFERROR(INDEX('ST Forecast'!$E$2:$RK$36,28,M155),"")</f>
        <v>9409.8348054370254</v>
      </c>
      <c r="AV155" s="44" cm="1">
        <f t="array" ref="AV155">IFERROR(INDEX('ST Forecast'!$E$2:$RK$36,29,M155),"")</f>
        <v>0</v>
      </c>
      <c r="AW155" s="44">
        <f>DB[[#This Row],[Inbound FC]]-DB[[#This Row],[Inbound Act - Ultrafresh2]]</f>
        <v>142883.00000000006</v>
      </c>
      <c r="AX155" s="178" t="e">
        <f>#REF!</f>
        <v>#REF!</v>
      </c>
      <c r="AY155" s="178" t="e">
        <f>#REF!</f>
        <v>#REF!</v>
      </c>
      <c r="AZ155" s="178" t="e">
        <f>#REF!</f>
        <v>#REF!</v>
      </c>
      <c r="BA155" s="178">
        <f>MONTH(DB[[#This Row],[Datum]])</f>
        <v>6</v>
      </c>
    </row>
    <row r="156" spans="1:53" x14ac:dyDescent="0.3">
      <c r="A156" s="44">
        <f t="shared" si="57"/>
        <v>22</v>
      </c>
      <c r="B156" t="str">
        <f t="shared" si="58"/>
        <v>Wk 22</v>
      </c>
      <c r="C156" t="s">
        <v>117</v>
      </c>
      <c r="D156" s="313">
        <v>44715</v>
      </c>
      <c r="E156" s="44">
        <f>DB[[#This Row],[Sales-FC-Orders-Collect]]+DB[[#This Row],[Sales-FC-Orders-HD]]</f>
        <v>3050</v>
      </c>
      <c r="F156" s="402" cm="1">
        <f t="array" ref="F156">INDEX('LT Collect Forecast'!$K$1:$Q$55,MATCH(B156,'LT Collect Forecast'!$A:$A,0)+1,MATCH(C156,'LT Collect Forecast'!$K$2:$Q$2,0))</f>
        <v>1000</v>
      </c>
      <c r="G156" s="44" cm="1">
        <f t="array" ref="G156">INDEX('LT HD Forecast'!$K$1:$Q$55,MATCH(B156,'LT HD Forecast'!$A:$A,0)+1,MATCH(C156,'LT HD Forecast'!$K$2:$Q$2,0))</f>
        <v>2050</v>
      </c>
      <c r="H156" s="44" cm="1">
        <f t="array" ref="H156">IFERROR(INDEX('ST Forecast'!$E$2:$RK$36,6,M156),"")</f>
        <v>48.767309418687653</v>
      </c>
      <c r="I156" s="44" cm="1">
        <f t="array" ref="I156">IFERROR(INDEX('ST Forecast'!$E$2:$RK$36,7,M156),"")</f>
        <v>51.243325600164603</v>
      </c>
      <c r="J156" s="44">
        <f>SUM(DB[[#This Row],[Sales-FC-Picks-Collect]:[Sales-FC-Picks-HD]])</f>
        <v>153816.12689902511</v>
      </c>
      <c r="K156" s="44">
        <f t="shared" si="53"/>
        <v>48767.309418687655</v>
      </c>
      <c r="L156" s="44">
        <f t="shared" si="54"/>
        <v>105048.81748033744</v>
      </c>
      <c r="M156" s="403">
        <f>IFERROR(IF(B156=B155,M155+1,MATCH(B156,'ST Forecast'!$E$2:$RK$2,0)+1),"")</f>
        <v>174</v>
      </c>
      <c r="N156">
        <f>SUM(DB[[#This Row],[Ops-FC-Orders-Collect]:[Ops-FC-Orders-HD]])</f>
        <v>3075</v>
      </c>
      <c r="O156" s="44" cm="1">
        <f t="array" ref="O156">IFERROR(INDEX('ST Forecast'!$E$2:$RK$36,13,M156),"")</f>
        <v>1000</v>
      </c>
      <c r="P156" s="44">
        <f t="shared" si="59"/>
        <v>2075</v>
      </c>
      <c r="Q156" s="44" cm="1">
        <f t="array" ref="Q156">IFERROR(INDEX('ST Forecast'!$E$2:$RK$36,14,M156),"")</f>
        <v>1050</v>
      </c>
      <c r="R156" s="44" cm="1">
        <f t="array" ref="R156">IFERROR(INDEX('ST Forecast'!$E$2:$RK$36,15,M156),"")</f>
        <v>1025</v>
      </c>
      <c r="S156" s="312">
        <f>SUM(DB[[#This Row],[Ops-FC-Picks-Collect]:[Ops-FC-Picks-HD]])</f>
        <v>151995.26583824863</v>
      </c>
      <c r="T156" s="44">
        <f t="shared" si="60"/>
        <v>47791.963230313901</v>
      </c>
      <c r="U156" s="44">
        <f t="shared" si="61"/>
        <v>104203.30260793472</v>
      </c>
      <c r="V156" s="44">
        <f t="shared" si="62"/>
        <v>52729.382042569378</v>
      </c>
      <c r="W156" s="404">
        <f t="shared" si="63"/>
        <v>51473.920565365348</v>
      </c>
      <c r="X156" s="44">
        <f>SUM(DB[[#This Row],[Capped-Orders-Collect]:[Capped-Orders-HD]])</f>
        <v>90</v>
      </c>
      <c r="Y156">
        <f>INDEX('Operations Forecast'!$A$2:$BGY$47,3,MATCH(DB!D156,'Operations Forecast'!$A$2:$BGY$2))</f>
        <v>0</v>
      </c>
      <c r="Z156">
        <f t="shared" si="64"/>
        <v>90</v>
      </c>
      <c r="AA156">
        <f>INDEX('Operations Forecast'!$A$2:$BGY$47,10,MATCH(DB!D156,'Operations Forecast'!$A$2:$BGY$2))</f>
        <v>90</v>
      </c>
      <c r="AB156">
        <f>INDEX('Operations Forecast'!$A$2:$BGY$47,21,MATCH(DB!D156,'Operations Forecast'!$A$2:$BGY$2))</f>
        <v>0</v>
      </c>
      <c r="AC156" s="312">
        <f>SUM(DB[[#This Row],[Act-Orders-Collect]:[Act-Orders-HD]])</f>
        <v>2957</v>
      </c>
      <c r="AD156" s="858">
        <f>IFERROR(INDEX('Operations Forecast_new'!$7:$7,MATCH(DB[[#This Row],[Datum]],'Operations Forecast_new'!$2:$2,0)),0)</f>
        <v>992</v>
      </c>
      <c r="AE156" s="312">
        <f t="shared" si="65"/>
        <v>1965</v>
      </c>
      <c r="AF156" s="858">
        <f>IFERROR(INDEX('Operations Forecast_new'!$13:$13,MATCH(DB[[#This Row],[Datum]],'Operations Forecast_new'!$2:$2,0)),0)</f>
        <v>1022</v>
      </c>
      <c r="AG156" s="858">
        <f>IFERROR(INDEX('Operations Forecast_new'!$19:$19,MATCH(DB[[#This Row],[Datum]],'Operations Forecast_new'!$2:$2,0)),0)</f>
        <v>943</v>
      </c>
      <c r="AH156" s="312">
        <f t="shared" si="55"/>
        <v>155814.91199999998</v>
      </c>
      <c r="AI156" s="858">
        <f>IFERROR(INDEX('Operations Forecast_new'!$9:$9,MATCH(DB[[#This Row],[Datum]],'Operations Forecast_new'!$2:$2,0)),0)</f>
        <v>49987.871999999996</v>
      </c>
      <c r="AJ156" s="312">
        <f t="shared" si="66"/>
        <v>105827.04</v>
      </c>
      <c r="AK156" s="858">
        <f>IFERROR(INDEX('Operations Forecast_new'!$15:$15,MATCH(DB[[#This Row],[Datum]],'Operations Forecast_new'!$2:$2,0)),0)</f>
        <v>55040.831999999995</v>
      </c>
      <c r="AL156" s="858">
        <f>IFERROR(INDEX('Operations Forecast_new'!$21:$21,MATCH(DB[[#This Row],[Datum]],'Operations Forecast_new'!$2:$2,0)),0)</f>
        <v>50786.207999999999</v>
      </c>
      <c r="AM156" s="178">
        <f>IFERROR(INDEX('Operations Forecast_new'!$8:$8,MATCH(DB[[#This Row],[Datum]],'Operations Forecast_new'!$2:$2,0)),0)</f>
        <v>50.9</v>
      </c>
      <c r="AN156" s="859">
        <f>IFERROR(INDEX('Operations Forecast_new'!$20:$20,MATCH(DB[[#This Row],[Datum]],'Operations Forecast_new'!$2:$2,0)),0)</f>
        <v>54.4</v>
      </c>
      <c r="AO156" s="44">
        <f t="shared" si="67"/>
        <v>50.390999999999998</v>
      </c>
      <c r="AP156" s="404">
        <f t="shared" si="68"/>
        <v>53.855999999999995</v>
      </c>
      <c r="AQ156" s="44">
        <f t="shared" si="56"/>
        <v>120846.00000000009</v>
      </c>
      <c r="AR156" s="44" cm="1">
        <f t="array" ref="AR156">IFERROR(INDEX('ST Forecast'!$E$2:$RK$36,25,M156)+(INDEX('ST Forecast'!$E$2:$RK$36,29,M156)),"")</f>
        <v>53492.009173969229</v>
      </c>
      <c r="AS156" s="44" cm="1">
        <f t="array" ref="AS156">IFERROR(INDEX('ST Forecast'!$E$2:$RK$36,26,M156)+INDEX('ST Forecast'!$E$2:$RK$36,30,M156),"")</f>
        <v>53555.296491038607</v>
      </c>
      <c r="AT156" s="44" cm="1">
        <f t="array" ref="AT156">IFERROR(INDEX('ST Forecast'!$E$2:$RK$36,27,M156)+INDEX('ST Forecast'!$E$2:$RK$36,31,M156),"")</f>
        <v>5279.3116081013241</v>
      </c>
      <c r="AU156" s="44" cm="1">
        <f t="array" ref="AU156">IFERROR(INDEX('ST Forecast'!$E$2:$RK$36,28,M156),"")</f>
        <v>8519.3827268909154</v>
      </c>
      <c r="AV156" s="44" cm="1">
        <f t="array" ref="AV156">IFERROR(INDEX('ST Forecast'!$E$2:$RK$36,29,M156),"")</f>
        <v>0</v>
      </c>
      <c r="AW156" s="44">
        <f>DB[[#This Row],[Inbound FC]]-DB[[#This Row],[Inbound Act - Ultrafresh2]]</f>
        <v>120846.00000000009</v>
      </c>
      <c r="AX156" s="178" t="e">
        <f>#REF!</f>
        <v>#REF!</v>
      </c>
      <c r="AY156" s="178" t="e">
        <f>#REF!</f>
        <v>#REF!</v>
      </c>
      <c r="AZ156" s="178" t="e">
        <f>#REF!</f>
        <v>#REF!</v>
      </c>
      <c r="BA156" s="178">
        <f>MONTH(DB[[#This Row],[Datum]])</f>
        <v>6</v>
      </c>
    </row>
    <row r="157" spans="1:53" x14ac:dyDescent="0.3">
      <c r="A157" s="44">
        <f t="shared" si="57"/>
        <v>22</v>
      </c>
      <c r="B157" t="str">
        <f t="shared" si="58"/>
        <v>Wk 22</v>
      </c>
      <c r="C157" t="s">
        <v>118</v>
      </c>
      <c r="D157" s="313">
        <v>44716</v>
      </c>
      <c r="E157" s="44">
        <f>DB[[#This Row],[Sales-FC-Orders-Collect]]+DB[[#This Row],[Sales-FC-Orders-HD]]</f>
        <v>2900</v>
      </c>
      <c r="F157" s="402" cm="1">
        <f t="array" ref="F157">INDEX('LT Collect Forecast'!$K$1:$Q$55,MATCH(B157,'LT Collect Forecast'!$A:$A,0)+1,MATCH(C157,'LT Collect Forecast'!$K$2:$Q$2,0))</f>
        <v>950</v>
      </c>
      <c r="G157" s="44" cm="1">
        <f t="array" ref="G157">INDEX('LT HD Forecast'!$K$1:$Q$55,MATCH(B157,'LT HD Forecast'!$A:$A,0)+1,MATCH(C157,'LT HD Forecast'!$K$2:$Q$2,0))</f>
        <v>1950</v>
      </c>
      <c r="H157" s="44" cm="1">
        <f t="array" ref="H157">IFERROR(INDEX('ST Forecast'!$E$2:$RK$36,6,M157),"")</f>
        <v>48.568805600791855</v>
      </c>
      <c r="I157" s="44" cm="1">
        <f t="array" ref="I157">IFERROR(INDEX('ST Forecast'!$E$2:$RK$36,7,M157),"")</f>
        <v>50.797751264382391</v>
      </c>
      <c r="J157" s="44">
        <f>SUM(DB[[#This Row],[Sales-FC-Picks-Collect]:[Sales-FC-Picks-HD]])</f>
        <v>145195.98028629791</v>
      </c>
      <c r="K157" s="44">
        <f t="shared" si="53"/>
        <v>46140.365320752258</v>
      </c>
      <c r="L157" s="44">
        <f t="shared" si="54"/>
        <v>99055.614965545668</v>
      </c>
      <c r="M157" s="403">
        <f>IFERROR(IF(B157=B156,M156+1,MATCH(B157,'ST Forecast'!$E$2:$RK$2,0)+1),"")</f>
        <v>175</v>
      </c>
      <c r="N157">
        <f>SUM(DB[[#This Row],[Ops-FC-Orders-Collect]:[Ops-FC-Orders-HD]])</f>
        <v>2900</v>
      </c>
      <c r="O157" s="44" cm="1">
        <f t="array" ref="O157">IFERROR(INDEX('ST Forecast'!$E$2:$RK$36,13,M157),"")</f>
        <v>950</v>
      </c>
      <c r="P157" s="44">
        <f t="shared" si="59"/>
        <v>1950</v>
      </c>
      <c r="Q157" s="44" cm="1">
        <f t="array" ref="Q157">IFERROR(INDEX('ST Forecast'!$E$2:$RK$36,14,M157),"")</f>
        <v>1050</v>
      </c>
      <c r="R157" s="44" cm="1">
        <f t="array" ref="R157">IFERROR(INDEX('ST Forecast'!$E$2:$RK$36,15,M157),"")</f>
        <v>900</v>
      </c>
      <c r="S157" s="312">
        <f>SUM(DB[[#This Row],[Ops-FC-Picks-Collect]:[Ops-FC-Picks-HD]])</f>
        <v>142292.06068057197</v>
      </c>
      <c r="T157" s="44">
        <f t="shared" si="60"/>
        <v>45217.558014337214</v>
      </c>
      <c r="U157" s="44">
        <f t="shared" si="61"/>
        <v>97074.502666234766</v>
      </c>
      <c r="V157" s="44">
        <f t="shared" si="62"/>
        <v>52270.886051049485</v>
      </c>
      <c r="W157" s="404">
        <f t="shared" si="63"/>
        <v>44803.616615185274</v>
      </c>
      <c r="X157" s="44">
        <f>SUM(DB[[#This Row],[Capped-Orders-Collect]:[Capped-Orders-HD]])</f>
        <v>90</v>
      </c>
      <c r="Y157">
        <f>INDEX('Operations Forecast'!$A$2:$BGY$47,3,MATCH(DB!D157,'Operations Forecast'!$A$2:$BGY$2))</f>
        <v>0</v>
      </c>
      <c r="Z157">
        <f t="shared" si="64"/>
        <v>90</v>
      </c>
      <c r="AA157">
        <f>INDEX('Operations Forecast'!$A$2:$BGY$47,10,MATCH(DB!D157,'Operations Forecast'!$A$2:$BGY$2))</f>
        <v>90</v>
      </c>
      <c r="AB157">
        <f>INDEX('Operations Forecast'!$A$2:$BGY$47,21,MATCH(DB!D157,'Operations Forecast'!$A$2:$BGY$2))</f>
        <v>0</v>
      </c>
      <c r="AC157" s="312">
        <f>SUM(DB[[#This Row],[Act-Orders-Collect]:[Act-Orders-HD]])</f>
        <v>2755</v>
      </c>
      <c r="AD157" s="858">
        <f>IFERROR(INDEX('Operations Forecast_new'!$7:$7,MATCH(DB[[#This Row],[Datum]],'Operations Forecast_new'!$2:$2,0)),0)</f>
        <v>920</v>
      </c>
      <c r="AE157" s="312">
        <f t="shared" si="65"/>
        <v>1835</v>
      </c>
      <c r="AF157" s="858">
        <f>IFERROR(INDEX('Operations Forecast_new'!$13:$13,MATCH(DB[[#This Row],[Datum]],'Operations Forecast_new'!$2:$2,0)),0)</f>
        <v>1048</v>
      </c>
      <c r="AG157" s="858">
        <f>IFERROR(INDEX('Operations Forecast_new'!$19:$19,MATCH(DB[[#This Row],[Datum]],'Operations Forecast_new'!$2:$2,0)),0)</f>
        <v>787</v>
      </c>
      <c r="AH157" s="312">
        <f t="shared" si="55"/>
        <v>146464.56</v>
      </c>
      <c r="AI157" s="858">
        <f>IFERROR(INDEX('Operations Forecast_new'!$9:$9,MATCH(DB[[#This Row],[Datum]],'Operations Forecast_new'!$2:$2,0)),0)</f>
        <v>49092.12</v>
      </c>
      <c r="AJ157" s="312">
        <f t="shared" si="66"/>
        <v>97372.44</v>
      </c>
      <c r="AK157" s="858">
        <f>IFERROR(INDEX('Operations Forecast_new'!$15:$15,MATCH(DB[[#This Row],[Datum]],'Operations Forecast_new'!$2:$2,0)),0)</f>
        <v>55611.072</v>
      </c>
      <c r="AL157" s="858">
        <f>IFERROR(INDEX('Operations Forecast_new'!$21:$21,MATCH(DB[[#This Row],[Datum]],'Operations Forecast_new'!$2:$2,0)),0)</f>
        <v>41761.368000000002</v>
      </c>
      <c r="AM157" s="178">
        <f>IFERROR(INDEX('Operations Forecast_new'!$8:$8,MATCH(DB[[#This Row],[Datum]],'Operations Forecast_new'!$2:$2,0)),0)</f>
        <v>53.9</v>
      </c>
      <c r="AN157" s="859">
        <f>IFERROR(INDEX('Operations Forecast_new'!$20:$20,MATCH(DB[[#This Row],[Datum]],'Operations Forecast_new'!$2:$2,0)),0)</f>
        <v>53.6</v>
      </c>
      <c r="AO157" s="44">
        <f t="shared" si="67"/>
        <v>53.361000000000004</v>
      </c>
      <c r="AP157" s="404">
        <f t="shared" si="68"/>
        <v>53.064</v>
      </c>
      <c r="AQ157" s="44">
        <f t="shared" si="56"/>
        <v>130208.10000000006</v>
      </c>
      <c r="AR157" s="44" cm="1">
        <f t="array" ref="AR157">IFERROR(INDEX('ST Forecast'!$E$2:$RK$36,25,M157)+(INDEX('ST Forecast'!$E$2:$RK$36,29,M157)),"")</f>
        <v>60335.636388486513</v>
      </c>
      <c r="AS157" s="44" cm="1">
        <f t="array" ref="AS157">IFERROR(INDEX('ST Forecast'!$E$2:$RK$36,26,M157)+INDEX('ST Forecast'!$E$2:$RK$36,30,M157),"")</f>
        <v>57548.38038788773</v>
      </c>
      <c r="AT157" s="44" cm="1">
        <f t="array" ref="AT157">IFERROR(INDEX('ST Forecast'!$E$2:$RK$36,27,M157)+INDEX('ST Forecast'!$E$2:$RK$36,31,M157),"")</f>
        <v>5576.7714556722985</v>
      </c>
      <c r="AU157" s="44" cm="1">
        <f t="array" ref="AU157">IFERROR(INDEX('ST Forecast'!$E$2:$RK$36,28,M157),"")</f>
        <v>6747.311767953528</v>
      </c>
      <c r="AV157" s="44" cm="1">
        <f t="array" ref="AV157">IFERROR(INDEX('ST Forecast'!$E$2:$RK$36,29,M157),"")</f>
        <v>0</v>
      </c>
      <c r="AW157" s="44">
        <f>DB[[#This Row],[Inbound FC]]-DB[[#This Row],[Inbound Act - Ultrafresh2]]</f>
        <v>130208.10000000006</v>
      </c>
      <c r="AX157" s="178" t="e">
        <f>#REF!</f>
        <v>#REF!</v>
      </c>
      <c r="AY157" s="178" t="e">
        <f>#REF!</f>
        <v>#REF!</v>
      </c>
      <c r="AZ157" s="178" t="e">
        <f>#REF!</f>
        <v>#REF!</v>
      </c>
      <c r="BA157" s="178">
        <f>MONTH(DB[[#This Row],[Datum]])</f>
        <v>6</v>
      </c>
    </row>
    <row r="158" spans="1:53" x14ac:dyDescent="0.3">
      <c r="A158" s="44">
        <f t="shared" si="57"/>
        <v>22</v>
      </c>
      <c r="B158" t="str">
        <f t="shared" si="58"/>
        <v>Wk 22</v>
      </c>
      <c r="C158" t="s">
        <v>119</v>
      </c>
      <c r="D158" s="313">
        <v>44717</v>
      </c>
      <c r="E158" s="44">
        <f>DB[[#This Row],[Sales-FC-Orders-Collect]]+DB[[#This Row],[Sales-FC-Orders-HD]]</f>
        <v>100</v>
      </c>
      <c r="F158" s="402" cm="1">
        <f t="array" ref="F158">INDEX('LT Collect Forecast'!$K$1:$Q$55,MATCH(B158,'LT Collect Forecast'!$A:$A,0)+1,MATCH(C158,'LT Collect Forecast'!$K$2:$Q$2,0))</f>
        <v>0</v>
      </c>
      <c r="G158" s="44" cm="1">
        <f t="array" ref="G158">INDEX('LT HD Forecast'!$K$1:$Q$55,MATCH(B158,'LT HD Forecast'!$A:$A,0)+1,MATCH(C158,'LT HD Forecast'!$K$2:$Q$2,0))</f>
        <v>100</v>
      </c>
      <c r="H158" s="44" cm="1">
        <f t="array" ref="H158">IFERROR(INDEX('ST Forecast'!$E$2:$RK$36,6,M158),"")</f>
        <v>0</v>
      </c>
      <c r="I158" s="44" cm="1">
        <f t="array" ref="I158">IFERROR(INDEX('ST Forecast'!$E$2:$RK$36,7,M158),"")</f>
        <v>51.18085773050074</v>
      </c>
      <c r="J158" s="44">
        <f>SUM(DB[[#This Row],[Sales-FC-Picks-Collect]:[Sales-FC-Picks-HD]])</f>
        <v>5118.0857730500738</v>
      </c>
      <c r="K158" s="44">
        <f t="shared" si="53"/>
        <v>0</v>
      </c>
      <c r="L158" s="44">
        <f t="shared" si="54"/>
        <v>5118.0857730500738</v>
      </c>
      <c r="M158" s="403">
        <f>IFERROR(IF(B158=B157,M157+1,MATCH(B158,'ST Forecast'!$E$2:$RK$2,0)+1),"")</f>
        <v>176</v>
      </c>
      <c r="N158">
        <f>SUM(DB[[#This Row],[Ops-FC-Orders-Collect]:[Ops-FC-Orders-HD]])</f>
        <v>200</v>
      </c>
      <c r="O158" s="44" cm="1">
        <f t="array" ref="O158">IFERROR(INDEX('ST Forecast'!$E$2:$RK$36,13,M158),"")</f>
        <v>0</v>
      </c>
      <c r="P158" s="44">
        <f t="shared" si="59"/>
        <v>200</v>
      </c>
      <c r="Q158" s="44" cm="1">
        <f t="array" ref="Q158">IFERROR(INDEX('ST Forecast'!$E$2:$RK$36,14,M158),"")</f>
        <v>200</v>
      </c>
      <c r="R158" s="44" cm="1">
        <f t="array" ref="R158">IFERROR(INDEX('ST Forecast'!$E$2:$RK$36,15,M158),"")</f>
        <v>0</v>
      </c>
      <c r="S158" s="312">
        <f>SUM(DB[[#This Row],[Ops-FC-Picks-Collect]:[Ops-FC-Picks-HD]])</f>
        <v>10031.448115178144</v>
      </c>
      <c r="T158" s="44">
        <f t="shared" si="60"/>
        <v>0</v>
      </c>
      <c r="U158" s="44">
        <f t="shared" si="61"/>
        <v>10031.448115178144</v>
      </c>
      <c r="V158" s="44">
        <f t="shared" si="62"/>
        <v>10031.448115178144</v>
      </c>
      <c r="W158" s="404">
        <f t="shared" si="63"/>
        <v>0</v>
      </c>
      <c r="X158" s="44">
        <f>SUM(DB[[#This Row],[Capped-Orders-Collect]:[Capped-Orders-HD]])</f>
        <v>90</v>
      </c>
      <c r="Y158">
        <f>INDEX('Operations Forecast'!$A$2:$BGY$47,3,MATCH(DB!D158,'Operations Forecast'!$A$2:$BGY$2))</f>
        <v>0</v>
      </c>
      <c r="Z158">
        <f t="shared" si="64"/>
        <v>90</v>
      </c>
      <c r="AA158">
        <f>INDEX('Operations Forecast'!$A$2:$BGY$47,10,MATCH(DB!D158,'Operations Forecast'!$A$2:$BGY$2))</f>
        <v>90</v>
      </c>
      <c r="AB158">
        <f>INDEX('Operations Forecast'!$A$2:$BGY$47,21,MATCH(DB!D158,'Operations Forecast'!$A$2:$BGY$2))</f>
        <v>0</v>
      </c>
      <c r="AC158" s="312">
        <f>SUM(DB[[#This Row],[Act-Orders-Collect]:[Act-Orders-HD]])</f>
        <v>194</v>
      </c>
      <c r="AD158" s="858">
        <f>IFERROR(INDEX('Operations Forecast_new'!$7:$7,MATCH(DB[[#This Row],[Datum]],'Operations Forecast_new'!$2:$2,0)),0)</f>
        <v>0</v>
      </c>
      <c r="AE158" s="312">
        <f t="shared" si="65"/>
        <v>194</v>
      </c>
      <c r="AF158" s="858">
        <f>IFERROR(INDEX('Operations Forecast_new'!$13:$13,MATCH(DB[[#This Row],[Datum]],'Operations Forecast_new'!$2:$2,0)),0)</f>
        <v>194</v>
      </c>
      <c r="AG158" s="858">
        <f>IFERROR(INDEX('Operations Forecast_new'!$19:$19,MATCH(DB[[#This Row],[Datum]],'Operations Forecast_new'!$2:$2,0)),0)</f>
        <v>0</v>
      </c>
      <c r="AH158" s="312">
        <f t="shared" si="55"/>
        <v>10275.209999999999</v>
      </c>
      <c r="AI158" s="858">
        <f>IFERROR(INDEX('Operations Forecast_new'!$9:$9,MATCH(DB[[#This Row],[Datum]],'Operations Forecast_new'!$2:$2,0)),0)</f>
        <v>0</v>
      </c>
      <c r="AJ158" s="312">
        <f t="shared" si="66"/>
        <v>10275.209999999999</v>
      </c>
      <c r="AK158" s="858">
        <f>IFERROR(INDEX('Operations Forecast_new'!$15:$15,MATCH(DB[[#This Row],[Datum]],'Operations Forecast_new'!$2:$2,0)),0)</f>
        <v>10275.209999999999</v>
      </c>
      <c r="AL158" s="858">
        <f>IFERROR(INDEX('Operations Forecast_new'!$21:$21,MATCH(DB[[#This Row],[Datum]],'Operations Forecast_new'!$2:$2,0)),0)</f>
        <v>0</v>
      </c>
      <c r="AM158" s="178">
        <f>IFERROR(INDEX('Operations Forecast_new'!$8:$8,MATCH(DB[[#This Row],[Datum]],'Operations Forecast_new'!$2:$2,0)),0)</f>
        <v>0</v>
      </c>
      <c r="AN158" s="859">
        <f>IFERROR(INDEX('Operations Forecast_new'!$20:$20,MATCH(DB[[#This Row],[Datum]],'Operations Forecast_new'!$2:$2,0)),0)</f>
        <v>51.18085773050074</v>
      </c>
      <c r="AO158" s="44" t="str">
        <f t="shared" si="67"/>
        <v>-</v>
      </c>
      <c r="AP158" s="404">
        <f t="shared" si="68"/>
        <v>52.964999999999996</v>
      </c>
      <c r="AQ158" s="44">
        <f t="shared" si="56"/>
        <v>0</v>
      </c>
      <c r="AR158" s="44" cm="1">
        <f t="array" ref="AR158">IFERROR(INDEX('ST Forecast'!$E$2:$RK$36,25,M158)+(INDEX('ST Forecast'!$E$2:$RK$36,29,M158)),"")</f>
        <v>0</v>
      </c>
      <c r="AS158" s="44" cm="1">
        <f t="array" ref="AS158">IFERROR(INDEX('ST Forecast'!$E$2:$RK$36,26,M158)+INDEX('ST Forecast'!$E$2:$RK$36,30,M158),"")</f>
        <v>0</v>
      </c>
      <c r="AT158" s="44" cm="1">
        <f t="array" ref="AT158">IFERROR(INDEX('ST Forecast'!$E$2:$RK$36,27,M158)+INDEX('ST Forecast'!$E$2:$RK$36,31,M158),"")</f>
        <v>0</v>
      </c>
      <c r="AU158" s="44" cm="1">
        <f t="array" ref="AU158">IFERROR(INDEX('ST Forecast'!$E$2:$RK$36,28,M158),"")</f>
        <v>0</v>
      </c>
      <c r="AV158" s="44" cm="1">
        <f t="array" ref="AV158">IFERROR(INDEX('ST Forecast'!$E$2:$RK$36,29,M158),"")</f>
        <v>0</v>
      </c>
      <c r="AW158" s="44">
        <f>DB[[#This Row],[Inbound FC]]-DB[[#This Row],[Inbound Act - Ultrafresh2]]</f>
        <v>0</v>
      </c>
      <c r="AX158" s="178" t="e">
        <f>#REF!</f>
        <v>#REF!</v>
      </c>
      <c r="AY158" s="178" t="e">
        <f>#REF!</f>
        <v>#REF!</v>
      </c>
      <c r="AZ158" s="178" t="e">
        <f>#REF!</f>
        <v>#REF!</v>
      </c>
      <c r="BA158" s="178">
        <f>MONTH(DB[[#This Row],[Datum]])</f>
        <v>6</v>
      </c>
    </row>
    <row r="159" spans="1:53" x14ac:dyDescent="0.3">
      <c r="A159" s="44">
        <f t="shared" si="57"/>
        <v>23</v>
      </c>
      <c r="B159" t="str">
        <f t="shared" si="58"/>
        <v>Wk 23</v>
      </c>
      <c r="C159" t="s">
        <v>113</v>
      </c>
      <c r="D159" s="313">
        <v>44718</v>
      </c>
      <c r="E159" s="44">
        <f>DB[[#This Row],[Sales-FC-Orders-Collect]]+DB[[#This Row],[Sales-FC-Orders-HD]]</f>
        <v>0</v>
      </c>
      <c r="F159" s="402">
        <f>INDEX('LT Collect Forecast'!$K$1:$Q$55,MATCH(B159,'LT Collect Forecast'!$A:$A,0),MATCH(C159,'LT Collect Forecast'!$K$2:$Q$2,0))</f>
        <v>0</v>
      </c>
      <c r="G159" s="44">
        <f>INDEX('LT HD Forecast'!$K$1:$Q$55,MATCH(B159,'LT HD Forecast'!$A:$A,0),MATCH(C159,'LT HD Forecast'!$K$2:$Q$2,0))</f>
        <v>0</v>
      </c>
      <c r="H159" s="44" cm="1">
        <f t="array" ref="H159">IFERROR(INDEX('ST Forecast'!$E$2:$RK$36,6,M159),"")</f>
        <v>0</v>
      </c>
      <c r="I159" s="44" cm="1">
        <f t="array" ref="I159">IFERROR(INDEX('ST Forecast'!$E$2:$RK$36,7,M159),"")</f>
        <v>0</v>
      </c>
      <c r="J159" s="44">
        <f>SUM(DB[[#This Row],[Sales-FC-Picks-Collect]:[Sales-FC-Picks-HD]])</f>
        <v>0</v>
      </c>
      <c r="K159" s="44">
        <f t="shared" si="53"/>
        <v>0</v>
      </c>
      <c r="L159" s="44">
        <f t="shared" si="54"/>
        <v>0</v>
      </c>
      <c r="M159" s="403">
        <f>IFERROR(IF(B159=B158,M158+1,MATCH(B159,'ST Forecast'!$E$2:$RK$2,0)+1),"")</f>
        <v>178</v>
      </c>
      <c r="N159">
        <f>SUM(DB[[#This Row],[Ops-FC-Orders-Collect]:[Ops-FC-Orders-HD]])</f>
        <v>0</v>
      </c>
      <c r="O159" s="44" cm="1">
        <f t="array" ref="O159">IFERROR(INDEX('ST Forecast'!$E$2:$RK$36,13,M159),"")</f>
        <v>0</v>
      </c>
      <c r="P159" s="44">
        <f t="shared" si="59"/>
        <v>0</v>
      </c>
      <c r="Q159" s="44" cm="1">
        <f t="array" ref="Q159">IFERROR(INDEX('ST Forecast'!$E$2:$RK$36,14,M159),"")</f>
        <v>0</v>
      </c>
      <c r="R159" s="44" cm="1">
        <f t="array" ref="R159">IFERROR(INDEX('ST Forecast'!$E$2:$RK$36,15,M159),"")</f>
        <v>0</v>
      </c>
      <c r="S159" s="312">
        <f>SUM(DB[[#This Row],[Ops-FC-Picks-Collect]:[Ops-FC-Picks-HD]])</f>
        <v>0</v>
      </c>
      <c r="T159" s="44">
        <f t="shared" si="60"/>
        <v>0</v>
      </c>
      <c r="U159" s="44">
        <f t="shared" si="61"/>
        <v>0</v>
      </c>
      <c r="V159" s="44">
        <f t="shared" si="62"/>
        <v>0</v>
      </c>
      <c r="W159" s="404">
        <f t="shared" si="63"/>
        <v>0</v>
      </c>
      <c r="X159" s="44">
        <f>SUM(DB[[#This Row],[Capped-Orders-Collect]:[Capped-Orders-HD]])</f>
        <v>90</v>
      </c>
      <c r="Y159">
        <f>INDEX('Operations Forecast'!$A$2:$BGY$47,3,MATCH(DB!D159,'Operations Forecast'!$A$2:$BGY$2))</f>
        <v>0</v>
      </c>
      <c r="Z159">
        <f t="shared" si="64"/>
        <v>90</v>
      </c>
      <c r="AA159">
        <f>INDEX('Operations Forecast'!$A$2:$BGY$47,10,MATCH(DB!D159,'Operations Forecast'!$A$2:$BGY$2))</f>
        <v>90</v>
      </c>
      <c r="AB159">
        <f>INDEX('Operations Forecast'!$A$2:$BGY$47,21,MATCH(DB!D159,'Operations Forecast'!$A$2:$BGY$2))</f>
        <v>0</v>
      </c>
      <c r="AC159" s="312">
        <f>SUM(DB[[#This Row],[Act-Orders-Collect]:[Act-Orders-HD]])</f>
        <v>0</v>
      </c>
      <c r="AD159" s="858">
        <f>IFERROR(INDEX('Operations Forecast_new'!$7:$7,MATCH(DB[[#This Row],[Datum]],'Operations Forecast_new'!$2:$2,0)),0)</f>
        <v>0</v>
      </c>
      <c r="AE159" s="312">
        <f t="shared" si="65"/>
        <v>0</v>
      </c>
      <c r="AF159" s="858">
        <f>IFERROR(INDEX('Operations Forecast_new'!$13:$13,MATCH(DB[[#This Row],[Datum]],'Operations Forecast_new'!$2:$2,0)),0)</f>
        <v>0</v>
      </c>
      <c r="AG159" s="858">
        <f>IFERROR(INDEX('Operations Forecast_new'!$19:$19,MATCH(DB[[#This Row],[Datum]],'Operations Forecast_new'!$2:$2,0)),0)</f>
        <v>0</v>
      </c>
      <c r="AH159" s="312">
        <f t="shared" si="55"/>
        <v>0</v>
      </c>
      <c r="AI159" s="858">
        <f>IFERROR(INDEX('Operations Forecast_new'!$9:$9,MATCH(DB[[#This Row],[Datum]],'Operations Forecast_new'!$2:$2,0)),0)</f>
        <v>0</v>
      </c>
      <c r="AJ159" s="312">
        <f t="shared" si="66"/>
        <v>0</v>
      </c>
      <c r="AK159" s="858">
        <f>IFERROR(INDEX('Operations Forecast_new'!$15:$15,MATCH(DB[[#This Row],[Datum]],'Operations Forecast_new'!$2:$2,0)),0)</f>
        <v>0</v>
      </c>
      <c r="AL159" s="858">
        <f>IFERROR(INDEX('Operations Forecast_new'!$21:$21,MATCH(DB[[#This Row],[Datum]],'Operations Forecast_new'!$2:$2,0)),0)</f>
        <v>0</v>
      </c>
      <c r="AM159" s="178">
        <f>IFERROR(INDEX('Operations Forecast_new'!$8:$8,MATCH(DB[[#This Row],[Datum]],'Operations Forecast_new'!$2:$2,0)),0)</f>
        <v>0</v>
      </c>
      <c r="AN159" s="859">
        <f>IFERROR(INDEX('Operations Forecast_new'!$20:$20,MATCH(DB[[#This Row],[Datum]],'Operations Forecast_new'!$2:$2,0)),0)</f>
        <v>0</v>
      </c>
      <c r="AO159" s="44" t="str">
        <f t="shared" si="67"/>
        <v>-</v>
      </c>
      <c r="AP159" s="404" t="str">
        <f t="shared" si="68"/>
        <v>-</v>
      </c>
      <c r="AQ159" s="44">
        <f t="shared" si="56"/>
        <v>0</v>
      </c>
      <c r="AR159" s="44" cm="1">
        <f t="array" ref="AR159">IFERROR(INDEX('ST Forecast'!$E$2:$RK$36,25,M159)+(INDEX('ST Forecast'!$E$2:$RK$36,29,M159)),"")</f>
        <v>0</v>
      </c>
      <c r="AS159" s="44" cm="1">
        <f t="array" ref="AS159">IFERROR(INDEX('ST Forecast'!$E$2:$RK$36,26,M159)+INDEX('ST Forecast'!$E$2:$RK$36,30,M159),"")</f>
        <v>0</v>
      </c>
      <c r="AT159" s="44" cm="1">
        <f t="array" ref="AT159">IFERROR(INDEX('ST Forecast'!$E$2:$RK$36,27,M159)+INDEX('ST Forecast'!$E$2:$RK$36,31,M159),"")</f>
        <v>0</v>
      </c>
      <c r="AU159" s="44" cm="1">
        <f t="array" ref="AU159">IFERROR(INDEX('ST Forecast'!$E$2:$RK$36,28,M159),"")</f>
        <v>0</v>
      </c>
      <c r="AV159" s="44" cm="1">
        <f t="array" ref="AV159">IFERROR(INDEX('ST Forecast'!$E$2:$RK$36,29,M159),"")</f>
        <v>0</v>
      </c>
      <c r="AW159" s="44">
        <f>DB[[#This Row],[Inbound FC]]-DB[[#This Row],[Inbound Act - Ultrafresh2]]</f>
        <v>0</v>
      </c>
      <c r="AX159" s="178" t="e">
        <f>#REF!</f>
        <v>#REF!</v>
      </c>
      <c r="AY159" s="178" t="e">
        <f>#REF!</f>
        <v>#REF!</v>
      </c>
      <c r="AZ159" s="178" t="e">
        <f>#REF!</f>
        <v>#REF!</v>
      </c>
      <c r="BA159" s="178">
        <f>MONTH(DB[[#This Row],[Datum]])</f>
        <v>6</v>
      </c>
    </row>
    <row r="160" spans="1:53" x14ac:dyDescent="0.3">
      <c r="A160" s="44">
        <f t="shared" si="57"/>
        <v>23</v>
      </c>
      <c r="B160" t="str">
        <f t="shared" si="58"/>
        <v>Wk 23</v>
      </c>
      <c r="C160" t="s">
        <v>114</v>
      </c>
      <c r="D160" s="313">
        <v>44719</v>
      </c>
      <c r="E160" s="44">
        <f>DB[[#This Row],[Sales-FC-Orders-Collect]]+DB[[#This Row],[Sales-FC-Orders-HD]]</f>
        <v>1700</v>
      </c>
      <c r="F160" s="402">
        <f>INDEX('LT Collect Forecast'!$K$1:$Q$55,MATCH(B160,'LT Collect Forecast'!$A:$A,0),MATCH(C160,'LT Collect Forecast'!$K$2:$Q$2,0))</f>
        <v>850</v>
      </c>
      <c r="G160" s="44">
        <f>INDEX('LT HD Forecast'!$K$1:$Q$55,MATCH(B160,'LT HD Forecast'!$A:$A,0),MATCH(C160,'LT HD Forecast'!$K$2:$Q$2,0))</f>
        <v>850</v>
      </c>
      <c r="H160" s="44" cm="1">
        <f t="array" ref="H160">IFERROR(INDEX('ST Forecast'!$E$2:$RK$36,6,M160),"")</f>
        <v>41.996897046257224</v>
      </c>
      <c r="I160" s="44" cm="1">
        <f t="array" ref="I160">IFERROR(INDEX('ST Forecast'!$E$2:$RK$36,7,M160),"")</f>
        <v>48.045713382547184</v>
      </c>
      <c r="J160" s="44">
        <f>SUM(DB[[#This Row],[Sales-FC-Picks-Collect]:[Sales-FC-Picks-HD]])</f>
        <v>76536.218864483759</v>
      </c>
      <c r="K160" s="44">
        <f t="shared" si="53"/>
        <v>35697.362489318642</v>
      </c>
      <c r="L160" s="44">
        <f t="shared" si="54"/>
        <v>40838.856375165109</v>
      </c>
      <c r="M160" s="403">
        <f>IFERROR(IF(B160=B159,M159+1,MATCH(B160,'ST Forecast'!$E$2:$RK$2,0)+1),"")</f>
        <v>179</v>
      </c>
      <c r="N160">
        <f>SUM(DB[[#This Row],[Ops-FC-Orders-Collect]:[Ops-FC-Orders-HD]])</f>
        <v>1800</v>
      </c>
      <c r="O160" s="44" cm="1">
        <f t="array" ref="O160">IFERROR(INDEX('ST Forecast'!$E$2:$RK$36,13,M160),"")</f>
        <v>800</v>
      </c>
      <c r="P160" s="44">
        <f t="shared" si="59"/>
        <v>1000</v>
      </c>
      <c r="Q160" s="44" cm="1">
        <f t="array" ref="Q160">IFERROR(INDEX('ST Forecast'!$E$2:$RK$36,14,M160),"")</f>
        <v>200</v>
      </c>
      <c r="R160" s="44" cm="1">
        <f t="array" ref="R160">IFERROR(INDEX('ST Forecast'!$E$2:$RK$36,15,M160),"")</f>
        <v>800</v>
      </c>
      <c r="S160" s="312">
        <f>SUM(DB[[#This Row],[Ops-FC-Picks-Collect]:[Ops-FC-Picks-HD]])</f>
        <v>80010.366399161896</v>
      </c>
      <c r="T160" s="44">
        <f t="shared" si="60"/>
        <v>32925.567284265664</v>
      </c>
      <c r="U160" s="44">
        <f t="shared" si="61"/>
        <v>47084.799114896239</v>
      </c>
      <c r="V160" s="44">
        <f t="shared" si="62"/>
        <v>9416.9598229792482</v>
      </c>
      <c r="W160" s="404">
        <f t="shared" si="63"/>
        <v>37667.839291916993</v>
      </c>
      <c r="X160" s="44">
        <f>SUM(DB[[#This Row],[Capped-Orders-Collect]:[Capped-Orders-HD]])</f>
        <v>90</v>
      </c>
      <c r="Y160">
        <f>INDEX('Operations Forecast'!$A$2:$BGY$47,3,MATCH(DB!D160,'Operations Forecast'!$A$2:$BGY$2))</f>
        <v>0</v>
      </c>
      <c r="Z160">
        <f t="shared" si="64"/>
        <v>90</v>
      </c>
      <c r="AA160">
        <f>INDEX('Operations Forecast'!$A$2:$BGY$47,10,MATCH(DB!D160,'Operations Forecast'!$A$2:$BGY$2))</f>
        <v>90</v>
      </c>
      <c r="AB160">
        <f>INDEX('Operations Forecast'!$A$2:$BGY$47,21,MATCH(DB!D160,'Operations Forecast'!$A$2:$BGY$2))</f>
        <v>0</v>
      </c>
      <c r="AC160" s="312">
        <f>SUM(DB[[#This Row],[Act-Orders-Collect]:[Act-Orders-HD]])</f>
        <v>1812</v>
      </c>
      <c r="AD160" s="858">
        <f>IFERROR(INDEX('Operations Forecast_new'!$7:$7,MATCH(DB[[#This Row],[Datum]],'Operations Forecast_new'!$2:$2,0)),0)</f>
        <v>785</v>
      </c>
      <c r="AE160" s="312">
        <f t="shared" si="65"/>
        <v>1027</v>
      </c>
      <c r="AF160" s="858">
        <f>IFERROR(INDEX('Operations Forecast_new'!$13:$13,MATCH(DB[[#This Row],[Datum]],'Operations Forecast_new'!$2:$2,0)),0)</f>
        <v>180</v>
      </c>
      <c r="AG160" s="858">
        <f>IFERROR(INDEX('Operations Forecast_new'!$19:$19,MATCH(DB[[#This Row],[Datum]],'Operations Forecast_new'!$2:$2,0)),0)</f>
        <v>847</v>
      </c>
      <c r="AH160" s="312">
        <f t="shared" si="55"/>
        <v>90932.192999999999</v>
      </c>
      <c r="AI160" s="858">
        <f>IFERROR(INDEX('Operations Forecast_new'!$9:$9,MATCH(DB[[#This Row],[Datum]],'Operations Forecast_new'!$2:$2,0)),0)</f>
        <v>38468.925000000003</v>
      </c>
      <c r="AJ160" s="312">
        <f t="shared" si="66"/>
        <v>52463.268000000004</v>
      </c>
      <c r="AK160" s="858">
        <f>IFERROR(INDEX('Operations Forecast_new'!$15:$15,MATCH(DB[[#This Row],[Datum]],'Operations Forecast_new'!$2:$2,0)),0)</f>
        <v>9195.1200000000008</v>
      </c>
      <c r="AL160" s="858">
        <f>IFERROR(INDEX('Operations Forecast_new'!$21:$21,MATCH(DB[[#This Row],[Datum]],'Operations Forecast_new'!$2:$2,0)),0)</f>
        <v>43268.148000000001</v>
      </c>
      <c r="AM160" s="178">
        <f>IFERROR(INDEX('Operations Forecast_new'!$8:$8,MATCH(DB[[#This Row],[Datum]],'Operations Forecast_new'!$2:$2,0)),0)</f>
        <v>49.5</v>
      </c>
      <c r="AN160" s="859">
        <f>IFERROR(INDEX('Operations Forecast_new'!$20:$20,MATCH(DB[[#This Row],[Datum]],'Operations Forecast_new'!$2:$2,0)),0)</f>
        <v>51.6</v>
      </c>
      <c r="AO160" s="44">
        <f t="shared" si="67"/>
        <v>49.005000000000003</v>
      </c>
      <c r="AP160" s="404">
        <f t="shared" si="68"/>
        <v>51.084000000000003</v>
      </c>
      <c r="AQ160" s="44">
        <f t="shared" si="56"/>
        <v>248710.00000000009</v>
      </c>
      <c r="AR160" s="44" cm="1">
        <f t="array" ref="AR160">IFERROR(INDEX('ST Forecast'!$E$2:$RK$36,25,M160)+(INDEX('ST Forecast'!$E$2:$RK$36,29,M160)),"")</f>
        <v>86207.158843747864</v>
      </c>
      <c r="AS160" s="44" cm="1">
        <f t="array" ref="AS160">IFERROR(INDEX('ST Forecast'!$E$2:$RK$36,26,M160)+INDEX('ST Forecast'!$E$2:$RK$36,30,M160),"")</f>
        <v>80922.088442386419</v>
      </c>
      <c r="AT160" s="44" cm="1">
        <f t="array" ref="AT160">IFERROR(INDEX('ST Forecast'!$E$2:$RK$36,27,M160)+INDEX('ST Forecast'!$E$2:$RK$36,31,M160),"")</f>
        <v>70515.28208211741</v>
      </c>
      <c r="AU160" s="44" cm="1">
        <f t="array" ref="AU160">IFERROR(INDEX('ST Forecast'!$E$2:$RK$36,28,M160),"")</f>
        <v>11065.470631748405</v>
      </c>
      <c r="AV160" s="44" cm="1">
        <f t="array" ref="AV160">IFERROR(INDEX('ST Forecast'!$E$2:$RK$36,29,M160),"")</f>
        <v>0</v>
      </c>
      <c r="AW160" s="44">
        <f>DB[[#This Row],[Inbound FC]]-DB[[#This Row],[Inbound Act - Ultrafresh2]]</f>
        <v>248710.00000000009</v>
      </c>
      <c r="AX160" s="178" t="e">
        <f>#REF!</f>
        <v>#REF!</v>
      </c>
      <c r="AY160" s="178" t="e">
        <f>#REF!</f>
        <v>#REF!</v>
      </c>
      <c r="AZ160" s="178" t="e">
        <f>#REF!</f>
        <v>#REF!</v>
      </c>
      <c r="BA160" s="178">
        <f>MONTH(DB[[#This Row],[Datum]])</f>
        <v>6</v>
      </c>
    </row>
    <row r="161" spans="1:53" x14ac:dyDescent="0.3">
      <c r="A161" s="44">
        <f t="shared" si="57"/>
        <v>23</v>
      </c>
      <c r="B161" t="str">
        <f t="shared" si="58"/>
        <v>Wk 23</v>
      </c>
      <c r="C161" t="s">
        <v>115</v>
      </c>
      <c r="D161" s="313">
        <v>44720</v>
      </c>
      <c r="E161" s="44">
        <f>DB[[#This Row],[Sales-FC-Orders-Collect]]+DB[[#This Row],[Sales-FC-Orders-HD]]</f>
        <v>2950</v>
      </c>
      <c r="F161" s="402">
        <f>INDEX('LT Collect Forecast'!$K$1:$Q$55,MATCH(B161,'LT Collect Forecast'!$A:$A,0),MATCH(C161,'LT Collect Forecast'!$K$2:$Q$2,0))</f>
        <v>800</v>
      </c>
      <c r="G161" s="44">
        <f>INDEX('LT HD Forecast'!$K$1:$Q$55,MATCH(B161,'LT HD Forecast'!$A:$A,0),MATCH(C161,'LT HD Forecast'!$K$2:$Q$2,0))</f>
        <v>2150</v>
      </c>
      <c r="H161" s="44" cm="1">
        <f t="array" ref="H161">IFERROR(INDEX('ST Forecast'!$E$2:$RK$36,6,M161),"")</f>
        <v>41.723045885249348</v>
      </c>
      <c r="I161" s="44" cm="1">
        <f t="array" ref="I161">IFERROR(INDEX('ST Forecast'!$E$2:$RK$36,7,M161),"")</f>
        <v>49.623571544262347</v>
      </c>
      <c r="J161" s="44">
        <f>SUM(DB[[#This Row],[Sales-FC-Picks-Collect]:[Sales-FC-Picks-HD]])</f>
        <v>140069.11552836353</v>
      </c>
      <c r="K161" s="44">
        <f t="shared" si="53"/>
        <v>33378.436708199479</v>
      </c>
      <c r="L161" s="44">
        <f t="shared" si="54"/>
        <v>106690.67882016404</v>
      </c>
      <c r="M161" s="403">
        <f>IFERROR(IF(B161=B160,M160+1,MATCH(B161,'ST Forecast'!$E$2:$RK$2,0)+1),"")</f>
        <v>180</v>
      </c>
      <c r="N161">
        <f>SUM(DB[[#This Row],[Ops-FC-Orders-Collect]:[Ops-FC-Orders-HD]])</f>
        <v>2950</v>
      </c>
      <c r="O161" s="44" cm="1">
        <f t="array" ref="O161">IFERROR(INDEX('ST Forecast'!$E$2:$RK$36,13,M161),"")</f>
        <v>800</v>
      </c>
      <c r="P161" s="44">
        <f t="shared" si="59"/>
        <v>2150</v>
      </c>
      <c r="Q161" s="44" cm="1">
        <f t="array" ref="Q161">IFERROR(INDEX('ST Forecast'!$E$2:$RK$36,14,M161),"")</f>
        <v>1100</v>
      </c>
      <c r="R161" s="44" cm="1">
        <f t="array" ref="R161">IFERROR(INDEX('ST Forecast'!$E$2:$RK$36,15,M161),"")</f>
        <v>1050</v>
      </c>
      <c r="S161" s="312">
        <f>SUM(DB[[#This Row],[Ops-FC-Picks-Collect]:[Ops-FC-Picks-HD]])</f>
        <v>137267.73321779625</v>
      </c>
      <c r="T161" s="44">
        <f t="shared" si="60"/>
        <v>32710.867974035489</v>
      </c>
      <c r="U161" s="44">
        <f t="shared" si="61"/>
        <v>104556.86524376077</v>
      </c>
      <c r="V161" s="44">
        <f t="shared" si="62"/>
        <v>53494.210124714809</v>
      </c>
      <c r="W161" s="404">
        <f t="shared" si="63"/>
        <v>51062.655119045958</v>
      </c>
      <c r="X161" s="44">
        <f>SUM(DB[[#This Row],[Capped-Orders-Collect]:[Capped-Orders-HD]])</f>
        <v>90</v>
      </c>
      <c r="Y161">
        <f>INDEX('Operations Forecast'!$A$2:$BGY$47,3,MATCH(DB!D161,'Operations Forecast'!$A$2:$BGY$2))</f>
        <v>0</v>
      </c>
      <c r="Z161">
        <f t="shared" si="64"/>
        <v>90</v>
      </c>
      <c r="AA161">
        <f>INDEX('Operations Forecast'!$A$2:$BGY$47,10,MATCH(DB!D161,'Operations Forecast'!$A$2:$BGY$2))</f>
        <v>90</v>
      </c>
      <c r="AB161">
        <f>INDEX('Operations Forecast'!$A$2:$BGY$47,21,MATCH(DB!D161,'Operations Forecast'!$A$2:$BGY$2))</f>
        <v>0</v>
      </c>
      <c r="AC161" s="312">
        <f>SUM(DB[[#This Row],[Act-Orders-Collect]:[Act-Orders-HD]])</f>
        <v>2734</v>
      </c>
      <c r="AD161" s="858">
        <f>IFERROR(INDEX('Operations Forecast_new'!$7:$7,MATCH(DB[[#This Row],[Datum]],'Operations Forecast_new'!$2:$2,0)),0)</f>
        <v>647</v>
      </c>
      <c r="AE161" s="312">
        <f t="shared" si="65"/>
        <v>2087</v>
      </c>
      <c r="AF161" s="858">
        <f>IFERROR(INDEX('Operations Forecast_new'!$13:$13,MATCH(DB[[#This Row],[Datum]],'Operations Forecast_new'!$2:$2,0)),0)</f>
        <v>1099</v>
      </c>
      <c r="AG161" s="858">
        <f>IFERROR(INDEX('Operations Forecast_new'!$19:$19,MATCH(DB[[#This Row],[Datum]],'Operations Forecast_new'!$2:$2,0)),0)</f>
        <v>988</v>
      </c>
      <c r="AH161" s="312">
        <f t="shared" si="55"/>
        <v>137163.609</v>
      </c>
      <c r="AI161" s="858">
        <f>IFERROR(INDEX('Operations Forecast_new'!$9:$9,MATCH(DB[[#This Row],[Datum]],'Operations Forecast_new'!$2:$2,0)),0)</f>
        <v>32410.817999999999</v>
      </c>
      <c r="AJ161" s="312">
        <f t="shared" si="66"/>
        <v>104752.79100000001</v>
      </c>
      <c r="AK161" s="858">
        <f>IFERROR(INDEX('Operations Forecast_new'!$15:$15,MATCH(DB[[#This Row],[Datum]],'Operations Forecast_new'!$2:$2,0)),0)</f>
        <v>55162.107000000004</v>
      </c>
      <c r="AL161" s="858">
        <f>IFERROR(INDEX('Operations Forecast_new'!$21:$21,MATCH(DB[[#This Row],[Datum]],'Operations Forecast_new'!$2:$2,0)),0)</f>
        <v>49590.684000000008</v>
      </c>
      <c r="AM161" s="178">
        <f>IFERROR(INDEX('Operations Forecast_new'!$8:$8,MATCH(DB[[#This Row],[Datum]],'Operations Forecast_new'!$2:$2,0)),0)</f>
        <v>50.6</v>
      </c>
      <c r="AN161" s="859">
        <f>IFERROR(INDEX('Operations Forecast_new'!$20:$20,MATCH(DB[[#This Row],[Datum]],'Operations Forecast_new'!$2:$2,0)),0)</f>
        <v>50.7</v>
      </c>
      <c r="AO161" s="44">
        <f t="shared" si="67"/>
        <v>50.094000000000001</v>
      </c>
      <c r="AP161" s="404">
        <f t="shared" si="68"/>
        <v>50.193000000000005</v>
      </c>
      <c r="AQ161" s="44">
        <f t="shared" si="56"/>
        <v>137512.44420000006</v>
      </c>
      <c r="AR161" s="44" cm="1">
        <f t="array" ref="AR161">IFERROR(INDEX('ST Forecast'!$E$2:$RK$36,25,M161)+(INDEX('ST Forecast'!$E$2:$RK$36,29,M161)),"")</f>
        <v>57255.31338621</v>
      </c>
      <c r="AS161" s="44" cm="1">
        <f t="array" ref="AS161">IFERROR(INDEX('ST Forecast'!$E$2:$RK$36,26,M161)+INDEX('ST Forecast'!$E$2:$RK$36,30,M161),"")</f>
        <v>56648.230485430598</v>
      </c>
      <c r="AT161" s="44" cm="1">
        <f t="array" ref="AT161">IFERROR(INDEX('ST Forecast'!$E$2:$RK$36,27,M161)+INDEX('ST Forecast'!$E$2:$RK$36,31,M161),"")</f>
        <v>15365.816012252442</v>
      </c>
      <c r="AU161" s="44" cm="1">
        <f t="array" ref="AU161">IFERROR(INDEX('ST Forecast'!$E$2:$RK$36,28,M161),"")</f>
        <v>8243.0843161070043</v>
      </c>
      <c r="AV161" s="44" cm="1">
        <f t="array" ref="AV161">IFERROR(INDEX('ST Forecast'!$E$2:$RK$36,29,M161),"")</f>
        <v>0</v>
      </c>
      <c r="AW161" s="44">
        <f>DB[[#This Row],[Inbound FC]]-DB[[#This Row],[Inbound Act - Ultrafresh2]]</f>
        <v>137512.44420000006</v>
      </c>
      <c r="AX161" s="178" t="e">
        <f>#REF!</f>
        <v>#REF!</v>
      </c>
      <c r="AY161" s="178" t="e">
        <f>#REF!</f>
        <v>#REF!</v>
      </c>
      <c r="AZ161" s="178" t="e">
        <f>#REF!</f>
        <v>#REF!</v>
      </c>
      <c r="BA161" s="178">
        <f>MONTH(DB[[#This Row],[Datum]])</f>
        <v>6</v>
      </c>
    </row>
    <row r="162" spans="1:53" x14ac:dyDescent="0.3">
      <c r="A162" s="44">
        <f t="shared" si="57"/>
        <v>23</v>
      </c>
      <c r="B162" t="str">
        <f t="shared" si="58"/>
        <v>Wk 23</v>
      </c>
      <c r="C162" t="s">
        <v>116</v>
      </c>
      <c r="D162" s="313">
        <v>44721</v>
      </c>
      <c r="E162" s="44">
        <f>DB[[#This Row],[Sales-FC-Orders-Collect]]+DB[[#This Row],[Sales-FC-Orders-HD]]</f>
        <v>2400</v>
      </c>
      <c r="F162" s="402" cm="1">
        <f t="array" ref="F162">INDEX('LT Collect Forecast'!$K$1:$Q$55,MATCH(B162,'LT Collect Forecast'!$A:$A,0)+1,MATCH(C162,'LT Collect Forecast'!$K$2:$Q$2,0))</f>
        <v>500</v>
      </c>
      <c r="G162" s="44" cm="1">
        <f t="array" ref="G162">INDEX('LT HD Forecast'!$K$1:$Q$55,MATCH(B162,'LT HD Forecast'!$A:$A,0)+1,MATCH(C162,'LT HD Forecast'!$K$2:$Q$2,0))</f>
        <v>1900</v>
      </c>
      <c r="H162" s="44" cm="1">
        <f t="array" ref="H162">IFERROR(INDEX('ST Forecast'!$E$2:$RK$36,6,M162),"")</f>
        <v>51.2</v>
      </c>
      <c r="I162" s="44" cm="1">
        <f t="array" ref="I162">IFERROR(INDEX('ST Forecast'!$E$2:$RK$36,7,M162),"")</f>
        <v>51.928708411344566</v>
      </c>
      <c r="J162" s="44">
        <f>SUM(DB[[#This Row],[Sales-FC-Picks-Collect]:[Sales-FC-Picks-HD]])</f>
        <v>124264.54598155468</v>
      </c>
      <c r="K162" s="44">
        <f t="shared" si="53"/>
        <v>25600</v>
      </c>
      <c r="L162" s="44">
        <f t="shared" si="54"/>
        <v>98664.545981554678</v>
      </c>
      <c r="M162" s="403">
        <f>IFERROR(IF(B162=B161,M161+1,MATCH(B162,'ST Forecast'!$E$2:$RK$2,0)+1),"")</f>
        <v>181</v>
      </c>
      <c r="N162">
        <f>SUM(DB[[#This Row],[Ops-FC-Orders-Collect]:[Ops-FC-Orders-HD]])</f>
        <v>2450</v>
      </c>
      <c r="O162" s="44" cm="1">
        <f t="array" ref="O162">IFERROR(INDEX('ST Forecast'!$E$2:$RK$36,13,M162),"")</f>
        <v>500</v>
      </c>
      <c r="P162" s="44">
        <f t="shared" si="59"/>
        <v>1950</v>
      </c>
      <c r="Q162" s="44" cm="1">
        <f t="array" ref="Q162">IFERROR(INDEX('ST Forecast'!$E$2:$RK$36,14,M162),"")</f>
        <v>1000</v>
      </c>
      <c r="R162" s="44" cm="1">
        <f t="array" ref="R162">IFERROR(INDEX('ST Forecast'!$E$2:$RK$36,15,M162),"")</f>
        <v>950</v>
      </c>
      <c r="S162" s="312">
        <f>SUM(DB[[#This Row],[Ops-FC-Picks-Collect]:[Ops-FC-Picks-HD]])</f>
        <v>124323.76177407947</v>
      </c>
      <c r="T162" s="44">
        <f t="shared" si="60"/>
        <v>25088</v>
      </c>
      <c r="U162" s="44">
        <f t="shared" si="61"/>
        <v>99235.761774079467</v>
      </c>
      <c r="V162" s="44">
        <f t="shared" si="62"/>
        <v>50890.134243117674</v>
      </c>
      <c r="W162" s="404">
        <f t="shared" si="63"/>
        <v>48345.627530961792</v>
      </c>
      <c r="X162" s="44">
        <f>SUM(DB[[#This Row],[Capped-Orders-Collect]:[Capped-Orders-HD]])</f>
        <v>90</v>
      </c>
      <c r="Y162">
        <f>INDEX('Operations Forecast'!$A$2:$BGY$47,3,MATCH(DB!D162,'Operations Forecast'!$A$2:$BGY$2))</f>
        <v>0</v>
      </c>
      <c r="Z162">
        <f t="shared" si="64"/>
        <v>90</v>
      </c>
      <c r="AA162">
        <f>INDEX('Operations Forecast'!$A$2:$BGY$47,10,MATCH(DB!D162,'Operations Forecast'!$A$2:$BGY$2))</f>
        <v>90</v>
      </c>
      <c r="AB162">
        <f>INDEX('Operations Forecast'!$A$2:$BGY$47,21,MATCH(DB!D162,'Operations Forecast'!$A$2:$BGY$2))</f>
        <v>0</v>
      </c>
      <c r="AC162" s="312">
        <f>SUM(DB[[#This Row],[Act-Orders-Collect]:[Act-Orders-HD]])</f>
        <v>2408</v>
      </c>
      <c r="AD162" s="858">
        <f>IFERROR(INDEX('Operations Forecast_new'!$7:$7,MATCH(DB[[#This Row],[Datum]],'Operations Forecast_new'!$2:$2,0)),0)</f>
        <v>520</v>
      </c>
      <c r="AE162" s="312">
        <f t="shared" si="65"/>
        <v>1888</v>
      </c>
      <c r="AF162" s="858">
        <f>IFERROR(INDEX('Operations Forecast_new'!$13:$13,MATCH(DB[[#This Row],[Datum]],'Operations Forecast_new'!$2:$2,0)),0)</f>
        <v>944</v>
      </c>
      <c r="AG162" s="858">
        <f>IFERROR(INDEX('Operations Forecast_new'!$19:$19,MATCH(DB[[#This Row],[Datum]],'Operations Forecast_new'!$2:$2,0)),0)</f>
        <v>944</v>
      </c>
      <c r="AH162" s="312">
        <f t="shared" si="55"/>
        <v>121980.67200000001</v>
      </c>
      <c r="AI162" s="858">
        <f>IFERROR(INDEX('Operations Forecast_new'!$9:$9,MATCH(DB[[#This Row],[Datum]],'Operations Forecast_new'!$2:$2,0)),0)</f>
        <v>25534.079999999998</v>
      </c>
      <c r="AJ162" s="312">
        <f t="shared" si="66"/>
        <v>96446.592000000004</v>
      </c>
      <c r="AK162" s="858">
        <f>IFERROR(INDEX('Operations Forecast_new'!$15:$15,MATCH(DB[[#This Row],[Datum]],'Operations Forecast_new'!$2:$2,0)),0)</f>
        <v>48223.296000000002</v>
      </c>
      <c r="AL162" s="858">
        <f>IFERROR(INDEX('Operations Forecast_new'!$21:$21,MATCH(DB[[#This Row],[Datum]],'Operations Forecast_new'!$2:$2,0)),0)</f>
        <v>48223.296000000002</v>
      </c>
      <c r="AM162" s="178">
        <f>IFERROR(INDEX('Operations Forecast_new'!$8:$8,MATCH(DB[[#This Row],[Datum]],'Operations Forecast_new'!$2:$2,0)),0)</f>
        <v>49.6</v>
      </c>
      <c r="AN162" s="859">
        <f>IFERROR(INDEX('Operations Forecast_new'!$20:$20,MATCH(DB[[#This Row],[Datum]],'Operations Forecast_new'!$2:$2,0)),0)</f>
        <v>51.6</v>
      </c>
      <c r="AO162" s="44">
        <f t="shared" si="67"/>
        <v>49.103999999999999</v>
      </c>
      <c r="AP162" s="404">
        <f t="shared" si="68"/>
        <v>51.084000000000003</v>
      </c>
      <c r="AQ162" s="44">
        <f t="shared" si="56"/>
        <v>134279.00000000009</v>
      </c>
      <c r="AR162" s="44" cm="1">
        <f t="array" ref="AR162">IFERROR(INDEX('ST Forecast'!$E$2:$RK$36,25,M162)+(INDEX('ST Forecast'!$E$2:$RK$36,29,M162)),"")</f>
        <v>57574.319187916975</v>
      </c>
      <c r="AS162" s="44" cm="1">
        <f t="array" ref="AS162">IFERROR(INDEX('ST Forecast'!$E$2:$RK$36,26,M162)+INDEX('ST Forecast'!$E$2:$RK$36,30,M162),"")</f>
        <v>54974.805774462468</v>
      </c>
      <c r="AT162" s="44" cm="1">
        <f t="array" ref="AT162">IFERROR(INDEX('ST Forecast'!$E$2:$RK$36,27,M162)+INDEX('ST Forecast'!$E$2:$RK$36,31,M162),"")</f>
        <v>12640.675769098256</v>
      </c>
      <c r="AU162" s="44" cm="1">
        <f t="array" ref="AU162">IFERROR(INDEX('ST Forecast'!$E$2:$RK$36,28,M162),"")</f>
        <v>9089.1992685223686</v>
      </c>
      <c r="AV162" s="44" cm="1">
        <f t="array" ref="AV162">IFERROR(INDEX('ST Forecast'!$E$2:$RK$36,29,M162),"")</f>
        <v>0</v>
      </c>
      <c r="AW162" s="44">
        <f>DB[[#This Row],[Inbound FC]]-DB[[#This Row],[Inbound Act - Ultrafresh2]]</f>
        <v>134279.00000000009</v>
      </c>
      <c r="AX162" s="178" t="e">
        <f>#REF!</f>
        <v>#REF!</v>
      </c>
      <c r="AY162" s="178" t="e">
        <f>#REF!</f>
        <v>#REF!</v>
      </c>
      <c r="AZ162" s="178" t="e">
        <f>#REF!</f>
        <v>#REF!</v>
      </c>
      <c r="BA162" s="178">
        <f>MONTH(DB[[#This Row],[Datum]])</f>
        <v>6</v>
      </c>
    </row>
    <row r="163" spans="1:53" x14ac:dyDescent="0.3">
      <c r="A163" s="44">
        <f t="shared" si="57"/>
        <v>23</v>
      </c>
      <c r="B163" t="str">
        <f t="shared" si="58"/>
        <v>Wk 23</v>
      </c>
      <c r="C163" t="s">
        <v>117</v>
      </c>
      <c r="D163" s="313">
        <v>44722</v>
      </c>
      <c r="E163" s="44">
        <f>DB[[#This Row],[Sales-FC-Orders-Collect]]+DB[[#This Row],[Sales-FC-Orders-HD]]</f>
        <v>2925</v>
      </c>
      <c r="F163" s="402" cm="1">
        <f t="array" ref="F163">INDEX('LT Collect Forecast'!$K$1:$Q$55,MATCH(B163,'LT Collect Forecast'!$A:$A,0)+1,MATCH(C163,'LT Collect Forecast'!$K$2:$Q$2,0))</f>
        <v>1000</v>
      </c>
      <c r="G163" s="44" cm="1">
        <f t="array" ref="G163">INDEX('LT HD Forecast'!$K$1:$Q$55,MATCH(B163,'LT HD Forecast'!$A:$A,0)+1,MATCH(C163,'LT HD Forecast'!$K$2:$Q$2,0))</f>
        <v>1925</v>
      </c>
      <c r="H163" s="44" cm="1">
        <f t="array" ref="H163">IFERROR(INDEX('ST Forecast'!$E$2:$RK$36,6,M163),"")</f>
        <v>51.271276883862996</v>
      </c>
      <c r="I163" s="44" cm="1">
        <f t="array" ref="I163">IFERROR(INDEX('ST Forecast'!$E$2:$RK$36,7,M163),"")</f>
        <v>52.480580766132178</v>
      </c>
      <c r="J163" s="44">
        <f>SUM(DB[[#This Row],[Sales-FC-Picks-Collect]:[Sales-FC-Picks-HD]])</f>
        <v>152296.39485866742</v>
      </c>
      <c r="K163" s="44">
        <f t="shared" si="53"/>
        <v>51271.276883862993</v>
      </c>
      <c r="L163" s="44">
        <f t="shared" si="54"/>
        <v>101025.11797480444</v>
      </c>
      <c r="M163" s="403">
        <f>IFERROR(IF(B163=B162,M162+1,MATCH(B163,'ST Forecast'!$E$2:$RK$2,0)+1),"")</f>
        <v>182</v>
      </c>
      <c r="N163">
        <f>SUM(DB[[#This Row],[Ops-FC-Orders-Collect]:[Ops-FC-Orders-HD]])</f>
        <v>3200</v>
      </c>
      <c r="O163" s="44" cm="1">
        <f t="array" ref="O163">IFERROR(INDEX('ST Forecast'!$E$2:$RK$36,13,M163),"")</f>
        <v>1150</v>
      </c>
      <c r="P163" s="44">
        <f t="shared" si="59"/>
        <v>2050</v>
      </c>
      <c r="Q163" s="44" cm="1">
        <f t="array" ref="Q163">IFERROR(INDEX('ST Forecast'!$E$2:$RK$36,14,M163),"")</f>
        <v>1000</v>
      </c>
      <c r="R163" s="44" cm="1">
        <f t="array" ref="R163">IFERROR(INDEX('ST Forecast'!$E$2:$RK$36,15,M163),"")</f>
        <v>1050</v>
      </c>
      <c r="S163" s="312">
        <f>SUM(DB[[#This Row],[Ops-FC-Picks-Collect]:[Ops-FC-Picks-HD]])</f>
        <v>163216.21580727314</v>
      </c>
      <c r="T163" s="44">
        <f t="shared" si="60"/>
        <v>57782.729048113601</v>
      </c>
      <c r="U163" s="44">
        <f t="shared" si="61"/>
        <v>105433.48675915954</v>
      </c>
      <c r="V163" s="44">
        <f t="shared" si="62"/>
        <v>51430.969150809535</v>
      </c>
      <c r="W163" s="404">
        <f t="shared" si="63"/>
        <v>54002.517608350005</v>
      </c>
      <c r="X163" s="44">
        <f>SUM(DB[[#This Row],[Capped-Orders-Collect]:[Capped-Orders-HD]])</f>
        <v>90</v>
      </c>
      <c r="Y163">
        <f>INDEX('Operations Forecast'!$A$2:$BGY$47,3,MATCH(DB!D163,'Operations Forecast'!$A$2:$BGY$2))</f>
        <v>0</v>
      </c>
      <c r="Z163">
        <f t="shared" si="64"/>
        <v>90</v>
      </c>
      <c r="AA163">
        <f>INDEX('Operations Forecast'!$A$2:$BGY$47,10,MATCH(DB!D163,'Operations Forecast'!$A$2:$BGY$2))</f>
        <v>90</v>
      </c>
      <c r="AB163">
        <f>INDEX('Operations Forecast'!$A$2:$BGY$47,21,MATCH(DB!D163,'Operations Forecast'!$A$2:$BGY$2))</f>
        <v>0</v>
      </c>
      <c r="AC163" s="312">
        <f>SUM(DB[[#This Row],[Act-Orders-Collect]:[Act-Orders-HD]])</f>
        <v>3054</v>
      </c>
      <c r="AD163" s="858">
        <f>IFERROR(INDEX('Operations Forecast_new'!$7:$7,MATCH(DB[[#This Row],[Datum]],'Operations Forecast_new'!$2:$2,0)),0)</f>
        <v>1020</v>
      </c>
      <c r="AE163" s="312">
        <f t="shared" si="65"/>
        <v>2034</v>
      </c>
      <c r="AF163" s="858">
        <f>IFERROR(INDEX('Operations Forecast_new'!$13:$13,MATCH(DB[[#This Row],[Datum]],'Operations Forecast_new'!$2:$2,0)),0)</f>
        <v>1049</v>
      </c>
      <c r="AG163" s="858">
        <f>IFERROR(INDEX('Operations Forecast_new'!$19:$19,MATCH(DB[[#This Row],[Datum]],'Operations Forecast_new'!$2:$2,0)),0)</f>
        <v>985</v>
      </c>
      <c r="AH163" s="312">
        <f t="shared" si="55"/>
        <v>159841.242</v>
      </c>
      <c r="AI163" s="858">
        <f>IFERROR(INDEX('Operations Forecast_new'!$9:$9,MATCH(DB[[#This Row],[Datum]],'Operations Forecast_new'!$2:$2,0)),0)</f>
        <v>53721.36</v>
      </c>
      <c r="AJ163" s="312">
        <f t="shared" si="66"/>
        <v>106119.882</v>
      </c>
      <c r="AK163" s="858">
        <f>IFERROR(INDEX('Operations Forecast_new'!$15:$15,MATCH(DB[[#This Row],[Datum]],'Operations Forecast_new'!$2:$2,0)),0)</f>
        <v>54729.476999999999</v>
      </c>
      <c r="AL163" s="858">
        <f>IFERROR(INDEX('Operations Forecast_new'!$21:$21,MATCH(DB[[#This Row],[Datum]],'Operations Forecast_new'!$2:$2,0)),0)</f>
        <v>51390.404999999999</v>
      </c>
      <c r="AM163" s="178">
        <f>IFERROR(INDEX('Operations Forecast_new'!$8:$8,MATCH(DB[[#This Row],[Datum]],'Operations Forecast_new'!$2:$2,0)),0)</f>
        <v>53.2</v>
      </c>
      <c r="AN163" s="859">
        <f>IFERROR(INDEX('Operations Forecast_new'!$20:$20,MATCH(DB[[#This Row],[Datum]],'Operations Forecast_new'!$2:$2,0)),0)</f>
        <v>52.7</v>
      </c>
      <c r="AO163" s="44">
        <f t="shared" si="67"/>
        <v>52.667999999999999</v>
      </c>
      <c r="AP163" s="404">
        <f t="shared" si="68"/>
        <v>52.173000000000002</v>
      </c>
      <c r="AQ163" s="44">
        <f t="shared" si="56"/>
        <v>125977.00000000006</v>
      </c>
      <c r="AR163" s="44" cm="1">
        <f t="array" ref="AR163">IFERROR(INDEX('ST Forecast'!$E$2:$RK$36,25,M163)+(INDEX('ST Forecast'!$E$2:$RK$36,29,M163)),"")</f>
        <v>55072.698354912282</v>
      </c>
      <c r="AS163" s="44" cm="1">
        <f t="array" ref="AS163">IFERROR(INDEX('ST Forecast'!$E$2:$RK$36,26,M163)+INDEX('ST Forecast'!$E$2:$RK$36,30,M163),"")</f>
        <v>55137.855812567643</v>
      </c>
      <c r="AT163" s="44" cm="1">
        <f t="array" ref="AT163">IFERROR(INDEX('ST Forecast'!$E$2:$RK$36,27,M163)+INDEX('ST Forecast'!$E$2:$RK$36,31,M163),"")</f>
        <v>6995.315296701111</v>
      </c>
      <c r="AU163" s="44" cm="1">
        <f t="array" ref="AU163">IFERROR(INDEX('ST Forecast'!$E$2:$RK$36,28,M163),"")</f>
        <v>8771.1305358190348</v>
      </c>
      <c r="AV163" s="44" cm="1">
        <f t="array" ref="AV163">IFERROR(INDEX('ST Forecast'!$E$2:$RK$36,29,M163),"")</f>
        <v>0</v>
      </c>
      <c r="AW163" s="44">
        <f>DB[[#This Row],[Inbound FC]]-DB[[#This Row],[Inbound Act - Ultrafresh2]]</f>
        <v>125977.00000000006</v>
      </c>
      <c r="AX163" s="178" t="e">
        <f>#REF!</f>
        <v>#REF!</v>
      </c>
      <c r="AY163" s="178" t="e">
        <f>#REF!</f>
        <v>#REF!</v>
      </c>
      <c r="AZ163" s="178" t="e">
        <f>#REF!</f>
        <v>#REF!</v>
      </c>
      <c r="BA163" s="178">
        <f>MONTH(DB[[#This Row],[Datum]])</f>
        <v>6</v>
      </c>
    </row>
    <row r="164" spans="1:53" x14ac:dyDescent="0.3">
      <c r="A164" s="44">
        <f t="shared" si="57"/>
        <v>23</v>
      </c>
      <c r="B164" t="str">
        <f t="shared" si="58"/>
        <v>Wk 23</v>
      </c>
      <c r="C164" t="s">
        <v>118</v>
      </c>
      <c r="D164" s="313">
        <v>44723</v>
      </c>
      <c r="E164" s="44">
        <f>DB[[#This Row],[Sales-FC-Orders-Collect]]+DB[[#This Row],[Sales-FC-Orders-HD]]</f>
        <v>2950</v>
      </c>
      <c r="F164" s="402" cm="1">
        <f t="array" ref="F164">INDEX('LT Collect Forecast'!$K$1:$Q$55,MATCH(B164,'LT Collect Forecast'!$A:$A,0)+1,MATCH(C164,'LT Collect Forecast'!$K$2:$Q$2,0))</f>
        <v>1075</v>
      </c>
      <c r="G164" s="44" cm="1">
        <f t="array" ref="G164">INDEX('LT HD Forecast'!$K$1:$Q$55,MATCH(B164,'LT HD Forecast'!$A:$A,0)+1,MATCH(C164,'LT HD Forecast'!$K$2:$Q$2,0))</f>
        <v>1875</v>
      </c>
      <c r="H164" s="44" cm="1">
        <f t="array" ref="H164">IFERROR(INDEX('ST Forecast'!$E$2:$RK$36,6,M164),"")</f>
        <v>51.990323005742958</v>
      </c>
      <c r="I164" s="44" cm="1">
        <f t="array" ref="I164">IFERROR(INDEX('ST Forecast'!$E$2:$RK$36,7,M164),"")</f>
        <v>52.023448366740169</v>
      </c>
      <c r="J164" s="44">
        <f>SUM(DB[[#This Row],[Sales-FC-Picks-Collect]:[Sales-FC-Picks-HD]])</f>
        <v>153433.56291881148</v>
      </c>
      <c r="K164" s="44">
        <f t="shared" si="53"/>
        <v>55889.597231173677</v>
      </c>
      <c r="L164" s="44">
        <f t="shared" si="54"/>
        <v>97543.965687637814</v>
      </c>
      <c r="M164" s="403">
        <f>IFERROR(IF(B164=B163,M163+1,MATCH(B164,'ST Forecast'!$E$2:$RK$2,0)+1),"")</f>
        <v>183</v>
      </c>
      <c r="N164">
        <f>SUM(DB[[#This Row],[Ops-FC-Orders-Collect]:[Ops-FC-Orders-HD]])</f>
        <v>2975</v>
      </c>
      <c r="O164" s="44" cm="1">
        <f t="array" ref="O164">IFERROR(INDEX('ST Forecast'!$E$2:$RK$36,13,M164),"")</f>
        <v>1075</v>
      </c>
      <c r="P164" s="44">
        <f t="shared" si="59"/>
        <v>1900</v>
      </c>
      <c r="Q164" s="44" cm="1">
        <f t="array" ref="Q164">IFERROR(INDEX('ST Forecast'!$E$2:$RK$36,14,M164),"")</f>
        <v>1050</v>
      </c>
      <c r="R164" s="44" cm="1">
        <f t="array" ref="R164">IFERROR(INDEX('ST Forecast'!$E$2:$RK$36,15,M164),"")</f>
        <v>850</v>
      </c>
      <c r="S164" s="312">
        <f>SUM(DB[[#This Row],[Ops-FC-Picks-Collect]:[Ops-FC-Picks-HD]])</f>
        <v>151639.46614542039</v>
      </c>
      <c r="T164" s="44">
        <f t="shared" si="60"/>
        <v>54771.805286550203</v>
      </c>
      <c r="U164" s="44">
        <f t="shared" si="61"/>
        <v>96867.660858870193</v>
      </c>
      <c r="V164" s="44">
        <f t="shared" si="62"/>
        <v>53532.128369375634</v>
      </c>
      <c r="W164" s="404">
        <f t="shared" si="63"/>
        <v>43335.532489494559</v>
      </c>
      <c r="X164" s="44">
        <f>SUM(DB[[#This Row],[Capped-Orders-Collect]:[Capped-Orders-HD]])</f>
        <v>90</v>
      </c>
      <c r="Y164">
        <f>INDEX('Operations Forecast'!$A$2:$BGY$47,3,MATCH(DB!D164,'Operations Forecast'!$A$2:$BGY$2))</f>
        <v>0</v>
      </c>
      <c r="Z164">
        <f t="shared" si="64"/>
        <v>90</v>
      </c>
      <c r="AA164">
        <f>INDEX('Operations Forecast'!$A$2:$BGY$47,10,MATCH(DB!D164,'Operations Forecast'!$A$2:$BGY$2))</f>
        <v>90</v>
      </c>
      <c r="AB164">
        <f>INDEX('Operations Forecast'!$A$2:$BGY$47,21,MATCH(DB!D164,'Operations Forecast'!$A$2:$BGY$2))</f>
        <v>0</v>
      </c>
      <c r="AC164" s="312">
        <f>SUM(DB[[#This Row],[Act-Orders-Collect]:[Act-Orders-HD]])</f>
        <v>2930</v>
      </c>
      <c r="AD164" s="858">
        <f>IFERROR(INDEX('Operations Forecast_new'!$7:$7,MATCH(DB[[#This Row],[Datum]],'Operations Forecast_new'!$2:$2,0)),0)</f>
        <v>1020</v>
      </c>
      <c r="AE164" s="312">
        <f t="shared" si="65"/>
        <v>1910</v>
      </c>
      <c r="AF164" s="858">
        <f>IFERROR(INDEX('Operations Forecast_new'!$13:$13,MATCH(DB[[#This Row],[Datum]],'Operations Forecast_new'!$2:$2,0)),0)</f>
        <v>1070</v>
      </c>
      <c r="AG164" s="858">
        <f>IFERROR(INDEX('Operations Forecast_new'!$19:$19,MATCH(DB[[#This Row],[Datum]],'Operations Forecast_new'!$2:$2,0)),0)</f>
        <v>840</v>
      </c>
      <c r="AH164" s="312">
        <f t="shared" si="55"/>
        <v>149538.50999999998</v>
      </c>
      <c r="AI164" s="858">
        <f>IFERROR(INDEX('Operations Forecast_new'!$9:$9,MATCH(DB[[#This Row],[Datum]],'Operations Forecast_new'!$2:$2,0)),0)</f>
        <v>52913.52</v>
      </c>
      <c r="AJ164" s="312">
        <f t="shared" si="66"/>
        <v>96624.989999999991</v>
      </c>
      <c r="AK164" s="858">
        <f>IFERROR(INDEX('Operations Forecast_new'!$15:$15,MATCH(DB[[#This Row],[Datum]],'Operations Forecast_new'!$2:$2,0)),0)</f>
        <v>54130.229999999996</v>
      </c>
      <c r="AL164" s="858">
        <f>IFERROR(INDEX('Operations Forecast_new'!$21:$21,MATCH(DB[[#This Row],[Datum]],'Operations Forecast_new'!$2:$2,0)),0)</f>
        <v>42494.76</v>
      </c>
      <c r="AM164" s="178">
        <f>IFERROR(INDEX('Operations Forecast_new'!$8:$8,MATCH(DB[[#This Row],[Datum]],'Operations Forecast_new'!$2:$2,0)),0)</f>
        <v>52.4</v>
      </c>
      <c r="AN164" s="859">
        <f>IFERROR(INDEX('Operations Forecast_new'!$20:$20,MATCH(DB[[#This Row],[Datum]],'Operations Forecast_new'!$2:$2,0)),0)</f>
        <v>51.1</v>
      </c>
      <c r="AO164" s="44">
        <f t="shared" si="67"/>
        <v>51.875999999999998</v>
      </c>
      <c r="AP164" s="404">
        <f t="shared" si="68"/>
        <v>50.588999999999999</v>
      </c>
      <c r="AQ164" s="44">
        <f t="shared" si="56"/>
        <v>124968.00000000009</v>
      </c>
      <c r="AR164" s="44" cm="1">
        <f t="array" ref="AR164">IFERROR(INDEX('ST Forecast'!$E$2:$RK$36,25,M164)+(INDEX('ST Forecast'!$E$2:$RK$36,29,M164)),"")</f>
        <v>58815.700349507519</v>
      </c>
      <c r="AS164" s="44" cm="1">
        <f t="array" ref="AS164">IFERROR(INDEX('ST Forecast'!$E$2:$RK$36,26,M164)+INDEX('ST Forecast'!$E$2:$RK$36,30,M164),"")</f>
        <v>54712.46508004822</v>
      </c>
      <c r="AT164" s="44" cm="1">
        <f t="array" ref="AT164">IFERROR(INDEX('ST Forecast'!$E$2:$RK$36,27,M164)+INDEX('ST Forecast'!$E$2:$RK$36,31,M164),"")</f>
        <v>4834.5464343147987</v>
      </c>
      <c r="AU164" s="44" cm="1">
        <f t="array" ref="AU164">IFERROR(INDEX('ST Forecast'!$E$2:$RK$36,28,M164),"")</f>
        <v>6605.2881361295404</v>
      </c>
      <c r="AV164" s="44" cm="1">
        <f t="array" ref="AV164">IFERROR(INDEX('ST Forecast'!$E$2:$RK$36,29,M164),"")</f>
        <v>0</v>
      </c>
      <c r="AW164" s="44">
        <f>DB[[#This Row],[Inbound FC]]-DB[[#This Row],[Inbound Act - Ultrafresh2]]</f>
        <v>124968.00000000009</v>
      </c>
      <c r="AX164" s="178" t="e">
        <f>#REF!</f>
        <v>#REF!</v>
      </c>
      <c r="AY164" s="178" t="e">
        <f>#REF!</f>
        <v>#REF!</v>
      </c>
      <c r="AZ164" s="178" t="e">
        <f>#REF!</f>
        <v>#REF!</v>
      </c>
      <c r="BA164" s="178">
        <f>MONTH(DB[[#This Row],[Datum]])</f>
        <v>6</v>
      </c>
    </row>
    <row r="165" spans="1:53" x14ac:dyDescent="0.3">
      <c r="A165" s="44">
        <f t="shared" si="57"/>
        <v>23</v>
      </c>
      <c r="B165" t="str">
        <f t="shared" si="58"/>
        <v>Wk 23</v>
      </c>
      <c r="C165" t="s">
        <v>119</v>
      </c>
      <c r="D165" s="313">
        <v>44724</v>
      </c>
      <c r="E165" s="44">
        <f>DB[[#This Row],[Sales-FC-Orders-Collect]]+DB[[#This Row],[Sales-FC-Orders-HD]]</f>
        <v>100</v>
      </c>
      <c r="F165" s="402" cm="1">
        <f t="array" ref="F165">INDEX('LT Collect Forecast'!$K$1:$Q$55,MATCH(B165,'LT Collect Forecast'!$A:$A,0)+1,MATCH(C165,'LT Collect Forecast'!$K$2:$Q$2,0))</f>
        <v>0</v>
      </c>
      <c r="G165" s="44" cm="1">
        <f t="array" ref="G165">INDEX('LT HD Forecast'!$K$1:$Q$55,MATCH(B165,'LT HD Forecast'!$A:$A,0)+1,MATCH(C165,'LT HD Forecast'!$K$2:$Q$2,0))</f>
        <v>100</v>
      </c>
      <c r="H165" s="44" cm="1">
        <f t="array" ref="H165">IFERROR(INDEX('ST Forecast'!$E$2:$RK$36,6,M165),"")</f>
        <v>0</v>
      </c>
      <c r="I165" s="44" cm="1">
        <f t="array" ref="I165">IFERROR(INDEX('ST Forecast'!$E$2:$RK$36,7,M165),"")</f>
        <v>52.404861886218562</v>
      </c>
      <c r="J165" s="44">
        <f>SUM(DB[[#This Row],[Sales-FC-Picks-Collect]:[Sales-FC-Picks-HD]])</f>
        <v>5240.4861886218559</v>
      </c>
      <c r="K165" s="44">
        <f t="shared" si="53"/>
        <v>0</v>
      </c>
      <c r="L165" s="44">
        <f t="shared" si="54"/>
        <v>5240.4861886218559</v>
      </c>
      <c r="M165" s="403">
        <f>IFERROR(IF(B165=B164,M164+1,MATCH(B165,'ST Forecast'!$E$2:$RK$2,0)+1),"")</f>
        <v>184</v>
      </c>
      <c r="N165">
        <f>SUM(DB[[#This Row],[Ops-FC-Orders-Collect]:[Ops-FC-Orders-HD]])</f>
        <v>100</v>
      </c>
      <c r="O165" s="44" cm="1">
        <f t="array" ref="O165">IFERROR(INDEX('ST Forecast'!$E$2:$RK$36,13,M165),"")</f>
        <v>0</v>
      </c>
      <c r="P165" s="44">
        <f t="shared" si="59"/>
        <v>100</v>
      </c>
      <c r="Q165" s="44" cm="1">
        <f t="array" ref="Q165">IFERROR(INDEX('ST Forecast'!$E$2:$RK$36,14,M165),"")</f>
        <v>100</v>
      </c>
      <c r="R165" s="44" cm="1">
        <f t="array" ref="R165">IFERROR(INDEX('ST Forecast'!$E$2:$RK$36,15,M165),"")</f>
        <v>0</v>
      </c>
      <c r="S165" s="312">
        <f>SUM(DB[[#This Row],[Ops-FC-Picks-Collect]:[Ops-FC-Picks-HD]])</f>
        <v>5135.6764648494191</v>
      </c>
      <c r="T165" s="44">
        <f t="shared" si="60"/>
        <v>0</v>
      </c>
      <c r="U165" s="44">
        <f t="shared" si="61"/>
        <v>5135.6764648494191</v>
      </c>
      <c r="V165" s="44">
        <f t="shared" si="62"/>
        <v>5135.6764648494191</v>
      </c>
      <c r="W165" s="404">
        <f t="shared" si="63"/>
        <v>0</v>
      </c>
      <c r="X165" s="44">
        <f>SUM(DB[[#This Row],[Capped-Orders-Collect]:[Capped-Orders-HD]])</f>
        <v>90</v>
      </c>
      <c r="Y165">
        <f>INDEX('Operations Forecast'!$A$2:$BGY$47,3,MATCH(DB!D165,'Operations Forecast'!$A$2:$BGY$2))</f>
        <v>0</v>
      </c>
      <c r="Z165">
        <f t="shared" si="64"/>
        <v>90</v>
      </c>
      <c r="AA165">
        <f>INDEX('Operations Forecast'!$A$2:$BGY$47,10,MATCH(DB!D165,'Operations Forecast'!$A$2:$BGY$2))</f>
        <v>90</v>
      </c>
      <c r="AB165">
        <f>INDEX('Operations Forecast'!$A$2:$BGY$47,21,MATCH(DB!D165,'Operations Forecast'!$A$2:$BGY$2))</f>
        <v>0</v>
      </c>
      <c r="AC165" s="312">
        <f>SUM(DB[[#This Row],[Act-Orders-Collect]:[Act-Orders-HD]])</f>
        <v>100</v>
      </c>
      <c r="AD165" s="858">
        <f>IFERROR(INDEX('Operations Forecast_new'!$7:$7,MATCH(DB[[#This Row],[Datum]],'Operations Forecast_new'!$2:$2,0)),0)</f>
        <v>0</v>
      </c>
      <c r="AE165" s="312">
        <f t="shared" si="65"/>
        <v>100</v>
      </c>
      <c r="AF165" s="858">
        <f>IFERROR(INDEX('Operations Forecast_new'!$13:$13,MATCH(DB[[#This Row],[Datum]],'Operations Forecast_new'!$2:$2,0)),0)</f>
        <v>100</v>
      </c>
      <c r="AG165" s="858">
        <f>IFERROR(INDEX('Operations Forecast_new'!$19:$19,MATCH(DB[[#This Row],[Datum]],'Operations Forecast_new'!$2:$2,0)),0)</f>
        <v>0</v>
      </c>
      <c r="AH165" s="312">
        <f t="shared" si="55"/>
        <v>5732.1</v>
      </c>
      <c r="AI165" s="858">
        <f>IFERROR(INDEX('Operations Forecast_new'!$9:$9,MATCH(DB[[#This Row],[Datum]],'Operations Forecast_new'!$2:$2,0)),0)</f>
        <v>0</v>
      </c>
      <c r="AJ165" s="312">
        <f t="shared" si="66"/>
        <v>5732.1</v>
      </c>
      <c r="AK165" s="858">
        <f>IFERROR(INDEX('Operations Forecast_new'!$15:$15,MATCH(DB[[#This Row],[Datum]],'Operations Forecast_new'!$2:$2,0)),0)</f>
        <v>5732.1</v>
      </c>
      <c r="AL165" s="858">
        <f>IFERROR(INDEX('Operations Forecast_new'!$21:$21,MATCH(DB[[#This Row],[Datum]],'Operations Forecast_new'!$2:$2,0)),0)</f>
        <v>0</v>
      </c>
      <c r="AM165" s="178">
        <f>IFERROR(INDEX('Operations Forecast_new'!$8:$8,MATCH(DB[[#This Row],[Datum]],'Operations Forecast_new'!$2:$2,0)),0)</f>
        <v>0</v>
      </c>
      <c r="AN165" s="859">
        <f>IFERROR(INDEX('Operations Forecast_new'!$20:$20,MATCH(DB[[#This Row],[Datum]],'Operations Forecast_new'!$2:$2,0)),0)</f>
        <v>52.404861886218562</v>
      </c>
      <c r="AO165" s="44" t="str">
        <f t="shared" si="67"/>
        <v>-</v>
      </c>
      <c r="AP165" s="404">
        <f t="shared" si="68"/>
        <v>57.321000000000005</v>
      </c>
      <c r="AQ165" s="44">
        <f t="shared" si="56"/>
        <v>0</v>
      </c>
      <c r="AR165" s="44" cm="1">
        <f t="array" ref="AR165">IFERROR(INDEX('ST Forecast'!$E$2:$RK$36,25,M165)+(INDEX('ST Forecast'!$E$2:$RK$36,29,M165)),"")</f>
        <v>0</v>
      </c>
      <c r="AS165" s="44" cm="1">
        <f t="array" ref="AS165">IFERROR(INDEX('ST Forecast'!$E$2:$RK$36,26,M165)+INDEX('ST Forecast'!$E$2:$RK$36,30,M165),"")</f>
        <v>0</v>
      </c>
      <c r="AT165" s="44" cm="1">
        <f t="array" ref="AT165">IFERROR(INDEX('ST Forecast'!$E$2:$RK$36,27,M165)+INDEX('ST Forecast'!$E$2:$RK$36,31,M165),"")</f>
        <v>0</v>
      </c>
      <c r="AU165" s="44" cm="1">
        <f t="array" ref="AU165">IFERROR(INDEX('ST Forecast'!$E$2:$RK$36,28,M165),"")</f>
        <v>0</v>
      </c>
      <c r="AV165" s="44" cm="1">
        <f t="array" ref="AV165">IFERROR(INDEX('ST Forecast'!$E$2:$RK$36,29,M165),"")</f>
        <v>0</v>
      </c>
      <c r="AW165" s="44">
        <f>DB[[#This Row],[Inbound FC]]-DB[[#This Row],[Inbound Act - Ultrafresh2]]</f>
        <v>0</v>
      </c>
      <c r="AX165" s="178" t="e">
        <f>#REF!</f>
        <v>#REF!</v>
      </c>
      <c r="AY165" s="178" t="e">
        <f>#REF!</f>
        <v>#REF!</v>
      </c>
      <c r="AZ165" s="178" t="e">
        <f>#REF!</f>
        <v>#REF!</v>
      </c>
      <c r="BA165" s="178">
        <f>MONTH(DB[[#This Row],[Datum]])</f>
        <v>6</v>
      </c>
    </row>
    <row r="166" spans="1:53" x14ac:dyDescent="0.3">
      <c r="A166" s="44">
        <f t="shared" si="57"/>
        <v>24</v>
      </c>
      <c r="B166" t="str">
        <f t="shared" si="58"/>
        <v>Wk 24</v>
      </c>
      <c r="C166" t="s">
        <v>113</v>
      </c>
      <c r="D166" s="313">
        <v>44725</v>
      </c>
      <c r="E166" s="44">
        <f>DB[[#This Row],[Sales-FC-Orders-Collect]]+DB[[#This Row],[Sales-FC-Orders-HD]]</f>
        <v>2400</v>
      </c>
      <c r="F166" s="402">
        <f>INDEX('LT Collect Forecast'!$K$1:$Q$55,MATCH(B166,'LT Collect Forecast'!$A:$A,0),MATCH(C166,'LT Collect Forecast'!$K$2:$Q$2,0))</f>
        <v>750</v>
      </c>
      <c r="G166" s="44">
        <f>INDEX('LT HD Forecast'!$K$1:$Q$55,MATCH(B166,'LT HD Forecast'!$A:$A,0),MATCH(C166,'LT HD Forecast'!$K$2:$Q$2,0))</f>
        <v>1650</v>
      </c>
      <c r="H166" s="44" cm="1">
        <f t="array" ref="H166">IFERROR(INDEX('ST Forecast'!$E$2:$RK$36,6,M166),"")</f>
        <v>46.968830000977356</v>
      </c>
      <c r="I166" s="44" cm="1">
        <f t="array" ref="I166">IFERROR(INDEX('ST Forecast'!$E$2:$RK$36,7,M166),"")</f>
        <v>50.786553675198142</v>
      </c>
      <c r="J166" s="44">
        <f>SUM(DB[[#This Row],[Sales-FC-Picks-Collect]:[Sales-FC-Picks-HD]])</f>
        <v>119024.43606480994</v>
      </c>
      <c r="K166" s="44">
        <f t="shared" si="53"/>
        <v>35226.622500733014</v>
      </c>
      <c r="L166" s="44">
        <f t="shared" si="54"/>
        <v>83797.813564076932</v>
      </c>
      <c r="M166" s="403">
        <f>IFERROR(IF(B166=B165,M165+1,MATCH(B166,'ST Forecast'!$E$2:$RK$2,0)+1),"")</f>
        <v>186</v>
      </c>
      <c r="N166">
        <f>SUM(DB[[#This Row],[Ops-FC-Orders-Collect]:[Ops-FC-Orders-HD]])</f>
        <v>2400</v>
      </c>
      <c r="O166" s="44" cm="1">
        <f t="array" ref="O166">IFERROR(INDEX('ST Forecast'!$E$2:$RK$36,13,M166),"")</f>
        <v>750</v>
      </c>
      <c r="P166" s="44">
        <f t="shared" si="59"/>
        <v>1650</v>
      </c>
      <c r="Q166" s="44" cm="1">
        <f t="array" ref="Q166">IFERROR(INDEX('ST Forecast'!$E$2:$RK$36,14,M166),"")</f>
        <v>750</v>
      </c>
      <c r="R166" s="44" cm="1">
        <f t="array" ref="R166">IFERROR(INDEX('ST Forecast'!$E$2:$RK$36,15,M166),"")</f>
        <v>900</v>
      </c>
      <c r="S166" s="312">
        <f>SUM(DB[[#This Row],[Ops-FC-Picks-Collect]:[Ops-FC-Picks-HD]])</f>
        <v>116643.94734351375</v>
      </c>
      <c r="T166" s="44">
        <f t="shared" si="60"/>
        <v>34522.090050718354</v>
      </c>
      <c r="U166" s="44">
        <f t="shared" si="61"/>
        <v>82121.857292795394</v>
      </c>
      <c r="V166" s="44">
        <f t="shared" si="62"/>
        <v>37328.116951270633</v>
      </c>
      <c r="W166" s="404">
        <f t="shared" si="63"/>
        <v>44793.740341524761</v>
      </c>
      <c r="X166" s="44">
        <f>SUM(DB[[#This Row],[Capped-Orders-Collect]:[Capped-Orders-HD]])</f>
        <v>90</v>
      </c>
      <c r="Y166">
        <f>INDEX('Operations Forecast'!$A$2:$BGY$47,3,MATCH(DB!D166,'Operations Forecast'!$A$2:$BGY$2))</f>
        <v>0</v>
      </c>
      <c r="Z166">
        <f t="shared" si="64"/>
        <v>90</v>
      </c>
      <c r="AA166">
        <f>INDEX('Operations Forecast'!$A$2:$BGY$47,10,MATCH(DB!D166,'Operations Forecast'!$A$2:$BGY$2))</f>
        <v>90</v>
      </c>
      <c r="AB166">
        <f>INDEX('Operations Forecast'!$A$2:$BGY$47,21,MATCH(DB!D166,'Operations Forecast'!$A$2:$BGY$2))</f>
        <v>0</v>
      </c>
      <c r="AC166" s="312">
        <f>SUM(DB[[#This Row],[Act-Orders-Collect]:[Act-Orders-HD]])</f>
        <v>2358</v>
      </c>
      <c r="AD166" s="858">
        <f>IFERROR(INDEX('Operations Forecast_new'!$7:$7,MATCH(DB[[#This Row],[Datum]],'Operations Forecast_new'!$2:$2,0)),0)</f>
        <v>683</v>
      </c>
      <c r="AE166" s="312">
        <f t="shared" si="65"/>
        <v>1675</v>
      </c>
      <c r="AF166" s="858">
        <f>IFERROR(INDEX('Operations Forecast_new'!$13:$13,MATCH(DB[[#This Row],[Datum]],'Operations Forecast_new'!$2:$2,0)),0)</f>
        <v>778</v>
      </c>
      <c r="AG166" s="858">
        <f>IFERROR(INDEX('Operations Forecast_new'!$19:$19,MATCH(DB[[#This Row],[Datum]],'Operations Forecast_new'!$2:$2,0)),0)</f>
        <v>897</v>
      </c>
      <c r="AH166" s="312">
        <f t="shared" si="55"/>
        <v>115301.04300000001</v>
      </c>
      <c r="AI166" s="858">
        <f>IFERROR(INDEX('Operations Forecast_new'!$9:$9,MATCH(DB[[#This Row],[Datum]],'Operations Forecast_new'!$2:$2,0)),0)</f>
        <v>32388.543000000001</v>
      </c>
      <c r="AJ166" s="312">
        <f t="shared" si="66"/>
        <v>82912.5</v>
      </c>
      <c r="AK166" s="858">
        <f>IFERROR(INDEX('Operations Forecast_new'!$15:$15,MATCH(DB[[#This Row],[Datum]],'Operations Forecast_new'!$2:$2,0)),0)</f>
        <v>38511</v>
      </c>
      <c r="AL166" s="858">
        <f>IFERROR(INDEX('Operations Forecast_new'!$21:$21,MATCH(DB[[#This Row],[Datum]],'Operations Forecast_new'!$2:$2,0)),0)</f>
        <v>44401.5</v>
      </c>
      <c r="AM166" s="178">
        <f>IFERROR(INDEX('Operations Forecast_new'!$8:$8,MATCH(DB[[#This Row],[Datum]],'Operations Forecast_new'!$2:$2,0)),0)</f>
        <v>47.9</v>
      </c>
      <c r="AN166" s="859">
        <f>IFERROR(INDEX('Operations Forecast_new'!$20:$20,MATCH(DB[[#This Row],[Datum]],'Operations Forecast_new'!$2:$2,0)),0)</f>
        <v>50</v>
      </c>
      <c r="AO166" s="44">
        <f t="shared" si="67"/>
        <v>47.420999999999999</v>
      </c>
      <c r="AP166" s="404">
        <f t="shared" si="68"/>
        <v>49.5</v>
      </c>
      <c r="AQ166" s="44">
        <f t="shared" si="56"/>
        <v>232805.00000000006</v>
      </c>
      <c r="AR166" s="44" cm="1">
        <f t="array" ref="AR166">IFERROR(INDEX('ST Forecast'!$E$2:$RK$36,25,M166)+(INDEX('ST Forecast'!$E$2:$RK$36,29,M166)),"")</f>
        <v>96667.372564468984</v>
      </c>
      <c r="AS166" s="44" cm="1">
        <f t="array" ref="AS166">IFERROR(INDEX('ST Forecast'!$E$2:$RK$36,26,M166)+INDEX('ST Forecast'!$E$2:$RK$36,30,M166),"")</f>
        <v>60861.411984219274</v>
      </c>
      <c r="AT166" s="44" cm="1">
        <f t="array" ref="AT166">IFERROR(INDEX('ST Forecast'!$E$2:$RK$36,27,M166)+INDEX('ST Forecast'!$E$2:$RK$36,31,M166),"")</f>
        <v>66407.450225968714</v>
      </c>
      <c r="AU166" s="44" cm="1">
        <f t="array" ref="AU166">IFERROR(INDEX('ST Forecast'!$E$2:$RK$36,28,M166),"")</f>
        <v>8868.765225343046</v>
      </c>
      <c r="AV166" s="44" cm="1">
        <f t="array" ref="AV166">IFERROR(INDEX('ST Forecast'!$E$2:$RK$36,29,M166),"")</f>
        <v>0</v>
      </c>
      <c r="AW166" s="44">
        <f>DB[[#This Row],[Inbound FC]]-DB[[#This Row],[Inbound Act - Ultrafresh2]]</f>
        <v>232805.00000000006</v>
      </c>
      <c r="AX166" s="178" t="e">
        <f>#REF!</f>
        <v>#REF!</v>
      </c>
      <c r="AY166" s="178" t="e">
        <f>#REF!</f>
        <v>#REF!</v>
      </c>
      <c r="AZ166" s="178" t="e">
        <f>#REF!</f>
        <v>#REF!</v>
      </c>
      <c r="BA166" s="178">
        <f>MONTH(DB[[#This Row],[Datum]])</f>
        <v>6</v>
      </c>
    </row>
    <row r="167" spans="1:53" x14ac:dyDescent="0.3">
      <c r="A167" s="44">
        <f t="shared" si="57"/>
        <v>24</v>
      </c>
      <c r="B167" t="str">
        <f t="shared" si="58"/>
        <v>Wk 24</v>
      </c>
      <c r="C167" t="s">
        <v>114</v>
      </c>
      <c r="D167" s="313">
        <v>44726</v>
      </c>
      <c r="E167" s="44">
        <f>DB[[#This Row],[Sales-FC-Orders-Collect]]+DB[[#This Row],[Sales-FC-Orders-HD]]</f>
        <v>2600</v>
      </c>
      <c r="F167" s="402">
        <f>INDEX('LT Collect Forecast'!$K$1:$Q$55,MATCH(B167,'LT Collect Forecast'!$A:$A,0),MATCH(C167,'LT Collect Forecast'!$K$2:$Q$2,0))</f>
        <v>650</v>
      </c>
      <c r="G167" s="44">
        <f>INDEX('LT HD Forecast'!$K$1:$Q$55,MATCH(B167,'LT HD Forecast'!$A:$A,0),MATCH(C167,'LT HD Forecast'!$K$2:$Q$2,0))</f>
        <v>1950</v>
      </c>
      <c r="H167" s="44" cm="1">
        <f t="array" ref="H167">IFERROR(INDEX('ST Forecast'!$E$2:$RK$36,6,M167),"")</f>
        <v>45.546059506614817</v>
      </c>
      <c r="I167" s="44" cm="1">
        <f t="array" ref="I167">IFERROR(INDEX('ST Forecast'!$E$2:$RK$36,7,M167),"")</f>
        <v>49.202504720972172</v>
      </c>
      <c r="J167" s="44">
        <f>SUM(DB[[#This Row],[Sales-FC-Picks-Collect]:[Sales-FC-Picks-HD]])</f>
        <v>125549.82288519538</v>
      </c>
      <c r="K167" s="44">
        <f t="shared" si="53"/>
        <v>29604.93867929963</v>
      </c>
      <c r="L167" s="44">
        <f t="shared" si="54"/>
        <v>95944.884205895738</v>
      </c>
      <c r="M167" s="403">
        <f>IFERROR(IF(B167=B166,M166+1,MATCH(B167,'ST Forecast'!$E$2:$RK$2,0)+1),"")</f>
        <v>187</v>
      </c>
      <c r="N167">
        <f>SUM(DB[[#This Row],[Ops-FC-Orders-Collect]:[Ops-FC-Orders-HD]])</f>
        <v>2600</v>
      </c>
      <c r="O167" s="44" cm="1">
        <f t="array" ref="O167">IFERROR(INDEX('ST Forecast'!$E$2:$RK$36,13,M167),"")</f>
        <v>650</v>
      </c>
      <c r="P167" s="44">
        <f t="shared" si="59"/>
        <v>1950</v>
      </c>
      <c r="Q167" s="44" cm="1">
        <f t="array" ref="Q167">IFERROR(INDEX('ST Forecast'!$E$2:$RK$36,14,M167),"")</f>
        <v>1000</v>
      </c>
      <c r="R167" s="44" cm="1">
        <f t="array" ref="R167">IFERROR(INDEX('ST Forecast'!$E$2:$RK$36,15,M167),"")</f>
        <v>950</v>
      </c>
      <c r="S167" s="312">
        <f>SUM(DB[[#This Row],[Ops-FC-Picks-Collect]:[Ops-FC-Picks-HD]])</f>
        <v>123038.82642749145</v>
      </c>
      <c r="T167" s="44">
        <f t="shared" si="60"/>
        <v>29012.839905713638</v>
      </c>
      <c r="U167" s="44">
        <f t="shared" si="61"/>
        <v>94025.986521777813</v>
      </c>
      <c r="V167" s="44">
        <f t="shared" si="62"/>
        <v>48218.454626552731</v>
      </c>
      <c r="W167" s="404">
        <f t="shared" si="63"/>
        <v>45807.531895225089</v>
      </c>
      <c r="X167" s="44">
        <f>SUM(DB[[#This Row],[Capped-Orders-Collect]:[Capped-Orders-HD]])</f>
        <v>90</v>
      </c>
      <c r="Y167">
        <f>INDEX('Operations Forecast'!$A$2:$BGY$47,3,MATCH(DB!D167,'Operations Forecast'!$A$2:$BGY$2))</f>
        <v>0</v>
      </c>
      <c r="Z167">
        <f t="shared" si="64"/>
        <v>90</v>
      </c>
      <c r="AA167">
        <f>INDEX('Operations Forecast'!$A$2:$BGY$47,10,MATCH(DB!D167,'Operations Forecast'!$A$2:$BGY$2))</f>
        <v>90</v>
      </c>
      <c r="AB167">
        <f>INDEX('Operations Forecast'!$A$2:$BGY$47,21,MATCH(DB!D167,'Operations Forecast'!$A$2:$BGY$2))</f>
        <v>0</v>
      </c>
      <c r="AC167" s="312">
        <f>SUM(DB[[#This Row],[Act-Orders-Collect]:[Act-Orders-HD]])</f>
        <v>2555</v>
      </c>
      <c r="AD167" s="858">
        <f>IFERROR(INDEX('Operations Forecast_new'!$7:$7,MATCH(DB[[#This Row],[Datum]],'Operations Forecast_new'!$2:$2,0)),0)</f>
        <v>575</v>
      </c>
      <c r="AE167" s="312">
        <f t="shared" si="65"/>
        <v>1980</v>
      </c>
      <c r="AF167" s="858">
        <f>IFERROR(INDEX('Operations Forecast_new'!$13:$13,MATCH(DB[[#This Row],[Datum]],'Operations Forecast_new'!$2:$2,0)),0)</f>
        <v>975</v>
      </c>
      <c r="AG167" s="858">
        <f>IFERROR(INDEX('Operations Forecast_new'!$19:$19,MATCH(DB[[#This Row],[Datum]],'Operations Forecast_new'!$2:$2,0)),0)</f>
        <v>1005</v>
      </c>
      <c r="AH167" s="312">
        <f t="shared" si="55"/>
        <v>122968.89</v>
      </c>
      <c r="AI167" s="858">
        <f>IFERROR(INDEX('Operations Forecast_new'!$9:$9,MATCH(DB[[#This Row],[Datum]],'Operations Forecast_new'!$2:$2,0)),0)</f>
        <v>26527.05</v>
      </c>
      <c r="AJ167" s="312">
        <f t="shared" si="66"/>
        <v>96441.84</v>
      </c>
      <c r="AK167" s="858">
        <f>IFERROR(INDEX('Operations Forecast_new'!$15:$15,MATCH(DB[[#This Row],[Datum]],'Operations Forecast_new'!$2:$2,0)),0)</f>
        <v>47490.3</v>
      </c>
      <c r="AL167" s="858">
        <f>IFERROR(INDEX('Operations Forecast_new'!$21:$21,MATCH(DB[[#This Row],[Datum]],'Operations Forecast_new'!$2:$2,0)),0)</f>
        <v>48951.54</v>
      </c>
      <c r="AM167" s="178">
        <f>IFERROR(INDEX('Operations Forecast_new'!$8:$8,MATCH(DB[[#This Row],[Datum]],'Operations Forecast_new'!$2:$2,0)),0)</f>
        <v>46.6</v>
      </c>
      <c r="AN167" s="859">
        <f>IFERROR(INDEX('Operations Forecast_new'!$20:$20,MATCH(DB[[#This Row],[Datum]],'Operations Forecast_new'!$2:$2,0)),0)</f>
        <v>49.2</v>
      </c>
      <c r="AO167" s="44">
        <f t="shared" si="67"/>
        <v>46.134</v>
      </c>
      <c r="AP167" s="404">
        <f t="shared" si="68"/>
        <v>48.707999999999998</v>
      </c>
      <c r="AQ167" s="44">
        <f t="shared" si="56"/>
        <v>144585.00000000009</v>
      </c>
      <c r="AR167" s="44" cm="1">
        <f t="array" ref="AR167">IFERROR(INDEX('ST Forecast'!$E$2:$RK$36,25,M167)+(INDEX('ST Forecast'!$E$2:$RK$36,29,M167)),"")</f>
        <v>66891.684661621737</v>
      </c>
      <c r="AS167" s="44" cm="1">
        <f t="array" ref="AS167">IFERROR(INDEX('ST Forecast'!$E$2:$RK$36,26,M167)+INDEX('ST Forecast'!$E$2:$RK$36,30,M167),"")</f>
        <v>62790.780891633032</v>
      </c>
      <c r="AT167" s="44" cm="1">
        <f t="array" ref="AT167">IFERROR(INDEX('ST Forecast'!$E$2:$RK$36,27,M167)+INDEX('ST Forecast'!$E$2:$RK$36,31,M167),"")</f>
        <v>6316.3800941473446</v>
      </c>
      <c r="AU167" s="44" cm="1">
        <f t="array" ref="AU167">IFERROR(INDEX('ST Forecast'!$E$2:$RK$36,28,M167),"")</f>
        <v>8586.1543525979723</v>
      </c>
      <c r="AV167" s="44" cm="1">
        <f t="array" ref="AV167">IFERROR(INDEX('ST Forecast'!$E$2:$RK$36,29,M167),"")</f>
        <v>0</v>
      </c>
      <c r="AW167" s="44">
        <f>DB[[#This Row],[Inbound FC]]-DB[[#This Row],[Inbound Act - Ultrafresh2]]</f>
        <v>144585.00000000009</v>
      </c>
      <c r="AX167" s="178" t="e">
        <f>#REF!</f>
        <v>#REF!</v>
      </c>
      <c r="AY167" s="178" t="e">
        <f>#REF!</f>
        <v>#REF!</v>
      </c>
      <c r="AZ167" s="178" t="e">
        <f>#REF!</f>
        <v>#REF!</v>
      </c>
      <c r="BA167" s="178">
        <f>MONTH(DB[[#This Row],[Datum]])</f>
        <v>6</v>
      </c>
    </row>
    <row r="168" spans="1:53" x14ac:dyDescent="0.3">
      <c r="A168" s="44">
        <f t="shared" si="57"/>
        <v>24</v>
      </c>
      <c r="B168" t="str">
        <f t="shared" si="58"/>
        <v>Wk 24</v>
      </c>
      <c r="C168" t="s">
        <v>115</v>
      </c>
      <c r="D168" s="313">
        <v>44727</v>
      </c>
      <c r="E168" s="44">
        <f>DB[[#This Row],[Sales-FC-Orders-Collect]]+DB[[#This Row],[Sales-FC-Orders-HD]]</f>
        <v>2600</v>
      </c>
      <c r="F168" s="402">
        <f>INDEX('LT Collect Forecast'!$K$1:$Q$55,MATCH(B168,'LT Collect Forecast'!$A:$A,0),MATCH(C168,'LT Collect Forecast'!$K$2:$Q$2,0))</f>
        <v>650</v>
      </c>
      <c r="G168" s="44">
        <f>INDEX('LT HD Forecast'!$K$1:$Q$55,MATCH(B168,'LT HD Forecast'!$A:$A,0),MATCH(C168,'LT HD Forecast'!$K$2:$Q$2,0))</f>
        <v>1950</v>
      </c>
      <c r="H168" s="44" cm="1">
        <f t="array" ref="H168">IFERROR(INDEX('ST Forecast'!$E$2:$RK$36,6,M168),"")</f>
        <v>45.691574043389409</v>
      </c>
      <c r="I168" s="44" cm="1">
        <f t="array" ref="I168">IFERROR(INDEX('ST Forecast'!$E$2:$RK$36,7,M168),"")</f>
        <v>50.809852194138635</v>
      </c>
      <c r="J168" s="44">
        <f>SUM(DB[[#This Row],[Sales-FC-Picks-Collect]:[Sales-FC-Picks-HD]])</f>
        <v>128778.73490677346</v>
      </c>
      <c r="K168" s="44">
        <f t="shared" si="53"/>
        <v>29699.523128203116</v>
      </c>
      <c r="L168" s="44">
        <f t="shared" si="54"/>
        <v>99079.211778570345</v>
      </c>
      <c r="M168" s="403">
        <f>IFERROR(IF(B168=B167,M167+1,MATCH(B168,'ST Forecast'!$E$2:$RK$2,0)+1),"")</f>
        <v>188</v>
      </c>
      <c r="N168">
        <f>SUM(DB[[#This Row],[Ops-FC-Orders-Collect]:[Ops-FC-Orders-HD]])</f>
        <v>2600</v>
      </c>
      <c r="O168" s="44" cm="1">
        <f t="array" ref="O168">IFERROR(INDEX('ST Forecast'!$E$2:$RK$36,13,M168),"")</f>
        <v>650</v>
      </c>
      <c r="P168" s="44">
        <f t="shared" si="59"/>
        <v>1950</v>
      </c>
      <c r="Q168" s="44" cm="1">
        <f t="array" ref="Q168">IFERROR(INDEX('ST Forecast'!$E$2:$RK$36,14,M168),"")</f>
        <v>1000</v>
      </c>
      <c r="R168" s="44" cm="1">
        <f t="array" ref="R168">IFERROR(INDEX('ST Forecast'!$E$2:$RK$36,15,M168),"")</f>
        <v>950</v>
      </c>
      <c r="S168" s="312">
        <f>SUM(DB[[#This Row],[Ops-FC-Picks-Collect]:[Ops-FC-Picks-HD]])</f>
        <v>126203.16020863799</v>
      </c>
      <c r="T168" s="44">
        <f t="shared" si="60"/>
        <v>29105.532665639053</v>
      </c>
      <c r="U168" s="44">
        <f t="shared" si="61"/>
        <v>97097.627542998933</v>
      </c>
      <c r="V168" s="44">
        <f t="shared" si="62"/>
        <v>49793.655150255865</v>
      </c>
      <c r="W168" s="404">
        <f t="shared" si="63"/>
        <v>47303.972392743068</v>
      </c>
      <c r="X168" s="44">
        <f>SUM(DB[[#This Row],[Capped-Orders-Collect]:[Capped-Orders-HD]])</f>
        <v>90</v>
      </c>
      <c r="Y168">
        <f>INDEX('Operations Forecast'!$A$2:$BGY$47,3,MATCH(DB!D168,'Operations Forecast'!$A$2:$BGY$2))</f>
        <v>0</v>
      </c>
      <c r="Z168">
        <f t="shared" si="64"/>
        <v>90</v>
      </c>
      <c r="AA168">
        <f>INDEX('Operations Forecast'!$A$2:$BGY$47,10,MATCH(DB!D168,'Operations Forecast'!$A$2:$BGY$2))</f>
        <v>90</v>
      </c>
      <c r="AB168">
        <f>INDEX('Operations Forecast'!$A$2:$BGY$47,21,MATCH(DB!D168,'Operations Forecast'!$A$2:$BGY$2))</f>
        <v>0</v>
      </c>
      <c r="AC168" s="312">
        <f>SUM(DB[[#This Row],[Act-Orders-Collect]:[Act-Orders-HD]])</f>
        <v>2399</v>
      </c>
      <c r="AD168" s="858">
        <f>IFERROR(INDEX('Operations Forecast_new'!$7:$7,MATCH(DB[[#This Row],[Datum]],'Operations Forecast_new'!$2:$2,0)),0)</f>
        <v>560</v>
      </c>
      <c r="AE168" s="312">
        <f t="shared" si="65"/>
        <v>1839</v>
      </c>
      <c r="AF168" s="858">
        <f>IFERROR(INDEX('Operations Forecast_new'!$13:$13,MATCH(DB[[#This Row],[Datum]],'Operations Forecast_new'!$2:$2,0)),0)</f>
        <v>911</v>
      </c>
      <c r="AG168" s="858">
        <f>IFERROR(INDEX('Operations Forecast_new'!$19:$19,MATCH(DB[[#This Row],[Datum]],'Operations Forecast_new'!$2:$2,0)),0)</f>
        <v>928</v>
      </c>
      <c r="AH168" s="312">
        <f t="shared" si="55"/>
        <v>116161.25399999999</v>
      </c>
      <c r="AI168" s="858">
        <f>IFERROR(INDEX('Operations Forecast_new'!$9:$9,MATCH(DB[[#This Row],[Datum]],'Operations Forecast_new'!$2:$2,0)),0)</f>
        <v>26223.119999999999</v>
      </c>
      <c r="AJ168" s="312">
        <f t="shared" si="66"/>
        <v>89938.133999999991</v>
      </c>
      <c r="AK168" s="858">
        <f>IFERROR(INDEX('Operations Forecast_new'!$15:$15,MATCH(DB[[#This Row],[Datum]],'Operations Forecast_new'!$2:$2,0)),0)</f>
        <v>44553.366000000002</v>
      </c>
      <c r="AL168" s="858">
        <f>IFERROR(INDEX('Operations Forecast_new'!$21:$21,MATCH(DB[[#This Row],[Datum]],'Operations Forecast_new'!$2:$2,0)),0)</f>
        <v>45384.767999999996</v>
      </c>
      <c r="AM168" s="178">
        <f>IFERROR(INDEX('Operations Forecast_new'!$8:$8,MATCH(DB[[#This Row],[Datum]],'Operations Forecast_new'!$2:$2,0)),0)</f>
        <v>47.3</v>
      </c>
      <c r="AN168" s="859">
        <f>IFERROR(INDEX('Operations Forecast_new'!$20:$20,MATCH(DB[[#This Row],[Datum]],'Operations Forecast_new'!$2:$2,0)),0)</f>
        <v>49.4</v>
      </c>
      <c r="AO168" s="44">
        <f t="shared" si="67"/>
        <v>46.826999999999998</v>
      </c>
      <c r="AP168" s="404">
        <f t="shared" si="68"/>
        <v>48.905999999999992</v>
      </c>
      <c r="AQ168" s="44">
        <f t="shared" si="56"/>
        <v>146306.28340000007</v>
      </c>
      <c r="AR168" s="44" cm="1">
        <f t="array" ref="AR168">IFERROR(INDEX('ST Forecast'!$E$2:$RK$36,25,M168)+(INDEX('ST Forecast'!$E$2:$RK$36,29,M168)),"")</f>
        <v>61393.937213247933</v>
      </c>
      <c r="AS168" s="44" cm="1">
        <f t="array" ref="AS168">IFERROR(INDEX('ST Forecast'!$E$2:$RK$36,26,M168)+INDEX('ST Forecast'!$E$2:$RK$36,30,M168),"")</f>
        <v>60742.972136133067</v>
      </c>
      <c r="AT168" s="44" cm="1">
        <f t="array" ref="AT168">IFERROR(INDEX('ST Forecast'!$E$2:$RK$36,27,M168)+INDEX('ST Forecast'!$E$2:$RK$36,31,M168),"")</f>
        <v>15330.449398632625</v>
      </c>
      <c r="AU168" s="44" cm="1">
        <f t="array" ref="AU168">IFERROR(INDEX('ST Forecast'!$E$2:$RK$36,28,M168),"")</f>
        <v>8838.9246519864591</v>
      </c>
      <c r="AV168" s="44" cm="1">
        <f t="array" ref="AV168">IFERROR(INDEX('ST Forecast'!$E$2:$RK$36,29,M168),"")</f>
        <v>0</v>
      </c>
      <c r="AW168" s="44">
        <f>DB[[#This Row],[Inbound FC]]-DB[[#This Row],[Inbound Act - Ultrafresh2]]</f>
        <v>146306.28340000007</v>
      </c>
      <c r="AX168" s="178" t="e">
        <f>#REF!</f>
        <v>#REF!</v>
      </c>
      <c r="AY168" s="178" t="e">
        <f>#REF!</f>
        <v>#REF!</v>
      </c>
      <c r="AZ168" s="178" t="e">
        <f>#REF!</f>
        <v>#REF!</v>
      </c>
      <c r="BA168" s="178">
        <f>MONTH(DB[[#This Row],[Datum]])</f>
        <v>6</v>
      </c>
    </row>
    <row r="169" spans="1:53" x14ac:dyDescent="0.3">
      <c r="A169" s="44">
        <f t="shared" si="57"/>
        <v>24</v>
      </c>
      <c r="B169" t="str">
        <f t="shared" si="58"/>
        <v>Wk 24</v>
      </c>
      <c r="C169" t="s">
        <v>116</v>
      </c>
      <c r="D169" s="313">
        <v>44728</v>
      </c>
      <c r="E169" s="44">
        <f>DB[[#This Row],[Sales-FC-Orders-Collect]]+DB[[#This Row],[Sales-FC-Orders-HD]]</f>
        <v>2500</v>
      </c>
      <c r="F169" s="402" cm="1">
        <f t="array" ref="F169">INDEX('LT Collect Forecast'!$K$1:$Q$55,MATCH(B169,'LT Collect Forecast'!$A:$A,0)+1,MATCH(C169,'LT Collect Forecast'!$K$2:$Q$2,0))</f>
        <v>600</v>
      </c>
      <c r="G169" s="44" cm="1">
        <f t="array" ref="G169">INDEX('LT HD Forecast'!$K$1:$Q$55,MATCH(B169,'LT HD Forecast'!$A:$A,0)+1,MATCH(C169,'LT HD Forecast'!$K$2:$Q$2,0))</f>
        <v>1900</v>
      </c>
      <c r="H169" s="44" cm="1">
        <f t="array" ref="H169">IFERROR(INDEX('ST Forecast'!$E$2:$RK$36,6,M169),"")</f>
        <v>46.177633595938651</v>
      </c>
      <c r="I169" s="44" cm="1">
        <f t="array" ref="I169">IFERROR(INDEX('ST Forecast'!$E$2:$RK$36,7,M169),"")</f>
        <v>51.370696771054824</v>
      </c>
      <c r="J169" s="44">
        <f>SUM(DB[[#This Row],[Sales-FC-Picks-Collect]:[Sales-FC-Picks-HD]])</f>
        <v>125310.90402256735</v>
      </c>
      <c r="K169" s="44">
        <f t="shared" si="53"/>
        <v>27706.580157563192</v>
      </c>
      <c r="L169" s="44">
        <f t="shared" si="54"/>
        <v>97604.32386500416</v>
      </c>
      <c r="M169" s="403">
        <f>IFERROR(IF(B169=B168,M168+1,MATCH(B169,'ST Forecast'!$E$2:$RK$2,0)+1),"")</f>
        <v>189</v>
      </c>
      <c r="N169">
        <f>SUM(DB[[#This Row],[Ops-FC-Orders-Collect]:[Ops-FC-Orders-HD]])</f>
        <v>2500</v>
      </c>
      <c r="O169" s="44" cm="1">
        <f t="array" ref="O169">IFERROR(INDEX('ST Forecast'!$E$2:$RK$36,13,M169),"")</f>
        <v>600</v>
      </c>
      <c r="P169" s="44">
        <f t="shared" si="59"/>
        <v>1900</v>
      </c>
      <c r="Q169" s="44" cm="1">
        <f t="array" ref="Q169">IFERROR(INDEX('ST Forecast'!$E$2:$RK$36,14,M169),"")</f>
        <v>950</v>
      </c>
      <c r="R169" s="44" cm="1">
        <f t="array" ref="R169">IFERROR(INDEX('ST Forecast'!$E$2:$RK$36,15,M169),"")</f>
        <v>950</v>
      </c>
      <c r="S169" s="312">
        <f>SUM(DB[[#This Row],[Ops-FC-Picks-Collect]:[Ops-FC-Picks-HD]])</f>
        <v>122804.685942116</v>
      </c>
      <c r="T169" s="44">
        <f t="shared" si="60"/>
        <v>27152.448554411927</v>
      </c>
      <c r="U169" s="44">
        <f t="shared" si="61"/>
        <v>95652.237387704081</v>
      </c>
      <c r="V169" s="44">
        <f t="shared" si="62"/>
        <v>47826.11869385204</v>
      </c>
      <c r="W169" s="404">
        <f t="shared" si="63"/>
        <v>47826.11869385204</v>
      </c>
      <c r="X169" s="44">
        <f>SUM(DB[[#This Row],[Capped-Orders-Collect]:[Capped-Orders-HD]])</f>
        <v>90</v>
      </c>
      <c r="Y169">
        <f>INDEX('Operations Forecast'!$A$2:$BGY$47,3,MATCH(DB!D169,'Operations Forecast'!$A$2:$BGY$2))</f>
        <v>0</v>
      </c>
      <c r="Z169">
        <f t="shared" si="64"/>
        <v>90</v>
      </c>
      <c r="AA169">
        <f>INDEX('Operations Forecast'!$A$2:$BGY$47,10,MATCH(DB!D169,'Operations Forecast'!$A$2:$BGY$2))</f>
        <v>90</v>
      </c>
      <c r="AB169">
        <f>INDEX('Operations Forecast'!$A$2:$BGY$47,21,MATCH(DB!D169,'Operations Forecast'!$A$2:$BGY$2))</f>
        <v>0</v>
      </c>
      <c r="AC169" s="312">
        <f>SUM(DB[[#This Row],[Act-Orders-Collect]:[Act-Orders-HD]])</f>
        <v>2473</v>
      </c>
      <c r="AD169" s="858">
        <f>IFERROR(INDEX('Operations Forecast_new'!$7:$7,MATCH(DB[[#This Row],[Datum]],'Operations Forecast_new'!$2:$2,0)),0)</f>
        <v>500</v>
      </c>
      <c r="AE169" s="312">
        <f t="shared" si="65"/>
        <v>1973</v>
      </c>
      <c r="AF169" s="858">
        <f>IFERROR(INDEX('Operations Forecast_new'!$13:$13,MATCH(DB[[#This Row],[Datum]],'Operations Forecast_new'!$2:$2,0)),0)</f>
        <v>954</v>
      </c>
      <c r="AG169" s="858">
        <f>IFERROR(INDEX('Operations Forecast_new'!$19:$19,MATCH(DB[[#This Row],[Datum]],'Operations Forecast_new'!$2:$2,0)),0)</f>
        <v>1019</v>
      </c>
      <c r="AH169" s="312">
        <f t="shared" si="55"/>
        <v>121316.481</v>
      </c>
      <c r="AI169" s="858">
        <f>IFERROR(INDEX('Operations Forecast_new'!$9:$9,MATCH(DB[[#This Row],[Datum]],'Operations Forecast_new'!$2:$2,0)),0)</f>
        <v>23067</v>
      </c>
      <c r="AJ169" s="312">
        <f t="shared" si="66"/>
        <v>98249.481</v>
      </c>
      <c r="AK169" s="858">
        <f>IFERROR(INDEX('Operations Forecast_new'!$15:$15,MATCH(DB[[#This Row],[Datum]],'Operations Forecast_new'!$2:$2,0)),0)</f>
        <v>47506.337999999996</v>
      </c>
      <c r="AL169" s="858">
        <f>IFERROR(INDEX('Operations Forecast_new'!$21:$21,MATCH(DB[[#This Row],[Datum]],'Operations Forecast_new'!$2:$2,0)),0)</f>
        <v>50743.142999999996</v>
      </c>
      <c r="AM169" s="178">
        <f>IFERROR(INDEX('Operations Forecast_new'!$8:$8,MATCH(DB[[#This Row],[Datum]],'Operations Forecast_new'!$2:$2,0)),0)</f>
        <v>46.6</v>
      </c>
      <c r="AN169" s="859">
        <f>IFERROR(INDEX('Operations Forecast_new'!$20:$20,MATCH(DB[[#This Row],[Datum]],'Operations Forecast_new'!$2:$2,0)),0)</f>
        <v>50.3</v>
      </c>
      <c r="AO169" s="44">
        <f t="shared" si="67"/>
        <v>46.134</v>
      </c>
      <c r="AP169" s="404">
        <f t="shared" si="68"/>
        <v>49.796999999999997</v>
      </c>
      <c r="AQ169" s="44">
        <f t="shared" si="56"/>
        <v>140516.00000000006</v>
      </c>
      <c r="AR169" s="44" cm="1">
        <f t="array" ref="AR169">IFERROR(INDEX('ST Forecast'!$E$2:$RK$36,25,M169)+(INDEX('ST Forecast'!$E$2:$RK$36,29,M169)),"")</f>
        <v>57778.462573692756</v>
      </c>
      <c r="AS169" s="44" cm="1">
        <f t="array" ref="AS169">IFERROR(INDEX('ST Forecast'!$E$2:$RK$36,26,M169)+INDEX('ST Forecast'!$E$2:$RK$36,30,M169),"")</f>
        <v>55169.731969708213</v>
      </c>
      <c r="AT169" s="44" cm="1">
        <f t="array" ref="AT169">IFERROR(INDEX('ST Forecast'!$E$2:$RK$36,27,M169)+INDEX('ST Forecast'!$E$2:$RK$36,31,M169),"")</f>
        <v>18446.378279195851</v>
      </c>
      <c r="AU169" s="44" cm="1">
        <f t="array" ref="AU169">IFERROR(INDEX('ST Forecast'!$E$2:$RK$36,28,M169),"")</f>
        <v>9121.4271774032495</v>
      </c>
      <c r="AV169" s="44" cm="1">
        <f t="array" ref="AV169">IFERROR(INDEX('ST Forecast'!$E$2:$RK$36,29,M169),"")</f>
        <v>0</v>
      </c>
      <c r="AW169" s="44">
        <f>DB[[#This Row],[Inbound FC]]-DB[[#This Row],[Inbound Act - Ultrafresh2]]</f>
        <v>140516.00000000006</v>
      </c>
      <c r="AX169" s="178" t="e">
        <f>#REF!</f>
        <v>#REF!</v>
      </c>
      <c r="AY169" s="178" t="e">
        <f>#REF!</f>
        <v>#REF!</v>
      </c>
      <c r="AZ169" s="178" t="e">
        <f>#REF!</f>
        <v>#REF!</v>
      </c>
      <c r="BA169" s="178">
        <f>MONTH(DB[[#This Row],[Datum]])</f>
        <v>6</v>
      </c>
    </row>
    <row r="170" spans="1:53" x14ac:dyDescent="0.3">
      <c r="A170" s="44">
        <f t="shared" si="57"/>
        <v>24</v>
      </c>
      <c r="B170" t="str">
        <f t="shared" si="58"/>
        <v>Wk 24</v>
      </c>
      <c r="C170" t="s">
        <v>117</v>
      </c>
      <c r="D170" s="313">
        <v>44729</v>
      </c>
      <c r="E170" s="44">
        <f>DB[[#This Row],[Sales-FC-Orders-Collect]]+DB[[#This Row],[Sales-FC-Orders-HD]]</f>
        <v>3200</v>
      </c>
      <c r="F170" s="402" cm="1">
        <f t="array" ref="F170">INDEX('LT Collect Forecast'!$K$1:$Q$55,MATCH(B170,'LT Collect Forecast'!$A:$A,0)+1,MATCH(C170,'LT Collect Forecast'!$K$2:$Q$2,0))</f>
        <v>1100</v>
      </c>
      <c r="G170" s="44" cm="1">
        <f t="array" ref="G170">INDEX('LT HD Forecast'!$K$1:$Q$55,MATCH(B170,'LT HD Forecast'!$A:$A,0)+1,MATCH(C170,'LT HD Forecast'!$K$2:$Q$2,0))</f>
        <v>2100</v>
      </c>
      <c r="H170" s="44" cm="1">
        <f t="array" ref="H170">IFERROR(INDEX('ST Forecast'!$E$2:$RK$36,6,M170),"")</f>
        <v>52.371393656822185</v>
      </c>
      <c r="I170" s="44" cm="1">
        <f t="array" ref="I170">IFERROR(INDEX('ST Forecast'!$E$2:$RK$36,7,M170),"")</f>
        <v>52.612669040499576</v>
      </c>
      <c r="J170" s="44">
        <f>SUM(DB[[#This Row],[Sales-FC-Picks-Collect]:[Sales-FC-Picks-HD]])</f>
        <v>168095.13800755353</v>
      </c>
      <c r="K170" s="44">
        <f t="shared" si="53"/>
        <v>57608.533022504402</v>
      </c>
      <c r="L170" s="44">
        <f t="shared" si="54"/>
        <v>110486.60498504911</v>
      </c>
      <c r="M170" s="403">
        <f>IFERROR(IF(B170=B169,M169+1,MATCH(B170,'ST Forecast'!$E$2:$RK$2,0)+1),"")</f>
        <v>190</v>
      </c>
      <c r="N170">
        <f>SUM(DB[[#This Row],[Ops-FC-Orders-Collect]:[Ops-FC-Orders-HD]])</f>
        <v>3200</v>
      </c>
      <c r="O170" s="44" cm="1">
        <f t="array" ref="O170">IFERROR(INDEX('ST Forecast'!$E$2:$RK$36,13,M170),"")</f>
        <v>1100</v>
      </c>
      <c r="P170" s="44">
        <f t="shared" si="59"/>
        <v>2100</v>
      </c>
      <c r="Q170" s="44" cm="1">
        <f t="array" ref="Q170">IFERROR(INDEX('ST Forecast'!$E$2:$RK$36,14,M170),"")</f>
        <v>1050</v>
      </c>
      <c r="R170" s="44" cm="1">
        <f t="array" ref="R170">IFERROR(INDEX('ST Forecast'!$E$2:$RK$36,15,M170),"")</f>
        <v>1050</v>
      </c>
      <c r="S170" s="312">
        <f>SUM(DB[[#This Row],[Ops-FC-Picks-Collect]:[Ops-FC-Picks-HD]])</f>
        <v>164733.23524740245</v>
      </c>
      <c r="T170" s="44">
        <f t="shared" si="60"/>
        <v>56456.362362054315</v>
      </c>
      <c r="U170" s="44">
        <f t="shared" si="61"/>
        <v>108276.87288534813</v>
      </c>
      <c r="V170" s="44">
        <f t="shared" si="62"/>
        <v>54138.436442674065</v>
      </c>
      <c r="W170" s="404">
        <f t="shared" si="63"/>
        <v>54138.436442674065</v>
      </c>
      <c r="X170" s="44">
        <f>SUM(DB[[#This Row],[Capped-Orders-Collect]:[Capped-Orders-HD]])</f>
        <v>90</v>
      </c>
      <c r="Y170">
        <f>INDEX('Operations Forecast'!$A$2:$BGY$47,3,MATCH(DB!D170,'Operations Forecast'!$A$2:$BGY$2))</f>
        <v>0</v>
      </c>
      <c r="Z170">
        <f t="shared" si="64"/>
        <v>90</v>
      </c>
      <c r="AA170">
        <f>INDEX('Operations Forecast'!$A$2:$BGY$47,10,MATCH(DB!D170,'Operations Forecast'!$A$2:$BGY$2))</f>
        <v>90</v>
      </c>
      <c r="AB170">
        <f>INDEX('Operations Forecast'!$A$2:$BGY$47,21,MATCH(DB!D170,'Operations Forecast'!$A$2:$BGY$2))</f>
        <v>0</v>
      </c>
      <c r="AC170" s="312">
        <f>SUM(DB[[#This Row],[Act-Orders-Collect]:[Act-Orders-HD]])</f>
        <v>2861</v>
      </c>
      <c r="AD170" s="858">
        <f>IFERROR(INDEX('Operations Forecast_new'!$7:$7,MATCH(DB[[#This Row],[Datum]],'Operations Forecast_new'!$2:$2,0)),0)</f>
        <v>911</v>
      </c>
      <c r="AE170" s="312">
        <f t="shared" si="65"/>
        <v>1950</v>
      </c>
      <c r="AF170" s="858">
        <f>IFERROR(INDEX('Operations Forecast_new'!$13:$13,MATCH(DB[[#This Row],[Datum]],'Operations Forecast_new'!$2:$2,0)),0)</f>
        <v>1065</v>
      </c>
      <c r="AG170" s="858">
        <f>IFERROR(INDEX('Operations Forecast_new'!$19:$19,MATCH(DB[[#This Row],[Datum]],'Operations Forecast_new'!$2:$2,0)),0)</f>
        <v>885</v>
      </c>
      <c r="AH170" s="312">
        <f t="shared" si="55"/>
        <v>149757.39899999998</v>
      </c>
      <c r="AI170" s="858">
        <f>IFERROR(INDEX('Operations Forecast_new'!$9:$9,MATCH(DB[[#This Row],[Datum]],'Operations Forecast_new'!$2:$2,0)),0)</f>
        <v>48792.248999999996</v>
      </c>
      <c r="AJ170" s="312">
        <f t="shared" si="66"/>
        <v>100965.15</v>
      </c>
      <c r="AK170" s="858">
        <f>IFERROR(INDEX('Operations Forecast_new'!$15:$15,MATCH(DB[[#This Row],[Datum]],'Operations Forecast_new'!$2:$2,0)),0)</f>
        <v>55142.504999999997</v>
      </c>
      <c r="AL170" s="858">
        <f>IFERROR(INDEX('Operations Forecast_new'!$21:$21,MATCH(DB[[#This Row],[Datum]],'Operations Forecast_new'!$2:$2,0)),0)</f>
        <v>45822.644999999997</v>
      </c>
      <c r="AM170" s="178">
        <f>IFERROR(INDEX('Operations Forecast_new'!$8:$8,MATCH(DB[[#This Row],[Datum]],'Operations Forecast_new'!$2:$2,0)),0)</f>
        <v>54.1</v>
      </c>
      <c r="AN170" s="859">
        <f>IFERROR(INDEX('Operations Forecast_new'!$20:$20,MATCH(DB[[#This Row],[Datum]],'Operations Forecast_new'!$2:$2,0)),0)</f>
        <v>52.3</v>
      </c>
      <c r="AO170" s="44">
        <f t="shared" si="67"/>
        <v>53.558999999999997</v>
      </c>
      <c r="AP170" s="404">
        <f t="shared" si="68"/>
        <v>51.776999999999994</v>
      </c>
      <c r="AQ170" s="44">
        <f t="shared" si="56"/>
        <v>124527.00000000007</v>
      </c>
      <c r="AR170" s="44" cm="1">
        <f t="array" ref="AR170">IFERROR(INDEX('ST Forecast'!$E$2:$RK$36,25,M170)+(INDEX('ST Forecast'!$E$2:$RK$36,29,M170)),"")</f>
        <v>55121.389424613692</v>
      </c>
      <c r="AS170" s="44" cm="1">
        <f t="array" ref="AS170">IFERROR(INDEX('ST Forecast'!$E$2:$RK$36,26,M170)+INDEX('ST Forecast'!$E$2:$RK$36,30,M170),"")</f>
        <v>55186.60448951197</v>
      </c>
      <c r="AT170" s="44" cm="1">
        <f t="array" ref="AT170">IFERROR(INDEX('ST Forecast'!$E$2:$RK$36,27,M170)+INDEX('ST Forecast'!$E$2:$RK$36,31,M170),"")</f>
        <v>5440.1207869688169</v>
      </c>
      <c r="AU170" s="44" cm="1">
        <f t="array" ref="AU170">IFERROR(INDEX('ST Forecast'!$E$2:$RK$36,28,M170),"")</f>
        <v>8778.8852989055922</v>
      </c>
      <c r="AV170" s="44" cm="1">
        <f t="array" ref="AV170">IFERROR(INDEX('ST Forecast'!$E$2:$RK$36,29,M170),"")</f>
        <v>0</v>
      </c>
      <c r="AW170" s="44">
        <f>DB[[#This Row],[Inbound FC]]-DB[[#This Row],[Inbound Act - Ultrafresh2]]</f>
        <v>124527.00000000007</v>
      </c>
      <c r="AX170" s="178" t="e">
        <f>#REF!</f>
        <v>#REF!</v>
      </c>
      <c r="AY170" s="178" t="e">
        <f>#REF!</f>
        <v>#REF!</v>
      </c>
      <c r="AZ170" s="178" t="e">
        <f>#REF!</f>
        <v>#REF!</v>
      </c>
      <c r="BA170" s="178">
        <f>MONTH(DB[[#This Row],[Datum]])</f>
        <v>6</v>
      </c>
    </row>
    <row r="171" spans="1:53" x14ac:dyDescent="0.3">
      <c r="A171" s="44">
        <f t="shared" si="57"/>
        <v>24</v>
      </c>
      <c r="B171" t="str">
        <f t="shared" si="58"/>
        <v>Wk 24</v>
      </c>
      <c r="C171" t="s">
        <v>118</v>
      </c>
      <c r="D171" s="313">
        <v>44730</v>
      </c>
      <c r="E171" s="44">
        <f>DB[[#This Row],[Sales-FC-Orders-Collect]]+DB[[#This Row],[Sales-FC-Orders-HD]]</f>
        <v>2950</v>
      </c>
      <c r="F171" s="402" cm="1">
        <f t="array" ref="F171">INDEX('LT Collect Forecast'!$K$1:$Q$55,MATCH(B171,'LT Collect Forecast'!$A:$A,0)+1,MATCH(C171,'LT Collect Forecast'!$K$2:$Q$2,0))</f>
        <v>1000</v>
      </c>
      <c r="G171" s="44" cm="1">
        <f t="array" ref="G171">INDEX('LT HD Forecast'!$K$1:$Q$55,MATCH(B171,'LT HD Forecast'!$A:$A,0)+1,MATCH(C171,'LT HD Forecast'!$K$2:$Q$2,0))</f>
        <v>1950</v>
      </c>
      <c r="H171" s="44" cm="1">
        <f t="array" ref="H171">IFERROR(INDEX('ST Forecast'!$E$2:$RK$36,6,M171),"")</f>
        <v>52.525649673827587</v>
      </c>
      <c r="I171" s="44" cm="1">
        <f t="array" ref="I171">IFERROR(INDEX('ST Forecast'!$E$2:$RK$36,7,M171),"")</f>
        <v>51.623055347374482</v>
      </c>
      <c r="J171" s="44">
        <f>SUM(DB[[#This Row],[Sales-FC-Picks-Collect]:[Sales-FC-Picks-HD]])</f>
        <v>153190.60760120783</v>
      </c>
      <c r="K171" s="44">
        <f t="shared" si="53"/>
        <v>52525.649673827589</v>
      </c>
      <c r="L171" s="44">
        <f t="shared" si="54"/>
        <v>100664.95792738024</v>
      </c>
      <c r="M171" s="403">
        <f>IFERROR(IF(B171=B170,M170+1,MATCH(B171,'ST Forecast'!$E$2:$RK$2,0)+1),"")</f>
        <v>191</v>
      </c>
      <c r="N171">
        <f>SUM(DB[[#This Row],[Ops-FC-Orders-Collect]:[Ops-FC-Orders-HD]])</f>
        <v>3000</v>
      </c>
      <c r="O171" s="44" cm="1">
        <f t="array" ref="O171">IFERROR(INDEX('ST Forecast'!$E$2:$RK$36,13,M171),"")</f>
        <v>1050</v>
      </c>
      <c r="P171" s="44">
        <f t="shared" si="59"/>
        <v>1950</v>
      </c>
      <c r="Q171" s="44" cm="1">
        <f t="array" ref="Q171">IFERROR(INDEX('ST Forecast'!$E$2:$RK$36,14,M171),"")</f>
        <v>1050</v>
      </c>
      <c r="R171" s="44" cm="1">
        <f t="array" ref="R171">IFERROR(INDEX('ST Forecast'!$E$2:$RK$36,15,M171),"")</f>
        <v>900</v>
      </c>
      <c r="S171" s="312">
        <f>SUM(DB[[#This Row],[Ops-FC-Picks-Collect]:[Ops-FC-Picks-HD]])</f>
        <v>152700.55228320122</v>
      </c>
      <c r="T171" s="44">
        <f t="shared" si="60"/>
        <v>54048.893514368589</v>
      </c>
      <c r="U171" s="44">
        <f t="shared" si="61"/>
        <v>98651.658768832625</v>
      </c>
      <c r="V171" s="44">
        <f t="shared" si="62"/>
        <v>53120.123952448339</v>
      </c>
      <c r="W171" s="404">
        <f t="shared" si="63"/>
        <v>45531.534816384294</v>
      </c>
      <c r="X171" s="44">
        <f>SUM(DB[[#This Row],[Capped-Orders-Collect]:[Capped-Orders-HD]])</f>
        <v>90</v>
      </c>
      <c r="Y171">
        <f>INDEX('Operations Forecast'!$A$2:$BGY$47,3,MATCH(DB!D171,'Operations Forecast'!$A$2:$BGY$2))</f>
        <v>0</v>
      </c>
      <c r="Z171">
        <f t="shared" si="64"/>
        <v>90</v>
      </c>
      <c r="AA171">
        <f>INDEX('Operations Forecast'!$A$2:$BGY$47,10,MATCH(DB!D171,'Operations Forecast'!$A$2:$BGY$2))</f>
        <v>90</v>
      </c>
      <c r="AB171">
        <f>INDEX('Operations Forecast'!$A$2:$BGY$47,21,MATCH(DB!D171,'Operations Forecast'!$A$2:$BGY$2))</f>
        <v>0</v>
      </c>
      <c r="AC171" s="312">
        <f>SUM(DB[[#This Row],[Act-Orders-Collect]:[Act-Orders-HD]])</f>
        <v>2717</v>
      </c>
      <c r="AD171" s="858">
        <f>IFERROR(INDEX('Operations Forecast_new'!$7:$7,MATCH(DB[[#This Row],[Datum]],'Operations Forecast_new'!$2:$2,0)),0)</f>
        <v>950</v>
      </c>
      <c r="AE171" s="312">
        <f t="shared" si="65"/>
        <v>1767</v>
      </c>
      <c r="AF171" s="858">
        <f>IFERROR(INDEX('Operations Forecast_new'!$13:$13,MATCH(DB[[#This Row],[Datum]],'Operations Forecast_new'!$2:$2,0)),0)</f>
        <v>1020</v>
      </c>
      <c r="AG171" s="858">
        <f>IFERROR(INDEX('Operations Forecast_new'!$19:$19,MATCH(DB[[#This Row],[Datum]],'Operations Forecast_new'!$2:$2,0)),0)</f>
        <v>747</v>
      </c>
      <c r="AH171" s="312">
        <f t="shared" si="55"/>
        <v>139519.413</v>
      </c>
      <c r="AI171" s="858">
        <f>IFERROR(INDEX('Operations Forecast_new'!$9:$9,MATCH(DB[[#This Row],[Datum]],'Operations Forecast_new'!$2:$2,0)),0)</f>
        <v>50128.65</v>
      </c>
      <c r="AJ171" s="312">
        <f t="shared" si="66"/>
        <v>89390.763000000006</v>
      </c>
      <c r="AK171" s="858">
        <f>IFERROR(INDEX('Operations Forecast_new'!$15:$15,MATCH(DB[[#This Row],[Datum]],'Operations Forecast_new'!$2:$2,0)),0)</f>
        <v>51600.78</v>
      </c>
      <c r="AL171" s="858">
        <f>IFERROR(INDEX('Operations Forecast_new'!$21:$21,MATCH(DB[[#This Row],[Datum]],'Operations Forecast_new'!$2:$2,0)),0)</f>
        <v>37789.983000000007</v>
      </c>
      <c r="AM171" s="178">
        <f>IFERROR(INDEX('Operations Forecast_new'!$8:$8,MATCH(DB[[#This Row],[Datum]],'Operations Forecast_new'!$2:$2,0)),0)</f>
        <v>53.3</v>
      </c>
      <c r="AN171" s="859">
        <f>IFERROR(INDEX('Operations Forecast_new'!$20:$20,MATCH(DB[[#This Row],[Datum]],'Operations Forecast_new'!$2:$2,0)),0)</f>
        <v>51.1</v>
      </c>
      <c r="AO171" s="44">
        <f t="shared" si="67"/>
        <v>52.767000000000003</v>
      </c>
      <c r="AP171" s="404">
        <f t="shared" si="68"/>
        <v>50.589000000000006</v>
      </c>
      <c r="AQ171" s="44">
        <f t="shared" si="56"/>
        <v>125363.00000000007</v>
      </c>
      <c r="AR171" s="44" cm="1">
        <f t="array" ref="AR171">IFERROR(INDEX('ST Forecast'!$E$2:$RK$36,25,M171)+(INDEX('ST Forecast'!$E$2:$RK$36,29,M171)),"")</f>
        <v>59001.605554344402</v>
      </c>
      <c r="AS171" s="44" cm="1">
        <f t="array" ref="AS171">IFERROR(INDEX('ST Forecast'!$E$2:$RK$36,26,M171)+INDEX('ST Forecast'!$E$2:$RK$36,30,M171),"")</f>
        <v>54885.400741230427</v>
      </c>
      <c r="AT171" s="44" cm="1">
        <f t="array" ref="AT171">IFERROR(INDEX('ST Forecast'!$E$2:$RK$36,27,M171)+INDEX('ST Forecast'!$E$2:$RK$36,31,M171),"")</f>
        <v>4849.827513003378</v>
      </c>
      <c r="AU171" s="44" cm="1">
        <f t="array" ref="AU171">IFERROR(INDEX('ST Forecast'!$E$2:$RK$36,28,M171),"")</f>
        <v>6626.1661914218648</v>
      </c>
      <c r="AV171" s="44" cm="1">
        <f t="array" ref="AV171">IFERROR(INDEX('ST Forecast'!$E$2:$RK$36,29,M171),"")</f>
        <v>0</v>
      </c>
      <c r="AW171" s="44">
        <f>DB[[#This Row],[Inbound FC]]-DB[[#This Row],[Inbound Act - Ultrafresh2]]</f>
        <v>125363.00000000007</v>
      </c>
      <c r="AX171" s="178" t="e">
        <f>#REF!</f>
        <v>#REF!</v>
      </c>
      <c r="AY171" s="178" t="e">
        <f>#REF!</f>
        <v>#REF!</v>
      </c>
      <c r="AZ171" s="178" t="e">
        <f>#REF!</f>
        <v>#REF!</v>
      </c>
      <c r="BA171" s="178">
        <f>MONTH(DB[[#This Row],[Datum]])</f>
        <v>6</v>
      </c>
    </row>
    <row r="172" spans="1:53" x14ac:dyDescent="0.3">
      <c r="A172" s="44">
        <f t="shared" si="57"/>
        <v>24</v>
      </c>
      <c r="B172" t="str">
        <f t="shared" si="58"/>
        <v>Wk 24</v>
      </c>
      <c r="C172" t="s">
        <v>119</v>
      </c>
      <c r="D172" s="313">
        <v>44731</v>
      </c>
      <c r="E172" s="44">
        <f>DB[[#This Row],[Sales-FC-Orders-Collect]]+DB[[#This Row],[Sales-FC-Orders-HD]]</f>
        <v>100</v>
      </c>
      <c r="F172" s="402" cm="1">
        <f t="array" ref="F172">INDEX('LT Collect Forecast'!$K$1:$Q$55,MATCH(B172,'LT Collect Forecast'!$A:$A,0)+1,MATCH(C172,'LT Collect Forecast'!$K$2:$Q$2,0))</f>
        <v>0</v>
      </c>
      <c r="G172" s="44" cm="1">
        <f t="array" ref="G172">INDEX('LT HD Forecast'!$K$1:$Q$55,MATCH(B172,'LT HD Forecast'!$A:$A,0)+1,MATCH(C172,'LT HD Forecast'!$K$2:$Q$2,0))</f>
        <v>100</v>
      </c>
      <c r="H172" s="44" cm="1">
        <f t="array" ref="H172">IFERROR(INDEX('ST Forecast'!$E$2:$RK$36,6,M172),"")</f>
        <v>0</v>
      </c>
      <c r="I172" s="44" cm="1">
        <f t="array" ref="I172">IFERROR(INDEX('ST Forecast'!$E$2:$RK$36,7,M172),"")</f>
        <v>50.132015693995527</v>
      </c>
      <c r="J172" s="44">
        <f>SUM(DB[[#This Row],[Sales-FC-Picks-Collect]:[Sales-FC-Picks-HD]])</f>
        <v>5013.2015693995527</v>
      </c>
      <c r="K172" s="44">
        <f t="shared" si="53"/>
        <v>0</v>
      </c>
      <c r="L172" s="44">
        <f t="shared" si="54"/>
        <v>5013.2015693995527</v>
      </c>
      <c r="M172" s="403">
        <f>IFERROR(IF(B172=B171,M171+1,MATCH(B172,'ST Forecast'!$E$2:$RK$2,0)+1),"")</f>
        <v>192</v>
      </c>
      <c r="N172">
        <f>SUM(DB[[#This Row],[Ops-FC-Orders-Collect]:[Ops-FC-Orders-HD]])</f>
        <v>100</v>
      </c>
      <c r="O172" s="44" cm="1">
        <f t="array" ref="O172">IFERROR(INDEX('ST Forecast'!$E$2:$RK$36,13,M172),"")</f>
        <v>0</v>
      </c>
      <c r="P172" s="44">
        <f t="shared" si="59"/>
        <v>100</v>
      </c>
      <c r="Q172" s="44" cm="1">
        <f t="array" ref="Q172">IFERROR(INDEX('ST Forecast'!$E$2:$RK$36,14,M172),"")</f>
        <v>100</v>
      </c>
      <c r="R172" s="44" cm="1">
        <f t="array" ref="R172">IFERROR(INDEX('ST Forecast'!$E$2:$RK$36,15,M172),"")</f>
        <v>0</v>
      </c>
      <c r="S172" s="312">
        <f>SUM(DB[[#This Row],[Ops-FC-Picks-Collect]:[Ops-FC-Picks-HD]])</f>
        <v>4912.9375380115616</v>
      </c>
      <c r="T172" s="44">
        <f t="shared" si="60"/>
        <v>0</v>
      </c>
      <c r="U172" s="44">
        <f t="shared" si="61"/>
        <v>4912.9375380115616</v>
      </c>
      <c r="V172" s="44">
        <f t="shared" si="62"/>
        <v>4912.9375380115616</v>
      </c>
      <c r="W172" s="404">
        <f t="shared" si="63"/>
        <v>0</v>
      </c>
      <c r="X172" s="44">
        <f>SUM(DB[[#This Row],[Capped-Orders-Collect]:[Capped-Orders-HD]])</f>
        <v>90</v>
      </c>
      <c r="Y172">
        <f>INDEX('Operations Forecast'!$A$2:$BGY$47,3,MATCH(DB!D172,'Operations Forecast'!$A$2:$BGY$2))</f>
        <v>0</v>
      </c>
      <c r="Z172">
        <f t="shared" si="64"/>
        <v>90</v>
      </c>
      <c r="AA172">
        <f>INDEX('Operations Forecast'!$A$2:$BGY$47,10,MATCH(DB!D172,'Operations Forecast'!$A$2:$BGY$2))</f>
        <v>90</v>
      </c>
      <c r="AB172">
        <f>INDEX('Operations Forecast'!$A$2:$BGY$47,21,MATCH(DB!D172,'Operations Forecast'!$A$2:$BGY$2))</f>
        <v>0</v>
      </c>
      <c r="AC172" s="312">
        <f>SUM(DB[[#This Row],[Act-Orders-Collect]:[Act-Orders-HD]])</f>
        <v>97</v>
      </c>
      <c r="AD172" s="858">
        <f>IFERROR(INDEX('Operations Forecast_new'!$7:$7,MATCH(DB[[#This Row],[Datum]],'Operations Forecast_new'!$2:$2,0)),0)</f>
        <v>0</v>
      </c>
      <c r="AE172" s="312">
        <f t="shared" si="65"/>
        <v>97</v>
      </c>
      <c r="AF172" s="858">
        <f>IFERROR(INDEX('Operations Forecast_new'!$13:$13,MATCH(DB[[#This Row],[Datum]],'Operations Forecast_new'!$2:$2,0)),0)</f>
        <v>97</v>
      </c>
      <c r="AG172" s="858">
        <f>IFERROR(INDEX('Operations Forecast_new'!$19:$19,MATCH(DB[[#This Row],[Datum]],'Operations Forecast_new'!$2:$2,0)),0)</f>
        <v>0</v>
      </c>
      <c r="AH172" s="312">
        <f t="shared" si="55"/>
        <v>5771.4029999999993</v>
      </c>
      <c r="AI172" s="858">
        <f>IFERROR(INDEX('Operations Forecast_new'!$9:$9,MATCH(DB[[#This Row],[Datum]],'Operations Forecast_new'!$2:$2,0)),0)</f>
        <v>0</v>
      </c>
      <c r="AJ172" s="312">
        <f t="shared" si="66"/>
        <v>5771.4029999999993</v>
      </c>
      <c r="AK172" s="858">
        <f>IFERROR(INDEX('Operations Forecast_new'!$15:$15,MATCH(DB[[#This Row],[Datum]],'Operations Forecast_new'!$2:$2,0)),0)</f>
        <v>5771.4029999999993</v>
      </c>
      <c r="AL172" s="858">
        <f>IFERROR(INDEX('Operations Forecast_new'!$21:$21,MATCH(DB[[#This Row],[Datum]],'Operations Forecast_new'!$2:$2,0)),0)</f>
        <v>0</v>
      </c>
      <c r="AM172" s="178">
        <f>IFERROR(INDEX('Operations Forecast_new'!$8:$8,MATCH(DB[[#This Row],[Datum]],'Operations Forecast_new'!$2:$2,0)),0)</f>
        <v>0</v>
      </c>
      <c r="AN172" s="859">
        <f>IFERROR(INDEX('Operations Forecast_new'!$20:$20,MATCH(DB[[#This Row],[Datum]],'Operations Forecast_new'!$2:$2,0)),0)</f>
        <v>50.132015693995527</v>
      </c>
      <c r="AO172" s="44" t="str">
        <f t="shared" si="67"/>
        <v>-</v>
      </c>
      <c r="AP172" s="404">
        <f t="shared" si="68"/>
        <v>59.498999999999995</v>
      </c>
      <c r="AQ172" s="44">
        <f t="shared" si="56"/>
        <v>0</v>
      </c>
      <c r="AR172" s="44" cm="1">
        <f t="array" ref="AR172">IFERROR(INDEX('ST Forecast'!$E$2:$RK$36,25,M172)+(INDEX('ST Forecast'!$E$2:$RK$36,29,M172)),"")</f>
        <v>0</v>
      </c>
      <c r="AS172" s="44" cm="1">
        <f t="array" ref="AS172">IFERROR(INDEX('ST Forecast'!$E$2:$RK$36,26,M172)+INDEX('ST Forecast'!$E$2:$RK$36,30,M172),"")</f>
        <v>0</v>
      </c>
      <c r="AT172" s="44" cm="1">
        <f t="array" ref="AT172">IFERROR(INDEX('ST Forecast'!$E$2:$RK$36,27,M172)+INDEX('ST Forecast'!$E$2:$RK$36,31,M172),"")</f>
        <v>0</v>
      </c>
      <c r="AU172" s="44" cm="1">
        <f t="array" ref="AU172">IFERROR(INDEX('ST Forecast'!$E$2:$RK$36,28,M172),"")</f>
        <v>0</v>
      </c>
      <c r="AV172" s="44" cm="1">
        <f t="array" ref="AV172">IFERROR(INDEX('ST Forecast'!$E$2:$RK$36,29,M172),"")</f>
        <v>0</v>
      </c>
      <c r="AW172" s="44">
        <f>DB[[#This Row],[Inbound FC]]-DB[[#This Row],[Inbound Act - Ultrafresh2]]</f>
        <v>0</v>
      </c>
      <c r="AX172" s="178" t="e">
        <f>#REF!</f>
        <v>#REF!</v>
      </c>
      <c r="AY172" s="178" t="e">
        <f>#REF!</f>
        <v>#REF!</v>
      </c>
      <c r="AZ172" s="178" t="e">
        <f>#REF!</f>
        <v>#REF!</v>
      </c>
      <c r="BA172" s="178">
        <f>MONTH(DB[[#This Row],[Datum]])</f>
        <v>6</v>
      </c>
    </row>
    <row r="173" spans="1:53" x14ac:dyDescent="0.3">
      <c r="A173" s="44">
        <f t="shared" si="57"/>
        <v>25</v>
      </c>
      <c r="B173" t="str">
        <f t="shared" si="58"/>
        <v>Wk 25</v>
      </c>
      <c r="C173" t="s">
        <v>113</v>
      </c>
      <c r="D173" s="313">
        <v>44732</v>
      </c>
      <c r="E173" s="44">
        <f>DB[[#This Row],[Sales-FC-Orders-Collect]]+DB[[#This Row],[Sales-FC-Orders-HD]]</f>
        <v>2125</v>
      </c>
      <c r="F173" s="402">
        <f>INDEX('LT Collect Forecast'!$K$1:$Q$55,MATCH(B173,'LT Collect Forecast'!$A:$A,0),MATCH(C173,'LT Collect Forecast'!$K$2:$Q$2,0))</f>
        <v>375</v>
      </c>
      <c r="G173" s="44">
        <f>INDEX('LT HD Forecast'!$K$1:$Q$55,MATCH(B173,'LT HD Forecast'!$A:$A,0),MATCH(C173,'LT HD Forecast'!$K$2:$Q$2,0))</f>
        <v>1750</v>
      </c>
      <c r="H173" s="44" cm="1">
        <f t="array" ref="H173">IFERROR(INDEX('ST Forecast'!$E$2:$RK$36,6,M173),"")</f>
        <v>48.102404544368646</v>
      </c>
      <c r="I173" s="44" cm="1">
        <f t="array" ref="I173">IFERROR(INDEX('ST Forecast'!$E$2:$RK$36,7,M173),"")</f>
        <v>49.395975545949362</v>
      </c>
      <c r="J173" s="44">
        <f>SUM(DB[[#This Row],[Sales-FC-Picks-Collect]:[Sales-FC-Picks-HD]])</f>
        <v>104481.35890954963</v>
      </c>
      <c r="K173" s="44">
        <f t="shared" si="53"/>
        <v>18038.401704138243</v>
      </c>
      <c r="L173" s="44">
        <f t="shared" si="54"/>
        <v>86442.957205411381</v>
      </c>
      <c r="M173" s="403">
        <f>IFERROR(IF(B173=B172,M172+1,MATCH(B173,'ST Forecast'!$E$2:$RK$2,0)+1),"")</f>
        <v>194</v>
      </c>
      <c r="N173">
        <f>SUM(DB[[#This Row],[Ops-FC-Orders-Collect]:[Ops-FC-Orders-HD]])</f>
        <v>2150</v>
      </c>
      <c r="O173" s="44" cm="1">
        <f t="array" ref="O173">IFERROR(INDEX('ST Forecast'!$E$2:$RK$36,13,M173),"")</f>
        <v>500</v>
      </c>
      <c r="P173" s="44">
        <f t="shared" si="59"/>
        <v>1650</v>
      </c>
      <c r="Q173" s="44" cm="1">
        <f t="array" ref="Q173">IFERROR(INDEX('ST Forecast'!$E$2:$RK$36,14,M173),"")</f>
        <v>750</v>
      </c>
      <c r="R173" s="44" cm="1">
        <f t="array" ref="R173">IFERROR(INDEX('ST Forecast'!$E$2:$RK$36,15,M173),"")</f>
        <v>900</v>
      </c>
      <c r="S173" s="312">
        <f>SUM(DB[[#This Row],[Ops-FC-Picks-Collect]:[Ops-FC-Picks-HD]])</f>
        <v>103443.47068454076</v>
      </c>
      <c r="T173" s="44">
        <f t="shared" si="60"/>
        <v>23570.178226740638</v>
      </c>
      <c r="U173" s="44">
        <f t="shared" si="61"/>
        <v>79873.292457800126</v>
      </c>
      <c r="V173" s="44">
        <f t="shared" si="62"/>
        <v>36306.042026272778</v>
      </c>
      <c r="W173" s="404">
        <f t="shared" si="63"/>
        <v>43567.25043152734</v>
      </c>
      <c r="X173" s="44">
        <f>SUM(DB[[#This Row],[Capped-Orders-Collect]:[Capped-Orders-HD]])</f>
        <v>90</v>
      </c>
      <c r="Y173">
        <f>INDEX('Operations Forecast'!$A$2:$BGY$47,3,MATCH(DB!D173,'Operations Forecast'!$A$2:$BGY$2))</f>
        <v>0</v>
      </c>
      <c r="Z173">
        <f t="shared" si="64"/>
        <v>90</v>
      </c>
      <c r="AA173">
        <f>INDEX('Operations Forecast'!$A$2:$BGY$47,10,MATCH(DB!D173,'Operations Forecast'!$A$2:$BGY$2))</f>
        <v>90</v>
      </c>
      <c r="AB173">
        <f>INDEX('Operations Forecast'!$A$2:$BGY$47,21,MATCH(DB!D173,'Operations Forecast'!$A$2:$BGY$2))</f>
        <v>0</v>
      </c>
      <c r="AC173" s="312">
        <f>SUM(DB[[#This Row],[Act-Orders-Collect]:[Act-Orders-HD]])</f>
        <v>2060</v>
      </c>
      <c r="AD173" s="858">
        <f>IFERROR(INDEX('Operations Forecast_new'!$7:$7,MATCH(DB[[#This Row],[Datum]],'Operations Forecast_new'!$2:$2,0)),0)</f>
        <v>480</v>
      </c>
      <c r="AE173" s="312">
        <f t="shared" si="65"/>
        <v>1580</v>
      </c>
      <c r="AF173" s="858">
        <f>IFERROR(INDEX('Operations Forecast_new'!$13:$13,MATCH(DB[[#This Row],[Datum]],'Operations Forecast_new'!$2:$2,0)),0)</f>
        <v>648</v>
      </c>
      <c r="AG173" s="858">
        <f>IFERROR(INDEX('Operations Forecast_new'!$19:$19,MATCH(DB[[#This Row],[Datum]],'Operations Forecast_new'!$2:$2,0)),0)</f>
        <v>932</v>
      </c>
      <c r="AH173" s="312">
        <f t="shared" si="55"/>
        <v>104140.08</v>
      </c>
      <c r="AI173" s="858">
        <f>IFERROR(INDEX('Operations Forecast_new'!$9:$9,MATCH(DB[[#This Row],[Datum]],'Operations Forecast_new'!$2:$2,0)),0)</f>
        <v>23427.360000000001</v>
      </c>
      <c r="AJ173" s="312">
        <f t="shared" si="66"/>
        <v>80712.72</v>
      </c>
      <c r="AK173" s="858">
        <f>IFERROR(INDEX('Operations Forecast_new'!$15:$15,MATCH(DB[[#This Row],[Datum]],'Operations Forecast_new'!$2:$2,0)),0)</f>
        <v>33102.432000000001</v>
      </c>
      <c r="AL173" s="858">
        <f>IFERROR(INDEX('Operations Forecast_new'!$21:$21,MATCH(DB[[#This Row],[Datum]],'Operations Forecast_new'!$2:$2,0)),0)</f>
        <v>47610.288</v>
      </c>
      <c r="AM173" s="178">
        <f>IFERROR(INDEX('Operations Forecast_new'!$8:$8,MATCH(DB[[#This Row],[Datum]],'Operations Forecast_new'!$2:$2,0)),0)</f>
        <v>49.3</v>
      </c>
      <c r="AN173" s="859">
        <f>IFERROR(INDEX('Operations Forecast_new'!$20:$20,MATCH(DB[[#This Row],[Datum]],'Operations Forecast_new'!$2:$2,0)),0)</f>
        <v>51.6</v>
      </c>
      <c r="AO173" s="44">
        <f t="shared" si="67"/>
        <v>48.807000000000002</v>
      </c>
      <c r="AP173" s="404">
        <f t="shared" si="68"/>
        <v>51.084000000000003</v>
      </c>
      <c r="AQ173" s="44">
        <f t="shared" si="56"/>
        <v>228465</v>
      </c>
      <c r="AR173" s="44" cm="1">
        <f t="array" ref="AR173">IFERROR(INDEX('ST Forecast'!$E$2:$RK$36,25,M173)+(INDEX('ST Forecast'!$E$2:$RK$36,29,M173)),"")</f>
        <v>96801.024400376351</v>
      </c>
      <c r="AS173" s="44" cm="1">
        <f t="array" ref="AS173">IFERROR(INDEX('ST Forecast'!$E$2:$RK$36,26,M173)+INDEX('ST Forecast'!$E$2:$RK$36,30,M173),"")</f>
        <v>60945.558674377637</v>
      </c>
      <c r="AT173" s="44" cm="1">
        <f t="array" ref="AT173">IFERROR(INDEX('ST Forecast'!$E$2:$RK$36,27,M173)+INDEX('ST Forecast'!$E$2:$RK$36,31,M173),"")</f>
        <v>61837.389788534601</v>
      </c>
      <c r="AU173" s="44" cm="1">
        <f t="array" ref="AU173">IFERROR(INDEX('ST Forecast'!$E$2:$RK$36,28,M173),"")</f>
        <v>8881.0271367114146</v>
      </c>
      <c r="AV173" s="44" cm="1">
        <f t="array" ref="AV173">IFERROR(INDEX('ST Forecast'!$E$2:$RK$36,29,M173),"")</f>
        <v>0</v>
      </c>
      <c r="AW173" s="44">
        <f>DB[[#This Row],[Inbound FC]]-DB[[#This Row],[Inbound Act - Ultrafresh2]]</f>
        <v>228465</v>
      </c>
      <c r="AX173" s="178" t="e">
        <f>#REF!</f>
        <v>#REF!</v>
      </c>
      <c r="AY173" s="178" t="e">
        <f>#REF!</f>
        <v>#REF!</v>
      </c>
      <c r="AZ173" s="178" t="e">
        <f>#REF!</f>
        <v>#REF!</v>
      </c>
      <c r="BA173" s="178">
        <f>MONTH(DB[[#This Row],[Datum]])</f>
        <v>6</v>
      </c>
    </row>
    <row r="174" spans="1:53" x14ac:dyDescent="0.3">
      <c r="A174" s="44">
        <f t="shared" si="57"/>
        <v>25</v>
      </c>
      <c r="B174" t="str">
        <f t="shared" si="58"/>
        <v>Wk 25</v>
      </c>
      <c r="C174" t="s">
        <v>114</v>
      </c>
      <c r="D174" s="313">
        <v>44733</v>
      </c>
      <c r="E174" s="44">
        <f>DB[[#This Row],[Sales-FC-Orders-Collect]]+DB[[#This Row],[Sales-FC-Orders-HD]]</f>
        <v>2750</v>
      </c>
      <c r="F174" s="402">
        <f>INDEX('LT Collect Forecast'!$K$1:$Q$55,MATCH(B174,'LT Collect Forecast'!$A:$A,0),MATCH(C174,'LT Collect Forecast'!$K$2:$Q$2,0))</f>
        <v>750</v>
      </c>
      <c r="G174" s="44">
        <f>INDEX('LT HD Forecast'!$K$1:$Q$55,MATCH(B174,'LT HD Forecast'!$A:$A,0),MATCH(C174,'LT HD Forecast'!$K$2:$Q$2,0))</f>
        <v>2000</v>
      </c>
      <c r="H174" s="44" cm="1">
        <f t="array" ref="H174">IFERROR(INDEX('ST Forecast'!$E$2:$RK$36,6,M174),"")</f>
        <v>46.575615536126001</v>
      </c>
      <c r="I174" s="44" cm="1">
        <f t="array" ref="I174">IFERROR(INDEX('ST Forecast'!$E$2:$RK$36,7,M174),"")</f>
        <v>48.977971208429025</v>
      </c>
      <c r="J174" s="44">
        <f>SUM(DB[[#This Row],[Sales-FC-Picks-Collect]:[Sales-FC-Picks-HD]])</f>
        <v>132887.65406895254</v>
      </c>
      <c r="K174" s="44">
        <f t="shared" si="53"/>
        <v>34931.711652094498</v>
      </c>
      <c r="L174" s="44">
        <f t="shared" si="54"/>
        <v>97955.942416858044</v>
      </c>
      <c r="M174" s="403">
        <f>IFERROR(IF(B174=B173,M173+1,MATCH(B174,'ST Forecast'!$E$2:$RK$2,0)+1),"")</f>
        <v>195</v>
      </c>
      <c r="N174">
        <f>SUM(DB[[#This Row],[Ops-FC-Orders-Collect]:[Ops-FC-Orders-HD]])</f>
        <v>2800</v>
      </c>
      <c r="O174" s="44" cm="1">
        <f t="array" ref="O174">IFERROR(INDEX('ST Forecast'!$E$2:$RK$36,13,M174),"")</f>
        <v>750</v>
      </c>
      <c r="P174" s="44">
        <f t="shared" si="59"/>
        <v>2050</v>
      </c>
      <c r="Q174" s="44" cm="1">
        <f t="array" ref="Q174">IFERROR(INDEX('ST Forecast'!$E$2:$RK$36,14,M174),"")</f>
        <v>1050</v>
      </c>
      <c r="R174" s="44" cm="1">
        <f t="array" ref="R174">IFERROR(INDEX('ST Forecast'!$E$2:$RK$36,15,M174),"")</f>
        <v>1000</v>
      </c>
      <c r="S174" s="312">
        <f>SUM(DB[[#This Row],[Ops-FC-Picks-Collect]:[Ops-FC-Picks-HD]])</f>
        <v>132629.82157678652</v>
      </c>
      <c r="T174" s="44">
        <f t="shared" si="60"/>
        <v>34233.077419052606</v>
      </c>
      <c r="U174" s="44">
        <f t="shared" si="61"/>
        <v>98396.744157733905</v>
      </c>
      <c r="V174" s="44">
        <f t="shared" si="62"/>
        <v>50398.332373473466</v>
      </c>
      <c r="W174" s="404">
        <f t="shared" si="63"/>
        <v>47998.411784260439</v>
      </c>
      <c r="X174" s="44">
        <f>SUM(DB[[#This Row],[Capped-Orders-Collect]:[Capped-Orders-HD]])</f>
        <v>90</v>
      </c>
      <c r="Y174">
        <f>INDEX('Operations Forecast'!$A$2:$BGY$47,3,MATCH(DB!D174,'Operations Forecast'!$A$2:$BGY$2))</f>
        <v>0</v>
      </c>
      <c r="Z174">
        <f t="shared" si="64"/>
        <v>90</v>
      </c>
      <c r="AA174">
        <f>INDEX('Operations Forecast'!$A$2:$BGY$47,10,MATCH(DB!D174,'Operations Forecast'!$A$2:$BGY$2))</f>
        <v>90</v>
      </c>
      <c r="AB174">
        <f>INDEX('Operations Forecast'!$A$2:$BGY$47,21,MATCH(DB!D174,'Operations Forecast'!$A$2:$BGY$2))</f>
        <v>0</v>
      </c>
      <c r="AC174" s="312">
        <f>SUM(DB[[#This Row],[Act-Orders-Collect]:[Act-Orders-HD]])</f>
        <v>2700</v>
      </c>
      <c r="AD174" s="858">
        <f>IFERROR(INDEX('Operations Forecast_new'!$7:$7,MATCH(DB[[#This Row],[Datum]],'Operations Forecast_new'!$2:$2,0)),0)</f>
        <v>733</v>
      </c>
      <c r="AE174" s="312">
        <f t="shared" si="65"/>
        <v>1967</v>
      </c>
      <c r="AF174" s="858">
        <f>IFERROR(INDEX('Operations Forecast_new'!$13:$13,MATCH(DB[[#This Row],[Datum]],'Operations Forecast_new'!$2:$2,0)),0)</f>
        <v>952</v>
      </c>
      <c r="AG174" s="858">
        <f>IFERROR(INDEX('Operations Forecast_new'!$19:$19,MATCH(DB[[#This Row],[Datum]],'Operations Forecast_new'!$2:$2,0)),0)</f>
        <v>1015</v>
      </c>
      <c r="AH174" s="312">
        <f t="shared" si="55"/>
        <v>126130.65299999999</v>
      </c>
      <c r="AI174" s="858">
        <f>IFERROR(INDEX('Operations Forecast_new'!$9:$9,MATCH(DB[[#This Row],[Datum]],'Operations Forecast_new'!$2:$2,0)),0)</f>
        <v>32074.614000000001</v>
      </c>
      <c r="AJ174" s="312">
        <f t="shared" si="66"/>
        <v>94056.03899999999</v>
      </c>
      <c r="AK174" s="858">
        <f>IFERROR(INDEX('Operations Forecast_new'!$15:$15,MATCH(DB[[#This Row],[Datum]],'Operations Forecast_new'!$2:$2,0)),0)</f>
        <v>45521.784</v>
      </c>
      <c r="AL174" s="858">
        <f>IFERROR(INDEX('Operations Forecast_new'!$21:$21,MATCH(DB[[#This Row],[Datum]],'Operations Forecast_new'!$2:$2,0)),0)</f>
        <v>48534.254999999997</v>
      </c>
      <c r="AM174" s="178">
        <f>IFERROR(INDEX('Operations Forecast_new'!$8:$8,MATCH(DB[[#This Row],[Datum]],'Operations Forecast_new'!$2:$2,0)),0)</f>
        <v>44.2</v>
      </c>
      <c r="AN174" s="859">
        <f>IFERROR(INDEX('Operations Forecast_new'!$20:$20,MATCH(DB[[#This Row],[Datum]],'Operations Forecast_new'!$2:$2,0)),0)</f>
        <v>48.3</v>
      </c>
      <c r="AO174" s="44">
        <f t="shared" si="67"/>
        <v>43.758000000000003</v>
      </c>
      <c r="AP174" s="404">
        <f t="shared" si="68"/>
        <v>47.816999999999993</v>
      </c>
      <c r="AQ174" s="44">
        <f t="shared" si="56"/>
        <v>144785.00000000009</v>
      </c>
      <c r="AR174" s="44" cm="1">
        <f t="array" ref="AR174">IFERROR(INDEX('ST Forecast'!$E$2:$RK$36,25,M174)+(INDEX('ST Forecast'!$E$2:$RK$36,29,M174)),"")</f>
        <v>66984.213879260657</v>
      </c>
      <c r="AS174" s="44" cm="1">
        <f t="array" ref="AS174">IFERROR(INDEX('ST Forecast'!$E$2:$RK$36,26,M174)+INDEX('ST Forecast'!$E$2:$RK$36,30,M174),"")</f>
        <v>62877.637454750409</v>
      </c>
      <c r="AT174" s="44" cm="1">
        <f t="array" ref="AT174">IFERROR(INDEX('ST Forecast'!$E$2:$RK$36,27,M174)+INDEX('ST Forecast'!$E$2:$RK$36,31,M174),"")</f>
        <v>6325.1173491795362</v>
      </c>
      <c r="AU174" s="44" cm="1">
        <f t="array" ref="AU174">IFERROR(INDEX('ST Forecast'!$E$2:$RK$36,28,M174),"")</f>
        <v>8598.0313168094726</v>
      </c>
      <c r="AV174" s="44" cm="1">
        <f t="array" ref="AV174">IFERROR(INDEX('ST Forecast'!$E$2:$RK$36,29,M174),"")</f>
        <v>0</v>
      </c>
      <c r="AW174" s="44">
        <f>DB[[#This Row],[Inbound FC]]-DB[[#This Row],[Inbound Act - Ultrafresh2]]</f>
        <v>144785.00000000009</v>
      </c>
      <c r="AX174" s="178" t="e">
        <f>#REF!</f>
        <v>#REF!</v>
      </c>
      <c r="AY174" s="178" t="e">
        <f>#REF!</f>
        <v>#REF!</v>
      </c>
      <c r="AZ174" s="178" t="e">
        <f>#REF!</f>
        <v>#REF!</v>
      </c>
      <c r="BA174" s="178">
        <f>MONTH(DB[[#This Row],[Datum]])</f>
        <v>6</v>
      </c>
    </row>
    <row r="175" spans="1:53" x14ac:dyDescent="0.3">
      <c r="A175" s="44">
        <f t="shared" si="57"/>
        <v>25</v>
      </c>
      <c r="B175" t="str">
        <f t="shared" si="58"/>
        <v>Wk 25</v>
      </c>
      <c r="C175" t="s">
        <v>115</v>
      </c>
      <c r="D175" s="313">
        <v>44734</v>
      </c>
      <c r="E175" s="44">
        <f>DB[[#This Row],[Sales-FC-Orders-Collect]]+DB[[#This Row],[Sales-FC-Orders-HD]]</f>
        <v>2600</v>
      </c>
      <c r="F175" s="402">
        <f>INDEX('LT Collect Forecast'!$K$1:$Q$55,MATCH(B175,'LT Collect Forecast'!$A:$A,0),MATCH(C175,'LT Collect Forecast'!$K$2:$Q$2,0))</f>
        <v>600</v>
      </c>
      <c r="G175" s="44">
        <f>INDEX('LT HD Forecast'!$K$1:$Q$55,MATCH(B175,'LT HD Forecast'!$A:$A,0),MATCH(C175,'LT HD Forecast'!$K$2:$Q$2,0))</f>
        <v>2000</v>
      </c>
      <c r="H175" s="44" cm="1">
        <f t="array" ref="H175">IFERROR(INDEX('ST Forecast'!$E$2:$RK$36,6,M175),"")</f>
        <v>45.522349069678981</v>
      </c>
      <c r="I175" s="44" cm="1">
        <f t="array" ref="I175">IFERROR(INDEX('ST Forecast'!$E$2:$RK$36,7,M175),"")</f>
        <v>50.24833179091064</v>
      </c>
      <c r="J175" s="44">
        <f>SUM(DB[[#This Row],[Sales-FC-Picks-Collect]:[Sales-FC-Picks-HD]])</f>
        <v>127810.07302362868</v>
      </c>
      <c r="K175" s="44">
        <f t="shared" si="53"/>
        <v>27313.409441807387</v>
      </c>
      <c r="L175" s="44">
        <f t="shared" si="54"/>
        <v>100496.66358182128</v>
      </c>
      <c r="M175" s="403">
        <f>IFERROR(IF(B175=B174,M174+1,MATCH(B175,'ST Forecast'!$E$2:$RK$2,0)+1),"")</f>
        <v>196</v>
      </c>
      <c r="N175">
        <f>SUM(DB[[#This Row],[Ops-FC-Orders-Collect]:[Ops-FC-Orders-HD]])</f>
        <v>2600</v>
      </c>
      <c r="O175" s="44" cm="1">
        <f t="array" ref="O175">IFERROR(INDEX('ST Forecast'!$E$2:$RK$36,13,M175),"")</f>
        <v>600</v>
      </c>
      <c r="P175" s="44">
        <f t="shared" si="59"/>
        <v>2000</v>
      </c>
      <c r="Q175" s="44" cm="1">
        <f t="array" ref="Q175">IFERROR(INDEX('ST Forecast'!$E$2:$RK$36,14,M175),"")</f>
        <v>1000</v>
      </c>
      <c r="R175" s="44" cm="1">
        <f t="array" ref="R175">IFERROR(INDEX('ST Forecast'!$E$2:$RK$36,15,M175),"")</f>
        <v>1000</v>
      </c>
      <c r="S175" s="312">
        <f>SUM(DB[[#This Row],[Ops-FC-Picks-Collect]:[Ops-FC-Picks-HD]])</f>
        <v>125253.87156315609</v>
      </c>
      <c r="T175" s="44">
        <f t="shared" si="60"/>
        <v>26767.14125297124</v>
      </c>
      <c r="U175" s="44">
        <f t="shared" si="61"/>
        <v>98486.730310184852</v>
      </c>
      <c r="V175" s="44">
        <f t="shared" si="62"/>
        <v>49243.365155092426</v>
      </c>
      <c r="W175" s="404">
        <f t="shared" si="63"/>
        <v>49243.365155092426</v>
      </c>
      <c r="X175" s="44">
        <f>SUM(DB[[#This Row],[Capped-Orders-Collect]:[Capped-Orders-HD]])</f>
        <v>90</v>
      </c>
      <c r="Y175">
        <f>INDEX('Operations Forecast'!$A$2:$BGY$47,3,MATCH(DB!D175,'Operations Forecast'!$A$2:$BGY$2))</f>
        <v>0</v>
      </c>
      <c r="Z175">
        <f t="shared" si="64"/>
        <v>90</v>
      </c>
      <c r="AA175">
        <f>INDEX('Operations Forecast'!$A$2:$BGY$47,10,MATCH(DB!D175,'Operations Forecast'!$A$2:$BGY$2))</f>
        <v>90</v>
      </c>
      <c r="AB175">
        <f>INDEX('Operations Forecast'!$A$2:$BGY$47,21,MATCH(DB!D175,'Operations Forecast'!$A$2:$BGY$2))</f>
        <v>0</v>
      </c>
      <c r="AC175" s="312">
        <f>SUM(DB[[#This Row],[Act-Orders-Collect]:[Act-Orders-HD]])</f>
        <v>2523</v>
      </c>
      <c r="AD175" s="858">
        <f>IFERROR(INDEX('Operations Forecast_new'!$7:$7,MATCH(DB[[#This Row],[Datum]],'Operations Forecast_new'!$2:$2,0)),0)</f>
        <v>611</v>
      </c>
      <c r="AE175" s="312">
        <f t="shared" si="65"/>
        <v>1912</v>
      </c>
      <c r="AF175" s="858">
        <f>IFERROR(INDEX('Operations Forecast_new'!$13:$13,MATCH(DB[[#This Row],[Datum]],'Operations Forecast_new'!$2:$2,0)),0)</f>
        <v>957</v>
      </c>
      <c r="AG175" s="858">
        <f>IFERROR(INDEX('Operations Forecast_new'!$19:$19,MATCH(DB[[#This Row],[Datum]],'Operations Forecast_new'!$2:$2,0)),0)</f>
        <v>955</v>
      </c>
      <c r="AH175" s="312">
        <f t="shared" si="55"/>
        <v>120449.34</v>
      </c>
      <c r="AI175" s="858">
        <f>IFERROR(INDEX('Operations Forecast_new'!$9:$9,MATCH(DB[[#This Row],[Datum]],'Operations Forecast_new'!$2:$2,0)),0)</f>
        <v>26373.204000000002</v>
      </c>
      <c r="AJ175" s="312">
        <f t="shared" si="66"/>
        <v>94076.135999999999</v>
      </c>
      <c r="AK175" s="858">
        <f>IFERROR(INDEX('Operations Forecast_new'!$15:$15,MATCH(DB[[#This Row],[Datum]],'Operations Forecast_new'!$2:$2,0)),0)</f>
        <v>47087.271000000001</v>
      </c>
      <c r="AL175" s="858">
        <f>IFERROR(INDEX('Operations Forecast_new'!$21:$21,MATCH(DB[[#This Row],[Datum]],'Operations Forecast_new'!$2:$2,0)),0)</f>
        <v>46988.864999999998</v>
      </c>
      <c r="AM175" s="178">
        <f>IFERROR(INDEX('Operations Forecast_new'!$8:$8,MATCH(DB[[#This Row],[Datum]],'Operations Forecast_new'!$2:$2,0)),0)</f>
        <v>43.6</v>
      </c>
      <c r="AN175" s="859">
        <f>IFERROR(INDEX('Operations Forecast_new'!$20:$20,MATCH(DB[[#This Row],[Datum]],'Operations Forecast_new'!$2:$2,0)),0)</f>
        <v>49.7</v>
      </c>
      <c r="AO175" s="44">
        <f t="shared" si="67"/>
        <v>43.164000000000001</v>
      </c>
      <c r="AP175" s="404">
        <f t="shared" si="68"/>
        <v>49.202999999999996</v>
      </c>
      <c r="AQ175" s="44">
        <f t="shared" si="56"/>
        <v>151498.32100000005</v>
      </c>
      <c r="AR175" s="44" cm="1">
        <f t="array" ref="AR175">IFERROR(INDEX('ST Forecast'!$E$2:$RK$36,25,M175)+(INDEX('ST Forecast'!$E$2:$RK$36,29,M175)),"")</f>
        <v>61478.545877828525</v>
      </c>
      <c r="AS175" s="44" cm="1">
        <f t="array" ref="AS175">IFERROR(INDEX('ST Forecast'!$E$2:$RK$36,26,M175)+INDEX('ST Forecast'!$E$2:$RK$36,30,M175),"")</f>
        <v>60826.68368793081</v>
      </c>
      <c r="AT175" s="44" cm="1">
        <f t="array" ref="AT175">IFERROR(INDEX('ST Forecast'!$E$2:$RK$36,27,M175)+INDEX('ST Forecast'!$E$2:$RK$36,31,M175),"")</f>
        <v>20341.985618362887</v>
      </c>
      <c r="AU175" s="44" cm="1">
        <f t="array" ref="AU175">IFERROR(INDEX('ST Forecast'!$E$2:$RK$36,28,M175),"")</f>
        <v>8851.1058158778615</v>
      </c>
      <c r="AV175" s="44" cm="1">
        <f t="array" ref="AV175">IFERROR(INDEX('ST Forecast'!$E$2:$RK$36,29,M175),"")</f>
        <v>0</v>
      </c>
      <c r="AW175" s="44">
        <f>DB[[#This Row],[Inbound FC]]-DB[[#This Row],[Inbound Act - Ultrafresh2]]</f>
        <v>151498.32100000005</v>
      </c>
      <c r="AX175" s="178" t="e">
        <f>#REF!</f>
        <v>#REF!</v>
      </c>
      <c r="AY175" s="178" t="e">
        <f>#REF!</f>
        <v>#REF!</v>
      </c>
      <c r="AZ175" s="178" t="e">
        <f>#REF!</f>
        <v>#REF!</v>
      </c>
      <c r="BA175" s="178">
        <f>MONTH(DB[[#This Row],[Datum]])</f>
        <v>6</v>
      </c>
    </row>
    <row r="176" spans="1:53" x14ac:dyDescent="0.3">
      <c r="A176" s="44">
        <f t="shared" si="57"/>
        <v>25</v>
      </c>
      <c r="B176" t="str">
        <f t="shared" si="58"/>
        <v>Wk 25</v>
      </c>
      <c r="C176" t="s">
        <v>116</v>
      </c>
      <c r="D176" s="313">
        <v>44735</v>
      </c>
      <c r="E176" s="44">
        <f>DB[[#This Row],[Sales-FC-Orders-Collect]]+DB[[#This Row],[Sales-FC-Orders-HD]]</f>
        <v>2550</v>
      </c>
      <c r="F176" s="402" cm="1">
        <f t="array" ref="F176">INDEX('LT Collect Forecast'!$K$1:$Q$55,MATCH(B176,'LT Collect Forecast'!$A:$A,0)+1,MATCH(C176,'LT Collect Forecast'!$K$2:$Q$2,0))</f>
        <v>600</v>
      </c>
      <c r="G176" s="44" cm="1">
        <f t="array" ref="G176">INDEX('LT HD Forecast'!$K$1:$Q$55,MATCH(B176,'LT HD Forecast'!$A:$A,0)+1,MATCH(C176,'LT HD Forecast'!$K$2:$Q$2,0))</f>
        <v>1950</v>
      </c>
      <c r="H176" s="44" cm="1">
        <f t="array" ref="H176">IFERROR(INDEX('ST Forecast'!$E$2:$RK$36,6,M176),"")</f>
        <v>47.44768316544446</v>
      </c>
      <c r="I176" s="44" cm="1">
        <f t="array" ref="I176">IFERROR(INDEX('ST Forecast'!$E$2:$RK$36,7,M176),"")</f>
        <v>50.469153686013286</v>
      </c>
      <c r="J176" s="44">
        <f>SUM(DB[[#This Row],[Sales-FC-Picks-Collect]:[Sales-FC-Picks-HD]])</f>
        <v>126883.45958699257</v>
      </c>
      <c r="K176" s="44">
        <f t="shared" si="53"/>
        <v>28468.609899266674</v>
      </c>
      <c r="L176" s="44">
        <f t="shared" si="54"/>
        <v>98414.849687725902</v>
      </c>
      <c r="M176" s="403">
        <f>IFERROR(IF(B176=B175,M175+1,MATCH(B176,'ST Forecast'!$E$2:$RK$2,0)+1),"")</f>
        <v>197</v>
      </c>
      <c r="N176">
        <f>SUM(DB[[#This Row],[Ops-FC-Orders-Collect]:[Ops-FC-Orders-HD]])</f>
        <v>2550</v>
      </c>
      <c r="O176" s="44" cm="1">
        <f t="array" ref="O176">IFERROR(INDEX('ST Forecast'!$E$2:$RK$36,13,M176),"")</f>
        <v>600</v>
      </c>
      <c r="P176" s="44">
        <f t="shared" si="59"/>
        <v>1950</v>
      </c>
      <c r="Q176" s="44" cm="1">
        <f t="array" ref="Q176">IFERROR(INDEX('ST Forecast'!$E$2:$RK$36,14,M176),"")</f>
        <v>975</v>
      </c>
      <c r="R176" s="44" cm="1">
        <f t="array" ref="R176">IFERROR(INDEX('ST Forecast'!$E$2:$RK$36,15,M176),"")</f>
        <v>975</v>
      </c>
      <c r="S176" s="312">
        <f>SUM(DB[[#This Row],[Ops-FC-Picks-Collect]:[Ops-FC-Picks-HD]])</f>
        <v>124345.79039525273</v>
      </c>
      <c r="T176" s="44">
        <f t="shared" si="60"/>
        <v>27899.237701281341</v>
      </c>
      <c r="U176" s="44">
        <f t="shared" si="61"/>
        <v>96446.552693971389</v>
      </c>
      <c r="V176" s="44">
        <f t="shared" si="62"/>
        <v>48223.276346985695</v>
      </c>
      <c r="W176" s="404">
        <f t="shared" si="63"/>
        <v>48223.276346985695</v>
      </c>
      <c r="X176" s="44">
        <f>SUM(DB[[#This Row],[Capped-Orders-Collect]:[Capped-Orders-HD]])</f>
        <v>90</v>
      </c>
      <c r="Y176">
        <f>INDEX('Operations Forecast'!$A$2:$BGY$47,3,MATCH(DB!D176,'Operations Forecast'!$A$2:$BGY$2))</f>
        <v>0</v>
      </c>
      <c r="Z176">
        <f t="shared" si="64"/>
        <v>90</v>
      </c>
      <c r="AA176">
        <f>INDEX('Operations Forecast'!$A$2:$BGY$47,10,MATCH(DB!D176,'Operations Forecast'!$A$2:$BGY$2))</f>
        <v>90</v>
      </c>
      <c r="AB176">
        <f>INDEX('Operations Forecast'!$A$2:$BGY$47,21,MATCH(DB!D176,'Operations Forecast'!$A$2:$BGY$2))</f>
        <v>0</v>
      </c>
      <c r="AC176" s="312">
        <f>SUM(DB[[#This Row],[Act-Orders-Collect]:[Act-Orders-HD]])</f>
        <v>2463</v>
      </c>
      <c r="AD176" s="858">
        <f>IFERROR(INDEX('Operations Forecast_new'!$7:$7,MATCH(DB[[#This Row],[Datum]],'Operations Forecast_new'!$2:$2,0)),0)</f>
        <v>590</v>
      </c>
      <c r="AE176" s="312">
        <f t="shared" si="65"/>
        <v>1873</v>
      </c>
      <c r="AF176" s="858">
        <f>IFERROR(INDEX('Operations Forecast_new'!$13:$13,MATCH(DB[[#This Row],[Datum]],'Operations Forecast_new'!$2:$2,0)),0)</f>
        <v>877</v>
      </c>
      <c r="AG176" s="858">
        <f>IFERROR(INDEX('Operations Forecast_new'!$19:$19,MATCH(DB[[#This Row],[Datum]],'Operations Forecast_new'!$2:$2,0)),0)</f>
        <v>996</v>
      </c>
      <c r="AH176" s="312">
        <f t="shared" si="55"/>
        <v>118565.96400000001</v>
      </c>
      <c r="AI176" s="858">
        <f>IFERROR(INDEX('Operations Forecast_new'!$9:$9,MATCH(DB[[#This Row],[Datum]],'Operations Forecast_new'!$2:$2,0)),0)</f>
        <v>27335.88</v>
      </c>
      <c r="AJ176" s="312">
        <f t="shared" si="66"/>
        <v>91230.084000000003</v>
      </c>
      <c r="AK176" s="858">
        <f>IFERROR(INDEX('Operations Forecast_new'!$15:$15,MATCH(DB[[#This Row],[Datum]],'Operations Forecast_new'!$2:$2,0)),0)</f>
        <v>42716.915999999997</v>
      </c>
      <c r="AL176" s="858">
        <f>IFERROR(INDEX('Operations Forecast_new'!$21:$21,MATCH(DB[[#This Row],[Datum]],'Operations Forecast_new'!$2:$2,0)),0)</f>
        <v>48513.168000000005</v>
      </c>
      <c r="AM176" s="178">
        <f>IFERROR(INDEX('Operations Forecast_new'!$8:$8,MATCH(DB[[#This Row],[Datum]],'Operations Forecast_new'!$2:$2,0)),0)</f>
        <v>46.8</v>
      </c>
      <c r="AN176" s="859">
        <f>IFERROR(INDEX('Operations Forecast_new'!$20:$20,MATCH(DB[[#This Row],[Datum]],'Operations Forecast_new'!$2:$2,0)),0)</f>
        <v>49.2</v>
      </c>
      <c r="AO176" s="44">
        <f t="shared" si="67"/>
        <v>46.332000000000001</v>
      </c>
      <c r="AP176" s="404">
        <f t="shared" si="68"/>
        <v>48.707999999999998</v>
      </c>
      <c r="AQ176" s="44">
        <f t="shared" si="56"/>
        <v>131207.00000000006</v>
      </c>
      <c r="AR176" s="44" cm="1">
        <f t="array" ref="AR176">IFERROR(INDEX('ST Forecast'!$E$2:$RK$36,25,M176)+(INDEX('ST Forecast'!$E$2:$RK$36,29,M176)),"")</f>
        <v>57858.580931303208</v>
      </c>
      <c r="AS176" s="44" cm="1">
        <f t="array" ref="AS176">IFERROR(INDEX('ST Forecast'!$E$2:$RK$36,26,M176)+INDEX('ST Forecast'!$E$2:$RK$36,30,M176),"")</f>
        <v>55246.232937687142</v>
      </c>
      <c r="AT176" s="44" cm="1">
        <f t="array" ref="AT176">IFERROR(INDEX('ST Forecast'!$E$2:$RK$36,27,M176)+INDEX('ST Forecast'!$E$2:$RK$36,31,M176),"")</f>
        <v>8968.1107498993406</v>
      </c>
      <c r="AU176" s="44" cm="1">
        <f t="array" ref="AU176">IFERROR(INDEX('ST Forecast'!$E$2:$RK$36,28,M176),"")</f>
        <v>9134.0753811103787</v>
      </c>
      <c r="AV176" s="44" cm="1">
        <f t="array" ref="AV176">IFERROR(INDEX('ST Forecast'!$E$2:$RK$36,29,M176),"")</f>
        <v>0</v>
      </c>
      <c r="AW176" s="44">
        <f>DB[[#This Row],[Inbound FC]]-DB[[#This Row],[Inbound Act - Ultrafresh2]]</f>
        <v>131207.00000000006</v>
      </c>
      <c r="AX176" s="178" t="e">
        <f>#REF!</f>
        <v>#REF!</v>
      </c>
      <c r="AY176" s="178" t="e">
        <f>#REF!</f>
        <v>#REF!</v>
      </c>
      <c r="AZ176" s="178" t="e">
        <f>#REF!</f>
        <v>#REF!</v>
      </c>
      <c r="BA176" s="178">
        <f>MONTH(DB[[#This Row],[Datum]])</f>
        <v>6</v>
      </c>
    </row>
    <row r="177" spans="1:53" x14ac:dyDescent="0.3">
      <c r="A177" s="44">
        <f t="shared" si="57"/>
        <v>25</v>
      </c>
      <c r="B177" t="str">
        <f t="shared" si="58"/>
        <v>Wk 25</v>
      </c>
      <c r="C177" t="s">
        <v>117</v>
      </c>
      <c r="D177" s="313">
        <v>44736</v>
      </c>
      <c r="E177" s="44">
        <f>DB[[#This Row],[Sales-FC-Orders-Collect]]+DB[[#This Row],[Sales-FC-Orders-HD]]</f>
        <v>3175</v>
      </c>
      <c r="F177" s="402" cm="1">
        <f t="array" ref="F177">INDEX('LT Collect Forecast'!$K$1:$Q$55,MATCH(B177,'LT Collect Forecast'!$A:$A,0)+1,MATCH(C177,'LT Collect Forecast'!$K$2:$Q$2,0))</f>
        <v>1075</v>
      </c>
      <c r="G177" s="44" cm="1">
        <f t="array" ref="G177">INDEX('LT HD Forecast'!$K$1:$Q$55,MATCH(B177,'LT HD Forecast'!$A:$A,0)+1,MATCH(C177,'LT HD Forecast'!$K$2:$Q$2,0))</f>
        <v>2100</v>
      </c>
      <c r="H177" s="44" cm="1">
        <f t="array" ref="H177">IFERROR(INDEX('ST Forecast'!$E$2:$RK$36,6,M177),"")</f>
        <v>50.713977679024147</v>
      </c>
      <c r="I177" s="44" cm="1">
        <f t="array" ref="I177">IFERROR(INDEX('ST Forecast'!$E$2:$RK$36,7,M177),"")</f>
        <v>52.426912902684563</v>
      </c>
      <c r="J177" s="44">
        <f>SUM(DB[[#This Row],[Sales-FC-Picks-Collect]:[Sales-FC-Picks-HD]])</f>
        <v>164614.04310058855</v>
      </c>
      <c r="K177" s="44">
        <f t="shared" si="53"/>
        <v>54517.52600495096</v>
      </c>
      <c r="L177" s="44">
        <f t="shared" si="54"/>
        <v>110096.51709563758</v>
      </c>
      <c r="M177" s="403">
        <f>IFERROR(IF(B177=B176,M176+1,MATCH(B177,'ST Forecast'!$E$2:$RK$2,0)+1),"")</f>
        <v>198</v>
      </c>
      <c r="N177">
        <f>SUM(DB[[#This Row],[Ops-FC-Orders-Collect]:[Ops-FC-Orders-HD]])</f>
        <v>3175</v>
      </c>
      <c r="O177" s="44" cm="1">
        <f t="array" ref="O177">IFERROR(INDEX('ST Forecast'!$E$2:$RK$36,13,M177),"")</f>
        <v>1075</v>
      </c>
      <c r="P177" s="44">
        <f t="shared" si="59"/>
        <v>2100</v>
      </c>
      <c r="Q177" s="44" cm="1">
        <f t="array" ref="Q177">IFERROR(INDEX('ST Forecast'!$E$2:$RK$36,14,M177),"")</f>
        <v>1050</v>
      </c>
      <c r="R177" s="44" cm="1">
        <f t="array" ref="R177">IFERROR(INDEX('ST Forecast'!$E$2:$RK$36,15,M177),"")</f>
        <v>1050</v>
      </c>
      <c r="S177" s="312">
        <f>SUM(DB[[#This Row],[Ops-FC-Picks-Collect]:[Ops-FC-Picks-HD]])</f>
        <v>161321.76223857678</v>
      </c>
      <c r="T177" s="44">
        <f t="shared" si="60"/>
        <v>53427.175484851941</v>
      </c>
      <c r="U177" s="44">
        <f t="shared" si="61"/>
        <v>107894.58675372483</v>
      </c>
      <c r="V177" s="44">
        <f t="shared" si="62"/>
        <v>53947.293376862413</v>
      </c>
      <c r="W177" s="404">
        <f t="shared" si="63"/>
        <v>53947.293376862413</v>
      </c>
      <c r="X177" s="44">
        <f>SUM(DB[[#This Row],[Capped-Orders-Collect]:[Capped-Orders-HD]])</f>
        <v>90</v>
      </c>
      <c r="Y177">
        <f>INDEX('Operations Forecast'!$A$2:$BGY$47,3,MATCH(DB!D177,'Operations Forecast'!$A$2:$BGY$2))</f>
        <v>0</v>
      </c>
      <c r="Z177">
        <f t="shared" si="64"/>
        <v>90</v>
      </c>
      <c r="AA177">
        <f>INDEX('Operations Forecast'!$A$2:$BGY$47,10,MATCH(DB!D177,'Operations Forecast'!$A$2:$BGY$2))</f>
        <v>90</v>
      </c>
      <c r="AB177">
        <f>INDEX('Operations Forecast'!$A$2:$BGY$47,21,MATCH(DB!D177,'Operations Forecast'!$A$2:$BGY$2))</f>
        <v>0</v>
      </c>
      <c r="AC177" s="312">
        <f>SUM(DB[[#This Row],[Act-Orders-Collect]:[Act-Orders-HD]])</f>
        <v>2936</v>
      </c>
      <c r="AD177" s="858">
        <f>IFERROR(INDEX('Operations Forecast_new'!$7:$7,MATCH(DB[[#This Row],[Datum]],'Operations Forecast_new'!$2:$2,0)),0)</f>
        <v>950</v>
      </c>
      <c r="AE177" s="312">
        <f t="shared" si="65"/>
        <v>1986</v>
      </c>
      <c r="AF177" s="858">
        <f>IFERROR(INDEX('Operations Forecast_new'!$13:$13,MATCH(DB[[#This Row],[Datum]],'Operations Forecast_new'!$2:$2,0)),0)</f>
        <v>1044</v>
      </c>
      <c r="AG177" s="858">
        <f>IFERROR(INDEX('Operations Forecast_new'!$19:$19,MATCH(DB[[#This Row],[Datum]],'Operations Forecast_new'!$2:$2,0)),0)</f>
        <v>942</v>
      </c>
      <c r="AH177" s="312">
        <f t="shared" si="55"/>
        <v>150298.83000000002</v>
      </c>
      <c r="AI177" s="858">
        <f>IFERROR(INDEX('Operations Forecast_new'!$9:$9,MATCH(DB[[#This Row],[Datum]],'Operations Forecast_new'!$2:$2,0)),0)</f>
        <v>48059.55</v>
      </c>
      <c r="AJ177" s="312">
        <f t="shared" si="66"/>
        <v>102239.28</v>
      </c>
      <c r="AK177" s="858">
        <f>IFERROR(INDEX('Operations Forecast_new'!$15:$15,MATCH(DB[[#This Row],[Datum]],'Operations Forecast_new'!$2:$2,0)),0)</f>
        <v>53745.120000000003</v>
      </c>
      <c r="AL177" s="858">
        <f>IFERROR(INDEX('Operations Forecast_new'!$21:$21,MATCH(DB[[#This Row],[Datum]],'Operations Forecast_new'!$2:$2,0)),0)</f>
        <v>48494.159999999996</v>
      </c>
      <c r="AM177" s="178">
        <f>IFERROR(INDEX('Operations Forecast_new'!$8:$8,MATCH(DB[[#This Row],[Datum]],'Operations Forecast_new'!$2:$2,0)),0)</f>
        <v>51.1</v>
      </c>
      <c r="AN177" s="859">
        <f>IFERROR(INDEX('Operations Forecast_new'!$20:$20,MATCH(DB[[#This Row],[Datum]],'Operations Forecast_new'!$2:$2,0)),0)</f>
        <v>52</v>
      </c>
      <c r="AO177" s="44">
        <f t="shared" si="67"/>
        <v>50.589000000000006</v>
      </c>
      <c r="AP177" s="404">
        <f t="shared" si="68"/>
        <v>51.48</v>
      </c>
      <c r="AQ177" s="44">
        <f t="shared" si="56"/>
        <v>124699.00000000007</v>
      </c>
      <c r="AR177" s="44" cm="1">
        <f t="array" ref="AR177">IFERROR(INDEX('ST Forecast'!$E$2:$RK$36,25,M177)+(INDEX('ST Forecast'!$E$2:$RK$36,29,M177)),"")</f>
        <v>55197.524551783164</v>
      </c>
      <c r="AS177" s="44" cm="1">
        <f t="array" ref="AS177">IFERROR(INDEX('ST Forecast'!$E$2:$RK$36,26,M177)+INDEX('ST Forecast'!$E$2:$RK$36,30,M177),"")</f>
        <v>55262.829693461288</v>
      </c>
      <c r="AT177" s="44" cm="1">
        <f t="array" ref="AT177">IFERROR(INDEX('ST Forecast'!$E$2:$RK$36,27,M177)+INDEX('ST Forecast'!$E$2:$RK$36,31,M177),"")</f>
        <v>5447.6348262965012</v>
      </c>
      <c r="AU177" s="44" cm="1">
        <f t="array" ref="AU177">IFERROR(INDEX('ST Forecast'!$E$2:$RK$36,28,M177),"")</f>
        <v>8791.0109284591163</v>
      </c>
      <c r="AV177" s="44" cm="1">
        <f t="array" ref="AV177">IFERROR(INDEX('ST Forecast'!$E$2:$RK$36,29,M177),"")</f>
        <v>0</v>
      </c>
      <c r="AW177" s="44">
        <f>DB[[#This Row],[Inbound FC]]-DB[[#This Row],[Inbound Act - Ultrafresh2]]</f>
        <v>124699.00000000007</v>
      </c>
      <c r="AX177" s="178" t="e">
        <f>#REF!</f>
        <v>#REF!</v>
      </c>
      <c r="AY177" s="178" t="e">
        <f>#REF!</f>
        <v>#REF!</v>
      </c>
      <c r="AZ177" s="178" t="e">
        <f>#REF!</f>
        <v>#REF!</v>
      </c>
      <c r="BA177" s="178">
        <f>MONTH(DB[[#This Row],[Datum]])</f>
        <v>6</v>
      </c>
    </row>
    <row r="178" spans="1:53" x14ac:dyDescent="0.3">
      <c r="A178" s="44">
        <f t="shared" si="57"/>
        <v>25</v>
      </c>
      <c r="B178" t="str">
        <f t="shared" si="58"/>
        <v>Wk 25</v>
      </c>
      <c r="C178" t="s">
        <v>118</v>
      </c>
      <c r="D178" s="313">
        <v>44737</v>
      </c>
      <c r="E178" s="44">
        <f>DB[[#This Row],[Sales-FC-Orders-Collect]]+DB[[#This Row],[Sales-FC-Orders-HD]]</f>
        <v>2950</v>
      </c>
      <c r="F178" s="402" cm="1">
        <f t="array" ref="F178">INDEX('LT Collect Forecast'!$K$1:$Q$55,MATCH(B178,'LT Collect Forecast'!$A:$A,0)+1,MATCH(C178,'LT Collect Forecast'!$K$2:$Q$2,0))</f>
        <v>1000</v>
      </c>
      <c r="G178" s="44" cm="1">
        <f t="array" ref="G178">INDEX('LT HD Forecast'!$K$1:$Q$55,MATCH(B178,'LT HD Forecast'!$A:$A,0)+1,MATCH(C178,'LT HD Forecast'!$K$2:$Q$2,0))</f>
        <v>1950</v>
      </c>
      <c r="H178" s="44" cm="1">
        <f t="array" ref="H178">IFERROR(INDEX('ST Forecast'!$E$2:$RK$36,6,M178),"")</f>
        <v>50.86335190141984</v>
      </c>
      <c r="I178" s="44" cm="1">
        <f t="array" ref="I178">IFERROR(INDEX('ST Forecast'!$E$2:$RK$36,7,M178),"")</f>
        <v>51.440687876750843</v>
      </c>
      <c r="J178" s="44">
        <f>SUM(DB[[#This Row],[Sales-FC-Picks-Collect]:[Sales-FC-Picks-HD]])</f>
        <v>151172.69326108397</v>
      </c>
      <c r="K178" s="44">
        <f t="shared" si="53"/>
        <v>50863.351901419839</v>
      </c>
      <c r="L178" s="44">
        <f t="shared" si="54"/>
        <v>100309.34135966415</v>
      </c>
      <c r="M178" s="403">
        <f>IFERROR(IF(B178=B177,M177+1,MATCH(B178,'ST Forecast'!$E$2:$RK$2,0)+1),"")</f>
        <v>199</v>
      </c>
      <c r="N178">
        <f>SUM(DB[[#This Row],[Ops-FC-Orders-Collect]:[Ops-FC-Orders-HD]])</f>
        <v>2950</v>
      </c>
      <c r="O178" s="44" cm="1">
        <f t="array" ref="O178">IFERROR(INDEX('ST Forecast'!$E$2:$RK$36,13,M178),"")</f>
        <v>1000</v>
      </c>
      <c r="P178" s="44">
        <f t="shared" si="59"/>
        <v>1950</v>
      </c>
      <c r="Q178" s="44" cm="1">
        <f t="array" ref="Q178">IFERROR(INDEX('ST Forecast'!$E$2:$RK$36,14,M178),"")</f>
        <v>1025</v>
      </c>
      <c r="R178" s="44" cm="1">
        <f t="array" ref="R178">IFERROR(INDEX('ST Forecast'!$E$2:$RK$36,15,M178),"")</f>
        <v>925</v>
      </c>
      <c r="S178" s="312">
        <f>SUM(DB[[#This Row],[Ops-FC-Picks-Collect]:[Ops-FC-Picks-HD]])</f>
        <v>148149.2393958623</v>
      </c>
      <c r="T178" s="44">
        <f t="shared" si="60"/>
        <v>49846.084863391443</v>
      </c>
      <c r="U178" s="44">
        <f t="shared" si="61"/>
        <v>98303.154532470857</v>
      </c>
      <c r="V178" s="44">
        <f t="shared" si="62"/>
        <v>51672.170972196218</v>
      </c>
      <c r="W178" s="404">
        <f t="shared" si="63"/>
        <v>46630.983560274639</v>
      </c>
      <c r="X178" s="44">
        <f>SUM(DB[[#This Row],[Capped-Orders-Collect]:[Capped-Orders-HD]])</f>
        <v>90</v>
      </c>
      <c r="Y178">
        <f>INDEX('Operations Forecast'!$A$2:$BGY$47,3,MATCH(DB!D178,'Operations Forecast'!$A$2:$BGY$2))</f>
        <v>0</v>
      </c>
      <c r="Z178">
        <f t="shared" si="64"/>
        <v>90</v>
      </c>
      <c r="AA178">
        <f>INDEX('Operations Forecast'!$A$2:$BGY$47,10,MATCH(DB!D178,'Operations Forecast'!$A$2:$BGY$2))</f>
        <v>90</v>
      </c>
      <c r="AB178">
        <f>INDEX('Operations Forecast'!$A$2:$BGY$47,21,MATCH(DB!D178,'Operations Forecast'!$A$2:$BGY$2))</f>
        <v>0</v>
      </c>
      <c r="AC178" s="312">
        <f>SUM(DB[[#This Row],[Act-Orders-Collect]:[Act-Orders-HD]])</f>
        <v>2774</v>
      </c>
      <c r="AD178" s="858">
        <f>IFERROR(INDEX('Operations Forecast_new'!$7:$7,MATCH(DB[[#This Row],[Datum]],'Operations Forecast_new'!$2:$2,0)),0)</f>
        <v>880</v>
      </c>
      <c r="AE178" s="312">
        <f t="shared" si="65"/>
        <v>1894</v>
      </c>
      <c r="AF178" s="858">
        <f>IFERROR(INDEX('Operations Forecast_new'!$13:$13,MATCH(DB[[#This Row],[Datum]],'Operations Forecast_new'!$2:$2,0)),0)</f>
        <v>1080</v>
      </c>
      <c r="AG178" s="858">
        <f>IFERROR(INDEX('Operations Forecast_new'!$19:$19,MATCH(DB[[#This Row],[Datum]],'Operations Forecast_new'!$2:$2,0)),0)</f>
        <v>814</v>
      </c>
      <c r="AH178" s="312">
        <f t="shared" si="55"/>
        <v>137943.63</v>
      </c>
      <c r="AI178" s="858">
        <f>IFERROR(INDEX('Operations Forecast_new'!$9:$9,MATCH(DB[[#This Row],[Datum]],'Operations Forecast_new'!$2:$2,0)),0)</f>
        <v>45128.159999999996</v>
      </c>
      <c r="AJ178" s="312">
        <f t="shared" si="66"/>
        <v>92815.47</v>
      </c>
      <c r="AK178" s="858">
        <f>IFERROR(INDEX('Operations Forecast_new'!$15:$15,MATCH(DB[[#This Row],[Datum]],'Operations Forecast_new'!$2:$2,0)),0)</f>
        <v>52925.4</v>
      </c>
      <c r="AL178" s="858">
        <f>IFERROR(INDEX('Operations Forecast_new'!$21:$21,MATCH(DB[[#This Row],[Datum]],'Operations Forecast_new'!$2:$2,0)),0)</f>
        <v>39890.07</v>
      </c>
      <c r="AM178" s="178">
        <f>IFERROR(INDEX('Operations Forecast_new'!$8:$8,MATCH(DB[[#This Row],[Datum]],'Operations Forecast_new'!$2:$2,0)),0)</f>
        <v>51.8</v>
      </c>
      <c r="AN178" s="859">
        <f>IFERROR(INDEX('Operations Forecast_new'!$20:$20,MATCH(DB[[#This Row],[Datum]],'Operations Forecast_new'!$2:$2,0)),0)</f>
        <v>49.5</v>
      </c>
      <c r="AO178" s="44">
        <f t="shared" si="67"/>
        <v>51.281999999999996</v>
      </c>
      <c r="AP178" s="404">
        <f t="shared" si="68"/>
        <v>49.005000000000003</v>
      </c>
      <c r="AQ178" s="44">
        <f t="shared" si="56"/>
        <v>125536.00000000007</v>
      </c>
      <c r="AR178" s="44" cm="1">
        <f t="array" ref="AR178">IFERROR(INDEX('ST Forecast'!$E$2:$RK$36,25,M178)+(INDEX('ST Forecast'!$E$2:$RK$36,29,M178)),"")</f>
        <v>59083.027327602074</v>
      </c>
      <c r="AS178" s="44" cm="1">
        <f t="array" ref="AS178">IFERROR(INDEX('ST Forecast'!$E$2:$RK$36,26,M178)+INDEX('ST Forecast'!$E$2:$RK$36,30,M178),"")</f>
        <v>54961.142182710231</v>
      </c>
      <c r="AT178" s="44" cm="1">
        <f t="array" ref="AT178">IFERROR(INDEX('ST Forecast'!$E$2:$RK$36,27,M178)+INDEX('ST Forecast'!$E$2:$RK$36,31,M178),"")</f>
        <v>4856.5202386062247</v>
      </c>
      <c r="AU178" s="44" cm="1">
        <f t="array" ref="AU178">IFERROR(INDEX('ST Forecast'!$E$2:$RK$36,28,M178),"")</f>
        <v>6635.3102510815406</v>
      </c>
      <c r="AV178" s="44" cm="1">
        <f t="array" ref="AV178">IFERROR(INDEX('ST Forecast'!$E$2:$RK$36,29,M178),"")</f>
        <v>0</v>
      </c>
      <c r="AW178" s="44">
        <f>DB[[#This Row],[Inbound FC]]-DB[[#This Row],[Inbound Act - Ultrafresh2]]</f>
        <v>125536.00000000007</v>
      </c>
      <c r="AX178" s="178" t="e">
        <f>#REF!</f>
        <v>#REF!</v>
      </c>
      <c r="AY178" s="178" t="e">
        <f>#REF!</f>
        <v>#REF!</v>
      </c>
      <c r="AZ178" s="178" t="e">
        <f>#REF!</f>
        <v>#REF!</v>
      </c>
      <c r="BA178" s="178">
        <f>MONTH(DB[[#This Row],[Datum]])</f>
        <v>6</v>
      </c>
    </row>
    <row r="179" spans="1:53" x14ac:dyDescent="0.3">
      <c r="A179" s="44">
        <f t="shared" si="57"/>
        <v>25</v>
      </c>
      <c r="B179" t="str">
        <f t="shared" si="58"/>
        <v>Wk 25</v>
      </c>
      <c r="C179" t="s">
        <v>119</v>
      </c>
      <c r="D179" s="313">
        <v>44738</v>
      </c>
      <c r="E179" s="44">
        <f>DB[[#This Row],[Sales-FC-Orders-Collect]]+DB[[#This Row],[Sales-FC-Orders-HD]]</f>
        <v>100</v>
      </c>
      <c r="F179" s="402" cm="1">
        <f t="array" ref="F179">INDEX('LT Collect Forecast'!$K$1:$Q$55,MATCH(B179,'LT Collect Forecast'!$A:$A,0)+1,MATCH(C179,'LT Collect Forecast'!$K$2:$Q$2,0))</f>
        <v>0</v>
      </c>
      <c r="G179" s="44" cm="1">
        <f t="array" ref="G179">INDEX('LT HD Forecast'!$K$1:$Q$55,MATCH(B179,'LT HD Forecast'!$A:$A,0)+1,MATCH(C179,'LT HD Forecast'!$K$2:$Q$2,0))</f>
        <v>100</v>
      </c>
      <c r="H179" s="44" cm="1">
        <f t="array" ref="H179">IFERROR(INDEX('ST Forecast'!$E$2:$RK$36,6,M179),"")</f>
        <v>0</v>
      </c>
      <c r="I179" s="44" cm="1">
        <f t="array" ref="I179">IFERROR(INDEX('ST Forecast'!$E$2:$RK$36,7,M179),"")</f>
        <v>49.962940324500053</v>
      </c>
      <c r="J179" s="44">
        <f>SUM(DB[[#This Row],[Sales-FC-Picks-Collect]:[Sales-FC-Picks-HD]])</f>
        <v>4996.294032450005</v>
      </c>
      <c r="K179" s="44">
        <f t="shared" si="53"/>
        <v>0</v>
      </c>
      <c r="L179" s="44">
        <f t="shared" si="54"/>
        <v>4996.294032450005</v>
      </c>
      <c r="M179" s="403">
        <f>IFERROR(IF(B179=B178,M178+1,MATCH(B179,'ST Forecast'!$E$2:$RK$2,0)+1),"")</f>
        <v>200</v>
      </c>
      <c r="N179">
        <f>SUM(DB[[#This Row],[Ops-FC-Orders-Collect]:[Ops-FC-Orders-HD]])</f>
        <v>100</v>
      </c>
      <c r="O179" s="44" cm="1">
        <f t="array" ref="O179">IFERROR(INDEX('ST Forecast'!$E$2:$RK$36,13,M179),"")</f>
        <v>0</v>
      </c>
      <c r="P179" s="44">
        <f t="shared" si="59"/>
        <v>100</v>
      </c>
      <c r="Q179" s="44" cm="1">
        <f t="array" ref="Q179">IFERROR(INDEX('ST Forecast'!$E$2:$RK$36,14,M179),"")</f>
        <v>100</v>
      </c>
      <c r="R179" s="44" cm="1">
        <f t="array" ref="R179">IFERROR(INDEX('ST Forecast'!$E$2:$RK$36,15,M179),"")</f>
        <v>0</v>
      </c>
      <c r="S179" s="312">
        <f>SUM(DB[[#This Row],[Ops-FC-Picks-Collect]:[Ops-FC-Picks-HD]])</f>
        <v>4896.3681518010053</v>
      </c>
      <c r="T179" s="44">
        <f t="shared" si="60"/>
        <v>0</v>
      </c>
      <c r="U179" s="44">
        <f t="shared" si="61"/>
        <v>4896.3681518010053</v>
      </c>
      <c r="V179" s="44">
        <f t="shared" si="62"/>
        <v>4896.3681518010053</v>
      </c>
      <c r="W179" s="404">
        <f t="shared" si="63"/>
        <v>0</v>
      </c>
      <c r="X179" s="44">
        <f>SUM(DB[[#This Row],[Capped-Orders-Collect]:[Capped-Orders-HD]])</f>
        <v>90</v>
      </c>
      <c r="Y179">
        <f>INDEX('Operations Forecast'!$A$2:$BGY$47,3,MATCH(DB!D179,'Operations Forecast'!$A$2:$BGY$2))</f>
        <v>0</v>
      </c>
      <c r="Z179">
        <f t="shared" si="64"/>
        <v>90</v>
      </c>
      <c r="AA179">
        <f>INDEX('Operations Forecast'!$A$2:$BGY$47,10,MATCH(DB!D179,'Operations Forecast'!$A$2:$BGY$2))</f>
        <v>90</v>
      </c>
      <c r="AB179">
        <f>INDEX('Operations Forecast'!$A$2:$BGY$47,21,MATCH(DB!D179,'Operations Forecast'!$A$2:$BGY$2))</f>
        <v>0</v>
      </c>
      <c r="AC179" s="312">
        <f>SUM(DB[[#This Row],[Act-Orders-Collect]:[Act-Orders-HD]])</f>
        <v>90</v>
      </c>
      <c r="AD179" s="858">
        <f>IFERROR(INDEX('Operations Forecast_new'!$7:$7,MATCH(DB[[#This Row],[Datum]],'Operations Forecast_new'!$2:$2,0)),0)</f>
        <v>0</v>
      </c>
      <c r="AE179" s="312">
        <f t="shared" si="65"/>
        <v>90</v>
      </c>
      <c r="AF179" s="858">
        <f>IFERROR(INDEX('Operations Forecast_new'!$13:$13,MATCH(DB[[#This Row],[Datum]],'Operations Forecast_new'!$2:$2,0)),0)</f>
        <v>90</v>
      </c>
      <c r="AG179" s="858">
        <f>IFERROR(INDEX('Operations Forecast_new'!$19:$19,MATCH(DB[[#This Row],[Datum]],'Operations Forecast_new'!$2:$2,0)),0)</f>
        <v>0</v>
      </c>
      <c r="AH179" s="312">
        <f t="shared" si="55"/>
        <v>4713.3900000000003</v>
      </c>
      <c r="AI179" s="858">
        <f>IFERROR(INDEX('Operations Forecast_new'!$9:$9,MATCH(DB[[#This Row],[Datum]],'Operations Forecast_new'!$2:$2,0)),0)</f>
        <v>0</v>
      </c>
      <c r="AJ179" s="312">
        <f t="shared" si="66"/>
        <v>4713.3900000000003</v>
      </c>
      <c r="AK179" s="858">
        <f>IFERROR(INDEX('Operations Forecast_new'!$15:$15,MATCH(DB[[#This Row],[Datum]],'Operations Forecast_new'!$2:$2,0)),0)</f>
        <v>4713.3900000000003</v>
      </c>
      <c r="AL179" s="858">
        <f>IFERROR(INDEX('Operations Forecast_new'!$21:$21,MATCH(DB[[#This Row],[Datum]],'Operations Forecast_new'!$2:$2,0)),0)</f>
        <v>0</v>
      </c>
      <c r="AM179" s="178">
        <f>IFERROR(INDEX('Operations Forecast_new'!$8:$8,MATCH(DB[[#This Row],[Datum]],'Operations Forecast_new'!$2:$2,0)),0)</f>
        <v>0</v>
      </c>
      <c r="AN179" s="859">
        <f>IFERROR(INDEX('Operations Forecast_new'!$20:$20,MATCH(DB[[#This Row],[Datum]],'Operations Forecast_new'!$2:$2,0)),0)</f>
        <v>49.962940324500053</v>
      </c>
      <c r="AO179" s="44" t="str">
        <f t="shared" si="67"/>
        <v>-</v>
      </c>
      <c r="AP179" s="404">
        <f t="shared" si="68"/>
        <v>52.371000000000002</v>
      </c>
      <c r="AQ179" s="44">
        <f t="shared" si="56"/>
        <v>0</v>
      </c>
      <c r="AR179" s="44" cm="1">
        <f t="array" ref="AR179">IFERROR(INDEX('ST Forecast'!$E$2:$RK$36,25,M179)+(INDEX('ST Forecast'!$E$2:$RK$36,29,M179)),"")</f>
        <v>0</v>
      </c>
      <c r="AS179" s="44" cm="1">
        <f t="array" ref="AS179">IFERROR(INDEX('ST Forecast'!$E$2:$RK$36,26,M179)+INDEX('ST Forecast'!$E$2:$RK$36,30,M179),"")</f>
        <v>0</v>
      </c>
      <c r="AT179" s="44" cm="1">
        <f t="array" ref="AT179">IFERROR(INDEX('ST Forecast'!$E$2:$RK$36,27,M179)+INDEX('ST Forecast'!$E$2:$RK$36,31,M179),"")</f>
        <v>0</v>
      </c>
      <c r="AU179" s="44" cm="1">
        <f t="array" ref="AU179">IFERROR(INDEX('ST Forecast'!$E$2:$RK$36,28,M179),"")</f>
        <v>0</v>
      </c>
      <c r="AV179" s="44" cm="1">
        <f t="array" ref="AV179">IFERROR(INDEX('ST Forecast'!$E$2:$RK$36,29,M179),"")</f>
        <v>0</v>
      </c>
      <c r="AW179" s="44">
        <f>DB[[#This Row],[Inbound FC]]-DB[[#This Row],[Inbound Act - Ultrafresh2]]</f>
        <v>0</v>
      </c>
      <c r="AX179" s="178" t="e">
        <f>#REF!</f>
        <v>#REF!</v>
      </c>
      <c r="AY179" s="178" t="e">
        <f>#REF!</f>
        <v>#REF!</v>
      </c>
      <c r="AZ179" s="178" t="e">
        <f>#REF!</f>
        <v>#REF!</v>
      </c>
      <c r="BA179" s="178">
        <f>MONTH(DB[[#This Row],[Datum]])</f>
        <v>6</v>
      </c>
    </row>
    <row r="180" spans="1:53" x14ac:dyDescent="0.3">
      <c r="A180" s="44">
        <f t="shared" si="57"/>
        <v>26</v>
      </c>
      <c r="B180" t="str">
        <f t="shared" si="58"/>
        <v>Wk 26</v>
      </c>
      <c r="C180" t="s">
        <v>113</v>
      </c>
      <c r="D180" s="313">
        <v>44739</v>
      </c>
      <c r="E180" s="44">
        <f>DB[[#This Row],[Sales-FC-Orders-Collect]]+DB[[#This Row],[Sales-FC-Orders-HD]]</f>
        <v>2275</v>
      </c>
      <c r="F180" s="402">
        <f>INDEX('LT Collect Forecast'!$K$1:$Q$55,MATCH(B180,'LT Collect Forecast'!$A:$A,0),MATCH(C180,'LT Collect Forecast'!$K$2:$Q$2,0))</f>
        <v>675</v>
      </c>
      <c r="G180" s="44">
        <f>INDEX('LT HD Forecast'!$K$1:$Q$55,MATCH(B180,'LT HD Forecast'!$A:$A,0),MATCH(C180,'LT HD Forecast'!$K$2:$Q$2,0))</f>
        <v>1600</v>
      </c>
      <c r="H180" s="44" cm="1">
        <f t="array" ref="H180">IFERROR(INDEX('ST Forecast'!$E$2:$RK$36,6,M180),"")</f>
        <v>46.580090771610067</v>
      </c>
      <c r="I180" s="44" cm="1">
        <f t="array" ref="I180">IFERROR(INDEX('ST Forecast'!$E$2:$RK$36,7,M180),"")</f>
        <v>49.215645406251717</v>
      </c>
      <c r="J180" s="44">
        <f>SUM(DB[[#This Row],[Sales-FC-Picks-Collect]:[Sales-FC-Picks-HD]])</f>
        <v>110186.59392083954</v>
      </c>
      <c r="K180" s="44">
        <f t="shared" si="53"/>
        <v>31441.561270836795</v>
      </c>
      <c r="L180" s="44">
        <f t="shared" si="54"/>
        <v>78745.032650002744</v>
      </c>
      <c r="M180" s="403">
        <f>IFERROR(IF(B180=B179,M179+1,MATCH(B180,'ST Forecast'!$E$2:$RK$2,0)+1),"")</f>
        <v>202</v>
      </c>
      <c r="N180">
        <f>SUM(DB[[#This Row],[Ops-FC-Orders-Collect]:[Ops-FC-Orders-HD]])</f>
        <v>2325</v>
      </c>
      <c r="O180" s="44" cm="1">
        <f t="array" ref="O180">IFERROR(INDEX('ST Forecast'!$E$2:$RK$36,13,M180),"")</f>
        <v>675</v>
      </c>
      <c r="P180" s="44">
        <f t="shared" si="59"/>
        <v>1650</v>
      </c>
      <c r="Q180" s="44" cm="1">
        <f t="array" ref="Q180">IFERROR(INDEX('ST Forecast'!$E$2:$RK$36,14,M180),"")</f>
        <v>700</v>
      </c>
      <c r="R180" s="44" cm="1">
        <f t="array" ref="R180">IFERROR(INDEX('ST Forecast'!$E$2:$RK$36,15,M180),"")</f>
        <v>950</v>
      </c>
      <c r="S180" s="312">
        <f>SUM(DB[[#This Row],[Ops-FC-Picks-Collect]:[Ops-FC-Picks-HD]])</f>
        <v>110394.42866732908</v>
      </c>
      <c r="T180" s="44">
        <f t="shared" si="60"/>
        <v>30812.730045420059</v>
      </c>
      <c r="U180" s="44">
        <f t="shared" si="61"/>
        <v>79581.698621909018</v>
      </c>
      <c r="V180" s="44">
        <f t="shared" si="62"/>
        <v>33761.932748688676</v>
      </c>
      <c r="W180" s="404">
        <f t="shared" si="63"/>
        <v>45819.765873220349</v>
      </c>
      <c r="X180" s="44">
        <f>SUM(DB[[#This Row],[Capped-Orders-Collect]:[Capped-Orders-HD]])</f>
        <v>90</v>
      </c>
      <c r="Y180">
        <f>INDEX('Operations Forecast'!$A$2:$BGY$47,3,MATCH(DB!D180,'Operations Forecast'!$A$2:$BGY$2))</f>
        <v>0</v>
      </c>
      <c r="Z180">
        <f t="shared" si="64"/>
        <v>90</v>
      </c>
      <c r="AA180">
        <f>INDEX('Operations Forecast'!$A$2:$BGY$47,10,MATCH(DB!D180,'Operations Forecast'!$A$2:$BGY$2))</f>
        <v>90</v>
      </c>
      <c r="AB180">
        <f>INDEX('Operations Forecast'!$A$2:$BGY$47,21,MATCH(DB!D180,'Operations Forecast'!$A$2:$BGY$2))</f>
        <v>0</v>
      </c>
      <c r="AC180" s="312">
        <f>SUM(DB[[#This Row],[Act-Orders-Collect]:[Act-Orders-HD]])</f>
        <v>2326</v>
      </c>
      <c r="AD180" s="858">
        <f>IFERROR(INDEX('Operations Forecast_new'!$7:$7,MATCH(DB[[#This Row],[Datum]],'Operations Forecast_new'!$2:$2,0)),0)</f>
        <v>600</v>
      </c>
      <c r="AE180" s="312">
        <f t="shared" si="65"/>
        <v>1726</v>
      </c>
      <c r="AF180" s="858">
        <f>IFERROR(INDEX('Operations Forecast_new'!$13:$13,MATCH(DB[[#This Row],[Datum]],'Operations Forecast_new'!$2:$2,0)),0)</f>
        <v>710</v>
      </c>
      <c r="AG180" s="858">
        <f>IFERROR(INDEX('Operations Forecast_new'!$19:$19,MATCH(DB[[#This Row],[Datum]],'Operations Forecast_new'!$2:$2,0)),0)</f>
        <v>1016</v>
      </c>
      <c r="AH180" s="312">
        <f t="shared" si="55"/>
        <v>114149.178</v>
      </c>
      <c r="AI180" s="858">
        <f>IFERROR(INDEX('Operations Forecast_new'!$9:$9,MATCH(DB[[#This Row],[Datum]],'Operations Forecast_new'!$2:$2,0)),0)</f>
        <v>29224.799999999999</v>
      </c>
      <c r="AJ180" s="312">
        <f t="shared" si="66"/>
        <v>84924.377999999997</v>
      </c>
      <c r="AK180" s="858">
        <f>IFERROR(INDEX('Operations Forecast_new'!$15:$15,MATCH(DB[[#This Row],[Datum]],'Operations Forecast_new'!$2:$2,0)),0)</f>
        <v>34934.129999999997</v>
      </c>
      <c r="AL180" s="858">
        <f>IFERROR(INDEX('Operations Forecast_new'!$21:$21,MATCH(DB[[#This Row],[Datum]],'Operations Forecast_new'!$2:$2,0)),0)</f>
        <v>49990.248000000007</v>
      </c>
      <c r="AM180" s="178">
        <f>IFERROR(INDEX('Operations Forecast_new'!$8:$8,MATCH(DB[[#This Row],[Datum]],'Operations Forecast_new'!$2:$2,0)),0)</f>
        <v>49.2</v>
      </c>
      <c r="AN180" s="859">
        <f>IFERROR(INDEX('Operations Forecast_new'!$20:$20,MATCH(DB[[#This Row],[Datum]],'Operations Forecast_new'!$2:$2,0)),0)</f>
        <v>49.7</v>
      </c>
      <c r="AO180" s="44">
        <f t="shared" si="67"/>
        <v>48.707999999999998</v>
      </c>
      <c r="AP180" s="404">
        <f t="shared" si="68"/>
        <v>49.202999999999996</v>
      </c>
      <c r="AQ180" s="44">
        <f t="shared" si="56"/>
        <v>212380.00000000006</v>
      </c>
      <c r="AR180" s="44" cm="1">
        <f t="array" ref="AR180">IFERROR(INDEX('ST Forecast'!$E$2:$RK$36,25,M180)+(INDEX('ST Forecast'!$E$2:$RK$36,29,M180)),"")</f>
        <v>92933.849442223727</v>
      </c>
      <c r="AS180" s="44" cm="1">
        <f t="array" ref="AS180">IFERROR(INDEX('ST Forecast'!$E$2:$RK$36,26,M180)+INDEX('ST Forecast'!$E$2:$RK$36,30,M180),"")</f>
        <v>58510.79995383606</v>
      </c>
      <c r="AT180" s="44" cm="1">
        <f t="array" ref="AT180">IFERROR(INDEX('ST Forecast'!$E$2:$RK$36,27,M180)+INDEX('ST Forecast'!$E$2:$RK$36,31,M180),"")</f>
        <v>52409.118119026229</v>
      </c>
      <c r="AU180" s="44" cm="1">
        <f t="array" ref="AU180">IFERROR(INDEX('ST Forecast'!$E$2:$RK$36,28,M180),"")</f>
        <v>8526.2324849140023</v>
      </c>
      <c r="AV180" s="44" cm="1">
        <f t="array" ref="AV180">IFERROR(INDEX('ST Forecast'!$E$2:$RK$36,29,M180),"")</f>
        <v>0</v>
      </c>
      <c r="AW180" s="44">
        <f>DB[[#This Row],[Inbound FC]]-DB[[#This Row],[Inbound Act - Ultrafresh2]]</f>
        <v>212380.00000000006</v>
      </c>
      <c r="AX180" s="178" t="e">
        <f>#REF!</f>
        <v>#REF!</v>
      </c>
      <c r="AY180" s="178" t="e">
        <f>#REF!</f>
        <v>#REF!</v>
      </c>
      <c r="AZ180" s="178" t="e">
        <f>#REF!</f>
        <v>#REF!</v>
      </c>
      <c r="BA180" s="178">
        <f>MONTH(DB[[#This Row],[Datum]])</f>
        <v>6</v>
      </c>
    </row>
    <row r="181" spans="1:53" x14ac:dyDescent="0.3">
      <c r="A181" s="44">
        <f t="shared" si="57"/>
        <v>26</v>
      </c>
      <c r="B181" t="str">
        <f t="shared" si="58"/>
        <v>Wk 26</v>
      </c>
      <c r="C181" t="s">
        <v>114</v>
      </c>
      <c r="D181" s="313">
        <v>44740</v>
      </c>
      <c r="E181" s="44">
        <f>DB[[#This Row],[Sales-FC-Orders-Collect]]+DB[[#This Row],[Sales-FC-Orders-HD]]</f>
        <v>2600</v>
      </c>
      <c r="F181" s="402">
        <f>INDEX('LT Collect Forecast'!$K$1:$Q$55,MATCH(B181,'LT Collect Forecast'!$A:$A,0),MATCH(C181,'LT Collect Forecast'!$K$2:$Q$2,0))</f>
        <v>600</v>
      </c>
      <c r="G181" s="44">
        <f>INDEX('LT HD Forecast'!$K$1:$Q$55,MATCH(B181,'LT HD Forecast'!$A:$A,0),MATCH(C181,'LT HD Forecast'!$K$2:$Q$2,0))</f>
        <v>2000</v>
      </c>
      <c r="H181" s="44" cm="1">
        <f t="array" ref="H181">IFERROR(INDEX('ST Forecast'!$E$2:$RK$36,6,M181),"")</f>
        <v>45.101620593940645</v>
      </c>
      <c r="I181" s="44" cm="1">
        <f t="array" ref="I181">IFERROR(INDEX('ST Forecast'!$E$2:$RK$36,7,M181),"")</f>
        <v>48.805169173605563</v>
      </c>
      <c r="J181" s="44">
        <f>SUM(DB[[#This Row],[Sales-FC-Picks-Collect]:[Sales-FC-Picks-HD]])</f>
        <v>124671.31070357552</v>
      </c>
      <c r="K181" s="44">
        <f t="shared" si="53"/>
        <v>27060.972356364386</v>
      </c>
      <c r="L181" s="44">
        <f t="shared" si="54"/>
        <v>97610.338347211131</v>
      </c>
      <c r="M181" s="403">
        <f>IFERROR(IF(B181=B180,M180+1,MATCH(B181,'ST Forecast'!$E$2:$RK$2,0)+1),"")</f>
        <v>203</v>
      </c>
      <c r="N181">
        <f>SUM(DB[[#This Row],[Ops-FC-Orders-Collect]:[Ops-FC-Orders-HD]])</f>
        <v>2600</v>
      </c>
      <c r="O181" s="44" cm="1">
        <f t="array" ref="O181">IFERROR(INDEX('ST Forecast'!$E$2:$RK$36,13,M181),"")</f>
        <v>600</v>
      </c>
      <c r="P181" s="44">
        <f t="shared" si="59"/>
        <v>2000</v>
      </c>
      <c r="Q181" s="44" cm="1">
        <f t="array" ref="Q181">IFERROR(INDEX('ST Forecast'!$E$2:$RK$36,14,M181),"")</f>
        <v>1000</v>
      </c>
      <c r="R181" s="44" cm="1">
        <f t="array" ref="R181">IFERROR(INDEX('ST Forecast'!$E$2:$RK$36,15,M181),"")</f>
        <v>1000</v>
      </c>
      <c r="S181" s="312">
        <f>SUM(DB[[#This Row],[Ops-FC-Picks-Collect]:[Ops-FC-Picks-HD]])</f>
        <v>122177.88448950401</v>
      </c>
      <c r="T181" s="44">
        <f t="shared" si="60"/>
        <v>26519.752909237097</v>
      </c>
      <c r="U181" s="44">
        <f t="shared" si="61"/>
        <v>95658.131580266912</v>
      </c>
      <c r="V181" s="44">
        <f t="shared" si="62"/>
        <v>47829.065790133456</v>
      </c>
      <c r="W181" s="404">
        <f t="shared" si="63"/>
        <v>47829.065790133456</v>
      </c>
      <c r="X181" s="44">
        <f>SUM(DB[[#This Row],[Capped-Orders-Collect]:[Capped-Orders-HD]])</f>
        <v>90</v>
      </c>
      <c r="Y181">
        <f>INDEX('Operations Forecast'!$A$2:$BGY$47,3,MATCH(DB!D181,'Operations Forecast'!$A$2:$BGY$2))</f>
        <v>0</v>
      </c>
      <c r="Z181">
        <f t="shared" si="64"/>
        <v>90</v>
      </c>
      <c r="AA181">
        <f>INDEX('Operations Forecast'!$A$2:$BGY$47,10,MATCH(DB!D181,'Operations Forecast'!$A$2:$BGY$2))</f>
        <v>90</v>
      </c>
      <c r="AB181">
        <f>INDEX('Operations Forecast'!$A$2:$BGY$47,21,MATCH(DB!D181,'Operations Forecast'!$A$2:$BGY$2))</f>
        <v>0</v>
      </c>
      <c r="AC181" s="312">
        <f>SUM(DB[[#This Row],[Act-Orders-Collect]:[Act-Orders-HD]])</f>
        <v>2556</v>
      </c>
      <c r="AD181" s="858">
        <f>IFERROR(INDEX('Operations Forecast_new'!$7:$7,MATCH(DB[[#This Row],[Datum]],'Operations Forecast_new'!$2:$2,0)),0)</f>
        <v>553</v>
      </c>
      <c r="AE181" s="312">
        <f t="shared" si="65"/>
        <v>2003</v>
      </c>
      <c r="AF181" s="858">
        <f>IFERROR(INDEX('Operations Forecast_new'!$13:$13,MATCH(DB[[#This Row],[Datum]],'Operations Forecast_new'!$2:$2,0)),0)</f>
        <v>977</v>
      </c>
      <c r="AG181" s="858">
        <f>IFERROR(INDEX('Operations Forecast_new'!$19:$19,MATCH(DB[[#This Row],[Datum]],'Operations Forecast_new'!$2:$2,0)),0)</f>
        <v>1026</v>
      </c>
      <c r="AH181" s="312">
        <f t="shared" si="55"/>
        <v>121186.09799999998</v>
      </c>
      <c r="AI181" s="858">
        <f>IFERROR(INDEX('Operations Forecast_new'!$9:$9,MATCH(DB[[#This Row],[Datum]],'Operations Forecast_new'!$2:$2,0)),0)</f>
        <v>24417.162</v>
      </c>
      <c r="AJ181" s="312">
        <f t="shared" si="66"/>
        <v>96768.935999999987</v>
      </c>
      <c r="AK181" s="858">
        <f>IFERROR(INDEX('Operations Forecast_new'!$15:$15,MATCH(DB[[#This Row],[Datum]],'Operations Forecast_new'!$2:$2,0)),0)</f>
        <v>47200.824000000001</v>
      </c>
      <c r="AL181" s="858">
        <f>IFERROR(INDEX('Operations Forecast_new'!$21:$21,MATCH(DB[[#This Row],[Datum]],'Operations Forecast_new'!$2:$2,0)),0)</f>
        <v>49568.111999999994</v>
      </c>
      <c r="AM181" s="178">
        <f>IFERROR(INDEX('Operations Forecast_new'!$8:$8,MATCH(DB[[#This Row],[Datum]],'Operations Forecast_new'!$2:$2,0)),0)</f>
        <v>44.6</v>
      </c>
      <c r="AN181" s="859">
        <f>IFERROR(INDEX('Operations Forecast_new'!$20:$20,MATCH(DB[[#This Row],[Datum]],'Operations Forecast_new'!$2:$2,0)),0)</f>
        <v>48.8</v>
      </c>
      <c r="AO181" s="44">
        <f t="shared" si="67"/>
        <v>44.154000000000003</v>
      </c>
      <c r="AP181" s="404">
        <f t="shared" si="68"/>
        <v>48.311999999999991</v>
      </c>
      <c r="AQ181" s="44">
        <f t="shared" si="56"/>
        <v>139002.00000000009</v>
      </c>
      <c r="AR181" s="44" cm="1">
        <f t="array" ref="AR181">IFERROR(INDEX('ST Forecast'!$E$2:$RK$36,25,M181)+(INDEX('ST Forecast'!$E$2:$RK$36,29,M181)),"")</f>
        <v>64308.731551231067</v>
      </c>
      <c r="AS181" s="44" cm="1">
        <f t="array" ref="AS181">IFERROR(INDEX('ST Forecast'!$E$2:$RK$36,26,M181)+INDEX('ST Forecast'!$E$2:$RK$36,30,M181),"")</f>
        <v>60366.179932211337</v>
      </c>
      <c r="AT181" s="44" cm="1">
        <f t="array" ref="AT181">IFERROR(INDEX('ST Forecast'!$E$2:$RK$36,27,M181)+INDEX('ST Forecast'!$E$2:$RK$36,31,M181),"")</f>
        <v>6072.4796199237071</v>
      </c>
      <c r="AU181" s="44" cm="1">
        <f t="array" ref="AU181">IFERROR(INDEX('ST Forecast'!$E$2:$RK$36,28,M181),"")</f>
        <v>8254.6088966339757</v>
      </c>
      <c r="AV181" s="44" cm="1">
        <f t="array" ref="AV181">IFERROR(INDEX('ST Forecast'!$E$2:$RK$36,29,M181),"")</f>
        <v>0</v>
      </c>
      <c r="AW181" s="44">
        <f>DB[[#This Row],[Inbound FC]]-DB[[#This Row],[Inbound Act - Ultrafresh2]]</f>
        <v>139002.00000000009</v>
      </c>
      <c r="AX181" s="178" t="e">
        <f>#REF!</f>
        <v>#REF!</v>
      </c>
      <c r="AY181" s="178" t="e">
        <f>#REF!</f>
        <v>#REF!</v>
      </c>
      <c r="AZ181" s="178" t="e">
        <f>#REF!</f>
        <v>#REF!</v>
      </c>
      <c r="BA181" s="178">
        <f>MONTH(DB[[#This Row],[Datum]])</f>
        <v>6</v>
      </c>
    </row>
    <row r="182" spans="1:53" x14ac:dyDescent="0.3">
      <c r="A182" s="44">
        <f t="shared" si="57"/>
        <v>26</v>
      </c>
      <c r="B182" t="str">
        <f t="shared" si="58"/>
        <v>Wk 26</v>
      </c>
      <c r="C182" t="s">
        <v>115</v>
      </c>
      <c r="D182" s="313">
        <v>44741</v>
      </c>
      <c r="E182" s="44">
        <f>DB[[#This Row],[Sales-FC-Orders-Collect]]+DB[[#This Row],[Sales-FC-Orders-HD]]</f>
        <v>2600</v>
      </c>
      <c r="F182" s="402">
        <f>INDEX('LT Collect Forecast'!$K$1:$Q$55,MATCH(B182,'LT Collect Forecast'!$A:$A,0),MATCH(C182,'LT Collect Forecast'!$K$2:$Q$2,0))</f>
        <v>600</v>
      </c>
      <c r="G182" s="44">
        <f>INDEX('LT HD Forecast'!$K$1:$Q$55,MATCH(B182,'LT HD Forecast'!$A:$A,0),MATCH(C182,'LT HD Forecast'!$K$2:$Q$2,0))</f>
        <v>2000</v>
      </c>
      <c r="H182" s="44" cm="1">
        <f t="array" ref="H182">IFERROR(INDEX('ST Forecast'!$E$2:$RK$36,6,M182),"")</f>
        <v>44.08168722307262</v>
      </c>
      <c r="I182" s="44" cm="1">
        <f t="array" ref="I182">IFERROR(INDEX('ST Forecast'!$E$2:$RK$36,7,M182),"")</f>
        <v>50.071225355730057</v>
      </c>
      <c r="J182" s="44">
        <f>SUM(DB[[#This Row],[Sales-FC-Picks-Collect]:[Sales-FC-Picks-HD]])</f>
        <v>126591.46304530368</v>
      </c>
      <c r="K182" s="44">
        <f t="shared" si="53"/>
        <v>26449.012333843573</v>
      </c>
      <c r="L182" s="44">
        <f t="shared" si="54"/>
        <v>100142.45071146011</v>
      </c>
      <c r="M182" s="403">
        <f>IFERROR(IF(B182=B181,M181+1,MATCH(B182,'ST Forecast'!$E$2:$RK$2,0)+1),"")</f>
        <v>204</v>
      </c>
      <c r="N182">
        <f>SUM(DB[[#This Row],[Ops-FC-Orders-Collect]:[Ops-FC-Orders-HD]])</f>
        <v>2600</v>
      </c>
      <c r="O182" s="44" cm="1">
        <f t="array" ref="O182">IFERROR(INDEX('ST Forecast'!$E$2:$RK$36,13,M182),"")</f>
        <v>600</v>
      </c>
      <c r="P182" s="44">
        <f t="shared" si="59"/>
        <v>2000</v>
      </c>
      <c r="Q182" s="44" cm="1">
        <f t="array" ref="Q182">IFERROR(INDEX('ST Forecast'!$E$2:$RK$36,14,M182),"")</f>
        <v>1000</v>
      </c>
      <c r="R182" s="44" cm="1">
        <f t="array" ref="R182">IFERROR(INDEX('ST Forecast'!$E$2:$RK$36,15,M182),"")</f>
        <v>1000</v>
      </c>
      <c r="S182" s="312">
        <f>SUM(DB[[#This Row],[Ops-FC-Picks-Collect]:[Ops-FC-Picks-HD]])</f>
        <v>124059.63378439762</v>
      </c>
      <c r="T182" s="44">
        <f t="shared" si="60"/>
        <v>25920.032087166703</v>
      </c>
      <c r="U182" s="44">
        <f t="shared" si="61"/>
        <v>98139.601697230915</v>
      </c>
      <c r="V182" s="44">
        <f t="shared" si="62"/>
        <v>49069.800848615458</v>
      </c>
      <c r="W182" s="404">
        <f t="shared" si="63"/>
        <v>49069.800848615458</v>
      </c>
      <c r="X182" s="44">
        <f>SUM(DB[[#This Row],[Capped-Orders-Collect]:[Capped-Orders-HD]])</f>
        <v>90</v>
      </c>
      <c r="Y182">
        <f>INDEX('Operations Forecast'!$A$2:$BGY$47,3,MATCH(DB!D182,'Operations Forecast'!$A$2:$BGY$2))</f>
        <v>0</v>
      </c>
      <c r="Z182">
        <f t="shared" si="64"/>
        <v>90</v>
      </c>
      <c r="AA182">
        <f>INDEX('Operations Forecast'!$A$2:$BGY$47,10,MATCH(DB!D182,'Operations Forecast'!$A$2:$BGY$2))</f>
        <v>90</v>
      </c>
      <c r="AB182">
        <f>INDEX('Operations Forecast'!$A$2:$BGY$47,21,MATCH(DB!D182,'Operations Forecast'!$A$2:$BGY$2))</f>
        <v>0</v>
      </c>
      <c r="AC182" s="312">
        <f>SUM(DB[[#This Row],[Act-Orders-Collect]:[Act-Orders-HD]])</f>
        <v>2384</v>
      </c>
      <c r="AD182" s="858">
        <f>IFERROR(INDEX('Operations Forecast_new'!$7:$7,MATCH(DB[[#This Row],[Datum]],'Operations Forecast_new'!$2:$2,0)),0)</f>
        <v>570</v>
      </c>
      <c r="AE182" s="312">
        <f t="shared" si="65"/>
        <v>1814</v>
      </c>
      <c r="AF182" s="858">
        <f>IFERROR(INDEX('Operations Forecast_new'!$13:$13,MATCH(DB[[#This Row],[Datum]],'Operations Forecast_new'!$2:$2,0)),0)</f>
        <v>965</v>
      </c>
      <c r="AG182" s="858">
        <f>IFERROR(INDEX('Operations Forecast_new'!$19:$19,MATCH(DB[[#This Row],[Datum]],'Operations Forecast_new'!$2:$2,0)),0)</f>
        <v>849</v>
      </c>
      <c r="AH182" s="312">
        <f t="shared" si="55"/>
        <v>118018.69200000001</v>
      </c>
      <c r="AI182" s="858">
        <f>IFERROR(INDEX('Operations Forecast_new'!$9:$9,MATCH(DB[[#This Row],[Datum]],'Operations Forecast_new'!$2:$2,0)),0)</f>
        <v>26070.66</v>
      </c>
      <c r="AJ182" s="312">
        <f t="shared" si="66"/>
        <v>91948.032000000007</v>
      </c>
      <c r="AK182" s="858">
        <f>IFERROR(INDEX('Operations Forecast_new'!$15:$15,MATCH(DB[[#This Row],[Datum]],'Operations Forecast_new'!$2:$2,0)),0)</f>
        <v>48913.919999999998</v>
      </c>
      <c r="AL182" s="858">
        <f>IFERROR(INDEX('Operations Forecast_new'!$21:$21,MATCH(DB[[#This Row],[Datum]],'Operations Forecast_new'!$2:$2,0)),0)</f>
        <v>43034.112000000001</v>
      </c>
      <c r="AM182" s="178">
        <f>IFERROR(INDEX('Operations Forecast_new'!$8:$8,MATCH(DB[[#This Row],[Datum]],'Operations Forecast_new'!$2:$2,0)),0)</f>
        <v>46.2</v>
      </c>
      <c r="AN182" s="859">
        <f>IFERROR(INDEX('Operations Forecast_new'!$20:$20,MATCH(DB[[#This Row],[Datum]],'Operations Forecast_new'!$2:$2,0)),0)</f>
        <v>51.2</v>
      </c>
      <c r="AO182" s="44">
        <f t="shared" si="67"/>
        <v>45.738</v>
      </c>
      <c r="AP182" s="404">
        <f t="shared" si="68"/>
        <v>50.688000000000002</v>
      </c>
      <c r="AQ182" s="44">
        <f t="shared" si="56"/>
        <v>138639.22960000008</v>
      </c>
      <c r="AR182" s="44" cm="1">
        <f t="array" ref="AR182">IFERROR(INDEX('ST Forecast'!$E$2:$RK$36,25,M182)+(INDEX('ST Forecast'!$E$2:$RK$36,29,M182)),"")</f>
        <v>59022.644374550386</v>
      </c>
      <c r="AS182" s="44" cm="1">
        <f t="array" ref="AS182">IFERROR(INDEX('ST Forecast'!$E$2:$RK$36,26,M182)+INDEX('ST Forecast'!$E$2:$RK$36,30,M182),"")</f>
        <v>58396.82231473775</v>
      </c>
      <c r="AT182" s="44" cm="1">
        <f t="array" ref="AT182">IFERROR(INDEX('ST Forecast'!$E$2:$RK$36,27,M182)+INDEX('ST Forecast'!$E$2:$RK$36,31,M182),"")</f>
        <v>12722.23481480953</v>
      </c>
      <c r="AU182" s="44" cm="1">
        <f t="array" ref="AU182">IFERROR(INDEX('ST Forecast'!$E$2:$RK$36,28,M182),"")</f>
        <v>8497.5280959024185</v>
      </c>
      <c r="AV182" s="44" cm="1">
        <f t="array" ref="AV182">IFERROR(INDEX('ST Forecast'!$E$2:$RK$36,29,M182),"")</f>
        <v>0</v>
      </c>
      <c r="AW182" s="44">
        <f>DB[[#This Row],[Inbound FC]]-DB[[#This Row],[Inbound Act - Ultrafresh2]]</f>
        <v>138639.22960000008</v>
      </c>
      <c r="AX182" s="178" t="e">
        <f>#REF!</f>
        <v>#REF!</v>
      </c>
      <c r="AY182" s="178" t="e">
        <f>#REF!</f>
        <v>#REF!</v>
      </c>
      <c r="AZ182" s="178" t="e">
        <f>#REF!</f>
        <v>#REF!</v>
      </c>
      <c r="BA182" s="178">
        <f>MONTH(DB[[#This Row],[Datum]])</f>
        <v>6</v>
      </c>
    </row>
    <row r="183" spans="1:53" x14ac:dyDescent="0.3">
      <c r="A183" s="44">
        <f t="shared" si="57"/>
        <v>26</v>
      </c>
      <c r="B183" t="str">
        <f t="shared" si="58"/>
        <v>Wk 26</v>
      </c>
      <c r="C183" t="s">
        <v>116</v>
      </c>
      <c r="D183" s="313">
        <v>44742</v>
      </c>
      <c r="E183" s="44">
        <f>DB[[#This Row],[Sales-FC-Orders-Collect]]+DB[[#This Row],[Sales-FC-Orders-HD]]</f>
        <v>2450</v>
      </c>
      <c r="F183" s="402" cm="1">
        <f t="array" ref="F183">INDEX('LT Collect Forecast'!$K$1:$Q$55,MATCH(B183,'LT Collect Forecast'!$A:$A,0)+1,MATCH(C183,'LT Collect Forecast'!$K$2:$Q$2,0))</f>
        <v>600</v>
      </c>
      <c r="G183" s="44" cm="1">
        <f t="array" ref="G183">INDEX('LT HD Forecast'!$K$1:$Q$55,MATCH(B183,'LT HD Forecast'!$A:$A,0)+1,MATCH(C183,'LT HD Forecast'!$K$2:$Q$2,0))</f>
        <v>1850</v>
      </c>
      <c r="H183" s="44" cm="1">
        <f t="array" ref="H183">IFERROR(INDEX('ST Forecast'!$E$2:$RK$36,6,M183),"")</f>
        <v>45.310992465385787</v>
      </c>
      <c r="I183" s="44" cm="1">
        <f t="array" ref="I183">IFERROR(INDEX('ST Forecast'!$E$2:$RK$36,7,M183),"")</f>
        <v>50.355246125526953</v>
      </c>
      <c r="J183" s="44">
        <f>SUM(DB[[#This Row],[Sales-FC-Picks-Collect]:[Sales-FC-Picks-HD]])</f>
        <v>120343.80081145634</v>
      </c>
      <c r="K183" s="44">
        <f t="shared" si="53"/>
        <v>27186.595479231473</v>
      </c>
      <c r="L183" s="44">
        <f t="shared" si="54"/>
        <v>93157.205332224868</v>
      </c>
      <c r="M183" s="403">
        <f>IFERROR(IF(B183=B182,M182+1,MATCH(B183,'ST Forecast'!$E$2:$RK$2,0)+1),"")</f>
        <v>205</v>
      </c>
      <c r="N183">
        <f>SUM(DB[[#This Row],[Ops-FC-Orders-Collect]:[Ops-FC-Orders-HD]])</f>
        <v>2450</v>
      </c>
      <c r="O183" s="44" cm="1">
        <f t="array" ref="O183">IFERROR(INDEX('ST Forecast'!$E$2:$RK$36,13,M183),"")</f>
        <v>600</v>
      </c>
      <c r="P183" s="44">
        <f t="shared" si="59"/>
        <v>1850</v>
      </c>
      <c r="Q183" s="44" cm="1">
        <f t="array" ref="Q183">IFERROR(INDEX('ST Forecast'!$E$2:$RK$36,14,M183),"")</f>
        <v>900</v>
      </c>
      <c r="R183" s="44" cm="1">
        <f t="array" ref="R183">IFERROR(INDEX('ST Forecast'!$E$2:$RK$36,15,M183),"")</f>
        <v>950</v>
      </c>
      <c r="S183" s="312">
        <f>SUM(DB[[#This Row],[Ops-FC-Picks-Collect]:[Ops-FC-Picks-HD]])</f>
        <v>117936.92479522721</v>
      </c>
      <c r="T183" s="44">
        <f t="shared" si="60"/>
        <v>26642.863569646845</v>
      </c>
      <c r="U183" s="44">
        <f t="shared" si="61"/>
        <v>91294.061225580372</v>
      </c>
      <c r="V183" s="44">
        <f t="shared" si="62"/>
        <v>44413.327082714779</v>
      </c>
      <c r="W183" s="404">
        <f t="shared" si="63"/>
        <v>46880.734142865593</v>
      </c>
      <c r="X183" s="44">
        <f>SUM(DB[[#This Row],[Capped-Orders-Collect]:[Capped-Orders-HD]])</f>
        <v>90</v>
      </c>
      <c r="Y183">
        <f>INDEX('Operations Forecast'!$A$2:$BGY$47,3,MATCH(DB!D183,'Operations Forecast'!$A$2:$BGY$2))</f>
        <v>0</v>
      </c>
      <c r="Z183">
        <f t="shared" si="64"/>
        <v>90</v>
      </c>
      <c r="AA183">
        <f>INDEX('Operations Forecast'!$A$2:$BGY$47,10,MATCH(DB!D183,'Operations Forecast'!$A$2:$BGY$2))</f>
        <v>90</v>
      </c>
      <c r="AB183">
        <f>INDEX('Operations Forecast'!$A$2:$BGY$47,21,MATCH(DB!D183,'Operations Forecast'!$A$2:$BGY$2))</f>
        <v>0</v>
      </c>
      <c r="AC183" s="312">
        <f>SUM(DB[[#This Row],[Act-Orders-Collect]:[Act-Orders-HD]])</f>
        <v>2407</v>
      </c>
      <c r="AD183" s="858">
        <f>IFERROR(INDEX('Operations Forecast_new'!$7:$7,MATCH(DB[[#This Row],[Datum]],'Operations Forecast_new'!$2:$2,0)),0)</f>
        <v>562</v>
      </c>
      <c r="AE183" s="312">
        <f t="shared" si="65"/>
        <v>1845</v>
      </c>
      <c r="AF183" s="858">
        <f>IFERROR(INDEX('Operations Forecast_new'!$13:$13,MATCH(DB[[#This Row],[Datum]],'Operations Forecast_new'!$2:$2,0)),0)</f>
        <v>954</v>
      </c>
      <c r="AG183" s="858">
        <f>IFERROR(INDEX('Operations Forecast_new'!$19:$19,MATCH(DB[[#This Row],[Datum]],'Operations Forecast_new'!$2:$2,0)),0)</f>
        <v>891</v>
      </c>
      <c r="AH183" s="312">
        <f t="shared" si="55"/>
        <v>118318.167</v>
      </c>
      <c r="AI183" s="858">
        <f>IFERROR(INDEX('Operations Forecast_new'!$9:$9,MATCH(DB[[#This Row],[Datum]],'Operations Forecast_new'!$2:$2,0)),0)</f>
        <v>24981.462</v>
      </c>
      <c r="AJ183" s="312">
        <f t="shared" si="66"/>
        <v>93336.705000000002</v>
      </c>
      <c r="AK183" s="858">
        <f>IFERROR(INDEX('Operations Forecast_new'!$15:$15,MATCH(DB[[#This Row],[Datum]],'Operations Forecast_new'!$2:$2,0)),0)</f>
        <v>48261.906000000003</v>
      </c>
      <c r="AL183" s="858">
        <f>IFERROR(INDEX('Operations Forecast_new'!$21:$21,MATCH(DB[[#This Row],[Datum]],'Operations Forecast_new'!$2:$2,0)),0)</f>
        <v>45074.798999999999</v>
      </c>
      <c r="AM183" s="178">
        <f>IFERROR(INDEX('Operations Forecast_new'!$8:$8,MATCH(DB[[#This Row],[Datum]],'Operations Forecast_new'!$2:$2,0)),0)</f>
        <v>44.9</v>
      </c>
      <c r="AN183" s="859">
        <f>IFERROR(INDEX('Operations Forecast_new'!$20:$20,MATCH(DB[[#This Row],[Datum]],'Operations Forecast_new'!$2:$2,0)),0)</f>
        <v>51.1</v>
      </c>
      <c r="AO183" s="44">
        <f t="shared" si="67"/>
        <v>44.451000000000001</v>
      </c>
      <c r="AP183" s="404">
        <f t="shared" si="68"/>
        <v>50.588999999999999</v>
      </c>
      <c r="AQ183" s="44">
        <f t="shared" si="56"/>
        <v>126571.00000000007</v>
      </c>
      <c r="AR183" s="44" cm="1">
        <f t="array" ref="AR183">IFERROR(INDEX('ST Forecast'!$E$2:$RK$36,25,M183)+(INDEX('ST Forecast'!$E$2:$RK$36,29,M183)),"")</f>
        <v>55547.370004981385</v>
      </c>
      <c r="AS183" s="44" cm="1">
        <f t="array" ref="AS183">IFERROR(INDEX('ST Forecast'!$E$2:$RK$36,26,M183)+INDEX('ST Forecast'!$E$2:$RK$36,30,M183),"")</f>
        <v>53039.374505481428</v>
      </c>
      <c r="AT183" s="44" cm="1">
        <f t="array" ref="AT183">IFERROR(INDEX('ST Forecast'!$E$2:$RK$36,27,M183)+INDEX('ST Forecast'!$E$2:$RK$36,31,M183),"")</f>
        <v>9215.0486289274795</v>
      </c>
      <c r="AU183" s="44" cm="1">
        <f t="array" ref="AU183">IFERROR(INDEX('ST Forecast'!$E$2:$RK$36,28,M183),"")</f>
        <v>8769.2068606097691</v>
      </c>
      <c r="AV183" s="44" cm="1">
        <f t="array" ref="AV183">IFERROR(INDEX('ST Forecast'!$E$2:$RK$36,29,M183),"")</f>
        <v>0</v>
      </c>
      <c r="AW183" s="44">
        <f>DB[[#This Row],[Inbound FC]]-DB[[#This Row],[Inbound Act - Ultrafresh2]]</f>
        <v>126571.00000000007</v>
      </c>
      <c r="AX183" s="178" t="e">
        <f>#REF!</f>
        <v>#REF!</v>
      </c>
      <c r="AY183" s="178" t="e">
        <f>#REF!</f>
        <v>#REF!</v>
      </c>
      <c r="AZ183" s="178" t="e">
        <f>#REF!</f>
        <v>#REF!</v>
      </c>
      <c r="BA183" s="178">
        <f>MONTH(DB[[#This Row],[Datum]])</f>
        <v>6</v>
      </c>
    </row>
    <row r="184" spans="1:53" x14ac:dyDescent="0.3">
      <c r="A184" s="44">
        <f t="shared" si="57"/>
        <v>26</v>
      </c>
      <c r="B184" t="str">
        <f t="shared" si="58"/>
        <v>Wk 26</v>
      </c>
      <c r="C184" t="s">
        <v>117</v>
      </c>
      <c r="D184" s="313">
        <v>44743</v>
      </c>
      <c r="E184" s="44">
        <f>DB[[#This Row],[Sales-FC-Orders-Collect]]+DB[[#This Row],[Sales-FC-Orders-HD]]</f>
        <v>3000</v>
      </c>
      <c r="F184" s="402" cm="1">
        <f t="array" ref="F184">INDEX('LT Collect Forecast'!$K$1:$Q$55,MATCH(B184,'LT Collect Forecast'!$A:$A,0)+1,MATCH(C184,'LT Collect Forecast'!$K$2:$Q$2,0))</f>
        <v>1050</v>
      </c>
      <c r="G184" s="44" cm="1">
        <f t="array" ref="G184">INDEX('LT HD Forecast'!$K$1:$Q$55,MATCH(B184,'LT HD Forecast'!$A:$A,0)+1,MATCH(C184,'LT HD Forecast'!$K$2:$Q$2,0))</f>
        <v>1950</v>
      </c>
      <c r="H184" s="44" cm="1">
        <f t="array" ref="H184">IFERROR(INDEX('ST Forecast'!$E$2:$RK$36,6,M184),"")</f>
        <v>51.237509277053853</v>
      </c>
      <c r="I184" s="44" cm="1">
        <f t="array" ref="I184">IFERROR(INDEX('ST Forecast'!$E$2:$RK$36,7,M184),"")</f>
        <v>51.61945677583217</v>
      </c>
      <c r="J184" s="44">
        <f>SUM(DB[[#This Row],[Sales-FC-Picks-Collect]:[Sales-FC-Picks-HD]])</f>
        <v>154457.32545377928</v>
      </c>
      <c r="K184" s="44">
        <f t="shared" si="53"/>
        <v>53799.384740906542</v>
      </c>
      <c r="L184" s="44">
        <f t="shared" si="54"/>
        <v>100657.94071287273</v>
      </c>
      <c r="M184" s="403">
        <f>IFERROR(IF(B184=B183,M183+1,MATCH(B184,'ST Forecast'!$E$2:$RK$2,0)+1),"")</f>
        <v>206</v>
      </c>
      <c r="N184">
        <f>SUM(DB[[#This Row],[Ops-FC-Orders-Collect]:[Ops-FC-Orders-HD]])</f>
        <v>3000</v>
      </c>
      <c r="O184" s="44" cm="1">
        <f t="array" ref="O184">IFERROR(INDEX('ST Forecast'!$E$2:$RK$36,13,M184),"")</f>
        <v>1050</v>
      </c>
      <c r="P184" s="44">
        <f t="shared" si="59"/>
        <v>1950</v>
      </c>
      <c r="Q184" s="44" cm="1">
        <f t="array" ref="Q184">IFERROR(INDEX('ST Forecast'!$E$2:$RK$36,14,M184),"")</f>
        <v>950</v>
      </c>
      <c r="R184" s="44" cm="1">
        <f t="array" ref="R184">IFERROR(INDEX('ST Forecast'!$E$2:$RK$36,15,M184),"")</f>
        <v>1000</v>
      </c>
      <c r="S184" s="312">
        <f>SUM(DB[[#This Row],[Ops-FC-Picks-Collect]:[Ops-FC-Picks-HD]])</f>
        <v>151368.17894470369</v>
      </c>
      <c r="T184" s="44">
        <f t="shared" si="60"/>
        <v>52723.397046088408</v>
      </c>
      <c r="U184" s="44">
        <f t="shared" si="61"/>
        <v>98644.781898615271</v>
      </c>
      <c r="V184" s="44">
        <f t="shared" si="62"/>
        <v>48057.714258299748</v>
      </c>
      <c r="W184" s="404">
        <f t="shared" si="63"/>
        <v>50587.06764031553</v>
      </c>
      <c r="X184" s="44">
        <f>SUM(DB[[#This Row],[Capped-Orders-Collect]:[Capped-Orders-HD]])</f>
        <v>90</v>
      </c>
      <c r="Y184">
        <f>INDEX('Operations Forecast'!$A$2:$BGY$47,3,MATCH(DB!D184,'Operations Forecast'!$A$2:$BGY$2))</f>
        <v>0</v>
      </c>
      <c r="Z184">
        <f t="shared" si="64"/>
        <v>90</v>
      </c>
      <c r="AA184">
        <f>INDEX('Operations Forecast'!$A$2:$BGY$47,10,MATCH(DB!D184,'Operations Forecast'!$A$2:$BGY$2))</f>
        <v>90</v>
      </c>
      <c r="AB184">
        <f>INDEX('Operations Forecast'!$A$2:$BGY$47,21,MATCH(DB!D184,'Operations Forecast'!$A$2:$BGY$2))</f>
        <v>0</v>
      </c>
      <c r="AC184" s="312">
        <f>SUM(DB[[#This Row],[Act-Orders-Collect]:[Act-Orders-HD]])</f>
        <v>2711</v>
      </c>
      <c r="AD184" s="858">
        <f>IFERROR(INDEX('Operations Forecast_new'!$7:$7,MATCH(DB[[#This Row],[Datum]],'Operations Forecast_new'!$2:$2,0)),0)</f>
        <v>838</v>
      </c>
      <c r="AE184" s="312">
        <f t="shared" si="65"/>
        <v>1873</v>
      </c>
      <c r="AF184" s="858">
        <f>IFERROR(INDEX('Operations Forecast_new'!$13:$13,MATCH(DB[[#This Row],[Datum]],'Operations Forecast_new'!$2:$2,0)),0)</f>
        <v>1088</v>
      </c>
      <c r="AG184" s="858">
        <f>IFERROR(INDEX('Operations Forecast_new'!$19:$19,MATCH(DB[[#This Row],[Datum]],'Operations Forecast_new'!$2:$2,0)),0)</f>
        <v>785</v>
      </c>
      <c r="AH184" s="312">
        <f t="shared" si="55"/>
        <v>141289.63199999998</v>
      </c>
      <c r="AI184" s="858">
        <f>IFERROR(INDEX('Operations Forecast_new'!$9:$9,MATCH(DB[[#This Row],[Datum]],'Operations Forecast_new'!$2:$2,0)),0)</f>
        <v>42642.467999999993</v>
      </c>
      <c r="AJ184" s="312">
        <f t="shared" si="66"/>
        <v>98647.164000000004</v>
      </c>
      <c r="AK184" s="858">
        <f>IFERROR(INDEX('Operations Forecast_new'!$15:$15,MATCH(DB[[#This Row],[Datum]],'Operations Forecast_new'!$2:$2,0)),0)</f>
        <v>57302.784000000007</v>
      </c>
      <c r="AL184" s="858">
        <f>IFERROR(INDEX('Operations Forecast_new'!$21:$21,MATCH(DB[[#This Row],[Datum]],'Operations Forecast_new'!$2:$2,0)),0)</f>
        <v>41344.379999999997</v>
      </c>
      <c r="AM184" s="178">
        <f>IFERROR(INDEX('Operations Forecast_new'!$8:$8,MATCH(DB[[#This Row],[Datum]],'Operations Forecast_new'!$2:$2,0)),0)</f>
        <v>51.4</v>
      </c>
      <c r="AN184" s="859">
        <f>IFERROR(INDEX('Operations Forecast_new'!$20:$20,MATCH(DB[[#This Row],[Datum]],'Operations Forecast_new'!$2:$2,0)),0)</f>
        <v>53.2</v>
      </c>
      <c r="AO184" s="44">
        <f t="shared" si="67"/>
        <v>50.885999999999996</v>
      </c>
      <c r="AP184" s="404">
        <f t="shared" si="68"/>
        <v>52.667999999999999</v>
      </c>
      <c r="AQ184" s="44">
        <f t="shared" si="56"/>
        <v>119718.00000000007</v>
      </c>
      <c r="AR184" s="44" cm="1">
        <f t="array" ref="AR184">IFERROR(INDEX('ST Forecast'!$E$2:$RK$36,25,M184)+(INDEX('ST Forecast'!$E$2:$RK$36,29,M184)),"")</f>
        <v>52992.704386485675</v>
      </c>
      <c r="AS184" s="44" cm="1">
        <f t="array" ref="AS184">IFERROR(INDEX('ST Forecast'!$E$2:$RK$36,26,M184)+INDEX('ST Forecast'!$E$2:$RK$36,30,M184),"")</f>
        <v>53055.400967464047</v>
      </c>
      <c r="AT184" s="44" cm="1">
        <f t="array" ref="AT184">IFERROR(INDEX('ST Forecast'!$E$2:$RK$36,27,M184)+INDEX('ST Forecast'!$E$2:$RK$36,31,M184),"")</f>
        <v>5230.0334897197617</v>
      </c>
      <c r="AU184" s="44" cm="1">
        <f t="array" ref="AU184">IFERROR(INDEX('ST Forecast'!$E$2:$RK$36,28,M184),"")</f>
        <v>8439.8611563305913</v>
      </c>
      <c r="AV184" s="44" cm="1">
        <f t="array" ref="AV184">IFERROR(INDEX('ST Forecast'!$E$2:$RK$36,29,M184),"")</f>
        <v>0</v>
      </c>
      <c r="AW184" s="44">
        <f>DB[[#This Row],[Inbound FC]]-DB[[#This Row],[Inbound Act - Ultrafresh2]]</f>
        <v>119718.00000000007</v>
      </c>
      <c r="AX184" s="178" t="e">
        <f>#REF!</f>
        <v>#REF!</v>
      </c>
      <c r="AY184" s="178" t="e">
        <f>#REF!</f>
        <v>#REF!</v>
      </c>
      <c r="AZ184" s="178" t="e">
        <f>#REF!</f>
        <v>#REF!</v>
      </c>
      <c r="BA184" s="178">
        <f>MONTH(DB[[#This Row],[Datum]])</f>
        <v>7</v>
      </c>
    </row>
    <row r="185" spans="1:53" x14ac:dyDescent="0.3">
      <c r="A185" s="44">
        <f t="shared" si="57"/>
        <v>26</v>
      </c>
      <c r="B185" t="str">
        <f t="shared" si="58"/>
        <v>Wk 26</v>
      </c>
      <c r="C185" t="s">
        <v>118</v>
      </c>
      <c r="D185" s="313">
        <v>44744</v>
      </c>
      <c r="E185" s="44">
        <f>DB[[#This Row],[Sales-FC-Orders-Collect]]+DB[[#This Row],[Sales-FC-Orders-HD]]</f>
        <v>2800</v>
      </c>
      <c r="F185" s="402" cm="1">
        <f t="array" ref="F185">INDEX('LT Collect Forecast'!$K$1:$Q$55,MATCH(B185,'LT Collect Forecast'!$A:$A,0)+1,MATCH(C185,'LT Collect Forecast'!$K$2:$Q$2,0))</f>
        <v>950</v>
      </c>
      <c r="G185" s="44" cm="1">
        <f t="array" ref="G185">INDEX('LT HD Forecast'!$K$1:$Q$55,MATCH(B185,'LT HD Forecast'!$A:$A,0)+1,MATCH(C185,'LT HD Forecast'!$K$2:$Q$2,0))</f>
        <v>1850</v>
      </c>
      <c r="H185" s="44" cm="1">
        <f t="array" ref="H185">IFERROR(INDEX('ST Forecast'!$E$2:$RK$36,6,M185),"")</f>
        <v>51.449404487228136</v>
      </c>
      <c r="I185" s="44" cm="1">
        <f t="array" ref="I185">IFERROR(INDEX('ST Forecast'!$E$2:$RK$36,7,M185),"")</f>
        <v>50.191349336949663</v>
      </c>
      <c r="J185" s="44">
        <f>SUM(DB[[#This Row],[Sales-FC-Picks-Collect]:[Sales-FC-Picks-HD]])</f>
        <v>141730.9305362236</v>
      </c>
      <c r="K185" s="44">
        <f t="shared" si="53"/>
        <v>48876.934262866729</v>
      </c>
      <c r="L185" s="44">
        <f t="shared" si="54"/>
        <v>92853.996273356883</v>
      </c>
      <c r="M185" s="403">
        <f>IFERROR(IF(B185=B184,M184+1,MATCH(B185,'ST Forecast'!$E$2:$RK$2,0)+1),"")</f>
        <v>207</v>
      </c>
      <c r="N185">
        <f>SUM(DB[[#This Row],[Ops-FC-Orders-Collect]:[Ops-FC-Orders-HD]])</f>
        <v>2800</v>
      </c>
      <c r="O185" s="44" cm="1">
        <f t="array" ref="O185">IFERROR(INDEX('ST Forecast'!$E$2:$RK$36,13,M185),"")</f>
        <v>950</v>
      </c>
      <c r="P185" s="44">
        <f t="shared" si="59"/>
        <v>1850</v>
      </c>
      <c r="Q185" s="44" cm="1">
        <f t="array" ref="Q185">IFERROR(INDEX('ST Forecast'!$E$2:$RK$36,14,M185),"")</f>
        <v>1000</v>
      </c>
      <c r="R185" s="44" cm="1">
        <f t="array" ref="R185">IFERROR(INDEX('ST Forecast'!$E$2:$RK$36,15,M185),"")</f>
        <v>850</v>
      </c>
      <c r="S185" s="312">
        <f>SUM(DB[[#This Row],[Ops-FC-Picks-Collect]:[Ops-FC-Picks-HD]])</f>
        <v>138896.31192549912</v>
      </c>
      <c r="T185" s="44">
        <f t="shared" si="60"/>
        <v>47899.395577609394</v>
      </c>
      <c r="U185" s="44">
        <f t="shared" si="61"/>
        <v>90996.916347889724</v>
      </c>
      <c r="V185" s="44">
        <f t="shared" si="62"/>
        <v>49187.522350210667</v>
      </c>
      <c r="W185" s="404">
        <f t="shared" si="63"/>
        <v>41809.393997679064</v>
      </c>
      <c r="X185" s="44">
        <f>SUM(DB[[#This Row],[Capped-Orders-Collect]:[Capped-Orders-HD]])</f>
        <v>90</v>
      </c>
      <c r="Y185">
        <f>INDEX('Operations Forecast'!$A$2:$BGY$47,3,MATCH(DB!D185,'Operations Forecast'!$A$2:$BGY$2))</f>
        <v>0</v>
      </c>
      <c r="Z185">
        <f t="shared" si="64"/>
        <v>90</v>
      </c>
      <c r="AA185">
        <f>INDEX('Operations Forecast'!$A$2:$BGY$47,10,MATCH(DB!D185,'Operations Forecast'!$A$2:$BGY$2))</f>
        <v>90</v>
      </c>
      <c r="AB185">
        <f>INDEX('Operations Forecast'!$A$2:$BGY$47,21,MATCH(DB!D185,'Operations Forecast'!$A$2:$BGY$2))</f>
        <v>0</v>
      </c>
      <c r="AC185" s="312">
        <f>SUM(DB[[#This Row],[Act-Orders-Collect]:[Act-Orders-HD]])</f>
        <v>2568</v>
      </c>
      <c r="AD185" s="858">
        <f>IFERROR(INDEX('Operations Forecast_new'!$7:$7,MATCH(DB[[#This Row],[Datum]],'Operations Forecast_new'!$2:$2,0)),0)</f>
        <v>700</v>
      </c>
      <c r="AE185" s="312">
        <f t="shared" si="65"/>
        <v>1868</v>
      </c>
      <c r="AF185" s="858">
        <f>IFERROR(INDEX('Operations Forecast_new'!$13:$13,MATCH(DB[[#This Row],[Datum]],'Operations Forecast_new'!$2:$2,0)),0)</f>
        <v>1080</v>
      </c>
      <c r="AG185" s="858">
        <f>IFERROR(INDEX('Operations Forecast_new'!$19:$19,MATCH(DB[[#This Row],[Datum]],'Operations Forecast_new'!$2:$2,0)),0)</f>
        <v>788</v>
      </c>
      <c r="AH185" s="312">
        <f t="shared" si="55"/>
        <v>131969.772</v>
      </c>
      <c r="AI185" s="858">
        <f>IFERROR(INDEX('Operations Forecast_new'!$9:$9,MATCH(DB[[#This Row],[Datum]],'Operations Forecast_new'!$2:$2,0)),0)</f>
        <v>35620.199999999997</v>
      </c>
      <c r="AJ185" s="312">
        <f t="shared" si="66"/>
        <v>96349.572</v>
      </c>
      <c r="AK185" s="858">
        <f>IFERROR(INDEX('Operations Forecast_new'!$15:$15,MATCH(DB[[#This Row],[Datum]],'Operations Forecast_new'!$2:$2,0)),0)</f>
        <v>55705.32</v>
      </c>
      <c r="AL185" s="858">
        <f>IFERROR(INDEX('Operations Forecast_new'!$21:$21,MATCH(DB[[#This Row],[Datum]],'Operations Forecast_new'!$2:$2,0)),0)</f>
        <v>40644.252</v>
      </c>
      <c r="AM185" s="178">
        <f>IFERROR(INDEX('Operations Forecast_new'!$8:$8,MATCH(DB[[#This Row],[Datum]],'Operations Forecast_new'!$2:$2,0)),0)</f>
        <v>51.4</v>
      </c>
      <c r="AN185" s="859">
        <f>IFERROR(INDEX('Operations Forecast_new'!$20:$20,MATCH(DB[[#This Row],[Datum]],'Operations Forecast_new'!$2:$2,0)),0)</f>
        <v>52.1</v>
      </c>
      <c r="AO185" s="44">
        <f t="shared" si="67"/>
        <v>50.885999999999996</v>
      </c>
      <c r="AP185" s="404">
        <f t="shared" si="68"/>
        <v>51.579000000000001</v>
      </c>
      <c r="AQ185" s="44">
        <f t="shared" si="56"/>
        <v>120522.00000000004</v>
      </c>
      <c r="AR185" s="44" cm="1">
        <f t="array" ref="AR185">IFERROR(INDEX('ST Forecast'!$E$2:$RK$36,25,M185)+(INDEX('ST Forecast'!$E$2:$RK$36,29,M185)),"")</f>
        <v>56723.207841394156</v>
      </c>
      <c r="AS185" s="44" cm="1">
        <f t="array" ref="AS185">IFERROR(INDEX('ST Forecast'!$E$2:$RK$36,26,M185)+INDEX('ST Forecast'!$E$2:$RK$36,30,M185),"")</f>
        <v>52765.953815197252</v>
      </c>
      <c r="AT185" s="44" cm="1">
        <f t="array" ref="AT185">IFERROR(INDEX('ST Forecast'!$E$2:$RK$36,27,M185)+INDEX('ST Forecast'!$E$2:$RK$36,31,M185),"")</f>
        <v>4662.5472549491724</v>
      </c>
      <c r="AU185" s="44" cm="1">
        <f t="array" ref="AU185">IFERROR(INDEX('ST Forecast'!$E$2:$RK$36,28,M185),"")</f>
        <v>6370.2910884594812</v>
      </c>
      <c r="AV185" s="44" cm="1">
        <f t="array" ref="AV185">IFERROR(INDEX('ST Forecast'!$E$2:$RK$36,29,M185),"")</f>
        <v>0</v>
      </c>
      <c r="AW185" s="44">
        <f>DB[[#This Row],[Inbound FC]]-DB[[#This Row],[Inbound Act - Ultrafresh2]]</f>
        <v>120522.00000000004</v>
      </c>
      <c r="AX185" s="178" t="e">
        <f>#REF!</f>
        <v>#REF!</v>
      </c>
      <c r="AY185" s="178" t="e">
        <f>#REF!</f>
        <v>#REF!</v>
      </c>
      <c r="AZ185" s="178" t="e">
        <f>#REF!</f>
        <v>#REF!</v>
      </c>
      <c r="BA185" s="178">
        <f>MONTH(DB[[#This Row],[Datum]])</f>
        <v>7</v>
      </c>
    </row>
    <row r="186" spans="1:53" x14ac:dyDescent="0.3">
      <c r="A186" s="44">
        <f t="shared" si="57"/>
        <v>26</v>
      </c>
      <c r="B186" t="str">
        <f t="shared" si="58"/>
        <v>Wk 26</v>
      </c>
      <c r="C186" t="s">
        <v>119</v>
      </c>
      <c r="D186" s="313">
        <v>44745</v>
      </c>
      <c r="E186" s="44">
        <f>DB[[#This Row],[Sales-FC-Orders-Collect]]+DB[[#This Row],[Sales-FC-Orders-HD]]</f>
        <v>100</v>
      </c>
      <c r="F186" s="402" cm="1">
        <f t="array" ref="F186">INDEX('LT Collect Forecast'!$K$1:$Q$55,MATCH(B186,'LT Collect Forecast'!$A:$A,0)+1,MATCH(C186,'LT Collect Forecast'!$K$2:$Q$2,0))</f>
        <v>0</v>
      </c>
      <c r="G186" s="44" cm="1">
        <f t="array" ref="G186">INDEX('LT HD Forecast'!$K$1:$Q$55,MATCH(B186,'LT HD Forecast'!$A:$A,0)+1,MATCH(C186,'LT HD Forecast'!$K$2:$Q$2,0))</f>
        <v>100</v>
      </c>
      <c r="H186" s="44" cm="1">
        <f t="array" ref="H186">IFERROR(INDEX('ST Forecast'!$E$2:$RK$36,6,M186),"")</f>
        <v>0</v>
      </c>
      <c r="I186" s="44" cm="1">
        <f t="array" ref="I186">IFERROR(INDEX('ST Forecast'!$E$2:$RK$36,7,M186),"")</f>
        <v>51.452853264769338</v>
      </c>
      <c r="J186" s="44">
        <f>SUM(DB[[#This Row],[Sales-FC-Picks-Collect]:[Sales-FC-Picks-HD]])</f>
        <v>5145.2853264769337</v>
      </c>
      <c r="K186" s="44">
        <f t="shared" si="53"/>
        <v>0</v>
      </c>
      <c r="L186" s="44">
        <f t="shared" si="54"/>
        <v>5145.2853264769337</v>
      </c>
      <c r="M186" s="403">
        <f>IFERROR(IF(B186=B185,M185+1,MATCH(B186,'ST Forecast'!$E$2:$RK$2,0)+1),"")</f>
        <v>208</v>
      </c>
      <c r="N186">
        <f>SUM(DB[[#This Row],[Ops-FC-Orders-Collect]:[Ops-FC-Orders-HD]])</f>
        <v>100</v>
      </c>
      <c r="O186" s="44" cm="1">
        <f t="array" ref="O186">IFERROR(INDEX('ST Forecast'!$E$2:$RK$36,13,M186),"")</f>
        <v>0</v>
      </c>
      <c r="P186" s="44">
        <f t="shared" si="59"/>
        <v>100</v>
      </c>
      <c r="Q186" s="44" cm="1">
        <f t="array" ref="Q186">IFERROR(INDEX('ST Forecast'!$E$2:$RK$36,14,M186),"")</f>
        <v>100</v>
      </c>
      <c r="R186" s="44" cm="1">
        <f t="array" ref="R186">IFERROR(INDEX('ST Forecast'!$E$2:$RK$36,15,M186),"")</f>
        <v>0</v>
      </c>
      <c r="S186" s="312">
        <f>SUM(DB[[#This Row],[Ops-FC-Picks-Collect]:[Ops-FC-Picks-HD]])</f>
        <v>5042.3796199473945</v>
      </c>
      <c r="T186" s="44">
        <f t="shared" si="60"/>
        <v>0</v>
      </c>
      <c r="U186" s="44">
        <f t="shared" si="61"/>
        <v>5042.3796199473945</v>
      </c>
      <c r="V186" s="44">
        <f t="shared" si="62"/>
        <v>5042.3796199473945</v>
      </c>
      <c r="W186" s="404">
        <f t="shared" si="63"/>
        <v>0</v>
      </c>
      <c r="X186" s="44">
        <f>SUM(DB[[#This Row],[Capped-Orders-Collect]:[Capped-Orders-HD]])</f>
        <v>90</v>
      </c>
      <c r="Y186">
        <f>INDEX('Operations Forecast'!$A$2:$BGY$47,3,MATCH(DB!D186,'Operations Forecast'!$A$2:$BGY$2))</f>
        <v>0</v>
      </c>
      <c r="Z186">
        <f t="shared" si="64"/>
        <v>90</v>
      </c>
      <c r="AA186">
        <f>INDEX('Operations Forecast'!$A$2:$BGY$47,10,MATCH(DB!D186,'Operations Forecast'!$A$2:$BGY$2))</f>
        <v>90</v>
      </c>
      <c r="AB186">
        <f>INDEX('Operations Forecast'!$A$2:$BGY$47,21,MATCH(DB!D186,'Operations Forecast'!$A$2:$BGY$2))</f>
        <v>0</v>
      </c>
      <c r="AC186" s="312">
        <f>SUM(DB[[#This Row],[Act-Orders-Collect]:[Act-Orders-HD]])</f>
        <v>100</v>
      </c>
      <c r="AD186" s="858">
        <f>IFERROR(INDEX('Operations Forecast_new'!$7:$7,MATCH(DB[[#This Row],[Datum]],'Operations Forecast_new'!$2:$2,0)),0)</f>
        <v>0</v>
      </c>
      <c r="AE186" s="312">
        <f t="shared" si="65"/>
        <v>100</v>
      </c>
      <c r="AF186" s="858">
        <f>IFERROR(INDEX('Operations Forecast_new'!$13:$13,MATCH(DB[[#This Row],[Datum]],'Operations Forecast_new'!$2:$2,0)),0)</f>
        <v>100</v>
      </c>
      <c r="AG186" s="858">
        <f>IFERROR(INDEX('Operations Forecast_new'!$19:$19,MATCH(DB[[#This Row],[Datum]],'Operations Forecast_new'!$2:$2,0)),0)</f>
        <v>0</v>
      </c>
      <c r="AH186" s="312">
        <f t="shared" si="55"/>
        <v>5355.9</v>
      </c>
      <c r="AI186" s="858">
        <f>IFERROR(INDEX('Operations Forecast_new'!$9:$9,MATCH(DB[[#This Row],[Datum]],'Operations Forecast_new'!$2:$2,0)),0)</f>
        <v>0</v>
      </c>
      <c r="AJ186" s="312">
        <f t="shared" si="66"/>
        <v>5355.9</v>
      </c>
      <c r="AK186" s="858">
        <f>IFERROR(INDEX('Operations Forecast_new'!$15:$15,MATCH(DB[[#This Row],[Datum]],'Operations Forecast_new'!$2:$2,0)),0)</f>
        <v>5355.9</v>
      </c>
      <c r="AL186" s="858">
        <f>IFERROR(INDEX('Operations Forecast_new'!$21:$21,MATCH(DB[[#This Row],[Datum]],'Operations Forecast_new'!$2:$2,0)),0)</f>
        <v>0</v>
      </c>
      <c r="AM186" s="178">
        <f>IFERROR(INDEX('Operations Forecast_new'!$8:$8,MATCH(DB[[#This Row],[Datum]],'Operations Forecast_new'!$2:$2,0)),0)</f>
        <v>0</v>
      </c>
      <c r="AN186" s="859">
        <f>IFERROR(INDEX('Operations Forecast_new'!$20:$20,MATCH(DB[[#This Row],[Datum]],'Operations Forecast_new'!$2:$2,0)),0)</f>
        <v>51.452853264769338</v>
      </c>
      <c r="AO186" s="44" t="str">
        <f t="shared" si="67"/>
        <v>-</v>
      </c>
      <c r="AP186" s="404">
        <f t="shared" si="68"/>
        <v>53.558999999999997</v>
      </c>
      <c r="AQ186" s="44">
        <f t="shared" si="56"/>
        <v>0</v>
      </c>
      <c r="AR186" s="44" cm="1">
        <f t="array" ref="AR186">IFERROR(INDEX('ST Forecast'!$E$2:$RK$36,25,M186)+(INDEX('ST Forecast'!$E$2:$RK$36,29,M186)),"")</f>
        <v>0</v>
      </c>
      <c r="AS186" s="44" cm="1">
        <f t="array" ref="AS186">IFERROR(INDEX('ST Forecast'!$E$2:$RK$36,26,M186)+INDEX('ST Forecast'!$E$2:$RK$36,30,M186),"")</f>
        <v>0</v>
      </c>
      <c r="AT186" s="44" cm="1">
        <f t="array" ref="AT186">IFERROR(INDEX('ST Forecast'!$E$2:$RK$36,27,M186)+INDEX('ST Forecast'!$E$2:$RK$36,31,M186),"")</f>
        <v>0</v>
      </c>
      <c r="AU186" s="44" cm="1">
        <f t="array" ref="AU186">IFERROR(INDEX('ST Forecast'!$E$2:$RK$36,28,M186),"")</f>
        <v>0</v>
      </c>
      <c r="AV186" s="44" cm="1">
        <f t="array" ref="AV186">IFERROR(INDEX('ST Forecast'!$E$2:$RK$36,29,M186),"")</f>
        <v>0</v>
      </c>
      <c r="AW186" s="44">
        <f>DB[[#This Row],[Inbound FC]]-DB[[#This Row],[Inbound Act - Ultrafresh2]]</f>
        <v>0</v>
      </c>
      <c r="AX186" s="178" t="e">
        <f>#REF!</f>
        <v>#REF!</v>
      </c>
      <c r="AY186" s="178" t="e">
        <f>#REF!</f>
        <v>#REF!</v>
      </c>
      <c r="AZ186" s="178" t="e">
        <f>#REF!</f>
        <v>#REF!</v>
      </c>
      <c r="BA186" s="178">
        <f>MONTH(DB[[#This Row],[Datum]])</f>
        <v>7</v>
      </c>
    </row>
    <row r="187" spans="1:53" x14ac:dyDescent="0.3">
      <c r="A187" s="44">
        <f t="shared" si="57"/>
        <v>27</v>
      </c>
      <c r="B187" t="str">
        <f t="shared" si="58"/>
        <v>Wk 27</v>
      </c>
      <c r="C187" t="s">
        <v>113</v>
      </c>
      <c r="D187" s="313">
        <v>44746</v>
      </c>
      <c r="E187" s="44">
        <f>DB[[#This Row],[Sales-FC-Orders-Collect]]+DB[[#This Row],[Sales-FC-Orders-HD]]</f>
        <v>2150</v>
      </c>
      <c r="F187" s="402">
        <f>INDEX('LT Collect Forecast'!$K$1:$Q$55,MATCH(B187,'LT Collect Forecast'!$A:$A,0),MATCH(C187,'LT Collect Forecast'!$K$2:$Q$2,0))</f>
        <v>550</v>
      </c>
      <c r="G187" s="44">
        <f>INDEX('LT HD Forecast'!$K$1:$Q$55,MATCH(B187,'LT HD Forecast'!$A:$A,0),MATCH(C187,'LT HD Forecast'!$K$2:$Q$2,0))</f>
        <v>1600</v>
      </c>
      <c r="H187" s="44" cm="1">
        <f t="array" ref="H187">IFERROR(INDEX('ST Forecast'!$E$2:$RK$36,6,M187),"")</f>
        <v>47.825040804827289</v>
      </c>
      <c r="I187" s="44" cm="1">
        <f t="array" ref="I187">IFERROR(INDEX('ST Forecast'!$E$2:$RK$36,7,M187),"")</f>
        <v>49.127787986666469</v>
      </c>
      <c r="J187" s="44">
        <f>SUM(DB[[#This Row],[Sales-FC-Picks-Collect]:[Sales-FC-Picks-HD]])</f>
        <v>104908.23322132137</v>
      </c>
      <c r="K187" s="44">
        <f t="shared" si="53"/>
        <v>26303.772442655008</v>
      </c>
      <c r="L187" s="44">
        <f t="shared" si="54"/>
        <v>78604.460778666355</v>
      </c>
      <c r="M187" s="403">
        <f>IFERROR(IF(B187=B186,M186+1,MATCH(B187,'ST Forecast'!$E$2:$RK$2,0)+1),"")</f>
        <v>210</v>
      </c>
      <c r="N187">
        <f>SUM(DB[[#This Row],[Ops-FC-Orders-Collect]:[Ops-FC-Orders-HD]])</f>
        <v>2100</v>
      </c>
      <c r="O187" s="44" cm="1">
        <f t="array" ref="O187">IFERROR(INDEX('ST Forecast'!$E$2:$RK$36,13,M187),"")</f>
        <v>550</v>
      </c>
      <c r="P187" s="44">
        <f t="shared" si="59"/>
        <v>1550</v>
      </c>
      <c r="Q187" s="44" cm="1">
        <f t="array" ref="Q187">IFERROR(INDEX('ST Forecast'!$E$2:$RK$36,14,M187),"")</f>
        <v>650</v>
      </c>
      <c r="R187" s="44" cm="1">
        <f t="array" ref="R187">IFERROR(INDEX('ST Forecast'!$E$2:$RK$36,15,M187),"")</f>
        <v>900</v>
      </c>
      <c r="S187" s="312">
        <f>SUM(DB[[#This Row],[Ops-FC-Picks-Collect]:[Ops-FC-Picks-HD]])</f>
        <v>100402.80694554826</v>
      </c>
      <c r="T187" s="44">
        <f t="shared" si="60"/>
        <v>25777.696993801907</v>
      </c>
      <c r="U187" s="44">
        <f t="shared" si="61"/>
        <v>74625.109951746359</v>
      </c>
      <c r="V187" s="44">
        <f t="shared" si="62"/>
        <v>31294.40094750654</v>
      </c>
      <c r="W187" s="404">
        <f t="shared" si="63"/>
        <v>43330.709004239827</v>
      </c>
      <c r="X187" s="44">
        <f>SUM(DB[[#This Row],[Capped-Orders-Collect]:[Capped-Orders-HD]])</f>
        <v>90</v>
      </c>
      <c r="Y187">
        <f>INDEX('Operations Forecast'!$A$2:$BGY$47,3,MATCH(DB!D187,'Operations Forecast'!$A$2:$BGY$2))</f>
        <v>0</v>
      </c>
      <c r="Z187">
        <f t="shared" si="64"/>
        <v>90</v>
      </c>
      <c r="AA187">
        <f>INDEX('Operations Forecast'!$A$2:$BGY$47,10,MATCH(DB!D187,'Operations Forecast'!$A$2:$BGY$2))</f>
        <v>90</v>
      </c>
      <c r="AB187">
        <f>INDEX('Operations Forecast'!$A$2:$BGY$47,21,MATCH(DB!D187,'Operations Forecast'!$A$2:$BGY$2))</f>
        <v>0</v>
      </c>
      <c r="AC187" s="312">
        <f>SUM(DB[[#This Row],[Act-Orders-Collect]:[Act-Orders-HD]])</f>
        <v>2124</v>
      </c>
      <c r="AD187" s="858">
        <f>IFERROR(INDEX('Operations Forecast_new'!$7:$7,MATCH(DB[[#This Row],[Datum]],'Operations Forecast_new'!$2:$2,0)),0)</f>
        <v>530</v>
      </c>
      <c r="AE187" s="312">
        <f t="shared" si="65"/>
        <v>1594</v>
      </c>
      <c r="AF187" s="858">
        <f>IFERROR(INDEX('Operations Forecast_new'!$13:$13,MATCH(DB[[#This Row],[Datum]],'Operations Forecast_new'!$2:$2,0)),0)</f>
        <v>712</v>
      </c>
      <c r="AG187" s="858">
        <f>IFERROR(INDEX('Operations Forecast_new'!$19:$19,MATCH(DB[[#This Row],[Datum]],'Operations Forecast_new'!$2:$2,0)),0)</f>
        <v>882</v>
      </c>
      <c r="AH187" s="312">
        <f t="shared" si="55"/>
        <v>101618.94600000001</v>
      </c>
      <c r="AI187" s="858">
        <f>IFERROR(INDEX('Operations Forecast_new'!$9:$9,MATCH(DB[[#This Row],[Datum]],'Operations Forecast_new'!$2:$2,0)),0)</f>
        <v>24136.2</v>
      </c>
      <c r="AJ187" s="312">
        <f t="shared" si="66"/>
        <v>77482.746000000014</v>
      </c>
      <c r="AK187" s="858">
        <f>IFERROR(INDEX('Operations Forecast_new'!$15:$15,MATCH(DB[[#This Row],[Datum]],'Operations Forecast_new'!$2:$2,0)),0)</f>
        <v>34609.608000000007</v>
      </c>
      <c r="AL187" s="858">
        <f>IFERROR(INDEX('Operations Forecast_new'!$21:$21,MATCH(DB[[#This Row],[Datum]],'Operations Forecast_new'!$2:$2,0)),0)</f>
        <v>42873.138000000006</v>
      </c>
      <c r="AM187" s="178">
        <f>IFERROR(INDEX('Operations Forecast_new'!$8:$8,MATCH(DB[[#This Row],[Datum]],'Operations Forecast_new'!$2:$2,0)),0)</f>
        <v>46</v>
      </c>
      <c r="AN187" s="859">
        <f>IFERROR(INDEX('Operations Forecast_new'!$20:$20,MATCH(DB[[#This Row],[Datum]],'Operations Forecast_new'!$2:$2,0)),0)</f>
        <v>49.1</v>
      </c>
      <c r="AO187" s="44">
        <f t="shared" si="67"/>
        <v>45.54</v>
      </c>
      <c r="AP187" s="404">
        <f t="shared" si="68"/>
        <v>48.609000000000009</v>
      </c>
      <c r="AQ187" s="44">
        <f t="shared" si="56"/>
        <v>198884.00000000006</v>
      </c>
      <c r="AR187" s="44" cm="1">
        <f t="array" ref="AR187">IFERROR(INDEX('ST Forecast'!$E$2:$RK$36,25,M187)+(INDEX('ST Forecast'!$E$2:$RK$36,29,M187)),"")</f>
        <v>85022.751791902207</v>
      </c>
      <c r="AS187" s="44" cm="1">
        <f t="array" ref="AS187">IFERROR(INDEX('ST Forecast'!$E$2:$RK$36,26,M187)+INDEX('ST Forecast'!$E$2:$RK$36,30,M187),"")</f>
        <v>53530.002808216923</v>
      </c>
      <c r="AT187" s="44" cm="1">
        <f t="array" ref="AT187">IFERROR(INDEX('ST Forecast'!$E$2:$RK$36,27,M187)+INDEX('ST Forecast'!$E$2:$RK$36,31,M187),"")</f>
        <v>52530.817970738681</v>
      </c>
      <c r="AU187" s="44" cm="1">
        <f t="array" ref="AU187">IFERROR(INDEX('ST Forecast'!$E$2:$RK$36,28,M187),"")</f>
        <v>7800.4274291422325</v>
      </c>
      <c r="AV187" s="44" cm="1">
        <f t="array" ref="AV187">IFERROR(INDEX('ST Forecast'!$E$2:$RK$36,29,M187),"")</f>
        <v>0</v>
      </c>
      <c r="AW187" s="44">
        <f>DB[[#This Row],[Inbound FC]]-DB[[#This Row],[Inbound Act - Ultrafresh2]]</f>
        <v>198884.00000000006</v>
      </c>
      <c r="AX187" s="178" t="e">
        <f>#REF!</f>
        <v>#REF!</v>
      </c>
      <c r="AY187" s="178" t="e">
        <f>#REF!</f>
        <v>#REF!</v>
      </c>
      <c r="AZ187" s="178" t="e">
        <f>#REF!</f>
        <v>#REF!</v>
      </c>
      <c r="BA187" s="178">
        <f>MONTH(DB[[#This Row],[Datum]])</f>
        <v>7</v>
      </c>
    </row>
    <row r="188" spans="1:53" x14ac:dyDescent="0.3">
      <c r="A188" s="44">
        <f t="shared" si="57"/>
        <v>27</v>
      </c>
      <c r="B188" t="str">
        <f t="shared" si="58"/>
        <v>Wk 27</v>
      </c>
      <c r="C188" t="s">
        <v>114</v>
      </c>
      <c r="D188" s="313">
        <v>44747</v>
      </c>
      <c r="E188" s="44">
        <f>DB[[#This Row],[Sales-FC-Orders-Collect]]+DB[[#This Row],[Sales-FC-Orders-HD]]</f>
        <v>2400</v>
      </c>
      <c r="F188" s="402">
        <f>INDEX('LT Collect Forecast'!$K$1:$Q$55,MATCH(B188,'LT Collect Forecast'!$A:$A,0),MATCH(C188,'LT Collect Forecast'!$K$2:$Q$2,0))</f>
        <v>500</v>
      </c>
      <c r="G188" s="44">
        <f>INDEX('LT HD Forecast'!$K$1:$Q$55,MATCH(B188,'LT HD Forecast'!$A:$A,0),MATCH(C188,'LT HD Forecast'!$K$2:$Q$2,0))</f>
        <v>1900</v>
      </c>
      <c r="H188" s="44" cm="1">
        <f t="array" ref="H188">IFERROR(INDEX('ST Forecast'!$E$2:$RK$36,6,M188),"")</f>
        <v>44.30043568609716</v>
      </c>
      <c r="I188" s="44" cm="1">
        <f t="array" ref="I188">IFERROR(INDEX('ST Forecast'!$E$2:$RK$36,7,M188),"")</f>
        <v>47.702732896443628</v>
      </c>
      <c r="J188" s="44">
        <f>SUM(DB[[#This Row],[Sales-FC-Picks-Collect]:[Sales-FC-Picks-HD]])</f>
        <v>112785.41034629148</v>
      </c>
      <c r="K188" s="44">
        <f t="shared" si="53"/>
        <v>22150.21784304858</v>
      </c>
      <c r="L188" s="44">
        <f t="shared" si="54"/>
        <v>90635.192503242899</v>
      </c>
      <c r="M188" s="403">
        <f>IFERROR(IF(B188=B187,M187+1,MATCH(B188,'ST Forecast'!$E$2:$RK$2,0)+1),"")</f>
        <v>211</v>
      </c>
      <c r="N188">
        <f>SUM(DB[[#This Row],[Ops-FC-Orders-Collect]:[Ops-FC-Orders-HD]])</f>
        <v>2400</v>
      </c>
      <c r="O188" s="44" cm="1">
        <f t="array" ref="O188">IFERROR(INDEX('ST Forecast'!$E$2:$RK$36,13,M188),"")</f>
        <v>500</v>
      </c>
      <c r="P188" s="44">
        <f t="shared" si="59"/>
        <v>1900</v>
      </c>
      <c r="Q188" s="44" cm="1">
        <f t="array" ref="Q188">IFERROR(INDEX('ST Forecast'!$E$2:$RK$36,14,M188),"")</f>
        <v>950</v>
      </c>
      <c r="R188" s="44" cm="1">
        <f t="array" ref="R188">IFERROR(INDEX('ST Forecast'!$E$2:$RK$36,15,M188),"")</f>
        <v>950</v>
      </c>
      <c r="S188" s="312">
        <f>SUM(DB[[#This Row],[Ops-FC-Picks-Collect]:[Ops-FC-Picks-HD]])</f>
        <v>110529.70213936565</v>
      </c>
      <c r="T188" s="44">
        <f t="shared" si="60"/>
        <v>21707.213486187607</v>
      </c>
      <c r="U188" s="44">
        <f t="shared" si="61"/>
        <v>88822.488653178036</v>
      </c>
      <c r="V188" s="44">
        <f t="shared" si="62"/>
        <v>44411.244326589018</v>
      </c>
      <c r="W188" s="404">
        <f t="shared" si="63"/>
        <v>44411.244326589018</v>
      </c>
      <c r="X188" s="44">
        <f>SUM(DB[[#This Row],[Capped-Orders-Collect]:[Capped-Orders-HD]])</f>
        <v>90</v>
      </c>
      <c r="Y188">
        <f>INDEX('Operations Forecast'!$A$2:$BGY$47,3,MATCH(DB!D188,'Operations Forecast'!$A$2:$BGY$2))</f>
        <v>0</v>
      </c>
      <c r="Z188">
        <f t="shared" si="64"/>
        <v>90</v>
      </c>
      <c r="AA188">
        <f>INDEX('Operations Forecast'!$A$2:$BGY$47,10,MATCH(DB!D188,'Operations Forecast'!$A$2:$BGY$2))</f>
        <v>90</v>
      </c>
      <c r="AB188">
        <f>INDEX('Operations Forecast'!$A$2:$BGY$47,21,MATCH(DB!D188,'Operations Forecast'!$A$2:$BGY$2))</f>
        <v>0</v>
      </c>
      <c r="AC188" s="312">
        <f>SUM(DB[[#This Row],[Act-Orders-Collect]:[Act-Orders-HD]])</f>
        <v>2428</v>
      </c>
      <c r="AD188" s="858">
        <f>IFERROR(INDEX('Operations Forecast_new'!$7:$7,MATCH(DB[[#This Row],[Datum]],'Operations Forecast_new'!$2:$2,0)),0)</f>
        <v>515</v>
      </c>
      <c r="AE188" s="312">
        <f t="shared" si="65"/>
        <v>1913</v>
      </c>
      <c r="AF188" s="858">
        <f>IFERROR(INDEX('Operations Forecast_new'!$13:$13,MATCH(DB[[#This Row],[Datum]],'Operations Forecast_new'!$2:$2,0)),0)</f>
        <v>913</v>
      </c>
      <c r="AG188" s="858">
        <f>IFERROR(INDEX('Operations Forecast_new'!$19:$19,MATCH(DB[[#This Row],[Datum]],'Operations Forecast_new'!$2:$2,0)),0)</f>
        <v>1000</v>
      </c>
      <c r="AH188" s="312">
        <f t="shared" si="55"/>
        <v>112516.07399999999</v>
      </c>
      <c r="AI188" s="858">
        <f>IFERROR(INDEX('Operations Forecast_new'!$9:$9,MATCH(DB[[#This Row],[Datum]],'Operations Forecast_new'!$2:$2,0)),0)</f>
        <v>22178.474999999999</v>
      </c>
      <c r="AJ188" s="312">
        <f t="shared" si="66"/>
        <v>90337.599000000002</v>
      </c>
      <c r="AK188" s="858">
        <f>IFERROR(INDEX('Operations Forecast_new'!$15:$15,MATCH(DB[[#This Row],[Datum]],'Operations Forecast_new'!$2:$2,0)),0)</f>
        <v>43114.599000000002</v>
      </c>
      <c r="AL188" s="858">
        <f>IFERROR(INDEX('Operations Forecast_new'!$21:$21,MATCH(DB[[#This Row],[Datum]],'Operations Forecast_new'!$2:$2,0)),0)</f>
        <v>47223</v>
      </c>
      <c r="AM188" s="178">
        <f>IFERROR(INDEX('Operations Forecast_new'!$8:$8,MATCH(DB[[#This Row],[Datum]],'Operations Forecast_new'!$2:$2,0)),0)</f>
        <v>43.5</v>
      </c>
      <c r="AN188" s="859">
        <f>IFERROR(INDEX('Operations Forecast_new'!$20:$20,MATCH(DB[[#This Row],[Datum]],'Operations Forecast_new'!$2:$2,0)),0)</f>
        <v>47.7</v>
      </c>
      <c r="AO188" s="44">
        <f t="shared" si="67"/>
        <v>43.064999999999998</v>
      </c>
      <c r="AP188" s="404">
        <f t="shared" si="68"/>
        <v>47.222999999999999</v>
      </c>
      <c r="AQ188" s="44">
        <f t="shared" si="56"/>
        <v>128617.00000000006</v>
      </c>
      <c r="AR188" s="44" cm="1">
        <f t="array" ref="AR188">IFERROR(INDEX('ST Forecast'!$E$2:$RK$36,25,M188)+(INDEX('ST Forecast'!$E$2:$RK$36,29,M188)),"")</f>
        <v>59504.151925329752</v>
      </c>
      <c r="AS188" s="44" cm="1">
        <f t="array" ref="AS188">IFERROR(INDEX('ST Forecast'!$E$2:$RK$36,26,M188)+INDEX('ST Forecast'!$E$2:$RK$36,30,M188),"")</f>
        <v>55856.152892341292</v>
      </c>
      <c r="AT188" s="44" cm="1">
        <f t="array" ref="AT188">IFERROR(INDEX('ST Forecast'!$E$2:$RK$36,27,M188)+INDEX('ST Forecast'!$E$2:$RK$36,31,M188),"")</f>
        <v>5618.7976523771413</v>
      </c>
      <c r="AU188" s="44" cm="1">
        <f t="array" ref="AU188">IFERROR(INDEX('ST Forecast'!$E$2:$RK$36,28,M188),"")</f>
        <v>7637.8975299518861</v>
      </c>
      <c r="AV188" s="44" cm="1">
        <f t="array" ref="AV188">IFERROR(INDEX('ST Forecast'!$E$2:$RK$36,29,M188),"")</f>
        <v>0</v>
      </c>
      <c r="AW188" s="44">
        <f>DB[[#This Row],[Inbound FC]]-DB[[#This Row],[Inbound Act - Ultrafresh2]]</f>
        <v>128617.00000000006</v>
      </c>
      <c r="AX188" s="178" t="e">
        <f>#REF!</f>
        <v>#REF!</v>
      </c>
      <c r="AY188" s="178" t="e">
        <f>#REF!</f>
        <v>#REF!</v>
      </c>
      <c r="AZ188" s="178" t="e">
        <f>#REF!</f>
        <v>#REF!</v>
      </c>
      <c r="BA188" s="178">
        <f>MONTH(DB[[#This Row],[Datum]])</f>
        <v>7</v>
      </c>
    </row>
    <row r="189" spans="1:53" x14ac:dyDescent="0.3">
      <c r="A189" s="44">
        <f t="shared" si="57"/>
        <v>27</v>
      </c>
      <c r="B189" t="str">
        <f t="shared" si="58"/>
        <v>Wk 27</v>
      </c>
      <c r="C189" t="s">
        <v>115</v>
      </c>
      <c r="D189" s="313">
        <v>44748</v>
      </c>
      <c r="E189" s="44">
        <f>DB[[#This Row],[Sales-FC-Orders-Collect]]+DB[[#This Row],[Sales-FC-Orders-HD]]</f>
        <v>2350</v>
      </c>
      <c r="F189" s="402">
        <f>INDEX('LT Collect Forecast'!$K$1:$Q$55,MATCH(B189,'LT Collect Forecast'!$A:$A,0),MATCH(C189,'LT Collect Forecast'!$K$2:$Q$2,0))</f>
        <v>500</v>
      </c>
      <c r="G189" s="44">
        <f>INDEX('LT HD Forecast'!$K$1:$Q$55,MATCH(B189,'LT HD Forecast'!$A:$A,0),MATCH(C189,'LT HD Forecast'!$K$2:$Q$2,0))</f>
        <v>1850</v>
      </c>
      <c r="H189" s="44" cm="1">
        <f t="array" ref="H189">IFERROR(INDEX('ST Forecast'!$E$2:$RK$36,6,M189),"")</f>
        <v>42.816714267823592</v>
      </c>
      <c r="I189" s="44" cm="1">
        <f t="array" ref="I189">IFERROR(INDEX('ST Forecast'!$E$2:$RK$36,7,M189),"")</f>
        <v>49.117737193087983</v>
      </c>
      <c r="J189" s="44">
        <f>SUM(DB[[#This Row],[Sales-FC-Picks-Collect]:[Sales-FC-Picks-HD]])</f>
        <v>112276.17094112455</v>
      </c>
      <c r="K189" s="44">
        <f t="shared" si="53"/>
        <v>21408.357133911795</v>
      </c>
      <c r="L189" s="44">
        <f t="shared" si="54"/>
        <v>90867.813807212762</v>
      </c>
      <c r="M189" s="403">
        <f>IFERROR(IF(B189=B188,M188+1,MATCH(B189,'ST Forecast'!$E$2:$RK$2,0)+1),"")</f>
        <v>212</v>
      </c>
      <c r="N189">
        <f>SUM(DB[[#This Row],[Ops-FC-Orders-Collect]:[Ops-FC-Orders-HD]])</f>
        <v>2350</v>
      </c>
      <c r="O189" s="44" cm="1">
        <f t="array" ref="O189">IFERROR(INDEX('ST Forecast'!$E$2:$RK$36,13,M189),"")</f>
        <v>500</v>
      </c>
      <c r="P189" s="44">
        <f t="shared" si="59"/>
        <v>1850</v>
      </c>
      <c r="Q189" s="44" cm="1">
        <f t="array" ref="Q189">IFERROR(INDEX('ST Forecast'!$E$2:$RK$36,14,M189),"")</f>
        <v>925</v>
      </c>
      <c r="R189" s="44" cm="1">
        <f t="array" ref="R189">IFERROR(INDEX('ST Forecast'!$E$2:$RK$36,15,M189),"")</f>
        <v>925</v>
      </c>
      <c r="S189" s="312">
        <f>SUM(DB[[#This Row],[Ops-FC-Picks-Collect]:[Ops-FC-Picks-HD]])</f>
        <v>110030.64752230205</v>
      </c>
      <c r="T189" s="44">
        <f t="shared" si="60"/>
        <v>20980.189991233558</v>
      </c>
      <c r="U189" s="44">
        <f t="shared" si="61"/>
        <v>89050.457531068503</v>
      </c>
      <c r="V189" s="44">
        <f t="shared" si="62"/>
        <v>44525.228765534252</v>
      </c>
      <c r="W189" s="404">
        <f t="shared" si="63"/>
        <v>44525.228765534252</v>
      </c>
      <c r="X189" s="44">
        <f>SUM(DB[[#This Row],[Capped-Orders-Collect]:[Capped-Orders-HD]])</f>
        <v>90</v>
      </c>
      <c r="Y189">
        <f>INDEX('Operations Forecast'!$A$2:$BGY$47,3,MATCH(DB!D189,'Operations Forecast'!$A$2:$BGY$2))</f>
        <v>0</v>
      </c>
      <c r="Z189">
        <f t="shared" si="64"/>
        <v>90</v>
      </c>
      <c r="AA189">
        <f>INDEX('Operations Forecast'!$A$2:$BGY$47,10,MATCH(DB!D189,'Operations Forecast'!$A$2:$BGY$2))</f>
        <v>90</v>
      </c>
      <c r="AB189">
        <f>INDEX('Operations Forecast'!$A$2:$BGY$47,21,MATCH(DB!D189,'Operations Forecast'!$A$2:$BGY$2))</f>
        <v>0</v>
      </c>
      <c r="AC189" s="312">
        <f>SUM(DB[[#This Row],[Act-Orders-Collect]:[Act-Orders-HD]])</f>
        <v>2299</v>
      </c>
      <c r="AD189" s="858">
        <f>IFERROR(INDEX('Operations Forecast_new'!$7:$7,MATCH(DB[[#This Row],[Datum]],'Operations Forecast_new'!$2:$2,0)),0)</f>
        <v>421</v>
      </c>
      <c r="AE189" s="312">
        <f t="shared" si="65"/>
        <v>1878</v>
      </c>
      <c r="AF189" s="858">
        <f>IFERROR(INDEX('Operations Forecast_new'!$13:$13,MATCH(DB[[#This Row],[Datum]],'Operations Forecast_new'!$2:$2,0)),0)</f>
        <v>920</v>
      </c>
      <c r="AG189" s="858">
        <f>IFERROR(INDEX('Operations Forecast_new'!$19:$19,MATCH(DB[[#This Row],[Datum]],'Operations Forecast_new'!$2:$2,0)),0)</f>
        <v>958</v>
      </c>
      <c r="AH189" s="312">
        <f t="shared" si="55"/>
        <v>106715.86199999999</v>
      </c>
      <c r="AI189" s="858">
        <f>IFERROR(INDEX('Operations Forecast_new'!$9:$9,MATCH(DB[[#This Row],[Datum]],'Operations Forecast_new'!$2:$2,0)),0)</f>
        <v>18588.834000000003</v>
      </c>
      <c r="AJ189" s="312">
        <f t="shared" si="66"/>
        <v>88127.027999999991</v>
      </c>
      <c r="AK189" s="858">
        <f>IFERROR(INDEX('Operations Forecast_new'!$15:$15,MATCH(DB[[#This Row],[Datum]],'Operations Forecast_new'!$2:$2,0)),0)</f>
        <v>43171.92</v>
      </c>
      <c r="AL189" s="858">
        <f>IFERROR(INDEX('Operations Forecast_new'!$21:$21,MATCH(DB[[#This Row],[Datum]],'Operations Forecast_new'!$2:$2,0)),0)</f>
        <v>44955.108</v>
      </c>
      <c r="AM189" s="178">
        <f>IFERROR(INDEX('Operations Forecast_new'!$8:$8,MATCH(DB[[#This Row],[Datum]],'Operations Forecast_new'!$2:$2,0)),0)</f>
        <v>44.6</v>
      </c>
      <c r="AN189" s="859">
        <f>IFERROR(INDEX('Operations Forecast_new'!$20:$20,MATCH(DB[[#This Row],[Datum]],'Operations Forecast_new'!$2:$2,0)),0)</f>
        <v>47.4</v>
      </c>
      <c r="AO189" s="44">
        <f t="shared" si="67"/>
        <v>44.154000000000003</v>
      </c>
      <c r="AP189" s="404">
        <f t="shared" si="68"/>
        <v>46.925999999999995</v>
      </c>
      <c r="AQ189" s="44">
        <f t="shared" si="56"/>
        <v>120703.11460000009</v>
      </c>
      <c r="AR189" s="44" cm="1">
        <f t="array" ref="AR189">IFERROR(INDEX('ST Forecast'!$E$2:$RK$36,25,M189)+(INDEX('ST Forecast'!$E$2:$RK$36,29,M189)),"")</f>
        <v>49762.946109945704</v>
      </c>
      <c r="AS189" s="44" cm="1">
        <f t="array" ref="AS189">IFERROR(INDEX('ST Forecast'!$E$2:$RK$36,26,M189)+INDEX('ST Forecast'!$E$2:$RK$36,30,M189),"")</f>
        <v>49235.305409213237</v>
      </c>
      <c r="AT189" s="44" cm="1">
        <f t="array" ref="AT189">IFERROR(INDEX('ST Forecast'!$E$2:$RK$36,27,M189)+INDEX('ST Forecast'!$E$2:$RK$36,31,M189),"")</f>
        <v>14540.459703372786</v>
      </c>
      <c r="AU189" s="44" cm="1">
        <f t="array" ref="AU189">IFERROR(INDEX('ST Forecast'!$E$2:$RK$36,28,M189),"")</f>
        <v>7164.4033774683412</v>
      </c>
      <c r="AV189" s="44" cm="1">
        <f t="array" ref="AV189">IFERROR(INDEX('ST Forecast'!$E$2:$RK$36,29,M189),"")</f>
        <v>0</v>
      </c>
      <c r="AW189" s="44">
        <f>DB[[#This Row],[Inbound FC]]-DB[[#This Row],[Inbound Act - Ultrafresh2]]</f>
        <v>120703.11460000009</v>
      </c>
      <c r="AX189" s="178" t="e">
        <f>#REF!</f>
        <v>#REF!</v>
      </c>
      <c r="AY189" s="178" t="e">
        <f>#REF!</f>
        <v>#REF!</v>
      </c>
      <c r="AZ189" s="178" t="e">
        <f>#REF!</f>
        <v>#REF!</v>
      </c>
      <c r="BA189" s="178">
        <f>MONTH(DB[[#This Row],[Datum]])</f>
        <v>7</v>
      </c>
    </row>
    <row r="190" spans="1:53" x14ac:dyDescent="0.3">
      <c r="A190" s="44">
        <f t="shared" si="57"/>
        <v>27</v>
      </c>
      <c r="B190" t="str">
        <f t="shared" si="58"/>
        <v>Wk 27</v>
      </c>
      <c r="C190" t="s">
        <v>116</v>
      </c>
      <c r="D190" s="313">
        <v>44749</v>
      </c>
      <c r="E190" s="44">
        <f>DB[[#This Row],[Sales-FC-Orders-Collect]]+DB[[#This Row],[Sales-FC-Orders-HD]]</f>
        <v>2100</v>
      </c>
      <c r="F190" s="402" cm="1">
        <f t="array" ref="F190">INDEX('LT Collect Forecast'!$K$1:$Q$55,MATCH(B190,'LT Collect Forecast'!$A:$A,0)+1,MATCH(C190,'LT Collect Forecast'!$K$2:$Q$2,0))</f>
        <v>450</v>
      </c>
      <c r="G190" s="44" cm="1">
        <f t="array" ref="G190">INDEX('LT HD Forecast'!$K$1:$Q$55,MATCH(B190,'LT HD Forecast'!$A:$A,0)+1,MATCH(C190,'LT HD Forecast'!$K$2:$Q$2,0))</f>
        <v>1650</v>
      </c>
      <c r="H190" s="44" cm="1">
        <f t="array" ref="H190">IFERROR(INDEX('ST Forecast'!$E$2:$RK$36,6,M190),"")</f>
        <v>46.446197571962699</v>
      </c>
      <c r="I190" s="44" cm="1">
        <f t="array" ref="I190">IFERROR(INDEX('ST Forecast'!$E$2:$RK$36,7,M190),"")</f>
        <v>49.378047119912011</v>
      </c>
      <c r="J190" s="44">
        <f>SUM(DB[[#This Row],[Sales-FC-Picks-Collect]:[Sales-FC-Picks-HD]])</f>
        <v>102374.56665523804</v>
      </c>
      <c r="K190" s="44">
        <f t="shared" si="53"/>
        <v>20900.788907383216</v>
      </c>
      <c r="L190" s="44">
        <f t="shared" si="54"/>
        <v>81473.777747854823</v>
      </c>
      <c r="M190" s="403">
        <f>IFERROR(IF(B190=B189,M189+1,MATCH(B190,'ST Forecast'!$E$2:$RK$2,0)+1),"")</f>
        <v>213</v>
      </c>
      <c r="N190">
        <f>SUM(DB[[#This Row],[Ops-FC-Orders-Collect]:[Ops-FC-Orders-HD]])</f>
        <v>2100</v>
      </c>
      <c r="O190" s="44" cm="1">
        <f t="array" ref="O190">IFERROR(INDEX('ST Forecast'!$E$2:$RK$36,13,M190),"")</f>
        <v>450</v>
      </c>
      <c r="P190" s="44">
        <f t="shared" si="59"/>
        <v>1650</v>
      </c>
      <c r="Q190" s="44" cm="1">
        <f t="array" ref="Q190">IFERROR(INDEX('ST Forecast'!$E$2:$RK$36,14,M190),"")</f>
        <v>800</v>
      </c>
      <c r="R190" s="44" cm="1">
        <f t="array" ref="R190">IFERROR(INDEX('ST Forecast'!$E$2:$RK$36,15,M190),"")</f>
        <v>850</v>
      </c>
      <c r="S190" s="312">
        <f>SUM(DB[[#This Row],[Ops-FC-Picks-Collect]:[Ops-FC-Picks-HD]])</f>
        <v>100327.07532213326</v>
      </c>
      <c r="T190" s="44">
        <f t="shared" si="60"/>
        <v>20482.773129235549</v>
      </c>
      <c r="U190" s="44">
        <f t="shared" si="61"/>
        <v>79844.30219289771</v>
      </c>
      <c r="V190" s="44">
        <f t="shared" si="62"/>
        <v>38712.388942011014</v>
      </c>
      <c r="W190" s="404">
        <f t="shared" si="63"/>
        <v>41131.913250886704</v>
      </c>
      <c r="X190" s="44">
        <f>SUM(DB[[#This Row],[Capped-Orders-Collect]:[Capped-Orders-HD]])</f>
        <v>90</v>
      </c>
      <c r="Y190">
        <f>INDEX('Operations Forecast'!$A$2:$BGY$47,3,MATCH(DB!D190,'Operations Forecast'!$A$2:$BGY$2))</f>
        <v>0</v>
      </c>
      <c r="Z190">
        <f t="shared" si="64"/>
        <v>90</v>
      </c>
      <c r="AA190">
        <f>INDEX('Operations Forecast'!$A$2:$BGY$47,10,MATCH(DB!D190,'Operations Forecast'!$A$2:$BGY$2))</f>
        <v>90</v>
      </c>
      <c r="AB190">
        <f>INDEX('Operations Forecast'!$A$2:$BGY$47,21,MATCH(DB!D190,'Operations Forecast'!$A$2:$BGY$2))</f>
        <v>0</v>
      </c>
      <c r="AC190" s="312">
        <f>SUM(DB[[#This Row],[Act-Orders-Collect]:[Act-Orders-HD]])</f>
        <v>2154</v>
      </c>
      <c r="AD190" s="858">
        <f>IFERROR(INDEX('Operations Forecast_new'!$7:$7,MATCH(DB[[#This Row],[Datum]],'Operations Forecast_new'!$2:$2,0)),0)</f>
        <v>442</v>
      </c>
      <c r="AE190" s="312">
        <f t="shared" si="65"/>
        <v>1712</v>
      </c>
      <c r="AF190" s="858">
        <f>IFERROR(INDEX('Operations Forecast_new'!$13:$13,MATCH(DB[[#This Row],[Datum]],'Operations Forecast_new'!$2:$2,0)),0)</f>
        <v>808</v>
      </c>
      <c r="AG190" s="858">
        <f>IFERROR(INDEX('Operations Forecast_new'!$19:$19,MATCH(DB[[#This Row],[Datum]],'Operations Forecast_new'!$2:$2,0)),0)</f>
        <v>904</v>
      </c>
      <c r="AH190" s="312">
        <f t="shared" si="55"/>
        <v>99699.93</v>
      </c>
      <c r="AI190" s="858">
        <f>IFERROR(INDEX('Operations Forecast_new'!$9:$9,MATCH(DB[[#This Row],[Datum]],'Operations Forecast_new'!$2:$2,0)),0)</f>
        <v>18684.666000000001</v>
      </c>
      <c r="AJ190" s="312">
        <f t="shared" si="66"/>
        <v>81015.263999999996</v>
      </c>
      <c r="AK190" s="858">
        <f>IFERROR(INDEX('Operations Forecast_new'!$15:$15,MATCH(DB[[#This Row],[Datum]],'Operations Forecast_new'!$2:$2,0)),0)</f>
        <v>38236.175999999992</v>
      </c>
      <c r="AL190" s="858">
        <f>IFERROR(INDEX('Operations Forecast_new'!$21:$21,MATCH(DB[[#This Row],[Datum]],'Operations Forecast_new'!$2:$2,0)),0)</f>
        <v>42779.087999999996</v>
      </c>
      <c r="AM190" s="178">
        <f>IFERROR(INDEX('Operations Forecast_new'!$8:$8,MATCH(DB[[#This Row],[Datum]],'Operations Forecast_new'!$2:$2,0)),0)</f>
        <v>42.7</v>
      </c>
      <c r="AN190" s="859">
        <f>IFERROR(INDEX('Operations Forecast_new'!$20:$20,MATCH(DB[[#This Row],[Datum]],'Operations Forecast_new'!$2:$2,0)),0)</f>
        <v>47.8</v>
      </c>
      <c r="AO190" s="44">
        <f t="shared" si="67"/>
        <v>42.273000000000003</v>
      </c>
      <c r="AP190" s="404">
        <f t="shared" si="68"/>
        <v>47.321999999999996</v>
      </c>
      <c r="AQ190" s="44">
        <f t="shared" si="56"/>
        <v>104621.00000000007</v>
      </c>
      <c r="AR190" s="44" cm="1">
        <f t="array" ref="AR190">IFERROR(INDEX('ST Forecast'!$E$2:$RK$36,25,M190)+(INDEX('ST Forecast'!$E$2:$RK$36,29,M190)),"")</f>
        <v>45781.983298270272</v>
      </c>
      <c r="AS190" s="44" cm="1">
        <f t="array" ref="AS190">IFERROR(INDEX('ST Forecast'!$E$2:$RK$36,26,M190)+INDEX('ST Forecast'!$E$2:$RK$36,30,M190),"")</f>
        <v>43714.900589224868</v>
      </c>
      <c r="AT190" s="44" cm="1">
        <f t="array" ref="AT190">IFERROR(INDEX('ST Forecast'!$E$2:$RK$36,27,M190)+INDEX('ST Forecast'!$E$2:$RK$36,31,M190),"")</f>
        <v>7896.5609286049375</v>
      </c>
      <c r="AU190" s="44" cm="1">
        <f t="array" ref="AU190">IFERROR(INDEX('ST Forecast'!$E$2:$RK$36,28,M190),"")</f>
        <v>7227.55518389998</v>
      </c>
      <c r="AV190" s="44" cm="1">
        <f t="array" ref="AV190">IFERROR(INDEX('ST Forecast'!$E$2:$RK$36,29,M190),"")</f>
        <v>0</v>
      </c>
      <c r="AW190" s="44">
        <f>DB[[#This Row],[Inbound FC]]-DB[[#This Row],[Inbound Act - Ultrafresh2]]</f>
        <v>104621.00000000007</v>
      </c>
      <c r="AX190" s="178" t="e">
        <f>#REF!</f>
        <v>#REF!</v>
      </c>
      <c r="AY190" s="178" t="e">
        <f>#REF!</f>
        <v>#REF!</v>
      </c>
      <c r="AZ190" s="178" t="e">
        <f>#REF!</f>
        <v>#REF!</v>
      </c>
      <c r="BA190" s="178">
        <f>MONTH(DB[[#This Row],[Datum]])</f>
        <v>7</v>
      </c>
    </row>
    <row r="191" spans="1:53" x14ac:dyDescent="0.3">
      <c r="A191" s="44">
        <f t="shared" si="57"/>
        <v>27</v>
      </c>
      <c r="B191" t="str">
        <f t="shared" si="58"/>
        <v>Wk 27</v>
      </c>
      <c r="C191" t="s">
        <v>117</v>
      </c>
      <c r="D191" s="313">
        <v>44750</v>
      </c>
      <c r="E191" s="44">
        <f>DB[[#This Row],[Sales-FC-Orders-Collect]]+DB[[#This Row],[Sales-FC-Orders-HD]]</f>
        <v>2700</v>
      </c>
      <c r="F191" s="402" cm="1">
        <f t="array" ref="F191">INDEX('LT Collect Forecast'!$K$1:$Q$55,MATCH(B191,'LT Collect Forecast'!$A:$A,0)+1,MATCH(C191,'LT Collect Forecast'!$K$2:$Q$2,0))</f>
        <v>850</v>
      </c>
      <c r="G191" s="44" cm="1">
        <f t="array" ref="G191">INDEX('LT HD Forecast'!$K$1:$Q$55,MATCH(B191,'LT HD Forecast'!$A:$A,0)+1,MATCH(C191,'LT HD Forecast'!$K$2:$Q$2,0))</f>
        <v>1850</v>
      </c>
      <c r="H191" s="44" cm="1">
        <f t="array" ref="H191">IFERROR(INDEX('ST Forecast'!$E$2:$RK$36,6,M191),"")</f>
        <v>51.242339611905599</v>
      </c>
      <c r="I191" s="44" cm="1">
        <f t="array" ref="I191">IFERROR(INDEX('ST Forecast'!$E$2:$RK$36,7,M191),"")</f>
        <v>50.854057935510752</v>
      </c>
      <c r="J191" s="44">
        <f>SUM(DB[[#This Row],[Sales-FC-Picks-Collect]:[Sales-FC-Picks-HD]])</f>
        <v>137635.99585081465</v>
      </c>
      <c r="K191" s="44">
        <f t="shared" si="53"/>
        <v>43555.988670119761</v>
      </c>
      <c r="L191" s="44">
        <f t="shared" si="54"/>
        <v>94080.007180694898</v>
      </c>
      <c r="M191" s="403">
        <f>IFERROR(IF(B191=B190,M190+1,MATCH(B191,'ST Forecast'!$E$2:$RK$2,0)+1),"")</f>
        <v>214</v>
      </c>
      <c r="N191">
        <f>SUM(DB[[#This Row],[Ops-FC-Orders-Collect]:[Ops-FC-Orders-HD]])</f>
        <v>2700</v>
      </c>
      <c r="O191" s="44" cm="1">
        <f t="array" ref="O191">IFERROR(INDEX('ST Forecast'!$E$2:$RK$36,13,M191),"")</f>
        <v>850</v>
      </c>
      <c r="P191" s="44">
        <f t="shared" si="59"/>
        <v>1850</v>
      </c>
      <c r="Q191" s="44" cm="1">
        <f t="array" ref="Q191">IFERROR(INDEX('ST Forecast'!$E$2:$RK$36,14,M191),"")</f>
        <v>900</v>
      </c>
      <c r="R191" s="44" cm="1">
        <f t="array" ref="R191">IFERROR(INDEX('ST Forecast'!$E$2:$RK$36,15,M191),"")</f>
        <v>950</v>
      </c>
      <c r="S191" s="312">
        <f>SUM(DB[[#This Row],[Ops-FC-Picks-Collect]:[Ops-FC-Picks-HD]])</f>
        <v>134883.27593379834</v>
      </c>
      <c r="T191" s="44">
        <f t="shared" si="60"/>
        <v>42684.868896717366</v>
      </c>
      <c r="U191" s="44">
        <f t="shared" si="61"/>
        <v>92198.407037080993</v>
      </c>
      <c r="V191" s="44">
        <f t="shared" si="62"/>
        <v>44853.279099120482</v>
      </c>
      <c r="W191" s="404">
        <f t="shared" si="63"/>
        <v>47345.127937960511</v>
      </c>
      <c r="X191" s="44">
        <f>SUM(DB[[#This Row],[Capped-Orders-Collect]:[Capped-Orders-HD]])</f>
        <v>90</v>
      </c>
      <c r="Y191">
        <f>INDEX('Operations Forecast'!$A$2:$BGY$47,3,MATCH(DB!D191,'Operations Forecast'!$A$2:$BGY$2))</f>
        <v>0</v>
      </c>
      <c r="Z191">
        <f t="shared" si="64"/>
        <v>90</v>
      </c>
      <c r="AA191">
        <f>INDEX('Operations Forecast'!$A$2:$BGY$47,10,MATCH(DB!D191,'Operations Forecast'!$A$2:$BGY$2))</f>
        <v>90</v>
      </c>
      <c r="AB191">
        <f>INDEX('Operations Forecast'!$A$2:$BGY$47,21,MATCH(DB!D191,'Operations Forecast'!$A$2:$BGY$2))</f>
        <v>0</v>
      </c>
      <c r="AC191" s="312">
        <f>SUM(DB[[#This Row],[Act-Orders-Collect]:[Act-Orders-HD]])</f>
        <v>2635</v>
      </c>
      <c r="AD191" s="858">
        <f>IFERROR(INDEX('Operations Forecast_new'!$7:$7,MATCH(DB[[#This Row],[Datum]],'Operations Forecast_new'!$2:$2,0)),0)</f>
        <v>809</v>
      </c>
      <c r="AE191" s="312">
        <f t="shared" si="65"/>
        <v>1826</v>
      </c>
      <c r="AF191" s="858">
        <f>IFERROR(INDEX('Operations Forecast_new'!$13:$13,MATCH(DB[[#This Row],[Datum]],'Operations Forecast_new'!$2:$2,0)),0)</f>
        <v>950</v>
      </c>
      <c r="AG191" s="858">
        <f>IFERROR(INDEX('Operations Forecast_new'!$19:$19,MATCH(DB[[#This Row],[Datum]],'Operations Forecast_new'!$2:$2,0)),0)</f>
        <v>876</v>
      </c>
      <c r="AH191" s="312">
        <f t="shared" si="55"/>
        <v>128366.17199999999</v>
      </c>
      <c r="AI191" s="858">
        <f>IFERROR(INDEX('Operations Forecast_new'!$9:$9,MATCH(DB[[#This Row],[Datum]],'Operations Forecast_new'!$2:$2,0)),0)</f>
        <v>39244.589999999997</v>
      </c>
      <c r="AJ191" s="312">
        <f t="shared" si="66"/>
        <v>89121.581999999995</v>
      </c>
      <c r="AK191" s="858">
        <f>IFERROR(INDEX('Operations Forecast_new'!$15:$15,MATCH(DB[[#This Row],[Datum]],'Operations Forecast_new'!$2:$2,0)),0)</f>
        <v>46366.65</v>
      </c>
      <c r="AL191" s="858">
        <f>IFERROR(INDEX('Operations Forecast_new'!$21:$21,MATCH(DB[[#This Row],[Datum]],'Operations Forecast_new'!$2:$2,0)),0)</f>
        <v>42754.931999999993</v>
      </c>
      <c r="AM191" s="178">
        <f>IFERROR(INDEX('Operations Forecast_new'!$8:$8,MATCH(DB[[#This Row],[Datum]],'Operations Forecast_new'!$2:$2,0)),0)</f>
        <v>49</v>
      </c>
      <c r="AN191" s="859">
        <f>IFERROR(INDEX('Operations Forecast_new'!$20:$20,MATCH(DB[[#This Row],[Datum]],'Operations Forecast_new'!$2:$2,0)),0)</f>
        <v>49.3</v>
      </c>
      <c r="AO191" s="44">
        <f t="shared" si="67"/>
        <v>48.51</v>
      </c>
      <c r="AP191" s="404">
        <f t="shared" si="68"/>
        <v>48.806999999999995</v>
      </c>
      <c r="AQ191" s="44">
        <f t="shared" si="56"/>
        <v>100631.00000000006</v>
      </c>
      <c r="AR191" s="44" cm="1">
        <f t="array" ref="AR191">IFERROR(INDEX('ST Forecast'!$E$2:$RK$36,25,M191)+(INDEX('ST Forecast'!$E$2:$RK$36,29,M191)),"")</f>
        <v>44543.918501114618</v>
      </c>
      <c r="AS191" s="44" cm="1">
        <f t="array" ref="AS191">IFERROR(INDEX('ST Forecast'!$E$2:$RK$36,26,M191)+INDEX('ST Forecast'!$E$2:$RK$36,30,M191),"")</f>
        <v>44596.619178042354</v>
      </c>
      <c r="AT191" s="44" cm="1">
        <f t="array" ref="AT191">IFERROR(INDEX('ST Forecast'!$E$2:$RK$36,27,M191)+INDEX('ST Forecast'!$E$2:$RK$36,31,M191),"")</f>
        <v>4396.1935557225261</v>
      </c>
      <c r="AU191" s="44" cm="1">
        <f t="array" ref="AU191">IFERROR(INDEX('ST Forecast'!$E$2:$RK$36,28,M191),"")</f>
        <v>7094.2687651205651</v>
      </c>
      <c r="AV191" s="44" cm="1">
        <f t="array" ref="AV191">IFERROR(INDEX('ST Forecast'!$E$2:$RK$36,29,M191),"")</f>
        <v>0</v>
      </c>
      <c r="AW191" s="44">
        <f>DB[[#This Row],[Inbound FC]]-DB[[#This Row],[Inbound Act - Ultrafresh2]]</f>
        <v>100631.00000000006</v>
      </c>
      <c r="AX191" s="178" t="e">
        <f>#REF!</f>
        <v>#REF!</v>
      </c>
      <c r="AY191" s="178" t="e">
        <f>#REF!</f>
        <v>#REF!</v>
      </c>
      <c r="AZ191" s="178" t="e">
        <f>#REF!</f>
        <v>#REF!</v>
      </c>
      <c r="BA191" s="178">
        <f>MONTH(DB[[#This Row],[Datum]])</f>
        <v>7</v>
      </c>
    </row>
    <row r="192" spans="1:53" x14ac:dyDescent="0.3">
      <c r="A192" s="44">
        <f t="shared" si="57"/>
        <v>27</v>
      </c>
      <c r="B192" t="str">
        <f t="shared" si="58"/>
        <v>Wk 27</v>
      </c>
      <c r="C192" t="s">
        <v>118</v>
      </c>
      <c r="D192" s="313">
        <v>44751</v>
      </c>
      <c r="E192" s="44">
        <f>DB[[#This Row],[Sales-FC-Orders-Collect]]+DB[[#This Row],[Sales-FC-Orders-HD]]</f>
        <v>2450</v>
      </c>
      <c r="F192" s="402" cm="1">
        <f t="array" ref="F192">INDEX('LT Collect Forecast'!$K$1:$Q$55,MATCH(B192,'LT Collect Forecast'!$A:$A,0)+1,MATCH(C192,'LT Collect Forecast'!$K$2:$Q$2,0))</f>
        <v>750</v>
      </c>
      <c r="G192" s="44" cm="1">
        <f t="array" ref="G192">INDEX('LT HD Forecast'!$K$1:$Q$55,MATCH(B192,'LT HD Forecast'!$A:$A,0)+1,MATCH(C192,'LT HD Forecast'!$K$2:$Q$2,0))</f>
        <v>1700</v>
      </c>
      <c r="H192" s="44" cm="1">
        <f t="array" ref="H192">IFERROR(INDEX('ST Forecast'!$E$2:$RK$36,6,M192),"")</f>
        <v>50.882989140058037</v>
      </c>
      <c r="I192" s="44" cm="1">
        <f t="array" ref="I192">IFERROR(INDEX('ST Forecast'!$E$2:$RK$36,7,M192),"")</f>
        <v>49.609281828291152</v>
      </c>
      <c r="J192" s="44">
        <f>SUM(DB[[#This Row],[Sales-FC-Picks-Collect]:[Sales-FC-Picks-HD]])</f>
        <v>122498.02096313848</v>
      </c>
      <c r="K192" s="44">
        <f t="shared" si="53"/>
        <v>38162.241855043525</v>
      </c>
      <c r="L192" s="44">
        <f t="shared" si="54"/>
        <v>84335.779108094954</v>
      </c>
      <c r="M192" s="403">
        <f>IFERROR(IF(B192=B191,M191+1,MATCH(B192,'ST Forecast'!$E$2:$RK$2,0)+1),"")</f>
        <v>215</v>
      </c>
      <c r="N192">
        <f>SUM(DB[[#This Row],[Ops-FC-Orders-Collect]:[Ops-FC-Orders-HD]])</f>
        <v>2450</v>
      </c>
      <c r="O192" s="44" cm="1">
        <f t="array" ref="O192">IFERROR(INDEX('ST Forecast'!$E$2:$RK$36,13,M192),"")</f>
        <v>750</v>
      </c>
      <c r="P192" s="44">
        <f t="shared" si="59"/>
        <v>1700</v>
      </c>
      <c r="Q192" s="44" cm="1">
        <f t="array" ref="Q192">IFERROR(INDEX('ST Forecast'!$E$2:$RK$36,14,M192),"")</f>
        <v>950</v>
      </c>
      <c r="R192" s="44" cm="1">
        <f t="array" ref="R192">IFERROR(INDEX('ST Forecast'!$E$2:$RK$36,15,M192),"")</f>
        <v>750</v>
      </c>
      <c r="S192" s="312">
        <f>SUM(DB[[#This Row],[Ops-FC-Picks-Collect]:[Ops-FC-Picks-HD]])</f>
        <v>120048.0605438757</v>
      </c>
      <c r="T192" s="44">
        <f t="shared" si="60"/>
        <v>37398.997017942653</v>
      </c>
      <c r="U192" s="44">
        <f t="shared" si="61"/>
        <v>82649.063525933059</v>
      </c>
      <c r="V192" s="44">
        <f t="shared" si="62"/>
        <v>46186.241382139066</v>
      </c>
      <c r="W192" s="404">
        <f t="shared" si="63"/>
        <v>36462.822143793994</v>
      </c>
      <c r="X192" s="44">
        <f>SUM(DB[[#This Row],[Capped-Orders-Collect]:[Capped-Orders-HD]])</f>
        <v>90</v>
      </c>
      <c r="Y192">
        <f>INDEX('Operations Forecast'!$A$2:$BGY$47,3,MATCH(DB!D192,'Operations Forecast'!$A$2:$BGY$2))</f>
        <v>0</v>
      </c>
      <c r="Z192">
        <f t="shared" si="64"/>
        <v>90</v>
      </c>
      <c r="AA192">
        <f>INDEX('Operations Forecast'!$A$2:$BGY$47,10,MATCH(DB!D192,'Operations Forecast'!$A$2:$BGY$2))</f>
        <v>90</v>
      </c>
      <c r="AB192">
        <f>INDEX('Operations Forecast'!$A$2:$BGY$47,21,MATCH(DB!D192,'Operations Forecast'!$A$2:$BGY$2))</f>
        <v>0</v>
      </c>
      <c r="AC192" s="312">
        <f>SUM(DB[[#This Row],[Act-Orders-Collect]:[Act-Orders-HD]])</f>
        <v>2366</v>
      </c>
      <c r="AD192" s="858">
        <f>IFERROR(INDEX('Operations Forecast_new'!$7:$7,MATCH(DB[[#This Row],[Datum]],'Operations Forecast_new'!$2:$2,0)),0)</f>
        <v>746</v>
      </c>
      <c r="AE192" s="312">
        <f t="shared" si="65"/>
        <v>1620</v>
      </c>
      <c r="AF192" s="858">
        <f>IFERROR(INDEX('Operations Forecast_new'!$13:$13,MATCH(DB[[#This Row],[Datum]],'Operations Forecast_new'!$2:$2,0)),0)</f>
        <v>878</v>
      </c>
      <c r="AG192" s="858">
        <f>IFERROR(INDEX('Operations Forecast_new'!$19:$19,MATCH(DB[[#This Row],[Datum]],'Operations Forecast_new'!$2:$2,0)),0)</f>
        <v>742</v>
      </c>
      <c r="AH192" s="312">
        <f t="shared" si="55"/>
        <v>114553.098</v>
      </c>
      <c r="AI192" s="858">
        <f>IFERROR(INDEX('Operations Forecast_new'!$9:$9,MATCH(DB[[#This Row],[Datum]],'Operations Forecast_new'!$2:$2,0)),0)</f>
        <v>35966.898000000001</v>
      </c>
      <c r="AJ192" s="312">
        <f t="shared" si="66"/>
        <v>78586.2</v>
      </c>
      <c r="AK192" s="858">
        <f>IFERROR(INDEX('Operations Forecast_new'!$15:$15,MATCH(DB[[#This Row],[Datum]],'Operations Forecast_new'!$2:$2,0)),0)</f>
        <v>42591.78</v>
      </c>
      <c r="AL192" s="858">
        <f>IFERROR(INDEX('Operations Forecast_new'!$21:$21,MATCH(DB[[#This Row],[Datum]],'Operations Forecast_new'!$2:$2,0)),0)</f>
        <v>35994.42</v>
      </c>
      <c r="AM192" s="178">
        <f>IFERROR(INDEX('Operations Forecast_new'!$8:$8,MATCH(DB[[#This Row],[Datum]],'Operations Forecast_new'!$2:$2,0)),0)</f>
        <v>48.7</v>
      </c>
      <c r="AN192" s="859">
        <f>IFERROR(INDEX('Operations Forecast_new'!$20:$20,MATCH(DB[[#This Row],[Datum]],'Operations Forecast_new'!$2:$2,0)),0)</f>
        <v>49</v>
      </c>
      <c r="AO192" s="44">
        <f t="shared" si="67"/>
        <v>48.213000000000001</v>
      </c>
      <c r="AP192" s="404">
        <f t="shared" si="68"/>
        <v>48.51</v>
      </c>
      <c r="AQ192" s="44">
        <f t="shared" si="56"/>
        <v>104125.00000000006</v>
      </c>
      <c r="AR192" s="44" cm="1">
        <f t="array" ref="AR192">IFERROR(INDEX('ST Forecast'!$E$2:$RK$36,25,M192)+(INDEX('ST Forecast'!$E$2:$RK$36,29,M192)),"")</f>
        <v>49006.023933266682</v>
      </c>
      <c r="AS192" s="44" cm="1">
        <f t="array" ref="AS192">IFERROR(INDEX('ST Forecast'!$E$2:$RK$36,26,M192)+INDEX('ST Forecast'!$E$2:$RK$36,30,M192),"")</f>
        <v>45587.153723033254</v>
      </c>
      <c r="AT192" s="44" cm="1">
        <f t="array" ref="AT192">IFERROR(INDEX('ST Forecast'!$E$2:$RK$36,27,M192)+INDEX('ST Forecast'!$E$2:$RK$36,31,M192),"")</f>
        <v>4028.2084011349184</v>
      </c>
      <c r="AU192" s="44" cm="1">
        <f t="array" ref="AU192">IFERROR(INDEX('ST Forecast'!$E$2:$RK$36,28,M192),"")</f>
        <v>5503.6139425652045</v>
      </c>
      <c r="AV192" s="44" cm="1">
        <f t="array" ref="AV192">IFERROR(INDEX('ST Forecast'!$E$2:$RK$36,29,M192),"")</f>
        <v>0</v>
      </c>
      <c r="AW192" s="44">
        <f>DB[[#This Row],[Inbound FC]]-DB[[#This Row],[Inbound Act - Ultrafresh2]]</f>
        <v>104125.00000000006</v>
      </c>
      <c r="AX192" s="178" t="e">
        <f>#REF!</f>
        <v>#REF!</v>
      </c>
      <c r="AY192" s="178" t="e">
        <f>#REF!</f>
        <v>#REF!</v>
      </c>
      <c r="AZ192" s="178" t="e">
        <f>#REF!</f>
        <v>#REF!</v>
      </c>
      <c r="BA192" s="178">
        <f>MONTH(DB[[#This Row],[Datum]])</f>
        <v>7</v>
      </c>
    </row>
    <row r="193" spans="1:53" x14ac:dyDescent="0.3">
      <c r="A193" s="44">
        <f t="shared" si="57"/>
        <v>27</v>
      </c>
      <c r="B193" t="str">
        <f t="shared" si="58"/>
        <v>Wk 27</v>
      </c>
      <c r="C193" t="s">
        <v>119</v>
      </c>
      <c r="D193" s="313">
        <v>44752</v>
      </c>
      <c r="E193" s="44">
        <f>DB[[#This Row],[Sales-FC-Orders-Collect]]+DB[[#This Row],[Sales-FC-Orders-HD]]</f>
        <v>0</v>
      </c>
      <c r="F193" s="402" cm="1">
        <f t="array" ref="F193">INDEX('LT Collect Forecast'!$K$1:$Q$55,MATCH(B193,'LT Collect Forecast'!$A:$A,0)+1,MATCH(C193,'LT Collect Forecast'!$K$2:$Q$2,0))</f>
        <v>0</v>
      </c>
      <c r="G193" s="44" cm="1">
        <f t="array" ref="G193">INDEX('LT HD Forecast'!$K$1:$Q$55,MATCH(B193,'LT HD Forecast'!$A:$A,0)+1,MATCH(C193,'LT HD Forecast'!$K$2:$Q$2,0))</f>
        <v>0</v>
      </c>
      <c r="H193" s="44" cm="1">
        <f t="array" ref="H193">IFERROR(INDEX('ST Forecast'!$E$2:$RK$36,6,M193),"")</f>
        <v>0</v>
      </c>
      <c r="I193" s="44" cm="1">
        <f t="array" ref="I193">IFERROR(INDEX('ST Forecast'!$E$2:$RK$36,7,M193),"")</f>
        <v>0</v>
      </c>
      <c r="J193" s="44">
        <f>SUM(DB[[#This Row],[Sales-FC-Picks-Collect]:[Sales-FC-Picks-HD]])</f>
        <v>0</v>
      </c>
      <c r="K193" s="44">
        <f t="shared" si="53"/>
        <v>0</v>
      </c>
      <c r="L193" s="44">
        <f t="shared" si="54"/>
        <v>0</v>
      </c>
      <c r="M193" s="403">
        <f>IFERROR(IF(B193=B192,M192+1,MATCH(B193,'ST Forecast'!$E$2:$RK$2,0)+1),"")</f>
        <v>216</v>
      </c>
      <c r="N193">
        <f>SUM(DB[[#This Row],[Ops-FC-Orders-Collect]:[Ops-FC-Orders-HD]])</f>
        <v>0</v>
      </c>
      <c r="O193" s="44" cm="1">
        <f t="array" ref="O193">IFERROR(INDEX('ST Forecast'!$E$2:$RK$36,13,M193),"")</f>
        <v>0</v>
      </c>
      <c r="P193" s="44">
        <f t="shared" si="59"/>
        <v>0</v>
      </c>
      <c r="Q193" s="44" cm="1">
        <f t="array" ref="Q193">IFERROR(INDEX('ST Forecast'!$E$2:$RK$36,14,M193),"")</f>
        <v>0</v>
      </c>
      <c r="R193" s="44" cm="1">
        <f t="array" ref="R193">IFERROR(INDEX('ST Forecast'!$E$2:$RK$36,15,M193),"")</f>
        <v>0</v>
      </c>
      <c r="S193" s="312">
        <f>SUM(DB[[#This Row],[Ops-FC-Picks-Collect]:[Ops-FC-Picks-HD]])</f>
        <v>0</v>
      </c>
      <c r="T193" s="44">
        <f t="shared" si="60"/>
        <v>0</v>
      </c>
      <c r="U193" s="44">
        <f t="shared" si="61"/>
        <v>0</v>
      </c>
      <c r="V193" s="44">
        <f t="shared" si="62"/>
        <v>0</v>
      </c>
      <c r="W193" s="404">
        <f t="shared" si="63"/>
        <v>0</v>
      </c>
      <c r="X193" s="44">
        <f>SUM(DB[[#This Row],[Capped-Orders-Collect]:[Capped-Orders-HD]])</f>
        <v>90</v>
      </c>
      <c r="Y193">
        <f>INDEX('Operations Forecast'!$A$2:$BGY$47,3,MATCH(DB!D193,'Operations Forecast'!$A$2:$BGY$2))</f>
        <v>0</v>
      </c>
      <c r="Z193">
        <f t="shared" si="64"/>
        <v>90</v>
      </c>
      <c r="AA193">
        <f>INDEX('Operations Forecast'!$A$2:$BGY$47,10,MATCH(DB!D193,'Operations Forecast'!$A$2:$BGY$2))</f>
        <v>90</v>
      </c>
      <c r="AB193">
        <f>INDEX('Operations Forecast'!$A$2:$BGY$47,21,MATCH(DB!D193,'Operations Forecast'!$A$2:$BGY$2))</f>
        <v>0</v>
      </c>
      <c r="AC193" s="312">
        <f>SUM(DB[[#This Row],[Act-Orders-Collect]:[Act-Orders-HD]])</f>
        <v>0</v>
      </c>
      <c r="AD193" s="858">
        <f>IFERROR(INDEX('Operations Forecast_new'!$7:$7,MATCH(DB[[#This Row],[Datum]],'Operations Forecast_new'!$2:$2,0)),0)</f>
        <v>0</v>
      </c>
      <c r="AE193" s="312">
        <f t="shared" si="65"/>
        <v>0</v>
      </c>
      <c r="AF193" s="858">
        <f>IFERROR(INDEX('Operations Forecast_new'!$13:$13,MATCH(DB[[#This Row],[Datum]],'Operations Forecast_new'!$2:$2,0)),0)</f>
        <v>0</v>
      </c>
      <c r="AG193" s="858">
        <f>IFERROR(INDEX('Operations Forecast_new'!$19:$19,MATCH(DB[[#This Row],[Datum]],'Operations Forecast_new'!$2:$2,0)),0)</f>
        <v>0</v>
      </c>
      <c r="AH193" s="312">
        <f t="shared" si="55"/>
        <v>0</v>
      </c>
      <c r="AI193" s="858">
        <f>IFERROR(INDEX('Operations Forecast_new'!$9:$9,MATCH(DB[[#This Row],[Datum]],'Operations Forecast_new'!$2:$2,0)),0)</f>
        <v>0</v>
      </c>
      <c r="AJ193" s="312">
        <f t="shared" si="66"/>
        <v>0</v>
      </c>
      <c r="AK193" s="858">
        <f>IFERROR(INDEX('Operations Forecast_new'!$15:$15,MATCH(DB[[#This Row],[Datum]],'Operations Forecast_new'!$2:$2,0)),0)</f>
        <v>0</v>
      </c>
      <c r="AL193" s="858">
        <f>IFERROR(INDEX('Operations Forecast_new'!$21:$21,MATCH(DB[[#This Row],[Datum]],'Operations Forecast_new'!$2:$2,0)),0)</f>
        <v>0</v>
      </c>
      <c r="AM193" s="178">
        <f>IFERROR(INDEX('Operations Forecast_new'!$8:$8,MATCH(DB[[#This Row],[Datum]],'Operations Forecast_new'!$2:$2,0)),0)</f>
        <v>0</v>
      </c>
      <c r="AN193" s="859">
        <f>IFERROR(INDEX('Operations Forecast_new'!$20:$20,MATCH(DB[[#This Row],[Datum]],'Operations Forecast_new'!$2:$2,0)),0)</f>
        <v>0</v>
      </c>
      <c r="AO193" s="44" t="str">
        <f t="shared" si="67"/>
        <v>-</v>
      </c>
      <c r="AP193" s="404" t="str">
        <f t="shared" si="68"/>
        <v>-</v>
      </c>
      <c r="AQ193" s="44">
        <f t="shared" si="56"/>
        <v>0</v>
      </c>
      <c r="AR193" s="44" cm="1">
        <f t="array" ref="AR193">IFERROR(INDEX('ST Forecast'!$E$2:$RK$36,25,M193)+(INDEX('ST Forecast'!$E$2:$RK$36,29,M193)),"")</f>
        <v>0</v>
      </c>
      <c r="AS193" s="44" cm="1">
        <f t="array" ref="AS193">IFERROR(INDEX('ST Forecast'!$E$2:$RK$36,26,M193)+INDEX('ST Forecast'!$E$2:$RK$36,30,M193),"")</f>
        <v>0</v>
      </c>
      <c r="AT193" s="44" cm="1">
        <f t="array" ref="AT193">IFERROR(INDEX('ST Forecast'!$E$2:$RK$36,27,M193)+INDEX('ST Forecast'!$E$2:$RK$36,31,M193),"")</f>
        <v>0</v>
      </c>
      <c r="AU193" s="44" cm="1">
        <f t="array" ref="AU193">IFERROR(INDEX('ST Forecast'!$E$2:$RK$36,28,M193),"")</f>
        <v>0</v>
      </c>
      <c r="AV193" s="44" cm="1">
        <f t="array" ref="AV193">IFERROR(INDEX('ST Forecast'!$E$2:$RK$36,29,M193),"")</f>
        <v>0</v>
      </c>
      <c r="AW193" s="44">
        <f>DB[[#This Row],[Inbound FC]]-DB[[#This Row],[Inbound Act - Ultrafresh2]]</f>
        <v>0</v>
      </c>
      <c r="AX193" s="178" t="e">
        <f>#REF!</f>
        <v>#REF!</v>
      </c>
      <c r="AY193" s="178" t="e">
        <f>#REF!</f>
        <v>#REF!</v>
      </c>
      <c r="AZ193" s="178" t="e">
        <f>#REF!</f>
        <v>#REF!</v>
      </c>
      <c r="BA193" s="178">
        <f>MONTH(DB[[#This Row],[Datum]])</f>
        <v>7</v>
      </c>
    </row>
    <row r="194" spans="1:53" x14ac:dyDescent="0.3">
      <c r="A194" s="44">
        <f t="shared" si="57"/>
        <v>28</v>
      </c>
      <c r="B194" t="str">
        <f t="shared" si="58"/>
        <v>Wk 28</v>
      </c>
      <c r="C194" t="s">
        <v>113</v>
      </c>
      <c r="D194" s="313">
        <v>44753</v>
      </c>
      <c r="E194" s="44">
        <f>DB[[#This Row],[Sales-FC-Orders-Collect]]+DB[[#This Row],[Sales-FC-Orders-HD]]</f>
        <v>2050</v>
      </c>
      <c r="F194" s="402">
        <f>INDEX('LT Collect Forecast'!$K$1:$Q$55,MATCH(B194,'LT Collect Forecast'!$A:$A,0),MATCH(C194,'LT Collect Forecast'!$K$2:$Q$2,0))</f>
        <v>500</v>
      </c>
      <c r="G194" s="44">
        <f>INDEX('LT HD Forecast'!$K$1:$Q$55,MATCH(B194,'LT HD Forecast'!$A:$A,0),MATCH(C194,'LT HD Forecast'!$K$2:$Q$2,0))</f>
        <v>1550</v>
      </c>
      <c r="H194" s="44" cm="1">
        <f t="array" ref="H194">IFERROR(INDEX('ST Forecast'!$E$2:$RK$36,6,M194),"")</f>
        <v>46.301115023414333</v>
      </c>
      <c r="I194" s="44" cm="1">
        <f t="array" ref="I194">IFERROR(INDEX('ST Forecast'!$E$2:$RK$36,7,M194),"")</f>
        <v>48.765550856411032</v>
      </c>
      <c r="J194" s="44">
        <f>SUM(DB[[#This Row],[Sales-FC-Picks-Collect]:[Sales-FC-Picks-HD]])</f>
        <v>98737.161339144266</v>
      </c>
      <c r="K194" s="44">
        <f t="shared" ref="K194:K257" si="69">F194*H194</f>
        <v>23150.557511707168</v>
      </c>
      <c r="L194" s="44">
        <f t="shared" ref="L194:L257" si="70">G194*I194</f>
        <v>75586.603827437095</v>
      </c>
      <c r="M194" s="403">
        <f>IFERROR(IF(B194=B193,M193+1,MATCH(B194,'ST Forecast'!$E$2:$RK$2,0)+1),"")</f>
        <v>218</v>
      </c>
      <c r="N194">
        <f>SUM(DB[[#This Row],[Ops-FC-Orders-Collect]:[Ops-FC-Orders-HD]])</f>
        <v>2000</v>
      </c>
      <c r="O194" s="44" cm="1">
        <f t="array" ref="O194">IFERROR(INDEX('ST Forecast'!$E$2:$RK$36,13,M194),"")</f>
        <v>500</v>
      </c>
      <c r="P194" s="44">
        <f t="shared" si="59"/>
        <v>1500</v>
      </c>
      <c r="Q194" s="44" cm="1">
        <f t="array" ref="Q194">IFERROR(INDEX('ST Forecast'!$E$2:$RK$36,14,M194),"")</f>
        <v>650</v>
      </c>
      <c r="R194" s="44" cm="1">
        <f t="array" ref="R194">IFERROR(INDEX('ST Forecast'!$E$2:$RK$36,15,M194),"")</f>
        <v>850</v>
      </c>
      <c r="S194" s="312">
        <f>SUM(DB[[#This Row],[Ops-FC-Picks-Collect]:[Ops-FC-Picks-HD]])</f>
        <v>94372.906120397252</v>
      </c>
      <c r="T194" s="44">
        <f t="shared" si="60"/>
        <v>22687.546361473025</v>
      </c>
      <c r="U194" s="44">
        <f t="shared" si="61"/>
        <v>71685.359758924227</v>
      </c>
      <c r="V194" s="44">
        <f t="shared" si="62"/>
        <v>31063.655895533826</v>
      </c>
      <c r="W194" s="404">
        <f t="shared" si="63"/>
        <v>40621.703863390394</v>
      </c>
      <c r="X194" s="44">
        <f>SUM(DB[[#This Row],[Capped-Orders-Collect]:[Capped-Orders-HD]])</f>
        <v>90</v>
      </c>
      <c r="Y194">
        <f>INDEX('Operations Forecast'!$A$2:$BGY$47,3,MATCH(DB!D194,'Operations Forecast'!$A$2:$BGY$2))</f>
        <v>0</v>
      </c>
      <c r="Z194">
        <f t="shared" si="64"/>
        <v>90</v>
      </c>
      <c r="AA194">
        <f>INDEX('Operations Forecast'!$A$2:$BGY$47,10,MATCH(DB!D194,'Operations Forecast'!$A$2:$BGY$2))</f>
        <v>90</v>
      </c>
      <c r="AB194">
        <f>INDEX('Operations Forecast'!$A$2:$BGY$47,21,MATCH(DB!D194,'Operations Forecast'!$A$2:$BGY$2))</f>
        <v>0</v>
      </c>
      <c r="AC194" s="312">
        <f>SUM(DB[[#This Row],[Act-Orders-Collect]:[Act-Orders-HD]])</f>
        <v>2000</v>
      </c>
      <c r="AD194" s="858">
        <f>IFERROR(INDEX('Operations Forecast_new'!$7:$7,MATCH(DB[[#This Row],[Datum]],'Operations Forecast_new'!$2:$2,0)),0)</f>
        <v>496</v>
      </c>
      <c r="AE194" s="312">
        <f t="shared" si="65"/>
        <v>1504</v>
      </c>
      <c r="AF194" s="858">
        <f>IFERROR(INDEX('Operations Forecast_new'!$13:$13,MATCH(DB[[#This Row],[Datum]],'Operations Forecast_new'!$2:$2,0)),0)</f>
        <v>661</v>
      </c>
      <c r="AG194" s="858">
        <f>IFERROR(INDEX('Operations Forecast_new'!$19:$19,MATCH(DB[[#This Row],[Datum]],'Operations Forecast_new'!$2:$2,0)),0)</f>
        <v>843</v>
      </c>
      <c r="AH194" s="312">
        <f t="shared" si="55"/>
        <v>91968.623999999996</v>
      </c>
      <c r="AI194" s="858">
        <f>IFERROR(INDEX('Operations Forecast_new'!$9:$9,MATCH(DB[[#This Row],[Datum]],'Operations Forecast_new'!$2:$2,0)),0)</f>
        <v>23029.775999999998</v>
      </c>
      <c r="AJ194" s="312">
        <f t="shared" si="66"/>
        <v>68938.847999999998</v>
      </c>
      <c r="AK194" s="858">
        <f>IFERROR(INDEX('Operations Forecast_new'!$15:$15,MATCH(DB[[#This Row],[Datum]],'Operations Forecast_new'!$2:$2,0)),0)</f>
        <v>30298.256999999998</v>
      </c>
      <c r="AL194" s="858">
        <f>IFERROR(INDEX('Operations Forecast_new'!$21:$21,MATCH(DB[[#This Row],[Datum]],'Operations Forecast_new'!$2:$2,0)),0)</f>
        <v>38640.590999999993</v>
      </c>
      <c r="AM194" s="178">
        <f>IFERROR(INDEX('Operations Forecast_new'!$8:$8,MATCH(DB[[#This Row],[Datum]],'Operations Forecast_new'!$2:$2,0)),0)</f>
        <v>46.9</v>
      </c>
      <c r="AN194" s="859">
        <f>IFERROR(INDEX('Operations Forecast_new'!$20:$20,MATCH(DB[[#This Row],[Datum]],'Operations Forecast_new'!$2:$2,0)),0)</f>
        <v>46.3</v>
      </c>
      <c r="AO194" s="44">
        <f t="shared" si="67"/>
        <v>46.430999999999997</v>
      </c>
      <c r="AP194" s="404">
        <f t="shared" si="68"/>
        <v>45.836999999999996</v>
      </c>
      <c r="AQ194" s="44">
        <f t="shared" si="56"/>
        <v>171243.99999999997</v>
      </c>
      <c r="AR194" s="44" cm="1">
        <f t="array" ref="AR194">IFERROR(INDEX('ST Forecast'!$E$2:$RK$36,25,M194)+(INDEX('ST Forecast'!$E$2:$RK$36,29,M194)),"")</f>
        <v>80053.600000000006</v>
      </c>
      <c r="AS194" s="44" cm="1">
        <f t="array" ref="AS194">IFERROR(INDEX('ST Forecast'!$E$2:$RK$36,26,M194)+INDEX('ST Forecast'!$E$2:$RK$36,30,M194),"")</f>
        <v>49480.603577596703</v>
      </c>
      <c r="AT194" s="44" cm="1">
        <f t="array" ref="AT194">IFERROR(INDEX('ST Forecast'!$E$2:$RK$36,27,M194)+INDEX('ST Forecast'!$E$2:$RK$36,31,M194),"")</f>
        <v>34425.119999999995</v>
      </c>
      <c r="AU194" s="44" cm="1">
        <f t="array" ref="AU194">IFERROR(INDEX('ST Forecast'!$E$2:$RK$36,28,M194),"")</f>
        <v>7284.6764224032941</v>
      </c>
      <c r="AV194" s="44" cm="1">
        <f t="array" ref="AV194">IFERROR(INDEX('ST Forecast'!$E$2:$RK$36,29,M194),"")</f>
        <v>0</v>
      </c>
      <c r="AW194" s="44">
        <f>DB[[#This Row],[Inbound FC]]-DB[[#This Row],[Inbound Act - Ultrafresh2]]</f>
        <v>171243.99999999997</v>
      </c>
      <c r="AX194" s="178" t="e">
        <f>#REF!</f>
        <v>#REF!</v>
      </c>
      <c r="AY194" s="178" t="e">
        <f>#REF!</f>
        <v>#REF!</v>
      </c>
      <c r="AZ194" s="178" t="e">
        <f>#REF!</f>
        <v>#REF!</v>
      </c>
      <c r="BA194" s="178">
        <f>MONTH(DB[[#This Row],[Datum]])</f>
        <v>7</v>
      </c>
    </row>
    <row r="195" spans="1:53" x14ac:dyDescent="0.3">
      <c r="A195" s="44">
        <f t="shared" si="57"/>
        <v>28</v>
      </c>
      <c r="B195" t="str">
        <f t="shared" si="58"/>
        <v>Wk 28</v>
      </c>
      <c r="C195" t="s">
        <v>114</v>
      </c>
      <c r="D195" s="313">
        <v>44754</v>
      </c>
      <c r="E195" s="44">
        <f>DB[[#This Row],[Sales-FC-Orders-Collect]]+DB[[#This Row],[Sales-FC-Orders-HD]]</f>
        <v>2200</v>
      </c>
      <c r="F195" s="402">
        <f>INDEX('LT Collect Forecast'!$K$1:$Q$55,MATCH(B195,'LT Collect Forecast'!$A:$A,0),MATCH(C195,'LT Collect Forecast'!$K$2:$Q$2,0))</f>
        <v>500</v>
      </c>
      <c r="G195" s="44">
        <f>INDEX('LT HD Forecast'!$K$1:$Q$55,MATCH(B195,'LT HD Forecast'!$A:$A,0),MATCH(C195,'LT HD Forecast'!$K$2:$Q$2,0))</f>
        <v>1700</v>
      </c>
      <c r="H195" s="44" cm="1">
        <f t="array" ref="H195">IFERROR(INDEX('ST Forecast'!$E$2:$RK$36,6,M195),"")</f>
        <v>44.357838881316333</v>
      </c>
      <c r="I195" s="44" cm="1">
        <f t="array" ref="I195">IFERROR(INDEX('ST Forecast'!$E$2:$RK$36,7,M195),"")</f>
        <v>47.494216696616142</v>
      </c>
      <c r="J195" s="44">
        <f>SUM(DB[[#This Row],[Sales-FC-Picks-Collect]:[Sales-FC-Picks-HD]])</f>
        <v>102919.08782490561</v>
      </c>
      <c r="K195" s="44">
        <f t="shared" si="69"/>
        <v>22178.919440658166</v>
      </c>
      <c r="L195" s="44">
        <f t="shared" si="70"/>
        <v>80740.168384247445</v>
      </c>
      <c r="M195" s="403">
        <f>IFERROR(IF(B195=B194,M194+1,MATCH(B195,'ST Forecast'!$E$2:$RK$2,0)+1),"")</f>
        <v>219</v>
      </c>
      <c r="N195">
        <f>SUM(DB[[#This Row],[Ops-FC-Orders-Collect]:[Ops-FC-Orders-HD]])</f>
        <v>2200</v>
      </c>
      <c r="O195" s="44" cm="1">
        <f t="array" ref="O195">IFERROR(INDEX('ST Forecast'!$E$2:$RK$36,13,M195),"")</f>
        <v>500</v>
      </c>
      <c r="P195" s="44">
        <f t="shared" si="59"/>
        <v>1700</v>
      </c>
      <c r="Q195" s="44" cm="1">
        <f t="array" ref="Q195">IFERROR(INDEX('ST Forecast'!$E$2:$RK$36,14,M195),"")</f>
        <v>850</v>
      </c>
      <c r="R195" s="44" cm="1">
        <f t="array" ref="R195">IFERROR(INDEX('ST Forecast'!$E$2:$RK$36,15,M195),"")</f>
        <v>850</v>
      </c>
      <c r="S195" s="312">
        <f>SUM(DB[[#This Row],[Ops-FC-Picks-Collect]:[Ops-FC-Picks-HD]])</f>
        <v>100860.70606840751</v>
      </c>
      <c r="T195" s="44">
        <f t="shared" si="60"/>
        <v>21735.341051845004</v>
      </c>
      <c r="U195" s="44">
        <f t="shared" si="61"/>
        <v>79125.3650165625</v>
      </c>
      <c r="V195" s="44">
        <f t="shared" si="62"/>
        <v>39562.68250828125</v>
      </c>
      <c r="W195" s="404">
        <f t="shared" si="63"/>
        <v>39562.68250828125</v>
      </c>
      <c r="X195" s="44">
        <f>SUM(DB[[#This Row],[Capped-Orders-Collect]:[Capped-Orders-HD]])</f>
        <v>90</v>
      </c>
      <c r="Y195">
        <f>INDEX('Operations Forecast'!$A$2:$BGY$47,3,MATCH(DB!D195,'Operations Forecast'!$A$2:$BGY$2))</f>
        <v>0</v>
      </c>
      <c r="Z195">
        <f t="shared" si="64"/>
        <v>90</v>
      </c>
      <c r="AA195">
        <f>INDEX('Operations Forecast'!$A$2:$BGY$47,10,MATCH(DB!D195,'Operations Forecast'!$A$2:$BGY$2))</f>
        <v>90</v>
      </c>
      <c r="AB195">
        <f>INDEX('Operations Forecast'!$A$2:$BGY$47,21,MATCH(DB!D195,'Operations Forecast'!$A$2:$BGY$2))</f>
        <v>0</v>
      </c>
      <c r="AC195" s="312">
        <f>SUM(DB[[#This Row],[Act-Orders-Collect]:[Act-Orders-HD]])</f>
        <v>2313</v>
      </c>
      <c r="AD195" s="858">
        <f>IFERROR(INDEX('Operations Forecast_new'!$7:$7,MATCH(DB[[#This Row],[Datum]],'Operations Forecast_new'!$2:$2,0)),0)</f>
        <v>510</v>
      </c>
      <c r="AE195" s="312">
        <f t="shared" si="65"/>
        <v>1803</v>
      </c>
      <c r="AF195" s="858">
        <f>IFERROR(INDEX('Operations Forecast_new'!$13:$13,MATCH(DB[[#This Row],[Datum]],'Operations Forecast_new'!$2:$2,0)),0)</f>
        <v>893</v>
      </c>
      <c r="AG195" s="858">
        <f>IFERROR(INDEX('Operations Forecast_new'!$19:$19,MATCH(DB[[#This Row],[Datum]],'Operations Forecast_new'!$2:$2,0)),0)</f>
        <v>910</v>
      </c>
      <c r="AH195" s="312">
        <f t="shared" ref="AH195:AH258" si="71">AI195+AJ195</f>
        <v>105155.52299999999</v>
      </c>
      <c r="AI195" s="858">
        <f>IFERROR(INDEX('Operations Forecast_new'!$9:$9,MATCH(DB[[#This Row],[Datum]],'Operations Forecast_new'!$2:$2,0)),0)</f>
        <v>23225.4</v>
      </c>
      <c r="AJ195" s="312">
        <f t="shared" si="66"/>
        <v>81930.122999999992</v>
      </c>
      <c r="AK195" s="858">
        <f>IFERROR(INDEX('Operations Forecast_new'!$15:$15,MATCH(DB[[#This Row],[Datum]],'Operations Forecast_new'!$2:$2,0)),0)</f>
        <v>40578.812999999995</v>
      </c>
      <c r="AL195" s="858">
        <f>IFERROR(INDEX('Operations Forecast_new'!$21:$21,MATCH(DB[[#This Row],[Datum]],'Operations Forecast_new'!$2:$2,0)),0)</f>
        <v>41351.31</v>
      </c>
      <c r="AM195" s="178">
        <f>IFERROR(INDEX('Operations Forecast_new'!$8:$8,MATCH(DB[[#This Row],[Datum]],'Operations Forecast_new'!$2:$2,0)),0)</f>
        <v>46</v>
      </c>
      <c r="AN195" s="859">
        <f>IFERROR(INDEX('Operations Forecast_new'!$20:$20,MATCH(DB[[#This Row],[Datum]],'Operations Forecast_new'!$2:$2,0)),0)</f>
        <v>45.9</v>
      </c>
      <c r="AO195" s="44">
        <f t="shared" si="67"/>
        <v>45.540000000000006</v>
      </c>
      <c r="AP195" s="404">
        <f t="shared" si="68"/>
        <v>45.440999999999995</v>
      </c>
      <c r="AQ195" s="44">
        <f t="shared" ref="AQ195:AQ258" si="72">SUM(AR195:AU195)</f>
        <v>114421.09199609795</v>
      </c>
      <c r="AR195" s="44" cm="1">
        <f t="array" ref="AR195">IFERROR(INDEX('ST Forecast'!$E$2:$RK$36,25,M195)+(INDEX('ST Forecast'!$E$2:$RK$36,29,M195)),"")</f>
        <v>54939.360000000001</v>
      </c>
      <c r="AS195" s="44" cm="1">
        <f t="array" ref="AS195">IFERROR(INDEX('ST Forecast'!$E$2:$RK$36,26,M195)+INDEX('ST Forecast'!$E$2:$RK$36,30,M195),"")</f>
        <v>47684.523536222245</v>
      </c>
      <c r="AT195" s="44" cm="1">
        <f t="array" ref="AT195">IFERROR(INDEX('ST Forecast'!$E$2:$RK$36,27,M195)+INDEX('ST Forecast'!$E$2:$RK$36,31,M195),"")</f>
        <v>5000.1999960979538</v>
      </c>
      <c r="AU195" s="44" cm="1">
        <f t="array" ref="AU195">IFERROR(INDEX('ST Forecast'!$E$2:$RK$36,28,M195),"")</f>
        <v>6797.0084637777509</v>
      </c>
      <c r="AV195" s="44" cm="1">
        <f t="array" ref="AV195">IFERROR(INDEX('ST Forecast'!$E$2:$RK$36,29,M195),"")</f>
        <v>0</v>
      </c>
      <c r="AW195" s="44">
        <f>DB[[#This Row],[Inbound FC]]-DB[[#This Row],[Inbound Act - Ultrafresh2]]</f>
        <v>114421.09199609795</v>
      </c>
      <c r="AX195" s="178" t="e">
        <f>#REF!</f>
        <v>#REF!</v>
      </c>
      <c r="AY195" s="178" t="e">
        <f>#REF!</f>
        <v>#REF!</v>
      </c>
      <c r="AZ195" s="178" t="e">
        <f>#REF!</f>
        <v>#REF!</v>
      </c>
      <c r="BA195" s="178">
        <f>MONTH(DB[[#This Row],[Datum]])</f>
        <v>7</v>
      </c>
    </row>
    <row r="196" spans="1:53" x14ac:dyDescent="0.3">
      <c r="A196" s="44">
        <f t="shared" si="57"/>
        <v>28</v>
      </c>
      <c r="B196" t="str">
        <f t="shared" si="58"/>
        <v>Wk 28</v>
      </c>
      <c r="C196" t="s">
        <v>115</v>
      </c>
      <c r="D196" s="313">
        <v>44755</v>
      </c>
      <c r="E196" s="44">
        <f>DB[[#This Row],[Sales-FC-Orders-Collect]]+DB[[#This Row],[Sales-FC-Orders-HD]]</f>
        <v>2150</v>
      </c>
      <c r="F196" s="402">
        <f>INDEX('LT Collect Forecast'!$K$1:$Q$55,MATCH(B196,'LT Collect Forecast'!$A:$A,0),MATCH(C196,'LT Collect Forecast'!$K$2:$Q$2,0))</f>
        <v>450</v>
      </c>
      <c r="G196" s="44">
        <f>INDEX('LT HD Forecast'!$K$1:$Q$55,MATCH(B196,'LT HD Forecast'!$A:$A,0),MATCH(C196,'LT HD Forecast'!$K$2:$Q$2,0))</f>
        <v>1700</v>
      </c>
      <c r="H196" s="44" cm="1">
        <f t="array" ref="H196">IFERROR(INDEX('ST Forecast'!$E$2:$RK$36,6,M196),"")</f>
        <v>43.158484303529335</v>
      </c>
      <c r="I196" s="44" cm="1">
        <f t="array" ref="I196">IFERROR(INDEX('ST Forecast'!$E$2:$RK$36,7,M196),"")</f>
        <v>47.982262685687111</v>
      </c>
      <c r="J196" s="44">
        <f>SUM(DB[[#This Row],[Sales-FC-Picks-Collect]:[Sales-FC-Picks-HD]])</f>
        <v>100991.16450225629</v>
      </c>
      <c r="K196" s="44">
        <f t="shared" si="69"/>
        <v>19421.317936588199</v>
      </c>
      <c r="L196" s="44">
        <f t="shared" si="70"/>
        <v>81569.846565668093</v>
      </c>
      <c r="M196" s="403">
        <f>IFERROR(IF(B196=B195,M195+1,MATCH(B196,'ST Forecast'!$E$2:$RK$2,0)+1),"")</f>
        <v>220</v>
      </c>
      <c r="N196">
        <f>SUM(DB[[#This Row],[Ops-FC-Orders-Collect]:[Ops-FC-Orders-HD]])</f>
        <v>2150</v>
      </c>
      <c r="O196" s="44" cm="1">
        <f t="array" ref="O196">IFERROR(INDEX('ST Forecast'!$E$2:$RK$36,13,M196),"")</f>
        <v>450</v>
      </c>
      <c r="P196" s="44">
        <f t="shared" si="59"/>
        <v>1700</v>
      </c>
      <c r="Q196" s="44" cm="1">
        <f t="array" ref="Q196">IFERROR(INDEX('ST Forecast'!$E$2:$RK$36,14,M196),"")</f>
        <v>850</v>
      </c>
      <c r="R196" s="44" cm="1">
        <f t="array" ref="R196">IFERROR(INDEX('ST Forecast'!$E$2:$RK$36,15,M196),"")</f>
        <v>850</v>
      </c>
      <c r="S196" s="312">
        <f>SUM(DB[[#This Row],[Ops-FC-Picks-Collect]:[Ops-FC-Picks-HD]])</f>
        <v>98971.341212211177</v>
      </c>
      <c r="T196" s="44">
        <f t="shared" si="60"/>
        <v>19032.891577856433</v>
      </c>
      <c r="U196" s="44">
        <f t="shared" si="61"/>
        <v>79938.449634354736</v>
      </c>
      <c r="V196" s="44">
        <f t="shared" si="62"/>
        <v>39969.224817177368</v>
      </c>
      <c r="W196" s="404">
        <f t="shared" si="63"/>
        <v>39969.224817177368</v>
      </c>
      <c r="X196" s="44">
        <f>SUM(DB[[#This Row],[Capped-Orders-Collect]:[Capped-Orders-HD]])</f>
        <v>90</v>
      </c>
      <c r="Y196">
        <f>INDEX('Operations Forecast'!$A$2:$BGY$47,3,MATCH(DB!D196,'Operations Forecast'!$A$2:$BGY$2))</f>
        <v>0</v>
      </c>
      <c r="Z196">
        <f t="shared" si="64"/>
        <v>90</v>
      </c>
      <c r="AA196">
        <f>INDEX('Operations Forecast'!$A$2:$BGY$47,10,MATCH(DB!D196,'Operations Forecast'!$A$2:$BGY$2))</f>
        <v>90</v>
      </c>
      <c r="AB196">
        <f>INDEX('Operations Forecast'!$A$2:$BGY$47,21,MATCH(DB!D196,'Operations Forecast'!$A$2:$BGY$2))</f>
        <v>0</v>
      </c>
      <c r="AC196" s="312">
        <f>SUM(DB[[#This Row],[Act-Orders-Collect]:[Act-Orders-HD]])</f>
        <v>2283</v>
      </c>
      <c r="AD196" s="858">
        <f>IFERROR(INDEX('Operations Forecast_new'!$7:$7,MATCH(DB[[#This Row],[Datum]],'Operations Forecast_new'!$2:$2,0)),0)</f>
        <v>495</v>
      </c>
      <c r="AE196" s="312">
        <f t="shared" si="65"/>
        <v>1788</v>
      </c>
      <c r="AF196" s="858">
        <f>IFERROR(INDEX('Operations Forecast_new'!$13:$13,MATCH(DB[[#This Row],[Datum]],'Operations Forecast_new'!$2:$2,0)),0)</f>
        <v>885</v>
      </c>
      <c r="AG196" s="858">
        <f>IFERROR(INDEX('Operations Forecast_new'!$19:$19,MATCH(DB[[#This Row],[Datum]],'Operations Forecast_new'!$2:$2,0)),0)</f>
        <v>903</v>
      </c>
      <c r="AH196" s="312">
        <f t="shared" si="71"/>
        <v>101620.629</v>
      </c>
      <c r="AI196" s="858">
        <f>IFERROR(INDEX('Operations Forecast_new'!$9:$9,MATCH(DB[[#This Row],[Datum]],'Operations Forecast_new'!$2:$2,0)),0)</f>
        <v>21611.204999999998</v>
      </c>
      <c r="AJ196" s="312">
        <f t="shared" si="66"/>
        <v>80009.423999999999</v>
      </c>
      <c r="AK196" s="858">
        <f>IFERROR(INDEX('Operations Forecast_new'!$15:$15,MATCH(DB[[#This Row],[Datum]],'Operations Forecast_new'!$2:$2,0)),0)</f>
        <v>39601.980000000003</v>
      </c>
      <c r="AL196" s="858">
        <f>IFERROR(INDEX('Operations Forecast_new'!$21:$21,MATCH(DB[[#This Row],[Datum]],'Operations Forecast_new'!$2:$2,0)),0)</f>
        <v>40407.444000000003</v>
      </c>
      <c r="AM196" s="178">
        <f>IFERROR(INDEX('Operations Forecast_new'!$8:$8,MATCH(DB[[#This Row],[Datum]],'Operations Forecast_new'!$2:$2,0)),0)</f>
        <v>44.1</v>
      </c>
      <c r="AN196" s="859">
        <f>IFERROR(INDEX('Operations Forecast_new'!$20:$20,MATCH(DB[[#This Row],[Datum]],'Operations Forecast_new'!$2:$2,0)),0)</f>
        <v>45.2</v>
      </c>
      <c r="AO196" s="44">
        <f t="shared" si="67"/>
        <v>43.658999999999999</v>
      </c>
      <c r="AP196" s="404">
        <f t="shared" si="68"/>
        <v>44.747999999999998</v>
      </c>
      <c r="AQ196" s="44">
        <f t="shared" si="72"/>
        <v>114490.31694090719</v>
      </c>
      <c r="AR196" s="44" cm="1">
        <f t="array" ref="AR196">IFERROR(INDEX('ST Forecast'!$E$2:$RK$36,25,M196)+(INDEX('ST Forecast'!$E$2:$RK$36,29,M196)),"")</f>
        <v>53995.5</v>
      </c>
      <c r="AS196" s="44" cm="1">
        <f t="array" ref="AS196">IFERROR(INDEX('ST Forecast'!$E$2:$RK$36,26,M196)+INDEX('ST Forecast'!$E$2:$RK$36,30,M196),"")</f>
        <v>42678.753245763583</v>
      </c>
      <c r="AT196" s="44" cm="1">
        <f t="array" ref="AT196">IFERROR(INDEX('ST Forecast'!$E$2:$RK$36,27,M196)+INDEX('ST Forecast'!$E$2:$RK$36,31,M196),"")</f>
        <v>10818.956940907188</v>
      </c>
      <c r="AU196" s="44" cm="1">
        <f t="array" ref="AU196">IFERROR(INDEX('ST Forecast'!$E$2:$RK$36,28,M196),"")</f>
        <v>6997.1067542364199</v>
      </c>
      <c r="AV196" s="44" cm="1">
        <f t="array" ref="AV196">IFERROR(INDEX('ST Forecast'!$E$2:$RK$36,29,M196),"")</f>
        <v>0</v>
      </c>
      <c r="AW196" s="44">
        <f>DB[[#This Row],[Inbound FC]]-DB[[#This Row],[Inbound Act - Ultrafresh2]]</f>
        <v>114490.31694090719</v>
      </c>
      <c r="AX196" s="178" t="e">
        <f>#REF!</f>
        <v>#REF!</v>
      </c>
      <c r="AY196" s="178" t="e">
        <f>#REF!</f>
        <v>#REF!</v>
      </c>
      <c r="AZ196" s="178" t="e">
        <f>#REF!</f>
        <v>#REF!</v>
      </c>
      <c r="BA196" s="178">
        <f>MONTH(DB[[#This Row],[Datum]])</f>
        <v>7</v>
      </c>
    </row>
    <row r="197" spans="1:53" x14ac:dyDescent="0.3">
      <c r="A197" s="44">
        <f t="shared" si="57"/>
        <v>28</v>
      </c>
      <c r="B197" t="str">
        <f t="shared" si="58"/>
        <v>Wk 28</v>
      </c>
      <c r="C197" t="s">
        <v>116</v>
      </c>
      <c r="D197" s="313">
        <v>44756</v>
      </c>
      <c r="E197" s="44">
        <f>DB[[#This Row],[Sales-FC-Orders-Collect]]+DB[[#This Row],[Sales-FC-Orders-HD]]</f>
        <v>2100</v>
      </c>
      <c r="F197" s="402" cm="1">
        <f t="array" ref="F197">INDEX('LT Collect Forecast'!$K$1:$Q$55,MATCH(B197,'LT Collect Forecast'!$A:$A,0)+1,MATCH(C197,'LT Collect Forecast'!$K$2:$Q$2,0))</f>
        <v>450</v>
      </c>
      <c r="G197" s="44" cm="1">
        <f t="array" ref="G197">INDEX('LT HD Forecast'!$K$1:$Q$55,MATCH(B197,'LT HD Forecast'!$A:$A,0)+1,MATCH(C197,'LT HD Forecast'!$K$2:$Q$2,0))</f>
        <v>1650</v>
      </c>
      <c r="H197" s="44" cm="1">
        <f t="array" ref="H197">IFERROR(INDEX('ST Forecast'!$E$2:$RK$36,6,M197),"")</f>
        <v>44.907845696996233</v>
      </c>
      <c r="I197" s="44" cm="1">
        <f t="array" ref="I197">IFERROR(INDEX('ST Forecast'!$E$2:$RK$36,7,M197),"")</f>
        <v>48.693982170731843</v>
      </c>
      <c r="J197" s="44">
        <f>SUM(DB[[#This Row],[Sales-FC-Picks-Collect]:[Sales-FC-Picks-HD]])</f>
        <v>100553.60114535585</v>
      </c>
      <c r="K197" s="44">
        <f t="shared" si="69"/>
        <v>20208.530563648306</v>
      </c>
      <c r="L197" s="44">
        <f t="shared" si="70"/>
        <v>80345.070581707536</v>
      </c>
      <c r="M197" s="403">
        <f>IFERROR(IF(B197=B196,M196+1,MATCH(B197,'ST Forecast'!$E$2:$RK$2,0)+1),"")</f>
        <v>221</v>
      </c>
      <c r="N197">
        <f>SUM(DB[[#This Row],[Ops-FC-Orders-Collect]:[Ops-FC-Orders-HD]])</f>
        <v>2100</v>
      </c>
      <c r="O197" s="44" cm="1">
        <f t="array" ref="O197">IFERROR(INDEX('ST Forecast'!$E$2:$RK$36,13,M197),"")</f>
        <v>450</v>
      </c>
      <c r="P197" s="44">
        <f t="shared" si="59"/>
        <v>1650</v>
      </c>
      <c r="Q197" s="44" cm="1">
        <f t="array" ref="Q197">IFERROR(INDEX('ST Forecast'!$E$2:$RK$36,14,M197),"")</f>
        <v>825</v>
      </c>
      <c r="R197" s="44" cm="1">
        <f t="array" ref="R197">IFERROR(INDEX('ST Forecast'!$E$2:$RK$36,15,M197),"")</f>
        <v>825</v>
      </c>
      <c r="S197" s="312">
        <f>SUM(DB[[#This Row],[Ops-FC-Picks-Collect]:[Ops-FC-Picks-HD]])</f>
        <v>98542.529122448715</v>
      </c>
      <c r="T197" s="44">
        <f t="shared" si="60"/>
        <v>19804.35995237534</v>
      </c>
      <c r="U197" s="44">
        <f t="shared" si="61"/>
        <v>78738.169170073379</v>
      </c>
      <c r="V197" s="44">
        <f t="shared" si="62"/>
        <v>39369.08458503669</v>
      </c>
      <c r="W197" s="404">
        <f t="shared" si="63"/>
        <v>39369.08458503669</v>
      </c>
      <c r="X197" s="44">
        <f>SUM(DB[[#This Row],[Capped-Orders-Collect]:[Capped-Orders-HD]])</f>
        <v>90</v>
      </c>
      <c r="Y197">
        <f>INDEX('Operations Forecast'!$A$2:$BGY$47,3,MATCH(DB!D197,'Operations Forecast'!$A$2:$BGY$2))</f>
        <v>0</v>
      </c>
      <c r="Z197">
        <f t="shared" si="64"/>
        <v>90</v>
      </c>
      <c r="AA197">
        <f>INDEX('Operations Forecast'!$A$2:$BGY$47,10,MATCH(DB!D197,'Operations Forecast'!$A$2:$BGY$2))</f>
        <v>90</v>
      </c>
      <c r="AB197">
        <f>INDEX('Operations Forecast'!$A$2:$BGY$47,21,MATCH(DB!D197,'Operations Forecast'!$A$2:$BGY$2))</f>
        <v>0</v>
      </c>
      <c r="AC197" s="312">
        <f>SUM(DB[[#This Row],[Act-Orders-Collect]:[Act-Orders-HD]])</f>
        <v>2151</v>
      </c>
      <c r="AD197" s="858">
        <f>IFERROR(INDEX('Operations Forecast_new'!$7:$7,MATCH(DB[[#This Row],[Datum]],'Operations Forecast_new'!$2:$2,0)),0)</f>
        <v>440</v>
      </c>
      <c r="AE197" s="312">
        <f t="shared" si="65"/>
        <v>1711</v>
      </c>
      <c r="AF197" s="858">
        <f>IFERROR(INDEX('Operations Forecast_new'!$13:$13,MATCH(DB[[#This Row],[Datum]],'Operations Forecast_new'!$2:$2,0)),0)</f>
        <v>848</v>
      </c>
      <c r="AG197" s="858">
        <f>IFERROR(INDEX('Operations Forecast_new'!$19:$19,MATCH(DB[[#This Row],[Datum]],'Operations Forecast_new'!$2:$2,0)),0)</f>
        <v>863</v>
      </c>
      <c r="AH197" s="312">
        <f t="shared" si="71"/>
        <v>96799.824000000008</v>
      </c>
      <c r="AI197" s="858">
        <f>IFERROR(INDEX('Operations Forecast_new'!$9:$9,MATCH(DB[[#This Row],[Datum]],'Operations Forecast_new'!$2:$2,0)),0)</f>
        <v>19558.439999999999</v>
      </c>
      <c r="AJ197" s="312">
        <f t="shared" si="66"/>
        <v>77241.384000000005</v>
      </c>
      <c r="AK197" s="858">
        <f>IFERROR(INDEX('Operations Forecast_new'!$15:$15,MATCH(DB[[#This Row],[Datum]],'Operations Forecast_new'!$2:$2,0)),0)</f>
        <v>38282.112000000001</v>
      </c>
      <c r="AL197" s="858">
        <f>IFERROR(INDEX('Operations Forecast_new'!$21:$21,MATCH(DB[[#This Row],[Datum]],'Operations Forecast_new'!$2:$2,0)),0)</f>
        <v>38959.272000000004</v>
      </c>
      <c r="AM197" s="178">
        <f>IFERROR(INDEX('Operations Forecast_new'!$8:$8,MATCH(DB[[#This Row],[Datum]],'Operations Forecast_new'!$2:$2,0)),0)</f>
        <v>44.9</v>
      </c>
      <c r="AN197" s="859">
        <f>IFERROR(INDEX('Operations Forecast_new'!$20:$20,MATCH(DB[[#This Row],[Datum]],'Operations Forecast_new'!$2:$2,0)),0)</f>
        <v>45.6</v>
      </c>
      <c r="AO197" s="44">
        <f t="shared" si="67"/>
        <v>44.451000000000001</v>
      </c>
      <c r="AP197" s="404">
        <f t="shared" si="68"/>
        <v>45.144000000000005</v>
      </c>
      <c r="AQ197" s="44">
        <f t="shared" si="72"/>
        <v>104660.00000000006</v>
      </c>
      <c r="AR197" s="44" cm="1">
        <f t="array" ref="AR197">IFERROR(INDEX('ST Forecast'!$E$2:$RK$36,25,M197)+(INDEX('ST Forecast'!$E$2:$RK$36,29,M197)),"")</f>
        <v>45738.981919891776</v>
      </c>
      <c r="AS197" s="44" cm="1">
        <f t="array" ref="AS197">IFERROR(INDEX('ST Forecast'!$E$2:$RK$36,26,M197)+INDEX('ST Forecast'!$E$2:$RK$36,30,M197),"")</f>
        <v>43673.840747654256</v>
      </c>
      <c r="AT197" s="44" cm="1">
        <f t="array" ref="AT197">IFERROR(INDEX('ST Forecast'!$E$2:$RK$36,27,M197)+INDEX('ST Forecast'!$E$2:$RK$36,31,M197),"")</f>
        <v>8026.4107324646457</v>
      </c>
      <c r="AU197" s="44" cm="1">
        <f t="array" ref="AU197">IFERROR(INDEX('ST Forecast'!$E$2:$RK$36,28,M197),"")</f>
        <v>7220.7665999893725</v>
      </c>
      <c r="AV197" s="44" cm="1">
        <f t="array" ref="AV197">IFERROR(INDEX('ST Forecast'!$E$2:$RK$36,29,M197),"")</f>
        <v>0</v>
      </c>
      <c r="AW197" s="44">
        <f>DB[[#This Row],[Inbound FC]]-DB[[#This Row],[Inbound Act - Ultrafresh2]]</f>
        <v>104660.00000000006</v>
      </c>
      <c r="AX197" s="178" t="e">
        <f>#REF!</f>
        <v>#REF!</v>
      </c>
      <c r="AY197" s="178" t="e">
        <f>#REF!</f>
        <v>#REF!</v>
      </c>
      <c r="AZ197" s="178" t="e">
        <f>#REF!</f>
        <v>#REF!</v>
      </c>
      <c r="BA197" s="178">
        <f>MONTH(DB[[#This Row],[Datum]])</f>
        <v>7</v>
      </c>
    </row>
    <row r="198" spans="1:53" x14ac:dyDescent="0.3">
      <c r="A198" s="44">
        <f t="shared" si="57"/>
        <v>28</v>
      </c>
      <c r="B198" t="str">
        <f t="shared" si="58"/>
        <v>Wk 28</v>
      </c>
      <c r="C198" t="s">
        <v>117</v>
      </c>
      <c r="D198" s="313">
        <v>44757</v>
      </c>
      <c r="E198" s="44">
        <f>DB[[#This Row],[Sales-FC-Orders-Collect]]+DB[[#This Row],[Sales-FC-Orders-HD]]</f>
        <v>2550</v>
      </c>
      <c r="F198" s="402" cm="1">
        <f t="array" ref="F198">INDEX('LT Collect Forecast'!$K$1:$Q$55,MATCH(B198,'LT Collect Forecast'!$A:$A,0)+1,MATCH(C198,'LT Collect Forecast'!$K$2:$Q$2,0))</f>
        <v>750</v>
      </c>
      <c r="G198" s="44" cm="1">
        <f t="array" ref="G198">INDEX('LT HD Forecast'!$K$1:$Q$55,MATCH(B198,'LT HD Forecast'!$A:$A,0)+1,MATCH(C198,'LT HD Forecast'!$K$2:$Q$2,0))</f>
        <v>1800</v>
      </c>
      <c r="H198" s="44" cm="1">
        <f t="array" ref="H198">IFERROR(INDEX('ST Forecast'!$E$2:$RK$36,6,M198),"")</f>
        <v>50.013079590584638</v>
      </c>
      <c r="I198" s="44" cm="1">
        <f t="array" ref="I198">IFERROR(INDEX('ST Forecast'!$E$2:$RK$36,7,M198),"")</f>
        <v>50.025030783053431</v>
      </c>
      <c r="J198" s="44">
        <f>SUM(DB[[#This Row],[Sales-FC-Picks-Collect]:[Sales-FC-Picks-HD]])</f>
        <v>127554.86510243465</v>
      </c>
      <c r="K198" s="44">
        <f t="shared" si="69"/>
        <v>37509.809692938477</v>
      </c>
      <c r="L198" s="44">
        <f t="shared" si="70"/>
        <v>90045.05540949617</v>
      </c>
      <c r="M198" s="403">
        <f>IFERROR(IF(B198=B197,M197+1,MATCH(B198,'ST Forecast'!$E$2:$RK$2,0)+1),"")</f>
        <v>222</v>
      </c>
      <c r="N198">
        <f>SUM(DB[[#This Row],[Ops-FC-Orders-Collect]:[Ops-FC-Orders-HD]])</f>
        <v>2550</v>
      </c>
      <c r="O198" s="44" cm="1">
        <f t="array" ref="O198">IFERROR(INDEX('ST Forecast'!$E$2:$RK$36,13,M198),"")</f>
        <v>750</v>
      </c>
      <c r="P198" s="44">
        <f t="shared" si="59"/>
        <v>1800</v>
      </c>
      <c r="Q198" s="44" cm="1">
        <f t="array" ref="Q198">IFERROR(INDEX('ST Forecast'!$E$2:$RK$36,14,M198),"")</f>
        <v>900</v>
      </c>
      <c r="R198" s="44" cm="1">
        <f t="array" ref="R198">IFERROR(INDEX('ST Forecast'!$E$2:$RK$36,15,M198),"")</f>
        <v>900</v>
      </c>
      <c r="S198" s="312">
        <f>SUM(DB[[#This Row],[Ops-FC-Picks-Collect]:[Ops-FC-Picks-HD]])</f>
        <v>125003.76780038595</v>
      </c>
      <c r="T198" s="44">
        <f t="shared" si="60"/>
        <v>36759.613499079707</v>
      </c>
      <c r="U198" s="44">
        <f t="shared" si="61"/>
        <v>88244.154301306247</v>
      </c>
      <c r="V198" s="44">
        <f t="shared" si="62"/>
        <v>44122.077150653124</v>
      </c>
      <c r="W198" s="404">
        <f t="shared" si="63"/>
        <v>44122.077150653124</v>
      </c>
      <c r="X198" s="44">
        <f>SUM(DB[[#This Row],[Capped-Orders-Collect]:[Capped-Orders-HD]])</f>
        <v>90</v>
      </c>
      <c r="Y198">
        <f>INDEX('Operations Forecast'!$A$2:$BGY$47,3,MATCH(DB!D198,'Operations Forecast'!$A$2:$BGY$2))</f>
        <v>0</v>
      </c>
      <c r="Z198">
        <f t="shared" si="64"/>
        <v>90</v>
      </c>
      <c r="AA198">
        <f>INDEX('Operations Forecast'!$A$2:$BGY$47,10,MATCH(DB!D198,'Operations Forecast'!$A$2:$BGY$2))</f>
        <v>90</v>
      </c>
      <c r="AB198">
        <f>INDEX('Operations Forecast'!$A$2:$BGY$47,21,MATCH(DB!D198,'Operations Forecast'!$A$2:$BGY$2))</f>
        <v>0</v>
      </c>
      <c r="AC198" s="312">
        <f>SUM(DB[[#This Row],[Act-Orders-Collect]:[Act-Orders-HD]])</f>
        <v>2431</v>
      </c>
      <c r="AD198" s="858">
        <f>IFERROR(INDEX('Operations Forecast_new'!$7:$7,MATCH(DB[[#This Row],[Datum]],'Operations Forecast_new'!$2:$2,0)),0)</f>
        <v>749</v>
      </c>
      <c r="AE198" s="312">
        <f t="shared" si="65"/>
        <v>1682</v>
      </c>
      <c r="AF198" s="858">
        <f>IFERROR(INDEX('Operations Forecast_new'!$13:$13,MATCH(DB[[#This Row],[Datum]],'Operations Forecast_new'!$2:$2,0)),0)</f>
        <v>899</v>
      </c>
      <c r="AG198" s="858">
        <f>IFERROR(INDEX('Operations Forecast_new'!$19:$19,MATCH(DB[[#This Row],[Datum]],'Operations Forecast_new'!$2:$2,0)),0)</f>
        <v>783</v>
      </c>
      <c r="AH198" s="312">
        <f t="shared" si="71"/>
        <v>114964.34400000001</v>
      </c>
      <c r="AI198" s="858">
        <f>IFERROR(INDEX('Operations Forecast_new'!$9:$9,MATCH(DB[[#This Row],[Datum]],'Operations Forecast_new'!$2:$2,0)),0)</f>
        <v>34702.667999999998</v>
      </c>
      <c r="AJ198" s="312">
        <f t="shared" si="66"/>
        <v>80261.676000000007</v>
      </c>
      <c r="AK198" s="858">
        <f>IFERROR(INDEX('Operations Forecast_new'!$15:$15,MATCH(DB[[#This Row],[Datum]],'Operations Forecast_new'!$2:$2,0)),0)</f>
        <v>42898.482000000004</v>
      </c>
      <c r="AL198" s="858">
        <f>IFERROR(INDEX('Operations Forecast_new'!$21:$21,MATCH(DB[[#This Row],[Datum]],'Operations Forecast_new'!$2:$2,0)),0)</f>
        <v>37363.194000000003</v>
      </c>
      <c r="AM198" s="178">
        <f>IFERROR(INDEX('Operations Forecast_new'!$8:$8,MATCH(DB[[#This Row],[Datum]],'Operations Forecast_new'!$2:$2,0)),0)</f>
        <v>46.8</v>
      </c>
      <c r="AN198" s="859">
        <f>IFERROR(INDEX('Operations Forecast_new'!$20:$20,MATCH(DB[[#This Row],[Datum]],'Operations Forecast_new'!$2:$2,0)),0)</f>
        <v>48.2</v>
      </c>
      <c r="AO198" s="44">
        <f t="shared" si="67"/>
        <v>46.331999999999994</v>
      </c>
      <c r="AP198" s="404">
        <f t="shared" si="68"/>
        <v>47.718000000000004</v>
      </c>
      <c r="AQ198" s="44">
        <f t="shared" si="72"/>
        <v>98548.073319092233</v>
      </c>
      <c r="AR198" s="44" cm="1">
        <f t="array" ref="AR198">IFERROR(INDEX('ST Forecast'!$E$2:$RK$36,25,M198)+(INDEX('ST Forecast'!$E$2:$RK$36,29,M198)),"")</f>
        <v>40023.074000000001</v>
      </c>
      <c r="AS198" s="44" cm="1">
        <f t="array" ref="AS198">IFERROR(INDEX('ST Forecast'!$E$2:$RK$36,26,M198)+INDEX('ST Forecast'!$E$2:$RK$36,30,M198),"")</f>
        <v>47268.842815366836</v>
      </c>
      <c r="AT198" s="44" cm="1">
        <f t="array" ref="AT198">IFERROR(INDEX('ST Forecast'!$E$2:$RK$36,27,M198)+INDEX('ST Forecast'!$E$2:$RK$36,31,M198),"")</f>
        <v>4306.5493190922371</v>
      </c>
      <c r="AU198" s="44" cm="1">
        <f t="array" ref="AU198">IFERROR(INDEX('ST Forecast'!$E$2:$RK$36,28,M198),"")</f>
        <v>6949.6071846331661</v>
      </c>
      <c r="AV198" s="44" cm="1">
        <f t="array" ref="AV198">IFERROR(INDEX('ST Forecast'!$E$2:$RK$36,29,M198),"")</f>
        <v>0</v>
      </c>
      <c r="AW198" s="44">
        <f>DB[[#This Row],[Inbound FC]]-DB[[#This Row],[Inbound Act - Ultrafresh2]]</f>
        <v>98548.073319092233</v>
      </c>
      <c r="AX198" s="178" t="e">
        <f>#REF!</f>
        <v>#REF!</v>
      </c>
      <c r="AY198" s="178" t="e">
        <f>#REF!</f>
        <v>#REF!</v>
      </c>
      <c r="AZ198" s="178" t="e">
        <f>#REF!</f>
        <v>#REF!</v>
      </c>
      <c r="BA198" s="178">
        <f>MONTH(DB[[#This Row],[Datum]])</f>
        <v>7</v>
      </c>
    </row>
    <row r="199" spans="1:53" x14ac:dyDescent="0.3">
      <c r="A199" s="44">
        <f t="shared" ref="A199:A262" si="73">(WEEKNUM(D199,2))-1</f>
        <v>28</v>
      </c>
      <c r="B199" t="str">
        <f t="shared" si="58"/>
        <v>Wk 28</v>
      </c>
      <c r="C199" t="s">
        <v>118</v>
      </c>
      <c r="D199" s="313">
        <v>44758</v>
      </c>
      <c r="E199" s="44">
        <f>DB[[#This Row],[Sales-FC-Orders-Collect]]+DB[[#This Row],[Sales-FC-Orders-HD]]</f>
        <v>2300</v>
      </c>
      <c r="F199" s="402" cm="1">
        <f t="array" ref="F199">INDEX('LT Collect Forecast'!$K$1:$Q$55,MATCH(B199,'LT Collect Forecast'!$A:$A,0)+1,MATCH(C199,'LT Collect Forecast'!$K$2:$Q$2,0))</f>
        <v>700</v>
      </c>
      <c r="G199" s="44" cm="1">
        <f t="array" ref="G199">INDEX('LT HD Forecast'!$K$1:$Q$55,MATCH(B199,'LT HD Forecast'!$A:$A,0)+1,MATCH(C199,'LT HD Forecast'!$K$2:$Q$2,0))</f>
        <v>1600</v>
      </c>
      <c r="H199" s="44" cm="1">
        <f t="array" ref="H199">IFERROR(INDEX('ST Forecast'!$E$2:$RK$36,6,M199),"")</f>
        <v>49.658863675812583</v>
      </c>
      <c r="I199" s="44" cm="1">
        <f t="array" ref="I199">IFERROR(INDEX('ST Forecast'!$E$2:$RK$36,7,M199),"")</f>
        <v>49.115282998128713</v>
      </c>
      <c r="J199" s="44">
        <f>SUM(DB[[#This Row],[Sales-FC-Picks-Collect]:[Sales-FC-Picks-HD]])</f>
        <v>113345.65737007475</v>
      </c>
      <c r="K199" s="44">
        <f t="shared" si="69"/>
        <v>34761.204573068811</v>
      </c>
      <c r="L199" s="44">
        <f t="shared" si="70"/>
        <v>78584.452797005943</v>
      </c>
      <c r="M199" s="403">
        <f>IFERROR(IF(B199=B198,M198+1,MATCH(B199,'ST Forecast'!$E$2:$RK$2,0)+1),"")</f>
        <v>223</v>
      </c>
      <c r="N199">
        <f>SUM(DB[[#This Row],[Ops-FC-Orders-Collect]:[Ops-FC-Orders-HD]])</f>
        <v>2300</v>
      </c>
      <c r="O199" s="44" cm="1">
        <f t="array" ref="O199">IFERROR(INDEX('ST Forecast'!$E$2:$RK$36,13,M199),"")</f>
        <v>700</v>
      </c>
      <c r="P199" s="44">
        <f t="shared" si="59"/>
        <v>1600</v>
      </c>
      <c r="Q199" s="44" cm="1">
        <f t="array" ref="Q199">IFERROR(INDEX('ST Forecast'!$E$2:$RK$36,14,M199),"")</f>
        <v>900</v>
      </c>
      <c r="R199" s="44" cm="1">
        <f t="array" ref="R199">IFERROR(INDEX('ST Forecast'!$E$2:$RK$36,15,M199),"")</f>
        <v>700</v>
      </c>
      <c r="S199" s="312">
        <f>SUM(DB[[#This Row],[Ops-FC-Picks-Collect]:[Ops-FC-Picks-HD]])</f>
        <v>111078.74422267324</v>
      </c>
      <c r="T199" s="44">
        <f t="shared" si="60"/>
        <v>34065.980481607432</v>
      </c>
      <c r="U199" s="44">
        <f t="shared" si="61"/>
        <v>77012.763741065806</v>
      </c>
      <c r="V199" s="44">
        <f t="shared" si="62"/>
        <v>43319.67960434952</v>
      </c>
      <c r="W199" s="404">
        <f t="shared" si="63"/>
        <v>33693.084136716294</v>
      </c>
      <c r="X199" s="44">
        <f>SUM(DB[[#This Row],[Capped-Orders-Collect]:[Capped-Orders-HD]])</f>
        <v>90</v>
      </c>
      <c r="Y199">
        <f>INDEX('Operations Forecast'!$A$2:$BGY$47,3,MATCH(DB!D199,'Operations Forecast'!$A$2:$BGY$2))</f>
        <v>0</v>
      </c>
      <c r="Z199">
        <f t="shared" si="64"/>
        <v>90</v>
      </c>
      <c r="AA199">
        <f>INDEX('Operations Forecast'!$A$2:$BGY$47,10,MATCH(DB!D199,'Operations Forecast'!$A$2:$BGY$2))</f>
        <v>90</v>
      </c>
      <c r="AB199">
        <f>INDEX('Operations Forecast'!$A$2:$BGY$47,21,MATCH(DB!D199,'Operations Forecast'!$A$2:$BGY$2))</f>
        <v>0</v>
      </c>
      <c r="AC199" s="312">
        <f>SUM(DB[[#This Row],[Act-Orders-Collect]:[Act-Orders-HD]])</f>
        <v>2235</v>
      </c>
      <c r="AD199" s="858">
        <f>IFERROR(INDEX('Operations Forecast_new'!$7:$7,MATCH(DB[[#This Row],[Datum]],'Operations Forecast_new'!$2:$2,0)),0)</f>
        <v>698</v>
      </c>
      <c r="AE199" s="312">
        <f t="shared" si="65"/>
        <v>1537</v>
      </c>
      <c r="AF199" s="858">
        <f>IFERROR(INDEX('Operations Forecast_new'!$13:$13,MATCH(DB[[#This Row],[Datum]],'Operations Forecast_new'!$2:$2,0)),0)</f>
        <v>871</v>
      </c>
      <c r="AG199" s="858">
        <f>IFERROR(INDEX('Operations Forecast_new'!$19:$19,MATCH(DB[[#This Row],[Datum]],'Operations Forecast_new'!$2:$2,0)),0)</f>
        <v>666</v>
      </c>
      <c r="AH199" s="312">
        <f t="shared" si="71"/>
        <v>106289.568</v>
      </c>
      <c r="AI199" s="858">
        <f>IFERROR(INDEX('Operations Forecast_new'!$9:$9,MATCH(DB[[#This Row],[Datum]],'Operations Forecast_new'!$2:$2,0)),0)</f>
        <v>33859.980000000003</v>
      </c>
      <c r="AJ199" s="312">
        <f t="shared" si="66"/>
        <v>72429.588000000003</v>
      </c>
      <c r="AK199" s="858">
        <f>IFERROR(INDEX('Operations Forecast_new'!$15:$15,MATCH(DB[[#This Row],[Datum]],'Operations Forecast_new'!$2:$2,0)),0)</f>
        <v>41045.004000000001</v>
      </c>
      <c r="AL199" s="858">
        <f>IFERROR(INDEX('Operations Forecast_new'!$21:$21,MATCH(DB[[#This Row],[Datum]],'Operations Forecast_new'!$2:$2,0)),0)</f>
        <v>31384.584000000003</v>
      </c>
      <c r="AM199" s="178">
        <f>IFERROR(INDEX('Operations Forecast_new'!$8:$8,MATCH(DB[[#This Row],[Datum]],'Operations Forecast_new'!$2:$2,0)),0)</f>
        <v>49</v>
      </c>
      <c r="AN199" s="859">
        <f>IFERROR(INDEX('Operations Forecast_new'!$20:$20,MATCH(DB[[#This Row],[Datum]],'Operations Forecast_new'!$2:$2,0)),0)</f>
        <v>47.6</v>
      </c>
      <c r="AO199" s="44">
        <f t="shared" si="67"/>
        <v>48.510000000000005</v>
      </c>
      <c r="AP199" s="404">
        <f t="shared" si="68"/>
        <v>47.124000000000002</v>
      </c>
      <c r="AQ199" s="44">
        <f t="shared" si="72"/>
        <v>99240.000000000058</v>
      </c>
      <c r="AR199" s="44" cm="1">
        <f t="array" ref="AR199">IFERROR(INDEX('ST Forecast'!$E$2:$RK$36,25,M199)+(INDEX('ST Forecast'!$E$2:$RK$36,29,M199)),"")</f>
        <v>46706.917792435874</v>
      </c>
      <c r="AS199" s="44" cm="1">
        <f t="array" ref="AS199">IFERROR(INDEX('ST Forecast'!$E$2:$RK$36,26,M199)+INDEX('ST Forecast'!$E$2:$RK$36,30,M199),"")</f>
        <v>43448.44307777979</v>
      </c>
      <c r="AT199" s="44" cm="1">
        <f t="array" ref="AT199">IFERROR(INDEX('ST Forecast'!$E$2:$RK$36,27,M199)+INDEX('ST Forecast'!$E$2:$RK$36,31,M199),"")</f>
        <v>3839.2259469736305</v>
      </c>
      <c r="AU199" s="44" cm="1">
        <f t="array" ref="AU199">IFERROR(INDEX('ST Forecast'!$E$2:$RK$36,28,M199),"")</f>
        <v>5245.4131828107647</v>
      </c>
      <c r="AV199" s="44" cm="1">
        <f t="array" ref="AV199">IFERROR(INDEX('ST Forecast'!$E$2:$RK$36,29,M199),"")</f>
        <v>0</v>
      </c>
      <c r="AW199" s="44">
        <f>DB[[#This Row],[Inbound FC]]-DB[[#This Row],[Inbound Act - Ultrafresh2]]</f>
        <v>99240.000000000058</v>
      </c>
      <c r="AX199" s="178" t="e">
        <f>#REF!</f>
        <v>#REF!</v>
      </c>
      <c r="AY199" s="178" t="e">
        <f>#REF!</f>
        <v>#REF!</v>
      </c>
      <c r="AZ199" s="178" t="e">
        <f>#REF!</f>
        <v>#REF!</v>
      </c>
      <c r="BA199" s="178">
        <f>MONTH(DB[[#This Row],[Datum]])</f>
        <v>7</v>
      </c>
    </row>
    <row r="200" spans="1:53" x14ac:dyDescent="0.3">
      <c r="A200" s="44">
        <f t="shared" si="73"/>
        <v>28</v>
      </c>
      <c r="B200" t="str">
        <f t="shared" si="58"/>
        <v>Wk 28</v>
      </c>
      <c r="C200" t="s">
        <v>119</v>
      </c>
      <c r="D200" s="313">
        <v>44759</v>
      </c>
      <c r="E200" s="44">
        <f>DB[[#This Row],[Sales-FC-Orders-Collect]]+DB[[#This Row],[Sales-FC-Orders-HD]]</f>
        <v>0</v>
      </c>
      <c r="F200" s="402" cm="1">
        <f t="array" ref="F200">INDEX('LT Collect Forecast'!$K$1:$Q$55,MATCH(B200,'LT Collect Forecast'!$A:$A,0)+1,MATCH(C200,'LT Collect Forecast'!$K$2:$Q$2,0))</f>
        <v>0</v>
      </c>
      <c r="G200" s="44" cm="1">
        <f t="array" ref="G200">INDEX('LT HD Forecast'!$K$1:$Q$55,MATCH(B200,'LT HD Forecast'!$A:$A,0)+1,MATCH(C200,'LT HD Forecast'!$K$2:$Q$2,0))</f>
        <v>0</v>
      </c>
      <c r="H200" s="44" cm="1">
        <f t="array" ref="H200">IFERROR(INDEX('ST Forecast'!$E$2:$RK$36,6,M200),"")</f>
        <v>0</v>
      </c>
      <c r="I200" s="44" cm="1">
        <f t="array" ref="I200">IFERROR(INDEX('ST Forecast'!$E$2:$RK$36,7,M200),"")</f>
        <v>0</v>
      </c>
      <c r="J200" s="44">
        <f>SUM(DB[[#This Row],[Sales-FC-Picks-Collect]:[Sales-FC-Picks-HD]])</f>
        <v>0</v>
      </c>
      <c r="K200" s="44">
        <f t="shared" si="69"/>
        <v>0</v>
      </c>
      <c r="L200" s="44">
        <f t="shared" si="70"/>
        <v>0</v>
      </c>
      <c r="M200" s="403">
        <f>IFERROR(IF(B200=B199,M199+1,MATCH(B200,'ST Forecast'!$E$2:$RK$2,0)+1),"")</f>
        <v>224</v>
      </c>
      <c r="N200">
        <f>SUM(DB[[#This Row],[Ops-FC-Orders-Collect]:[Ops-FC-Orders-HD]])</f>
        <v>0</v>
      </c>
      <c r="O200" s="44" cm="1">
        <f t="array" ref="O200">IFERROR(INDEX('ST Forecast'!$E$2:$RK$36,13,M200),"")</f>
        <v>0</v>
      </c>
      <c r="P200" s="44">
        <f t="shared" si="59"/>
        <v>0</v>
      </c>
      <c r="Q200" s="44" cm="1">
        <f t="array" ref="Q200">IFERROR(INDEX('ST Forecast'!$E$2:$RK$36,14,M200),"")</f>
        <v>0</v>
      </c>
      <c r="R200" s="44" cm="1">
        <f t="array" ref="R200">IFERROR(INDEX('ST Forecast'!$E$2:$RK$36,15,M200),"")</f>
        <v>0</v>
      </c>
      <c r="S200" s="312">
        <f>SUM(DB[[#This Row],[Ops-FC-Picks-Collect]:[Ops-FC-Picks-HD]])</f>
        <v>0</v>
      </c>
      <c r="T200" s="44">
        <f t="shared" si="60"/>
        <v>0</v>
      </c>
      <c r="U200" s="44">
        <f t="shared" si="61"/>
        <v>0</v>
      </c>
      <c r="V200" s="44">
        <f t="shared" si="62"/>
        <v>0</v>
      </c>
      <c r="W200" s="404">
        <f t="shared" si="63"/>
        <v>0</v>
      </c>
      <c r="X200" s="44">
        <f>SUM(DB[[#This Row],[Capped-Orders-Collect]:[Capped-Orders-HD]])</f>
        <v>90</v>
      </c>
      <c r="Y200">
        <f>INDEX('Operations Forecast'!$A$2:$BGY$47,3,MATCH(DB!D200,'Operations Forecast'!$A$2:$BGY$2))</f>
        <v>0</v>
      </c>
      <c r="Z200">
        <f t="shared" si="64"/>
        <v>90</v>
      </c>
      <c r="AA200">
        <f>INDEX('Operations Forecast'!$A$2:$BGY$47,10,MATCH(DB!D200,'Operations Forecast'!$A$2:$BGY$2))</f>
        <v>90</v>
      </c>
      <c r="AB200">
        <f>INDEX('Operations Forecast'!$A$2:$BGY$47,21,MATCH(DB!D200,'Operations Forecast'!$A$2:$BGY$2))</f>
        <v>0</v>
      </c>
      <c r="AC200" s="312">
        <f>SUM(DB[[#This Row],[Act-Orders-Collect]:[Act-Orders-HD]])</f>
        <v>0</v>
      </c>
      <c r="AD200" s="858">
        <f>IFERROR(INDEX('Operations Forecast_new'!$7:$7,MATCH(DB[[#This Row],[Datum]],'Operations Forecast_new'!$2:$2,0)),0)</f>
        <v>0</v>
      </c>
      <c r="AE200" s="312">
        <f t="shared" si="65"/>
        <v>0</v>
      </c>
      <c r="AF200" s="858">
        <f>IFERROR(INDEX('Operations Forecast_new'!$13:$13,MATCH(DB[[#This Row],[Datum]],'Operations Forecast_new'!$2:$2,0)),0)</f>
        <v>0</v>
      </c>
      <c r="AG200" s="858">
        <f>IFERROR(INDEX('Operations Forecast_new'!$19:$19,MATCH(DB[[#This Row],[Datum]],'Operations Forecast_new'!$2:$2,0)),0)</f>
        <v>0</v>
      </c>
      <c r="AH200" s="312">
        <f t="shared" si="71"/>
        <v>0</v>
      </c>
      <c r="AI200" s="858">
        <f>IFERROR(INDEX('Operations Forecast_new'!$9:$9,MATCH(DB[[#This Row],[Datum]],'Operations Forecast_new'!$2:$2,0)),0)</f>
        <v>0</v>
      </c>
      <c r="AJ200" s="312">
        <f t="shared" si="66"/>
        <v>0</v>
      </c>
      <c r="AK200" s="858">
        <f>IFERROR(INDEX('Operations Forecast_new'!$15:$15,MATCH(DB[[#This Row],[Datum]],'Operations Forecast_new'!$2:$2,0)),0)</f>
        <v>0</v>
      </c>
      <c r="AL200" s="858">
        <f>IFERROR(INDEX('Operations Forecast_new'!$21:$21,MATCH(DB[[#This Row],[Datum]],'Operations Forecast_new'!$2:$2,0)),0)</f>
        <v>0</v>
      </c>
      <c r="AM200" s="178">
        <f>IFERROR(INDEX('Operations Forecast_new'!$8:$8,MATCH(DB[[#This Row],[Datum]],'Operations Forecast_new'!$2:$2,0)),0)</f>
        <v>0</v>
      </c>
      <c r="AN200" s="859">
        <f>IFERROR(INDEX('Operations Forecast_new'!$20:$20,MATCH(DB[[#This Row],[Datum]],'Operations Forecast_new'!$2:$2,0)),0)</f>
        <v>0</v>
      </c>
      <c r="AO200" s="44" t="str">
        <f t="shared" si="67"/>
        <v>-</v>
      </c>
      <c r="AP200" s="404" t="str">
        <f t="shared" si="68"/>
        <v>-</v>
      </c>
      <c r="AQ200" s="44">
        <f t="shared" si="72"/>
        <v>0</v>
      </c>
      <c r="AR200" s="44" cm="1">
        <f t="array" ref="AR200">IFERROR(INDEX('ST Forecast'!$E$2:$RK$36,25,M200)+(INDEX('ST Forecast'!$E$2:$RK$36,29,M200)),"")</f>
        <v>0</v>
      </c>
      <c r="AS200" s="44" cm="1">
        <f t="array" ref="AS200">IFERROR(INDEX('ST Forecast'!$E$2:$RK$36,26,M200)+INDEX('ST Forecast'!$E$2:$RK$36,30,M200),"")</f>
        <v>0</v>
      </c>
      <c r="AT200" s="44" cm="1">
        <f t="array" ref="AT200">IFERROR(INDEX('ST Forecast'!$E$2:$RK$36,27,M200)+INDEX('ST Forecast'!$E$2:$RK$36,31,M200),"")</f>
        <v>0</v>
      </c>
      <c r="AU200" s="44" cm="1">
        <f t="array" ref="AU200">IFERROR(INDEX('ST Forecast'!$E$2:$RK$36,28,M200),"")</f>
        <v>0</v>
      </c>
      <c r="AV200" s="44" cm="1">
        <f t="array" ref="AV200">IFERROR(INDEX('ST Forecast'!$E$2:$RK$36,29,M200),"")</f>
        <v>0</v>
      </c>
      <c r="AW200" s="44">
        <f>DB[[#This Row],[Inbound FC]]-DB[[#This Row],[Inbound Act - Ultrafresh2]]</f>
        <v>0</v>
      </c>
      <c r="AX200" s="178" t="e">
        <f>#REF!</f>
        <v>#REF!</v>
      </c>
      <c r="AY200" s="178" t="e">
        <f>#REF!</f>
        <v>#REF!</v>
      </c>
      <c r="AZ200" s="178" t="e">
        <f>#REF!</f>
        <v>#REF!</v>
      </c>
      <c r="BA200" s="178">
        <f>MONTH(DB[[#This Row],[Datum]])</f>
        <v>7</v>
      </c>
    </row>
    <row r="201" spans="1:53" x14ac:dyDescent="0.3">
      <c r="A201" s="44">
        <f t="shared" si="73"/>
        <v>29</v>
      </c>
      <c r="B201" t="str">
        <f t="shared" si="58"/>
        <v>Wk 29</v>
      </c>
      <c r="C201" t="s">
        <v>113</v>
      </c>
      <c r="D201" s="313">
        <v>44760</v>
      </c>
      <c r="E201" s="44">
        <f>DB[[#This Row],[Sales-FC-Orders-Collect]]+DB[[#This Row],[Sales-FC-Orders-HD]]</f>
        <v>1950</v>
      </c>
      <c r="F201" s="402">
        <f>INDEX('LT Collect Forecast'!$K$1:$Q$55,MATCH(B201,'LT Collect Forecast'!$A:$A,0),MATCH(C201,'LT Collect Forecast'!$K$2:$Q$2,0))</f>
        <v>450</v>
      </c>
      <c r="G201" s="44">
        <f>INDEX('LT HD Forecast'!$K$1:$Q$55,MATCH(B201,'LT HD Forecast'!$A:$A,0),MATCH(C201,'LT HD Forecast'!$K$2:$Q$2,0))</f>
        <v>1500</v>
      </c>
      <c r="H201" s="44" cm="1">
        <f t="array" ref="H201">IFERROR(INDEX('ST Forecast'!$E$2:$RK$36,6,M201),"")</f>
        <v>45.694577795163966</v>
      </c>
      <c r="I201" s="44" cm="1">
        <f t="array" ref="I201">IFERROR(INDEX('ST Forecast'!$E$2:$RK$36,7,M201),"")</f>
        <v>48.012726773104617</v>
      </c>
      <c r="J201" s="44">
        <f>SUM(DB[[#This Row],[Sales-FC-Picks-Collect]:[Sales-FC-Picks-HD]])</f>
        <v>92581.650167480722</v>
      </c>
      <c r="K201" s="44">
        <f t="shared" si="69"/>
        <v>20562.560007823784</v>
      </c>
      <c r="L201" s="44">
        <f t="shared" si="70"/>
        <v>72019.090159656931</v>
      </c>
      <c r="M201" s="403">
        <f>IFERROR(IF(B201=B200,M200+1,MATCH(B201,'ST Forecast'!$E$2:$RK$2,0)+1),"")</f>
        <v>226</v>
      </c>
      <c r="N201">
        <f>SUM(DB[[#This Row],[Ops-FC-Orders-Collect]:[Ops-FC-Orders-HD]])</f>
        <v>1900</v>
      </c>
      <c r="O201" s="44" cm="1">
        <f t="array" ref="O201">IFERROR(INDEX('ST Forecast'!$E$2:$RK$36,13,M201),"")</f>
        <v>450</v>
      </c>
      <c r="P201" s="44">
        <f t="shared" si="59"/>
        <v>1450</v>
      </c>
      <c r="Q201" s="44" cm="1">
        <f t="array" ref="Q201">IFERROR(INDEX('ST Forecast'!$E$2:$RK$36,14,M201),"")</f>
        <v>650</v>
      </c>
      <c r="R201" s="44" cm="1">
        <f t="array" ref="R201">IFERROR(INDEX('ST Forecast'!$E$2:$RK$36,15,M201),"")</f>
        <v>800</v>
      </c>
      <c r="S201" s="312">
        <f>SUM(DB[[#This Row],[Ops-FC-Picks-Collect]:[Ops-FC-Picks-HD]])</f>
        <v>88377.393552248977</v>
      </c>
      <c r="T201" s="44">
        <f t="shared" si="60"/>
        <v>20151.308807667308</v>
      </c>
      <c r="U201" s="44">
        <f t="shared" si="61"/>
        <v>68226.084744581662</v>
      </c>
      <c r="V201" s="44">
        <f t="shared" si="62"/>
        <v>30584.106954467639</v>
      </c>
      <c r="W201" s="404">
        <f t="shared" si="63"/>
        <v>37641.977790114019</v>
      </c>
      <c r="X201" s="44">
        <f>SUM(DB[[#This Row],[Capped-Orders-Collect]:[Capped-Orders-HD]])</f>
        <v>90</v>
      </c>
      <c r="Y201">
        <f>INDEX('Operations Forecast'!$A$2:$BGY$47,3,MATCH(DB!D201,'Operations Forecast'!$A$2:$BGY$2))</f>
        <v>0</v>
      </c>
      <c r="Z201">
        <f t="shared" si="64"/>
        <v>90</v>
      </c>
      <c r="AA201">
        <f>INDEX('Operations Forecast'!$A$2:$BGY$47,10,MATCH(DB!D201,'Operations Forecast'!$A$2:$BGY$2))</f>
        <v>90</v>
      </c>
      <c r="AB201">
        <f>INDEX('Operations Forecast'!$A$2:$BGY$47,21,MATCH(DB!D201,'Operations Forecast'!$A$2:$BGY$2))</f>
        <v>0</v>
      </c>
      <c r="AC201" s="312">
        <f>SUM(DB[[#This Row],[Act-Orders-Collect]:[Act-Orders-HD]])</f>
        <v>1803</v>
      </c>
      <c r="AD201" s="858">
        <f>IFERROR(INDEX('Operations Forecast_new'!$7:$7,MATCH(DB[[#This Row],[Datum]],'Operations Forecast_new'!$2:$2,0)),0)</f>
        <v>446</v>
      </c>
      <c r="AE201" s="312">
        <f t="shared" si="65"/>
        <v>1357</v>
      </c>
      <c r="AF201" s="858">
        <f>IFERROR(INDEX('Operations Forecast_new'!$13:$13,MATCH(DB[[#This Row],[Datum]],'Operations Forecast_new'!$2:$2,0)),0)</f>
        <v>574</v>
      </c>
      <c r="AG201" s="858">
        <f>IFERROR(INDEX('Operations Forecast_new'!$19:$19,MATCH(DB[[#This Row],[Datum]],'Operations Forecast_new'!$2:$2,0)),0)</f>
        <v>783</v>
      </c>
      <c r="AH201" s="312">
        <f t="shared" si="71"/>
        <v>82609.361999999994</v>
      </c>
      <c r="AI201" s="858">
        <f>IFERROR(INDEX('Operations Forecast_new'!$9:$9,MATCH(DB[[#This Row],[Datum]],'Operations Forecast_new'!$2:$2,0)),0)</f>
        <v>19736.838</v>
      </c>
      <c r="AJ201" s="312">
        <f t="shared" si="66"/>
        <v>62872.52399999999</v>
      </c>
      <c r="AK201" s="858">
        <f>IFERROR(INDEX('Operations Forecast_new'!$15:$15,MATCH(DB[[#This Row],[Datum]],'Operations Forecast_new'!$2:$2,0)),0)</f>
        <v>26594.567999999996</v>
      </c>
      <c r="AL201" s="858">
        <f>IFERROR(INDEX('Operations Forecast_new'!$21:$21,MATCH(DB[[#This Row],[Datum]],'Operations Forecast_new'!$2:$2,0)),0)</f>
        <v>36277.955999999991</v>
      </c>
      <c r="AM201" s="178">
        <f>IFERROR(INDEX('Operations Forecast_new'!$8:$8,MATCH(DB[[#This Row],[Datum]],'Operations Forecast_new'!$2:$2,0)),0)</f>
        <v>44.7</v>
      </c>
      <c r="AN201" s="859">
        <f>IFERROR(INDEX('Operations Forecast_new'!$20:$20,MATCH(DB[[#This Row],[Datum]],'Operations Forecast_new'!$2:$2,0)),0)</f>
        <v>46.8</v>
      </c>
      <c r="AO201" s="44">
        <f t="shared" si="67"/>
        <v>44.253</v>
      </c>
      <c r="AP201" s="404">
        <f t="shared" si="68"/>
        <v>46.331999999999994</v>
      </c>
      <c r="AQ201" s="44">
        <f t="shared" si="72"/>
        <v>165694</v>
      </c>
      <c r="AR201" s="44" cm="1">
        <f t="array" ref="AR201">IFERROR(INDEX('ST Forecast'!$E$2:$RK$36,25,M201)+(INDEX('ST Forecast'!$E$2:$RK$36,29,M201)),"")</f>
        <v>76897.700000000012</v>
      </c>
      <c r="AS201" s="44" cm="1">
        <f t="array" ref="AS201">IFERROR(INDEX('ST Forecast'!$E$2:$RK$36,26,M201)+INDEX('ST Forecast'!$E$2:$RK$36,30,M201),"")</f>
        <v>47529.962546705683</v>
      </c>
      <c r="AT201" s="44" cm="1">
        <f t="array" ref="AT201">IFERROR(INDEX('ST Forecast'!$E$2:$RK$36,27,M201)+INDEX('ST Forecast'!$E$2:$RK$36,31,M201),"")</f>
        <v>34268.839999999997</v>
      </c>
      <c r="AU201" s="44" cm="1">
        <f t="array" ref="AU201">IFERROR(INDEX('ST Forecast'!$E$2:$RK$36,28,M201),"")</f>
        <v>6997.4974532943152</v>
      </c>
      <c r="AV201" s="44" cm="1">
        <f t="array" ref="AV201">IFERROR(INDEX('ST Forecast'!$E$2:$RK$36,29,M201),"")</f>
        <v>0</v>
      </c>
      <c r="AW201" s="44">
        <f>DB[[#This Row],[Inbound FC]]-DB[[#This Row],[Inbound Act - Ultrafresh2]]</f>
        <v>165694</v>
      </c>
      <c r="AX201" s="178" t="e">
        <f>#REF!</f>
        <v>#REF!</v>
      </c>
      <c r="AY201" s="178" t="e">
        <f>#REF!</f>
        <v>#REF!</v>
      </c>
      <c r="AZ201" s="178" t="e">
        <f>#REF!</f>
        <v>#REF!</v>
      </c>
      <c r="BA201" s="178">
        <f>MONTH(DB[[#This Row],[Datum]])</f>
        <v>7</v>
      </c>
    </row>
    <row r="202" spans="1:53" x14ac:dyDescent="0.3">
      <c r="A202" s="44">
        <f t="shared" si="73"/>
        <v>29</v>
      </c>
      <c r="B202" t="str">
        <f t="shared" si="58"/>
        <v>Wk 29</v>
      </c>
      <c r="C202" t="s">
        <v>114</v>
      </c>
      <c r="D202" s="313">
        <v>44761</v>
      </c>
      <c r="E202" s="44">
        <f>DB[[#This Row],[Sales-FC-Orders-Collect]]+DB[[#This Row],[Sales-FC-Orders-HD]]</f>
        <v>2200</v>
      </c>
      <c r="F202" s="402">
        <f>INDEX('LT Collect Forecast'!$K$1:$Q$55,MATCH(B202,'LT Collect Forecast'!$A:$A,0),MATCH(C202,'LT Collect Forecast'!$K$2:$Q$2,0))</f>
        <v>450</v>
      </c>
      <c r="G202" s="44">
        <f>INDEX('LT HD Forecast'!$K$1:$Q$55,MATCH(B202,'LT HD Forecast'!$A:$A,0),MATCH(C202,'LT HD Forecast'!$K$2:$Q$2,0))</f>
        <v>1750</v>
      </c>
      <c r="H202" s="44" cm="1">
        <f t="array" ref="H202">IFERROR(INDEX('ST Forecast'!$E$2:$RK$36,6,M202),"")</f>
        <v>43.144007344419606</v>
      </c>
      <c r="I202" s="44" cm="1">
        <f t="array" ref="I202">IFERROR(INDEX('ST Forecast'!$E$2:$RK$36,7,M202),"")</f>
        <v>46.733298709494285</v>
      </c>
      <c r="J202" s="44">
        <f>SUM(DB[[#This Row],[Sales-FC-Picks-Collect]:[Sales-FC-Picks-HD]])</f>
        <v>101198.07604660382</v>
      </c>
      <c r="K202" s="44">
        <f t="shared" si="69"/>
        <v>19414.803304988822</v>
      </c>
      <c r="L202" s="44">
        <f t="shared" si="70"/>
        <v>81783.272741615001</v>
      </c>
      <c r="M202" s="403">
        <f>IFERROR(IF(B202=B201,M201+1,MATCH(B202,'ST Forecast'!$E$2:$RK$2,0)+1),"")</f>
        <v>227</v>
      </c>
      <c r="N202">
        <f>SUM(DB[[#This Row],[Ops-FC-Orders-Collect]:[Ops-FC-Orders-HD]])</f>
        <v>2200</v>
      </c>
      <c r="O202" s="44" cm="1">
        <f t="array" ref="O202">IFERROR(INDEX('ST Forecast'!$E$2:$RK$36,13,M202),"")</f>
        <v>450</v>
      </c>
      <c r="P202" s="44">
        <f t="shared" si="59"/>
        <v>1750</v>
      </c>
      <c r="Q202" s="44" cm="1">
        <f t="array" ref="Q202">IFERROR(INDEX('ST Forecast'!$E$2:$RK$36,14,M202),"")</f>
        <v>850</v>
      </c>
      <c r="R202" s="44" cm="1">
        <f t="array" ref="R202">IFERROR(INDEX('ST Forecast'!$E$2:$RK$36,15,M202),"")</f>
        <v>900</v>
      </c>
      <c r="S202" s="312">
        <f>SUM(DB[[#This Row],[Ops-FC-Picks-Collect]:[Ops-FC-Picks-HD]])</f>
        <v>99174.114525671728</v>
      </c>
      <c r="T202" s="44">
        <f t="shared" si="60"/>
        <v>19026.507238889044</v>
      </c>
      <c r="U202" s="44">
        <f t="shared" si="61"/>
        <v>80147.607286782688</v>
      </c>
      <c r="V202" s="44">
        <f t="shared" si="62"/>
        <v>38928.837825008733</v>
      </c>
      <c r="W202" s="404">
        <f t="shared" si="63"/>
        <v>41218.769461773954</v>
      </c>
      <c r="X202" s="44">
        <f>SUM(DB[[#This Row],[Capped-Orders-Collect]:[Capped-Orders-HD]])</f>
        <v>90</v>
      </c>
      <c r="Y202">
        <f>INDEX('Operations Forecast'!$A$2:$BGY$47,3,MATCH(DB!D202,'Operations Forecast'!$A$2:$BGY$2))</f>
        <v>0</v>
      </c>
      <c r="Z202">
        <f t="shared" si="64"/>
        <v>90</v>
      </c>
      <c r="AA202">
        <f>INDEX('Operations Forecast'!$A$2:$BGY$47,10,MATCH(DB!D202,'Operations Forecast'!$A$2:$BGY$2))</f>
        <v>90</v>
      </c>
      <c r="AB202">
        <f>INDEX('Operations Forecast'!$A$2:$BGY$47,21,MATCH(DB!D202,'Operations Forecast'!$A$2:$BGY$2))</f>
        <v>0</v>
      </c>
      <c r="AC202" s="312">
        <f>SUM(DB[[#This Row],[Act-Orders-Collect]:[Act-Orders-HD]])</f>
        <v>2297</v>
      </c>
      <c r="AD202" s="858">
        <f>IFERROR(INDEX('Operations Forecast_new'!$7:$7,MATCH(DB[[#This Row],[Datum]],'Operations Forecast_new'!$2:$2,0)),0)</f>
        <v>457</v>
      </c>
      <c r="AE202" s="312">
        <f t="shared" si="65"/>
        <v>1840</v>
      </c>
      <c r="AF202" s="858">
        <f>IFERROR(INDEX('Operations Forecast_new'!$13:$13,MATCH(DB[[#This Row],[Datum]],'Operations Forecast_new'!$2:$2,0)),0)</f>
        <v>865</v>
      </c>
      <c r="AG202" s="858">
        <f>IFERROR(INDEX('Operations Forecast_new'!$19:$19,MATCH(DB[[#This Row],[Datum]],'Operations Forecast_new'!$2:$2,0)),0)</f>
        <v>975</v>
      </c>
      <c r="AH202" s="312">
        <f t="shared" si="71"/>
        <v>97146.324000000008</v>
      </c>
      <c r="AI202" s="858">
        <f>IFERROR(INDEX('Operations Forecast_new'!$9:$9,MATCH(DB[[#This Row],[Datum]],'Operations Forecast_new'!$2:$2,0)),0)</f>
        <v>19364.003999999997</v>
      </c>
      <c r="AJ202" s="312">
        <f t="shared" si="66"/>
        <v>77782.320000000007</v>
      </c>
      <c r="AK202" s="858">
        <f>IFERROR(INDEX('Operations Forecast_new'!$15:$15,MATCH(DB[[#This Row],[Datum]],'Operations Forecast_new'!$2:$2,0)),0)</f>
        <v>36566.144999999997</v>
      </c>
      <c r="AL202" s="858">
        <f>IFERROR(INDEX('Operations Forecast_new'!$21:$21,MATCH(DB[[#This Row],[Datum]],'Operations Forecast_new'!$2:$2,0)),0)</f>
        <v>41216.175000000003</v>
      </c>
      <c r="AM202" s="178">
        <f>IFERROR(INDEX('Operations Forecast_new'!$8:$8,MATCH(DB[[#This Row],[Datum]],'Operations Forecast_new'!$2:$2,0)),0)</f>
        <v>42.8</v>
      </c>
      <c r="AN202" s="859">
        <f>IFERROR(INDEX('Operations Forecast_new'!$20:$20,MATCH(DB[[#This Row],[Datum]],'Operations Forecast_new'!$2:$2,0)),0)</f>
        <v>42.7</v>
      </c>
      <c r="AO202" s="44">
        <f t="shared" si="67"/>
        <v>42.371999999999993</v>
      </c>
      <c r="AP202" s="404">
        <f t="shared" si="68"/>
        <v>42.273000000000003</v>
      </c>
      <c r="AQ202" s="44">
        <f t="shared" si="72"/>
        <v>119281.15505479059</v>
      </c>
      <c r="AR202" s="44" cm="1">
        <f t="array" ref="AR202">IFERROR(INDEX('ST Forecast'!$E$2:$RK$36,25,M202)+(INDEX('ST Forecast'!$E$2:$RK$36,29,M202)),"")</f>
        <v>54842.879999999997</v>
      </c>
      <c r="AS202" s="44" cm="1">
        <f t="array" ref="AS202">IFERROR(INDEX('ST Forecast'!$E$2:$RK$36,26,M202)+INDEX('ST Forecast'!$E$2:$RK$36,30,M202),"")</f>
        <v>47600.783885254801</v>
      </c>
      <c r="AT202" s="44" cm="1">
        <f t="array" ref="AT202">IFERROR(INDEX('ST Forecast'!$E$2:$RK$36,27,M202)+INDEX('ST Forecast'!$E$2:$RK$36,31,M202),"")</f>
        <v>10052.4190547906</v>
      </c>
      <c r="AU202" s="44" cm="1">
        <f t="array" ref="AU202">IFERROR(INDEX('ST Forecast'!$E$2:$RK$36,28,M202),"")</f>
        <v>6785.072114745195</v>
      </c>
      <c r="AV202" s="44" cm="1">
        <f t="array" ref="AV202">IFERROR(INDEX('ST Forecast'!$E$2:$RK$36,29,M202),"")</f>
        <v>0</v>
      </c>
      <c r="AW202" s="44">
        <f>DB[[#This Row],[Inbound FC]]-DB[[#This Row],[Inbound Act - Ultrafresh2]]</f>
        <v>119281.15505479059</v>
      </c>
      <c r="AX202" s="178" t="e">
        <f>#REF!</f>
        <v>#REF!</v>
      </c>
      <c r="AY202" s="178" t="e">
        <f>#REF!</f>
        <v>#REF!</v>
      </c>
      <c r="AZ202" s="178" t="e">
        <f>#REF!</f>
        <v>#REF!</v>
      </c>
      <c r="BA202" s="178">
        <f>MONTH(DB[[#This Row],[Datum]])</f>
        <v>7</v>
      </c>
    </row>
    <row r="203" spans="1:53" x14ac:dyDescent="0.3">
      <c r="A203" s="44">
        <f t="shared" si="73"/>
        <v>29</v>
      </c>
      <c r="B203" t="str">
        <f t="shared" si="58"/>
        <v>Wk 29</v>
      </c>
      <c r="C203" t="s">
        <v>115</v>
      </c>
      <c r="D203" s="313">
        <v>44762</v>
      </c>
      <c r="E203" s="44">
        <f>DB[[#This Row],[Sales-FC-Orders-Collect]]+DB[[#This Row],[Sales-FC-Orders-HD]]</f>
        <v>2200</v>
      </c>
      <c r="F203" s="402">
        <f>INDEX('LT Collect Forecast'!$K$1:$Q$55,MATCH(B203,'LT Collect Forecast'!$A:$A,0),MATCH(C203,'LT Collect Forecast'!$K$2:$Q$2,0))</f>
        <v>500</v>
      </c>
      <c r="G203" s="44">
        <f>INDEX('LT HD Forecast'!$K$1:$Q$55,MATCH(B203,'LT HD Forecast'!$A:$A,0),MATCH(C203,'LT HD Forecast'!$K$2:$Q$2,0))</f>
        <v>1700</v>
      </c>
      <c r="H203" s="44" cm="1">
        <f t="array" ref="H203">IFERROR(INDEX('ST Forecast'!$E$2:$RK$36,6,M203),"")</f>
        <v>42.192942715635802</v>
      </c>
      <c r="I203" s="44" cm="1">
        <f t="array" ref="I203">IFERROR(INDEX('ST Forecast'!$E$2:$RK$36,7,M203),"")</f>
        <v>46.91686797592498</v>
      </c>
      <c r="J203" s="44">
        <f>SUM(DB[[#This Row],[Sales-FC-Picks-Collect]:[Sales-FC-Picks-HD]])</f>
        <v>100855.14691689037</v>
      </c>
      <c r="K203" s="44">
        <f t="shared" si="69"/>
        <v>21096.4713578179</v>
      </c>
      <c r="L203" s="44">
        <f t="shared" si="70"/>
        <v>79758.675559072464</v>
      </c>
      <c r="M203" s="403">
        <f>IFERROR(IF(B203=B202,M202+1,MATCH(B203,'ST Forecast'!$E$2:$RK$2,0)+1),"")</f>
        <v>228</v>
      </c>
      <c r="N203">
        <f>SUM(DB[[#This Row],[Ops-FC-Orders-Collect]:[Ops-FC-Orders-HD]])</f>
        <v>2150</v>
      </c>
      <c r="O203" s="44" cm="1">
        <f t="array" ref="O203">IFERROR(INDEX('ST Forecast'!$E$2:$RK$36,13,M203),"")</f>
        <v>500</v>
      </c>
      <c r="P203" s="44">
        <f t="shared" si="59"/>
        <v>1650</v>
      </c>
      <c r="Q203" s="44" cm="1">
        <f t="array" ref="Q203">IFERROR(INDEX('ST Forecast'!$E$2:$RK$36,14,M203),"")</f>
        <v>800</v>
      </c>
      <c r="R203" s="44" cm="1">
        <f t="array" ref="R203">IFERROR(INDEX('ST Forecast'!$E$2:$RK$36,15,M203),"")</f>
        <v>850</v>
      </c>
      <c r="S203" s="312">
        <f>SUM(DB[[#This Row],[Ops-FC-Picks-Collect]:[Ops-FC-Picks-HD]])</f>
        <v>96539.11744773222</v>
      </c>
      <c r="T203" s="44">
        <f t="shared" si="60"/>
        <v>20674.54193066154</v>
      </c>
      <c r="U203" s="44">
        <f t="shared" si="61"/>
        <v>75864.575517070683</v>
      </c>
      <c r="V203" s="44">
        <f t="shared" si="62"/>
        <v>36782.824493125183</v>
      </c>
      <c r="W203" s="404">
        <f t="shared" si="63"/>
        <v>39081.751023945508</v>
      </c>
      <c r="X203" s="44">
        <f>SUM(DB[[#This Row],[Capped-Orders-Collect]:[Capped-Orders-HD]])</f>
        <v>90</v>
      </c>
      <c r="Y203">
        <f>INDEX('Operations Forecast'!$A$2:$BGY$47,3,MATCH(DB!D203,'Operations Forecast'!$A$2:$BGY$2))</f>
        <v>0</v>
      </c>
      <c r="Z203">
        <f t="shared" si="64"/>
        <v>90</v>
      </c>
      <c r="AA203">
        <f>INDEX('Operations Forecast'!$A$2:$BGY$47,10,MATCH(DB!D203,'Operations Forecast'!$A$2:$BGY$2))</f>
        <v>90</v>
      </c>
      <c r="AB203">
        <f>INDEX('Operations Forecast'!$A$2:$BGY$47,21,MATCH(DB!D203,'Operations Forecast'!$A$2:$BGY$2))</f>
        <v>0</v>
      </c>
      <c r="AC203" s="312">
        <f>SUM(DB[[#This Row],[Act-Orders-Collect]:[Act-Orders-HD]])</f>
        <v>2276</v>
      </c>
      <c r="AD203" s="858">
        <f>IFERROR(INDEX('Operations Forecast_new'!$7:$7,MATCH(DB[[#This Row],[Datum]],'Operations Forecast_new'!$2:$2,0)),0)</f>
        <v>518</v>
      </c>
      <c r="AE203" s="312">
        <f t="shared" si="65"/>
        <v>1758</v>
      </c>
      <c r="AF203" s="858">
        <f>IFERROR(INDEX('Operations Forecast_new'!$13:$13,MATCH(DB[[#This Row],[Datum]],'Operations Forecast_new'!$2:$2,0)),0)</f>
        <v>966</v>
      </c>
      <c r="AG203" s="858">
        <f>IFERROR(INDEX('Operations Forecast_new'!$19:$19,MATCH(DB[[#This Row],[Datum]],'Operations Forecast_new'!$2:$2,0)),0)</f>
        <v>792</v>
      </c>
      <c r="AH203" s="312">
        <f t="shared" si="71"/>
        <v>102469.554</v>
      </c>
      <c r="AI203" s="858">
        <f>IFERROR(INDEX('Operations Forecast_new'!$9:$9,MATCH(DB[[#This Row],[Datum]],'Operations Forecast_new'!$2:$2,0)),0)</f>
        <v>22410.234</v>
      </c>
      <c r="AJ203" s="312">
        <f t="shared" si="66"/>
        <v>80059.320000000007</v>
      </c>
      <c r="AK203" s="858">
        <f>IFERROR(INDEX('Operations Forecast_new'!$15:$15,MATCH(DB[[#This Row],[Datum]],'Operations Forecast_new'!$2:$2,0)),0)</f>
        <v>43991.64</v>
      </c>
      <c r="AL203" s="858">
        <f>IFERROR(INDEX('Operations Forecast_new'!$21:$21,MATCH(DB[[#This Row],[Datum]],'Operations Forecast_new'!$2:$2,0)),0)</f>
        <v>36067.68</v>
      </c>
      <c r="AM203" s="178">
        <f>IFERROR(INDEX('Operations Forecast_new'!$8:$8,MATCH(DB[[#This Row],[Datum]],'Operations Forecast_new'!$2:$2,0)),0)</f>
        <v>43.7</v>
      </c>
      <c r="AN203" s="859">
        <f>IFERROR(INDEX('Operations Forecast_new'!$20:$20,MATCH(DB[[#This Row],[Datum]],'Operations Forecast_new'!$2:$2,0)),0)</f>
        <v>46</v>
      </c>
      <c r="AO203" s="44">
        <f t="shared" si="67"/>
        <v>43.262999999999998</v>
      </c>
      <c r="AP203" s="404">
        <f t="shared" si="68"/>
        <v>45.540000000000006</v>
      </c>
      <c r="AQ203" s="44">
        <f t="shared" si="72"/>
        <v>104850.89272594075</v>
      </c>
      <c r="AR203" s="44" cm="1">
        <f t="array" ref="AR203">IFERROR(INDEX('ST Forecast'!$E$2:$RK$36,25,M203)+(INDEX('ST Forecast'!$E$2:$RK$36,29,M203)),"")</f>
        <v>51537</v>
      </c>
      <c r="AS203" s="44" cm="1">
        <f t="array" ref="AS203">IFERROR(INDEX('ST Forecast'!$E$2:$RK$36,26,M203)+INDEX('ST Forecast'!$E$2:$RK$36,30,M203),"")</f>
        <v>40735.522516263722</v>
      </c>
      <c r="AT203" s="44" cm="1">
        <f t="array" ref="AT203">IFERROR(INDEX('ST Forecast'!$E$2:$RK$36,27,M203)+INDEX('ST Forecast'!$E$2:$RK$36,31,M203),"")</f>
        <v>5899.8527259407492</v>
      </c>
      <c r="AU203" s="44" cm="1">
        <f t="array" ref="AU203">IFERROR(INDEX('ST Forecast'!$E$2:$RK$36,28,M203),"")</f>
        <v>6678.5174837362811</v>
      </c>
      <c r="AV203" s="44" cm="1">
        <f t="array" ref="AV203">IFERROR(INDEX('ST Forecast'!$E$2:$RK$36,29,M203),"")</f>
        <v>0</v>
      </c>
      <c r="AW203" s="44">
        <f>DB[[#This Row],[Inbound FC]]-DB[[#This Row],[Inbound Act - Ultrafresh2]]</f>
        <v>104850.89272594075</v>
      </c>
      <c r="AX203" s="178" t="e">
        <f>#REF!</f>
        <v>#REF!</v>
      </c>
      <c r="AY203" s="178" t="e">
        <f>#REF!</f>
        <v>#REF!</v>
      </c>
      <c r="AZ203" s="178" t="e">
        <f>#REF!</f>
        <v>#REF!</v>
      </c>
      <c r="BA203" s="178">
        <f>MONTH(DB[[#This Row],[Datum]])</f>
        <v>7</v>
      </c>
    </row>
    <row r="204" spans="1:53" x14ac:dyDescent="0.3">
      <c r="A204" s="44">
        <f t="shared" si="73"/>
        <v>29</v>
      </c>
      <c r="B204" t="str">
        <f t="shared" si="58"/>
        <v>Wk 29</v>
      </c>
      <c r="C204" t="s">
        <v>116</v>
      </c>
      <c r="D204" s="313">
        <v>44763</v>
      </c>
      <c r="E204" s="44">
        <f>DB[[#This Row],[Sales-FC-Orders-Collect]]+DB[[#This Row],[Sales-FC-Orders-HD]]</f>
        <v>0</v>
      </c>
      <c r="F204" s="402" cm="1">
        <f t="array" ref="F204">INDEX('LT Collect Forecast'!$K$1:$Q$55,MATCH(B204,'LT Collect Forecast'!$A:$A,0)+1,MATCH(C204,'LT Collect Forecast'!$K$2:$Q$2,0))</f>
        <v>0</v>
      </c>
      <c r="G204" s="44" cm="1">
        <f t="array" ref="G204">INDEX('LT HD Forecast'!$K$1:$Q$55,MATCH(B204,'LT HD Forecast'!$A:$A,0)+1,MATCH(C204,'LT HD Forecast'!$K$2:$Q$2,0))</f>
        <v>0</v>
      </c>
      <c r="H204" s="44" cm="1">
        <f t="array" ref="H204">IFERROR(INDEX('ST Forecast'!$E$2:$RK$36,6,M204),"")</f>
        <v>0</v>
      </c>
      <c r="I204" s="44" cm="1">
        <f t="array" ref="I204">IFERROR(INDEX('ST Forecast'!$E$2:$RK$36,7,M204),"")</f>
        <v>0</v>
      </c>
      <c r="J204" s="44">
        <f>SUM(DB[[#This Row],[Sales-FC-Picks-Collect]:[Sales-FC-Picks-HD]])</f>
        <v>0</v>
      </c>
      <c r="K204" s="44">
        <f t="shared" si="69"/>
        <v>0</v>
      </c>
      <c r="L204" s="44">
        <f t="shared" si="70"/>
        <v>0</v>
      </c>
      <c r="M204" s="403">
        <f>IFERROR(IF(B204=B203,M203+1,MATCH(B204,'ST Forecast'!$E$2:$RK$2,0)+1),"")</f>
        <v>229</v>
      </c>
      <c r="N204">
        <f>SUM(DB[[#This Row],[Ops-FC-Orders-Collect]:[Ops-FC-Orders-HD]])</f>
        <v>0</v>
      </c>
      <c r="O204" s="44" cm="1">
        <f t="array" ref="O204">IFERROR(INDEX('ST Forecast'!$E$2:$RK$36,13,M204),"")</f>
        <v>0</v>
      </c>
      <c r="P204" s="44">
        <f t="shared" si="59"/>
        <v>0</v>
      </c>
      <c r="Q204" s="44" cm="1">
        <f t="array" ref="Q204">IFERROR(INDEX('ST Forecast'!$E$2:$RK$36,14,M204),"")</f>
        <v>0</v>
      </c>
      <c r="R204" s="44" cm="1">
        <f t="array" ref="R204">IFERROR(INDEX('ST Forecast'!$E$2:$RK$36,15,M204),"")</f>
        <v>0</v>
      </c>
      <c r="S204" s="312">
        <f>SUM(DB[[#This Row],[Ops-FC-Picks-Collect]:[Ops-FC-Picks-HD]])</f>
        <v>0</v>
      </c>
      <c r="T204" s="44">
        <f t="shared" si="60"/>
        <v>0</v>
      </c>
      <c r="U204" s="44">
        <f t="shared" si="61"/>
        <v>0</v>
      </c>
      <c r="V204" s="44">
        <f t="shared" si="62"/>
        <v>0</v>
      </c>
      <c r="W204" s="404">
        <f t="shared" si="63"/>
        <v>0</v>
      </c>
      <c r="X204" s="44">
        <f>SUM(DB[[#This Row],[Capped-Orders-Collect]:[Capped-Orders-HD]])</f>
        <v>90</v>
      </c>
      <c r="Y204">
        <f>INDEX('Operations Forecast'!$A$2:$BGY$47,3,MATCH(DB!D204,'Operations Forecast'!$A$2:$BGY$2))</f>
        <v>0</v>
      </c>
      <c r="Z204">
        <f t="shared" si="64"/>
        <v>90</v>
      </c>
      <c r="AA204">
        <f>INDEX('Operations Forecast'!$A$2:$BGY$47,10,MATCH(DB!D204,'Operations Forecast'!$A$2:$BGY$2))</f>
        <v>90</v>
      </c>
      <c r="AB204">
        <f>INDEX('Operations Forecast'!$A$2:$BGY$47,21,MATCH(DB!D204,'Operations Forecast'!$A$2:$BGY$2))</f>
        <v>0</v>
      </c>
      <c r="AC204" s="312">
        <f>SUM(DB[[#This Row],[Act-Orders-Collect]:[Act-Orders-HD]])</f>
        <v>0</v>
      </c>
      <c r="AD204" s="858">
        <f>IFERROR(INDEX('Operations Forecast_new'!$7:$7,MATCH(DB[[#This Row],[Datum]],'Operations Forecast_new'!$2:$2,0)),0)</f>
        <v>0</v>
      </c>
      <c r="AE204" s="312">
        <f t="shared" si="65"/>
        <v>0</v>
      </c>
      <c r="AF204" s="858">
        <f>IFERROR(INDEX('Operations Forecast_new'!$13:$13,MATCH(DB[[#This Row],[Datum]],'Operations Forecast_new'!$2:$2,0)),0)</f>
        <v>0</v>
      </c>
      <c r="AG204" s="858">
        <f>IFERROR(INDEX('Operations Forecast_new'!$19:$19,MATCH(DB[[#This Row],[Datum]],'Operations Forecast_new'!$2:$2,0)),0)</f>
        <v>0</v>
      </c>
      <c r="AH204" s="312">
        <f t="shared" si="71"/>
        <v>0</v>
      </c>
      <c r="AI204" s="858">
        <f>IFERROR(INDEX('Operations Forecast_new'!$9:$9,MATCH(DB[[#This Row],[Datum]],'Operations Forecast_new'!$2:$2,0)),0)</f>
        <v>0</v>
      </c>
      <c r="AJ204" s="312">
        <f t="shared" si="66"/>
        <v>0</v>
      </c>
      <c r="AK204" s="858">
        <f>IFERROR(INDEX('Operations Forecast_new'!$15:$15,MATCH(DB[[#This Row],[Datum]],'Operations Forecast_new'!$2:$2,0)),0)</f>
        <v>0</v>
      </c>
      <c r="AL204" s="858">
        <f>IFERROR(INDEX('Operations Forecast_new'!$21:$21,MATCH(DB[[#This Row],[Datum]],'Operations Forecast_new'!$2:$2,0)),0)</f>
        <v>0</v>
      </c>
      <c r="AM204" s="178">
        <f>IFERROR(INDEX('Operations Forecast_new'!$8:$8,MATCH(DB[[#This Row],[Datum]],'Operations Forecast_new'!$2:$2,0)),0)</f>
        <v>0</v>
      </c>
      <c r="AN204" s="859">
        <f>IFERROR(INDEX('Operations Forecast_new'!$20:$20,MATCH(DB[[#This Row],[Datum]],'Operations Forecast_new'!$2:$2,0)),0)</f>
        <v>0</v>
      </c>
      <c r="AO204" s="44" t="str">
        <f t="shared" si="67"/>
        <v>-</v>
      </c>
      <c r="AP204" s="404" t="str">
        <f t="shared" si="68"/>
        <v>-</v>
      </c>
      <c r="AQ204" s="44">
        <f t="shared" si="72"/>
        <v>0</v>
      </c>
      <c r="AR204" s="44" cm="1">
        <f t="array" ref="AR204">IFERROR(INDEX('ST Forecast'!$E$2:$RK$36,25,M204)+(INDEX('ST Forecast'!$E$2:$RK$36,29,M204)),"")</f>
        <v>0</v>
      </c>
      <c r="AS204" s="44" cm="1">
        <f t="array" ref="AS204">IFERROR(INDEX('ST Forecast'!$E$2:$RK$36,26,M204)+INDEX('ST Forecast'!$E$2:$RK$36,30,M204),"")</f>
        <v>0</v>
      </c>
      <c r="AT204" s="44" cm="1">
        <f t="array" ref="AT204">IFERROR(INDEX('ST Forecast'!$E$2:$RK$36,27,M204)+INDEX('ST Forecast'!$E$2:$RK$36,31,M204),"")</f>
        <v>0</v>
      </c>
      <c r="AU204" s="44" cm="1">
        <f t="array" ref="AU204">IFERROR(INDEX('ST Forecast'!$E$2:$RK$36,28,M204),"")</f>
        <v>0</v>
      </c>
      <c r="AV204" s="44" cm="1">
        <f t="array" ref="AV204">IFERROR(INDEX('ST Forecast'!$E$2:$RK$36,29,M204),"")</f>
        <v>0</v>
      </c>
      <c r="AW204" s="44">
        <f>DB[[#This Row],[Inbound FC]]-DB[[#This Row],[Inbound Act - Ultrafresh2]]</f>
        <v>0</v>
      </c>
      <c r="AX204" s="178" t="e">
        <f>#REF!</f>
        <v>#REF!</v>
      </c>
      <c r="AY204" s="178" t="e">
        <f>#REF!</f>
        <v>#REF!</v>
      </c>
      <c r="AZ204" s="178" t="e">
        <f>#REF!</f>
        <v>#REF!</v>
      </c>
      <c r="BA204" s="178">
        <f>MONTH(DB[[#This Row],[Datum]])</f>
        <v>7</v>
      </c>
    </row>
    <row r="205" spans="1:53" x14ac:dyDescent="0.3">
      <c r="A205" s="44">
        <f t="shared" si="73"/>
        <v>29</v>
      </c>
      <c r="B205" t="str">
        <f t="shared" ref="B205:B268" si="74">"Wk "&amp;A205</f>
        <v>Wk 29</v>
      </c>
      <c r="C205" t="s">
        <v>117</v>
      </c>
      <c r="D205" s="313">
        <v>44764</v>
      </c>
      <c r="E205" s="44">
        <f>DB[[#This Row],[Sales-FC-Orders-Collect]]+DB[[#This Row],[Sales-FC-Orders-HD]]</f>
        <v>2800</v>
      </c>
      <c r="F205" s="402" cm="1">
        <f t="array" ref="F205">INDEX('LT Collect Forecast'!$K$1:$Q$55,MATCH(B205,'LT Collect Forecast'!$A:$A,0)+1,MATCH(C205,'LT Collect Forecast'!$K$2:$Q$2,0))</f>
        <v>900</v>
      </c>
      <c r="G205" s="44" cm="1">
        <f t="array" ref="G205">INDEX('LT HD Forecast'!$K$1:$Q$55,MATCH(B205,'LT HD Forecast'!$A:$A,0)+1,MATCH(C205,'LT HD Forecast'!$K$2:$Q$2,0))</f>
        <v>1900</v>
      </c>
      <c r="H205" s="44" cm="1">
        <f t="array" ref="H205">IFERROR(INDEX('ST Forecast'!$E$2:$RK$36,6,M205),"")</f>
        <v>49.327323297789491</v>
      </c>
      <c r="I205" s="44" cm="1">
        <f t="array" ref="I205">IFERROR(INDEX('ST Forecast'!$E$2:$RK$36,7,M205),"")</f>
        <v>49.468724494292481</v>
      </c>
      <c r="J205" s="44">
        <f>SUM(DB[[#This Row],[Sales-FC-Picks-Collect]:[Sales-FC-Picks-HD]])</f>
        <v>138385.16750716625</v>
      </c>
      <c r="K205" s="44">
        <f t="shared" si="69"/>
        <v>44394.59096801054</v>
      </c>
      <c r="L205" s="44">
        <f t="shared" si="70"/>
        <v>93990.576539155707</v>
      </c>
      <c r="M205" s="403">
        <f>IFERROR(IF(B205=B204,M204+1,MATCH(B205,'ST Forecast'!$E$2:$RK$2,0)+1),"")</f>
        <v>230</v>
      </c>
      <c r="N205">
        <f>SUM(DB[[#This Row],[Ops-FC-Orders-Collect]:[Ops-FC-Orders-HD]])</f>
        <v>2700</v>
      </c>
      <c r="O205" s="44" cm="1">
        <f t="array" ref="O205">IFERROR(INDEX('ST Forecast'!$E$2:$RK$36,13,M205),"")</f>
        <v>900</v>
      </c>
      <c r="P205" s="44">
        <f t="shared" ref="P205:P268" si="75">IFERROR(Q205+R205,"")</f>
        <v>1800</v>
      </c>
      <c r="Q205" s="44" cm="1">
        <f t="array" ref="Q205">IFERROR(INDEX('ST Forecast'!$E$2:$RK$36,14,M205),"")</f>
        <v>800</v>
      </c>
      <c r="R205" s="44" cm="1">
        <f t="array" ref="R205">IFERROR(INDEX('ST Forecast'!$E$2:$RK$36,15,M205),"")</f>
        <v>1000</v>
      </c>
      <c r="S205" s="312">
        <f>SUM(DB[[#This Row],[Ops-FC-Picks-Collect]:[Ops-FC-Picks-HD]])</f>
        <v>130769.52915658227</v>
      </c>
      <c r="T205" s="44">
        <f t="shared" ref="T205:T268" si="76">IFERROR(O205*H205*$B$1,"")</f>
        <v>43506.699148650325</v>
      </c>
      <c r="U205" s="44">
        <f t="shared" ref="U205:U268" si="77">IFERROR(V205+W205,"")</f>
        <v>87262.830007931945</v>
      </c>
      <c r="V205" s="44">
        <f t="shared" ref="V205:V268" si="78">IFERROR(Q205*I205*$B$1,"")</f>
        <v>38783.480003525307</v>
      </c>
      <c r="W205" s="404">
        <f t="shared" ref="W205:W268" si="79">IFERROR(R205*I205*$B$1,"")</f>
        <v>48479.350004406631</v>
      </c>
      <c r="X205" s="44">
        <f>SUM(DB[[#This Row],[Capped-Orders-Collect]:[Capped-Orders-HD]])</f>
        <v>90</v>
      </c>
      <c r="Y205">
        <f>INDEX('Operations Forecast'!$A$2:$BGY$47,3,MATCH(DB!D205,'Operations Forecast'!$A$2:$BGY$2))</f>
        <v>0</v>
      </c>
      <c r="Z205">
        <f t="shared" ref="Z205:Z268" si="80">SUM(AA205:AB205)</f>
        <v>90</v>
      </c>
      <c r="AA205">
        <f>INDEX('Operations Forecast'!$A$2:$BGY$47,10,MATCH(DB!D205,'Operations Forecast'!$A$2:$BGY$2))</f>
        <v>90</v>
      </c>
      <c r="AB205">
        <f>INDEX('Operations Forecast'!$A$2:$BGY$47,21,MATCH(DB!D205,'Operations Forecast'!$A$2:$BGY$2))</f>
        <v>0</v>
      </c>
      <c r="AC205" s="312">
        <f>SUM(DB[[#This Row],[Act-Orders-Collect]:[Act-Orders-HD]])</f>
        <v>2571</v>
      </c>
      <c r="AD205" s="858">
        <f>IFERROR(INDEX('Operations Forecast_new'!$7:$7,MATCH(DB[[#This Row],[Datum]],'Operations Forecast_new'!$2:$2,0)),0)</f>
        <v>797</v>
      </c>
      <c r="AE205" s="312">
        <f t="shared" ref="AE205:AE268" si="81">AF205+AG205</f>
        <v>1774</v>
      </c>
      <c r="AF205" s="858">
        <f>IFERROR(INDEX('Operations Forecast_new'!$13:$13,MATCH(DB[[#This Row],[Datum]],'Operations Forecast_new'!$2:$2,0)),0)</f>
        <v>761</v>
      </c>
      <c r="AG205" s="858">
        <f>IFERROR(INDEX('Operations Forecast_new'!$19:$19,MATCH(DB[[#This Row],[Datum]],'Operations Forecast_new'!$2:$2,0)),0)</f>
        <v>1013</v>
      </c>
      <c r="AH205" s="312">
        <f t="shared" si="71"/>
        <v>119463.20099999999</v>
      </c>
      <c r="AI205" s="858">
        <f>IFERROR(INDEX('Operations Forecast_new'!$9:$9,MATCH(DB[[#This Row],[Datum]],'Operations Forecast_new'!$2:$2,0)),0)</f>
        <v>36216.476999999999</v>
      </c>
      <c r="AJ205" s="312">
        <f t="shared" ref="AJ205:AJ268" si="82">AK205+AL205</f>
        <v>83246.723999999987</v>
      </c>
      <c r="AK205" s="858">
        <f>IFERROR(INDEX('Operations Forecast_new'!$15:$15,MATCH(DB[[#This Row],[Datum]],'Operations Forecast_new'!$2:$2,0)),0)</f>
        <v>35710.686000000002</v>
      </c>
      <c r="AL205" s="858">
        <f>IFERROR(INDEX('Operations Forecast_new'!$21:$21,MATCH(DB[[#This Row],[Datum]],'Operations Forecast_new'!$2:$2,0)),0)</f>
        <v>47536.037999999993</v>
      </c>
      <c r="AM205" s="178">
        <f>IFERROR(INDEX('Operations Forecast_new'!$8:$8,MATCH(DB[[#This Row],[Datum]],'Operations Forecast_new'!$2:$2,0)),0)</f>
        <v>45.9</v>
      </c>
      <c r="AN205" s="859">
        <f>IFERROR(INDEX('Operations Forecast_new'!$20:$20,MATCH(DB[[#This Row],[Datum]],'Operations Forecast_new'!$2:$2,0)),0)</f>
        <v>47.4</v>
      </c>
      <c r="AO205" s="44">
        <f t="shared" ref="AO205:AO268" si="83">IFERROR(AI205/AD205,"-")</f>
        <v>45.440999999999995</v>
      </c>
      <c r="AP205" s="404">
        <f t="shared" ref="AP205:AP268" si="84">IFERROR(AJ205/AE205,"-")</f>
        <v>46.925999999999995</v>
      </c>
      <c r="AQ205" s="44">
        <f t="shared" si="72"/>
        <v>100791.36932055344</v>
      </c>
      <c r="AR205" s="44" cm="1">
        <f t="array" ref="AR205">IFERROR(INDEX('ST Forecast'!$E$2:$RK$36,25,M205)+(INDEX('ST Forecast'!$E$2:$RK$36,29,M205)),"")</f>
        <v>40934.138000000006</v>
      </c>
      <c r="AS205" s="44" cm="1">
        <f t="array" ref="AS205">IFERROR(INDEX('ST Forecast'!$E$2:$RK$36,26,M205)+INDEX('ST Forecast'!$E$2:$RK$36,30,M205),"")</f>
        <v>48344.845648401082</v>
      </c>
      <c r="AT205" s="44" cm="1">
        <f t="array" ref="AT205">IFERROR(INDEX('ST Forecast'!$E$2:$RK$36,27,M205)+INDEX('ST Forecast'!$E$2:$RK$36,31,M205),"")</f>
        <v>4404.5813205534305</v>
      </c>
      <c r="AU205" s="44" cm="1">
        <f t="array" ref="AU205">IFERROR(INDEX('ST Forecast'!$E$2:$RK$36,28,M205),"")</f>
        <v>7107.8043515989175</v>
      </c>
      <c r="AV205" s="44" cm="1">
        <f t="array" ref="AV205">IFERROR(INDEX('ST Forecast'!$E$2:$RK$36,29,M205),"")</f>
        <v>0</v>
      </c>
      <c r="AW205" s="44">
        <f>DB[[#This Row],[Inbound FC]]-DB[[#This Row],[Inbound Act - Ultrafresh2]]</f>
        <v>100791.36932055344</v>
      </c>
      <c r="AX205" s="178" t="e">
        <f>#REF!</f>
        <v>#REF!</v>
      </c>
      <c r="AY205" s="178" t="e">
        <f>#REF!</f>
        <v>#REF!</v>
      </c>
      <c r="AZ205" s="178" t="e">
        <f>#REF!</f>
        <v>#REF!</v>
      </c>
      <c r="BA205" s="178">
        <f>MONTH(DB[[#This Row],[Datum]])</f>
        <v>7</v>
      </c>
    </row>
    <row r="206" spans="1:53" x14ac:dyDescent="0.3">
      <c r="A206" s="44">
        <f t="shared" si="73"/>
        <v>29</v>
      </c>
      <c r="B206" t="str">
        <f t="shared" si="74"/>
        <v>Wk 29</v>
      </c>
      <c r="C206" t="s">
        <v>118</v>
      </c>
      <c r="D206" s="313">
        <v>44765</v>
      </c>
      <c r="E206" s="44">
        <f>DB[[#This Row],[Sales-FC-Orders-Collect]]+DB[[#This Row],[Sales-FC-Orders-HD]]</f>
        <v>2450</v>
      </c>
      <c r="F206" s="402" cm="1">
        <f t="array" ref="F206">INDEX('LT Collect Forecast'!$K$1:$Q$55,MATCH(B206,'LT Collect Forecast'!$A:$A,0)+1,MATCH(C206,'LT Collect Forecast'!$K$2:$Q$2,0))</f>
        <v>750</v>
      </c>
      <c r="G206" s="44" cm="1">
        <f t="array" ref="G206">INDEX('LT HD Forecast'!$K$1:$Q$55,MATCH(B206,'LT HD Forecast'!$A:$A,0)+1,MATCH(C206,'LT HD Forecast'!$K$2:$Q$2,0))</f>
        <v>1700</v>
      </c>
      <c r="H206" s="44" cm="1">
        <f t="array" ref="H206">IFERROR(INDEX('ST Forecast'!$E$2:$RK$36,6,M206),"")</f>
        <v>49.11335273740243</v>
      </c>
      <c r="I206" s="44" cm="1">
        <f t="array" ref="I206">IFERROR(INDEX('ST Forecast'!$E$2:$RK$36,7,M206),"")</f>
        <v>48.577880462728821</v>
      </c>
      <c r="J206" s="44">
        <f>SUM(DB[[#This Row],[Sales-FC-Picks-Collect]:[Sales-FC-Picks-HD]])</f>
        <v>119417.41133969082</v>
      </c>
      <c r="K206" s="44">
        <f t="shared" si="69"/>
        <v>36835.01455305182</v>
      </c>
      <c r="L206" s="44">
        <f t="shared" si="70"/>
        <v>82582.396786639001</v>
      </c>
      <c r="M206" s="403">
        <f>IFERROR(IF(B206=B205,M205+1,MATCH(B206,'ST Forecast'!$E$2:$RK$2,0)+1),"")</f>
        <v>231</v>
      </c>
      <c r="N206">
        <f>SUM(DB[[#This Row],[Ops-FC-Orders-Collect]:[Ops-FC-Orders-HD]])</f>
        <v>2400</v>
      </c>
      <c r="O206" s="44" cm="1">
        <f t="array" ref="O206">IFERROR(INDEX('ST Forecast'!$E$2:$RK$36,13,M206),"")</f>
        <v>750</v>
      </c>
      <c r="P206" s="44">
        <f t="shared" si="75"/>
        <v>1650</v>
      </c>
      <c r="Q206" s="44" cm="1">
        <f t="array" ref="Q206">IFERROR(INDEX('ST Forecast'!$E$2:$RK$36,14,M206),"")</f>
        <v>950</v>
      </c>
      <c r="R206" s="44" cm="1">
        <f t="array" ref="R206">IFERROR(INDEX('ST Forecast'!$E$2:$RK$36,15,M206),"")</f>
        <v>700</v>
      </c>
      <c r="S206" s="312">
        <f>SUM(DB[[#This Row],[Ops-FC-Picks-Collect]:[Ops-FC-Picks-HD]])</f>
        <v>114648.74697022329</v>
      </c>
      <c r="T206" s="44">
        <f t="shared" si="76"/>
        <v>36098.314261990781</v>
      </c>
      <c r="U206" s="44">
        <f t="shared" si="77"/>
        <v>78550.432708232504</v>
      </c>
      <c r="V206" s="44">
        <f t="shared" si="78"/>
        <v>45226.006710800531</v>
      </c>
      <c r="W206" s="404">
        <f t="shared" si="79"/>
        <v>33324.425997431972</v>
      </c>
      <c r="X206" s="44">
        <f>SUM(DB[[#This Row],[Capped-Orders-Collect]:[Capped-Orders-HD]])</f>
        <v>90</v>
      </c>
      <c r="Y206">
        <f>INDEX('Operations Forecast'!$A$2:$BGY$47,3,MATCH(DB!D206,'Operations Forecast'!$A$2:$BGY$2))</f>
        <v>0</v>
      </c>
      <c r="Z206">
        <f t="shared" si="80"/>
        <v>90</v>
      </c>
      <c r="AA206">
        <f>INDEX('Operations Forecast'!$A$2:$BGY$47,10,MATCH(DB!D206,'Operations Forecast'!$A$2:$BGY$2))</f>
        <v>90</v>
      </c>
      <c r="AB206">
        <f>INDEX('Operations Forecast'!$A$2:$BGY$47,21,MATCH(DB!D206,'Operations Forecast'!$A$2:$BGY$2))</f>
        <v>0</v>
      </c>
      <c r="AC206" s="312">
        <f>SUM(DB[[#This Row],[Act-Orders-Collect]:[Act-Orders-HD]])</f>
        <v>2284</v>
      </c>
      <c r="AD206" s="858">
        <f>IFERROR(INDEX('Operations Forecast_new'!$7:$7,MATCH(DB[[#This Row],[Datum]],'Operations Forecast_new'!$2:$2,0)),0)</f>
        <v>647</v>
      </c>
      <c r="AE206" s="312">
        <f t="shared" si="81"/>
        <v>1637</v>
      </c>
      <c r="AF206" s="858">
        <f>IFERROR(INDEX('Operations Forecast_new'!$13:$13,MATCH(DB[[#This Row],[Datum]],'Operations Forecast_new'!$2:$2,0)),0)</f>
        <v>971</v>
      </c>
      <c r="AG206" s="858">
        <f>IFERROR(INDEX('Operations Forecast_new'!$19:$19,MATCH(DB[[#This Row],[Datum]],'Operations Forecast_new'!$2:$2,0)),0)</f>
        <v>666</v>
      </c>
      <c r="AH206" s="312">
        <f t="shared" si="71"/>
        <v>108483.21</v>
      </c>
      <c r="AI206" s="858">
        <f>IFERROR(INDEX('Operations Forecast_new'!$9:$9,MATCH(DB[[#This Row],[Datum]],'Operations Forecast_new'!$2:$2,0)),0)</f>
        <v>29720.592000000001</v>
      </c>
      <c r="AJ206" s="312">
        <f t="shared" si="82"/>
        <v>78762.618000000002</v>
      </c>
      <c r="AK206" s="858">
        <f>IFERROR(INDEX('Operations Forecast_new'!$15:$15,MATCH(DB[[#This Row],[Datum]],'Operations Forecast_new'!$2:$2,0)),0)</f>
        <v>46718.693999999996</v>
      </c>
      <c r="AL206" s="858">
        <f>IFERROR(INDEX('Operations Forecast_new'!$21:$21,MATCH(DB[[#This Row],[Datum]],'Operations Forecast_new'!$2:$2,0)),0)</f>
        <v>32043.924000000003</v>
      </c>
      <c r="AM206" s="178">
        <f>IFERROR(INDEX('Operations Forecast_new'!$8:$8,MATCH(DB[[#This Row],[Datum]],'Operations Forecast_new'!$2:$2,0)),0)</f>
        <v>46.4</v>
      </c>
      <c r="AN206" s="859">
        <f>IFERROR(INDEX('Operations Forecast_new'!$20:$20,MATCH(DB[[#This Row],[Datum]],'Operations Forecast_new'!$2:$2,0)),0)</f>
        <v>48.6</v>
      </c>
      <c r="AO206" s="44">
        <f t="shared" si="83"/>
        <v>45.936</v>
      </c>
      <c r="AP206" s="404">
        <f t="shared" si="84"/>
        <v>48.114000000000004</v>
      </c>
      <c r="AQ206" s="44">
        <f t="shared" si="72"/>
        <v>101269.00000000006</v>
      </c>
      <c r="AR206" s="44" cm="1">
        <f t="array" ref="AR206">IFERROR(INDEX('ST Forecast'!$E$2:$RK$36,25,M206)+(INDEX('ST Forecast'!$E$2:$RK$36,29,M206)),"")</f>
        <v>47661.858705382794</v>
      </c>
      <c r="AS206" s="44" cm="1">
        <f t="array" ref="AS206">IFERROR(INDEX('ST Forecast'!$E$2:$RK$36,26,M206)+INDEX('ST Forecast'!$E$2:$RK$36,30,M206),"")</f>
        <v>44336.763220915775</v>
      </c>
      <c r="AT206" s="44" cm="1">
        <f t="array" ref="AT206">IFERROR(INDEX('ST Forecast'!$E$2:$RK$36,27,M206)+INDEX('ST Forecast'!$E$2:$RK$36,31,M206),"")</f>
        <v>3917.7203992752175</v>
      </c>
      <c r="AU206" s="44" cm="1">
        <f t="array" ref="AU206">IFERROR(INDEX('ST Forecast'!$E$2:$RK$36,28,M206),"")</f>
        <v>5352.6576744262729</v>
      </c>
      <c r="AV206" s="44" cm="1">
        <f t="array" ref="AV206">IFERROR(INDEX('ST Forecast'!$E$2:$RK$36,29,M206),"")</f>
        <v>0</v>
      </c>
      <c r="AW206" s="44">
        <f>DB[[#This Row],[Inbound FC]]-DB[[#This Row],[Inbound Act - Ultrafresh2]]</f>
        <v>101269.00000000006</v>
      </c>
      <c r="AX206" s="178" t="e">
        <f>#REF!</f>
        <v>#REF!</v>
      </c>
      <c r="AY206" s="178" t="e">
        <f>#REF!</f>
        <v>#REF!</v>
      </c>
      <c r="AZ206" s="178" t="e">
        <f>#REF!</f>
        <v>#REF!</v>
      </c>
      <c r="BA206" s="178">
        <f>MONTH(DB[[#This Row],[Datum]])</f>
        <v>7</v>
      </c>
    </row>
    <row r="207" spans="1:53" x14ac:dyDescent="0.3">
      <c r="A207" s="44">
        <f t="shared" si="73"/>
        <v>29</v>
      </c>
      <c r="B207" t="str">
        <f t="shared" si="74"/>
        <v>Wk 29</v>
      </c>
      <c r="C207" t="s">
        <v>119</v>
      </c>
      <c r="D207" s="313">
        <v>44766</v>
      </c>
      <c r="E207" s="44">
        <f>DB[[#This Row],[Sales-FC-Orders-Collect]]+DB[[#This Row],[Sales-FC-Orders-HD]]</f>
        <v>0</v>
      </c>
      <c r="F207" s="402" cm="1">
        <f t="array" ref="F207">INDEX('LT Collect Forecast'!$K$1:$Q$55,MATCH(B207,'LT Collect Forecast'!$A:$A,0)+1,MATCH(C207,'LT Collect Forecast'!$K$2:$Q$2,0))</f>
        <v>0</v>
      </c>
      <c r="G207" s="44" cm="1">
        <f t="array" ref="G207">INDEX('LT HD Forecast'!$K$1:$Q$55,MATCH(B207,'LT HD Forecast'!$A:$A,0)+1,MATCH(C207,'LT HD Forecast'!$K$2:$Q$2,0))</f>
        <v>0</v>
      </c>
      <c r="H207" s="44" cm="1">
        <f t="array" ref="H207">IFERROR(INDEX('ST Forecast'!$E$2:$RK$36,6,M207),"")</f>
        <v>0</v>
      </c>
      <c r="I207" s="44" cm="1">
        <f t="array" ref="I207">IFERROR(INDEX('ST Forecast'!$E$2:$RK$36,7,M207),"")</f>
        <v>0</v>
      </c>
      <c r="J207" s="44">
        <f>SUM(DB[[#This Row],[Sales-FC-Picks-Collect]:[Sales-FC-Picks-HD]])</f>
        <v>0</v>
      </c>
      <c r="K207" s="44">
        <f t="shared" si="69"/>
        <v>0</v>
      </c>
      <c r="L207" s="44">
        <f t="shared" si="70"/>
        <v>0</v>
      </c>
      <c r="M207" s="403">
        <f>IFERROR(IF(B207=B206,M206+1,MATCH(B207,'ST Forecast'!$E$2:$RK$2,0)+1),"")</f>
        <v>232</v>
      </c>
      <c r="N207">
        <f>SUM(DB[[#This Row],[Ops-FC-Orders-Collect]:[Ops-FC-Orders-HD]])</f>
        <v>0</v>
      </c>
      <c r="O207" s="44" cm="1">
        <f t="array" ref="O207">IFERROR(INDEX('ST Forecast'!$E$2:$RK$36,13,M207),"")</f>
        <v>0</v>
      </c>
      <c r="P207" s="44">
        <f t="shared" si="75"/>
        <v>0</v>
      </c>
      <c r="Q207" s="44" cm="1">
        <f t="array" ref="Q207">IFERROR(INDEX('ST Forecast'!$E$2:$RK$36,14,M207),"")</f>
        <v>0</v>
      </c>
      <c r="R207" s="44" cm="1">
        <f t="array" ref="R207">IFERROR(INDEX('ST Forecast'!$E$2:$RK$36,15,M207),"")</f>
        <v>0</v>
      </c>
      <c r="S207" s="312">
        <f>SUM(DB[[#This Row],[Ops-FC-Picks-Collect]:[Ops-FC-Picks-HD]])</f>
        <v>0</v>
      </c>
      <c r="T207" s="44">
        <f t="shared" si="76"/>
        <v>0</v>
      </c>
      <c r="U207" s="44">
        <f t="shared" si="77"/>
        <v>0</v>
      </c>
      <c r="V207" s="44">
        <f t="shared" si="78"/>
        <v>0</v>
      </c>
      <c r="W207" s="404">
        <f t="shared" si="79"/>
        <v>0</v>
      </c>
      <c r="X207" s="44">
        <f>SUM(DB[[#This Row],[Capped-Orders-Collect]:[Capped-Orders-HD]])</f>
        <v>90</v>
      </c>
      <c r="Y207">
        <f>INDEX('Operations Forecast'!$A$2:$BGY$47,3,MATCH(DB!D207,'Operations Forecast'!$A$2:$BGY$2))</f>
        <v>0</v>
      </c>
      <c r="Z207">
        <f t="shared" si="80"/>
        <v>90</v>
      </c>
      <c r="AA207">
        <f>INDEX('Operations Forecast'!$A$2:$BGY$47,10,MATCH(DB!D207,'Operations Forecast'!$A$2:$BGY$2))</f>
        <v>90</v>
      </c>
      <c r="AB207">
        <f>INDEX('Operations Forecast'!$A$2:$BGY$47,21,MATCH(DB!D207,'Operations Forecast'!$A$2:$BGY$2))</f>
        <v>0</v>
      </c>
      <c r="AC207" s="312">
        <f>SUM(DB[[#This Row],[Act-Orders-Collect]:[Act-Orders-HD]])</f>
        <v>0</v>
      </c>
      <c r="AD207" s="858">
        <f>IFERROR(INDEX('Operations Forecast_new'!$7:$7,MATCH(DB[[#This Row],[Datum]],'Operations Forecast_new'!$2:$2,0)),0)</f>
        <v>0</v>
      </c>
      <c r="AE207" s="312">
        <f t="shared" si="81"/>
        <v>0</v>
      </c>
      <c r="AF207" s="858">
        <f>IFERROR(INDEX('Operations Forecast_new'!$13:$13,MATCH(DB[[#This Row],[Datum]],'Operations Forecast_new'!$2:$2,0)),0)</f>
        <v>0</v>
      </c>
      <c r="AG207" s="858">
        <f>IFERROR(INDEX('Operations Forecast_new'!$19:$19,MATCH(DB[[#This Row],[Datum]],'Operations Forecast_new'!$2:$2,0)),0)</f>
        <v>0</v>
      </c>
      <c r="AH207" s="312">
        <f t="shared" si="71"/>
        <v>0</v>
      </c>
      <c r="AI207" s="858">
        <f>IFERROR(INDEX('Operations Forecast_new'!$9:$9,MATCH(DB[[#This Row],[Datum]],'Operations Forecast_new'!$2:$2,0)),0)</f>
        <v>0</v>
      </c>
      <c r="AJ207" s="312">
        <f t="shared" si="82"/>
        <v>0</v>
      </c>
      <c r="AK207" s="858">
        <f>IFERROR(INDEX('Operations Forecast_new'!$15:$15,MATCH(DB[[#This Row],[Datum]],'Operations Forecast_new'!$2:$2,0)),0)</f>
        <v>0</v>
      </c>
      <c r="AL207" s="858">
        <f>IFERROR(INDEX('Operations Forecast_new'!$21:$21,MATCH(DB[[#This Row],[Datum]],'Operations Forecast_new'!$2:$2,0)),0)</f>
        <v>0</v>
      </c>
      <c r="AM207" s="178">
        <f>IFERROR(INDEX('Operations Forecast_new'!$8:$8,MATCH(DB[[#This Row],[Datum]],'Operations Forecast_new'!$2:$2,0)),0)</f>
        <v>0</v>
      </c>
      <c r="AN207" s="859">
        <f>IFERROR(INDEX('Operations Forecast_new'!$20:$20,MATCH(DB[[#This Row],[Datum]],'Operations Forecast_new'!$2:$2,0)),0)</f>
        <v>0</v>
      </c>
      <c r="AO207" s="44" t="str">
        <f t="shared" si="83"/>
        <v>-</v>
      </c>
      <c r="AP207" s="404" t="str">
        <f t="shared" si="84"/>
        <v>-</v>
      </c>
      <c r="AQ207" s="44">
        <f t="shared" si="72"/>
        <v>0</v>
      </c>
      <c r="AR207" s="44" cm="1">
        <f t="array" ref="AR207">IFERROR(INDEX('ST Forecast'!$E$2:$RK$36,25,M207)+(INDEX('ST Forecast'!$E$2:$RK$36,29,M207)),"")</f>
        <v>0</v>
      </c>
      <c r="AS207" s="44" cm="1">
        <f t="array" ref="AS207">IFERROR(INDEX('ST Forecast'!$E$2:$RK$36,26,M207)+INDEX('ST Forecast'!$E$2:$RK$36,30,M207),"")</f>
        <v>0</v>
      </c>
      <c r="AT207" s="44" cm="1">
        <f t="array" ref="AT207">IFERROR(INDEX('ST Forecast'!$E$2:$RK$36,27,M207)+INDEX('ST Forecast'!$E$2:$RK$36,31,M207),"")</f>
        <v>0</v>
      </c>
      <c r="AU207" s="44" cm="1">
        <f t="array" ref="AU207">IFERROR(INDEX('ST Forecast'!$E$2:$RK$36,28,M207),"")</f>
        <v>0</v>
      </c>
      <c r="AV207" s="44" cm="1">
        <f t="array" ref="AV207">IFERROR(INDEX('ST Forecast'!$E$2:$RK$36,29,M207),"")</f>
        <v>0</v>
      </c>
      <c r="AW207" s="44">
        <f>DB[[#This Row],[Inbound FC]]-DB[[#This Row],[Inbound Act - Ultrafresh2]]</f>
        <v>0</v>
      </c>
      <c r="AX207" s="178" t="e">
        <f>#REF!</f>
        <v>#REF!</v>
      </c>
      <c r="AY207" s="178" t="e">
        <f>#REF!</f>
        <v>#REF!</v>
      </c>
      <c r="AZ207" s="178" t="e">
        <f>#REF!</f>
        <v>#REF!</v>
      </c>
      <c r="BA207" s="178">
        <f>MONTH(DB[[#This Row],[Datum]])</f>
        <v>7</v>
      </c>
    </row>
    <row r="208" spans="1:53" x14ac:dyDescent="0.3">
      <c r="A208" s="44">
        <f t="shared" si="73"/>
        <v>30</v>
      </c>
      <c r="B208" t="str">
        <f t="shared" si="74"/>
        <v>Wk 30</v>
      </c>
      <c r="C208" t="s">
        <v>113</v>
      </c>
      <c r="D208" s="313">
        <v>44767</v>
      </c>
      <c r="E208" s="44">
        <f>DB[[#This Row],[Sales-FC-Orders-Collect]]+DB[[#This Row],[Sales-FC-Orders-HD]]</f>
        <v>1900</v>
      </c>
      <c r="F208" s="402">
        <f>INDEX('LT Collect Forecast'!$K$1:$Q$55,MATCH(B208,'LT Collect Forecast'!$A:$A,0),MATCH(C208,'LT Collect Forecast'!$K$2:$Q$2,0))</f>
        <v>450</v>
      </c>
      <c r="G208" s="44">
        <f>INDEX('LT HD Forecast'!$K$1:$Q$55,MATCH(B208,'LT HD Forecast'!$A:$A,0),MATCH(C208,'LT HD Forecast'!$K$2:$Q$2,0))</f>
        <v>1450</v>
      </c>
      <c r="H208" s="44" cm="1">
        <f t="array" ref="H208">IFERROR(INDEX('ST Forecast'!$E$2:$RK$36,6,M208),"")</f>
        <v>46.073293794727803</v>
      </c>
      <c r="I208" s="44" cm="1">
        <f t="array" ref="I208">IFERROR(INDEX('ST Forecast'!$E$2:$RK$36,7,M208),"")</f>
        <v>47.146669813841825</v>
      </c>
      <c r="J208" s="44">
        <f>SUM(DB[[#This Row],[Sales-FC-Picks-Collect]:[Sales-FC-Picks-HD]])</f>
        <v>89095.653437698158</v>
      </c>
      <c r="K208" s="44">
        <f t="shared" si="69"/>
        <v>20732.982207627512</v>
      </c>
      <c r="L208" s="44">
        <f t="shared" si="70"/>
        <v>68362.671230070642</v>
      </c>
      <c r="M208" s="403">
        <f>IFERROR(IF(B208=B207,M207+1,MATCH(B208,'ST Forecast'!$E$2:$RK$2,0)+1),"")</f>
        <v>234</v>
      </c>
      <c r="N208">
        <f>SUM(DB[[#This Row],[Ops-FC-Orders-Collect]:[Ops-FC-Orders-HD]])</f>
        <v>1900</v>
      </c>
      <c r="O208" s="44" cm="1">
        <f t="array" ref="O208">IFERROR(INDEX('ST Forecast'!$E$2:$RK$36,13,M208),"")</f>
        <v>450</v>
      </c>
      <c r="P208" s="44">
        <f t="shared" si="75"/>
        <v>1450</v>
      </c>
      <c r="Q208" s="44" cm="1">
        <f t="array" ref="Q208">IFERROR(INDEX('ST Forecast'!$E$2:$RK$36,14,M208),"")</f>
        <v>650</v>
      </c>
      <c r="R208" s="44" cm="1">
        <f t="array" ref="R208">IFERROR(INDEX('ST Forecast'!$E$2:$RK$36,15,M208),"")</f>
        <v>800</v>
      </c>
      <c r="S208" s="312">
        <f>SUM(DB[[#This Row],[Ops-FC-Picks-Collect]:[Ops-FC-Picks-HD]])</f>
        <v>87313.740368944185</v>
      </c>
      <c r="T208" s="44">
        <f t="shared" si="76"/>
        <v>20318.322563474961</v>
      </c>
      <c r="U208" s="44">
        <f t="shared" si="77"/>
        <v>66995.417805469231</v>
      </c>
      <c r="V208" s="44">
        <f t="shared" si="78"/>
        <v>30032.428671417245</v>
      </c>
      <c r="W208" s="404">
        <f t="shared" si="79"/>
        <v>36962.98913405199</v>
      </c>
      <c r="X208" s="44">
        <f>SUM(DB[[#This Row],[Capped-Orders-Collect]:[Capped-Orders-HD]])</f>
        <v>90</v>
      </c>
      <c r="Y208">
        <f>INDEX('Operations Forecast'!$A$2:$BGY$47,3,MATCH(DB!D208,'Operations Forecast'!$A$2:$BGY$2))</f>
        <v>0</v>
      </c>
      <c r="Z208">
        <f t="shared" si="80"/>
        <v>90</v>
      </c>
      <c r="AA208">
        <f>INDEX('Operations Forecast'!$A$2:$BGY$47,10,MATCH(DB!D208,'Operations Forecast'!$A$2:$BGY$2))</f>
        <v>90</v>
      </c>
      <c r="AB208">
        <f>INDEX('Operations Forecast'!$A$2:$BGY$47,21,MATCH(DB!D208,'Operations Forecast'!$A$2:$BGY$2))</f>
        <v>0</v>
      </c>
      <c r="AC208" s="312">
        <f>SUM(DB[[#This Row],[Act-Orders-Collect]:[Act-Orders-HD]])</f>
        <v>1962</v>
      </c>
      <c r="AD208" s="858">
        <f>IFERROR(INDEX('Operations Forecast_new'!$7:$7,MATCH(DB[[#This Row],[Datum]],'Operations Forecast_new'!$2:$2,0)),0)</f>
        <v>514</v>
      </c>
      <c r="AE208" s="312">
        <f t="shared" si="81"/>
        <v>1448</v>
      </c>
      <c r="AF208" s="858">
        <f>IFERROR(INDEX('Operations Forecast_new'!$13:$13,MATCH(DB[[#This Row],[Datum]],'Operations Forecast_new'!$2:$2,0)),0)</f>
        <v>575</v>
      </c>
      <c r="AG208" s="858">
        <f>IFERROR(INDEX('Operations Forecast_new'!$19:$19,MATCH(DB[[#This Row],[Datum]],'Operations Forecast_new'!$2:$2,0)),0)</f>
        <v>873</v>
      </c>
      <c r="AH208" s="312">
        <f t="shared" si="71"/>
        <v>88651.331999999995</v>
      </c>
      <c r="AI208" s="858">
        <f>IFERROR(INDEX('Operations Forecast_new'!$9:$9,MATCH(DB[[#This Row],[Datum]],'Operations Forecast_new'!$2:$2,0)),0)</f>
        <v>23712.876</v>
      </c>
      <c r="AJ208" s="312">
        <f t="shared" si="82"/>
        <v>64938.455999999998</v>
      </c>
      <c r="AK208" s="858">
        <f>IFERROR(INDEX('Operations Forecast_new'!$15:$15,MATCH(DB[[#This Row],[Datum]],'Operations Forecast_new'!$2:$2,0)),0)</f>
        <v>25787.025000000001</v>
      </c>
      <c r="AL208" s="858">
        <f>IFERROR(INDEX('Operations Forecast_new'!$21:$21,MATCH(DB[[#This Row],[Datum]],'Operations Forecast_new'!$2:$2,0)),0)</f>
        <v>39151.430999999997</v>
      </c>
      <c r="AM208" s="178">
        <f>IFERROR(INDEX('Operations Forecast_new'!$8:$8,MATCH(DB[[#This Row],[Datum]],'Operations Forecast_new'!$2:$2,0)),0)</f>
        <v>46.6</v>
      </c>
      <c r="AN208" s="859">
        <f>IFERROR(INDEX('Operations Forecast_new'!$20:$20,MATCH(DB[[#This Row],[Datum]],'Operations Forecast_new'!$2:$2,0)),0)</f>
        <v>45.3</v>
      </c>
      <c r="AO208" s="44">
        <f t="shared" si="83"/>
        <v>46.134</v>
      </c>
      <c r="AP208" s="404">
        <f t="shared" si="84"/>
        <v>44.847000000000001</v>
      </c>
      <c r="AQ208" s="44">
        <f t="shared" si="72"/>
        <v>164863</v>
      </c>
      <c r="AR208" s="44" cm="1">
        <f t="array" ref="AR208">IFERROR(INDEX('ST Forecast'!$E$2:$RK$36,25,M208)+(INDEX('ST Forecast'!$E$2:$RK$36,29,M208)),"")</f>
        <v>79558.600000000006</v>
      </c>
      <c r="AS208" s="44" cm="1">
        <f t="array" ref="AS208">IFERROR(INDEX('ST Forecast'!$E$2:$RK$36,26,M208)+INDEX('ST Forecast'!$E$2:$RK$36,30,M208),"")</f>
        <v>49174.64733364377</v>
      </c>
      <c r="AT208" s="44" cm="1">
        <f t="array" ref="AT208">IFERROR(INDEX('ST Forecast'!$E$2:$RK$36,27,M208)+INDEX('ST Forecast'!$E$2:$RK$36,31,M208),"")</f>
        <v>28890.12</v>
      </c>
      <c r="AU208" s="44" cm="1">
        <f t="array" ref="AU208">IFERROR(INDEX('ST Forecast'!$E$2:$RK$36,28,M208),"")</f>
        <v>7239.6326663562259</v>
      </c>
      <c r="AV208" s="44" cm="1">
        <f t="array" ref="AV208">IFERROR(INDEX('ST Forecast'!$E$2:$RK$36,29,M208),"")</f>
        <v>0</v>
      </c>
      <c r="AW208" s="44">
        <f>DB[[#This Row],[Inbound FC]]-DB[[#This Row],[Inbound Act - Ultrafresh2]]</f>
        <v>164863</v>
      </c>
      <c r="AX208" s="178" t="e">
        <f>#REF!</f>
        <v>#REF!</v>
      </c>
      <c r="AY208" s="178" t="e">
        <f>#REF!</f>
        <v>#REF!</v>
      </c>
      <c r="AZ208" s="178" t="e">
        <f>#REF!</f>
        <v>#REF!</v>
      </c>
      <c r="BA208" s="178">
        <f>MONTH(DB[[#This Row],[Datum]])</f>
        <v>7</v>
      </c>
    </row>
    <row r="209" spans="1:53" x14ac:dyDescent="0.3">
      <c r="A209" s="44">
        <f t="shared" si="73"/>
        <v>30</v>
      </c>
      <c r="B209" t="str">
        <f t="shared" si="74"/>
        <v>Wk 30</v>
      </c>
      <c r="C209" t="s">
        <v>114</v>
      </c>
      <c r="D209" s="313">
        <v>44768</v>
      </c>
      <c r="E209" s="44">
        <f>DB[[#This Row],[Sales-FC-Orders-Collect]]+DB[[#This Row],[Sales-FC-Orders-HD]]</f>
        <v>2200</v>
      </c>
      <c r="F209" s="402">
        <f>INDEX('LT Collect Forecast'!$K$1:$Q$55,MATCH(B209,'LT Collect Forecast'!$A:$A,0),MATCH(C209,'LT Collect Forecast'!$K$2:$Q$2,0))</f>
        <v>450</v>
      </c>
      <c r="G209" s="44">
        <f>INDEX('LT HD Forecast'!$K$1:$Q$55,MATCH(B209,'LT HD Forecast'!$A:$A,0),MATCH(C209,'LT HD Forecast'!$K$2:$Q$2,0))</f>
        <v>1750</v>
      </c>
      <c r="H209" s="44" cm="1">
        <f t="array" ref="H209">IFERROR(INDEX('ST Forecast'!$E$2:$RK$36,6,M209),"")</f>
        <v>43.52310185254435</v>
      </c>
      <c r="I209" s="44" cm="1">
        <f t="array" ref="I209">IFERROR(INDEX('ST Forecast'!$E$2:$RK$36,7,M209),"")</f>
        <v>46.539877728570303</v>
      </c>
      <c r="J209" s="44">
        <f>SUM(DB[[#This Row],[Sales-FC-Picks-Collect]:[Sales-FC-Picks-HD]])</f>
        <v>101030.18185864299</v>
      </c>
      <c r="K209" s="44">
        <f t="shared" si="69"/>
        <v>19585.395833644958</v>
      </c>
      <c r="L209" s="44">
        <f t="shared" si="70"/>
        <v>81444.786024998029</v>
      </c>
      <c r="M209" s="403">
        <f>IFERROR(IF(B209=B208,M208+1,MATCH(B209,'ST Forecast'!$E$2:$RK$2,0)+1),"")</f>
        <v>235</v>
      </c>
      <c r="N209">
        <f>SUM(DB[[#This Row],[Ops-FC-Orders-Collect]:[Ops-FC-Orders-HD]])</f>
        <v>2225</v>
      </c>
      <c r="O209" s="44" cm="1">
        <f t="array" ref="O209">IFERROR(INDEX('ST Forecast'!$E$2:$RK$36,13,M209),"")</f>
        <v>450</v>
      </c>
      <c r="P209" s="44">
        <f t="shared" si="75"/>
        <v>1775</v>
      </c>
      <c r="Q209" s="44" cm="1">
        <f t="array" ref="Q209">IFERROR(INDEX('ST Forecast'!$E$2:$RK$36,14,M209),"")</f>
        <v>900</v>
      </c>
      <c r="R209" s="44" cm="1">
        <f t="array" ref="R209">IFERROR(INDEX('ST Forecast'!$E$2:$RK$36,15,M209),"")</f>
        <v>875</v>
      </c>
      <c r="S209" s="312">
        <f>SUM(DB[[#This Row],[Ops-FC-Picks-Collect]:[Ops-FC-Picks-HD]])</f>
        <v>100149.80522582011</v>
      </c>
      <c r="T209" s="44">
        <f t="shared" si="76"/>
        <v>19193.68791697206</v>
      </c>
      <c r="U209" s="44">
        <f t="shared" si="77"/>
        <v>80956.117308848043</v>
      </c>
      <c r="V209" s="44">
        <f t="shared" si="78"/>
        <v>41048.172156599008</v>
      </c>
      <c r="W209" s="404">
        <f t="shared" si="79"/>
        <v>39907.945152249034</v>
      </c>
      <c r="X209" s="44">
        <f>SUM(DB[[#This Row],[Capped-Orders-Collect]:[Capped-Orders-HD]])</f>
        <v>90</v>
      </c>
      <c r="Y209">
        <f>INDEX('Operations Forecast'!$A$2:$BGY$47,3,MATCH(DB!D209,'Operations Forecast'!$A$2:$BGY$2))</f>
        <v>0</v>
      </c>
      <c r="Z209">
        <f t="shared" si="80"/>
        <v>90</v>
      </c>
      <c r="AA209">
        <f>INDEX('Operations Forecast'!$A$2:$BGY$47,10,MATCH(DB!D209,'Operations Forecast'!$A$2:$BGY$2))</f>
        <v>90</v>
      </c>
      <c r="AB209">
        <f>INDEX('Operations Forecast'!$A$2:$BGY$47,21,MATCH(DB!D209,'Operations Forecast'!$A$2:$BGY$2))</f>
        <v>0</v>
      </c>
      <c r="AC209" s="312">
        <f>SUM(DB[[#This Row],[Act-Orders-Collect]:[Act-Orders-HD]])</f>
        <v>2291</v>
      </c>
      <c r="AD209" s="858">
        <f>IFERROR(INDEX('Operations Forecast_new'!$7:$7,MATCH(DB[[#This Row],[Datum]],'Operations Forecast_new'!$2:$2,0)),0)</f>
        <v>474</v>
      </c>
      <c r="AE209" s="312">
        <f t="shared" si="81"/>
        <v>1817</v>
      </c>
      <c r="AF209" s="858">
        <f>IFERROR(INDEX('Operations Forecast_new'!$13:$13,MATCH(DB[[#This Row],[Datum]],'Operations Forecast_new'!$2:$2,0)),0)</f>
        <v>833</v>
      </c>
      <c r="AG209" s="858">
        <f>IFERROR(INDEX('Operations Forecast_new'!$19:$19,MATCH(DB[[#This Row],[Datum]],'Operations Forecast_new'!$2:$2,0)),0)</f>
        <v>984</v>
      </c>
      <c r="AH209" s="312">
        <f t="shared" si="71"/>
        <v>97543.512000000017</v>
      </c>
      <c r="AI209" s="858">
        <f>IFERROR(INDEX('Operations Forecast_new'!$9:$9,MATCH(DB[[#This Row],[Datum]],'Operations Forecast_new'!$2:$2,0)),0)</f>
        <v>19474.29</v>
      </c>
      <c r="AJ209" s="312">
        <f t="shared" si="82"/>
        <v>78069.222000000009</v>
      </c>
      <c r="AK209" s="858">
        <f>IFERROR(INDEX('Operations Forecast_new'!$15:$15,MATCH(DB[[#This Row],[Datum]],'Operations Forecast_new'!$2:$2,0)),0)</f>
        <v>35790.678</v>
      </c>
      <c r="AL209" s="858">
        <f>IFERROR(INDEX('Operations Forecast_new'!$21:$21,MATCH(DB[[#This Row],[Datum]],'Operations Forecast_new'!$2:$2,0)),0)</f>
        <v>42278.544000000002</v>
      </c>
      <c r="AM209" s="178">
        <f>IFERROR(INDEX('Operations Forecast_new'!$8:$8,MATCH(DB[[#This Row],[Datum]],'Operations Forecast_new'!$2:$2,0)),0)</f>
        <v>41.5</v>
      </c>
      <c r="AN209" s="859">
        <f>IFERROR(INDEX('Operations Forecast_new'!$20:$20,MATCH(DB[[#This Row],[Datum]],'Operations Forecast_new'!$2:$2,0)),0)</f>
        <v>43.4</v>
      </c>
      <c r="AO209" s="44">
        <f t="shared" si="83"/>
        <v>41.085000000000001</v>
      </c>
      <c r="AP209" s="404">
        <f t="shared" si="84"/>
        <v>42.966000000000008</v>
      </c>
      <c r="AQ209" s="44">
        <f t="shared" si="72"/>
        <v>119332.55066596375</v>
      </c>
      <c r="AR209" s="44" cm="1">
        <f t="array" ref="AR209">IFERROR(INDEX('ST Forecast'!$E$2:$RK$36,25,M209)+(INDEX('ST Forecast'!$E$2:$RK$36,29,M209)),"")</f>
        <v>57297.599999999999</v>
      </c>
      <c r="AS209" s="44" cm="1">
        <f t="array" ref="AS209">IFERROR(INDEX('ST Forecast'!$E$2:$RK$36,26,M209)+INDEX('ST Forecast'!$E$2:$RK$36,30,M209),"")</f>
        <v>49731.353910366772</v>
      </c>
      <c r="AT209" s="44" cm="1">
        <f t="array" ref="AT209">IFERROR(INDEX('ST Forecast'!$E$2:$RK$36,27,M209)+INDEX('ST Forecast'!$E$2:$RK$36,31,M209),"")</f>
        <v>5214.8306659637483</v>
      </c>
      <c r="AU209" s="44" cm="1">
        <f t="array" ref="AU209">IFERROR(INDEX('ST Forecast'!$E$2:$RK$36,28,M209),"")</f>
        <v>7088.7660896332263</v>
      </c>
      <c r="AV209" s="44" cm="1">
        <f t="array" ref="AV209">IFERROR(INDEX('ST Forecast'!$E$2:$RK$36,29,M209),"")</f>
        <v>0</v>
      </c>
      <c r="AW209" s="44">
        <f>DB[[#This Row],[Inbound FC]]-DB[[#This Row],[Inbound Act - Ultrafresh2]]</f>
        <v>119332.55066596375</v>
      </c>
      <c r="AX209" s="178" t="e">
        <f>#REF!</f>
        <v>#REF!</v>
      </c>
      <c r="AY209" s="178" t="e">
        <f>#REF!</f>
        <v>#REF!</v>
      </c>
      <c r="AZ209" s="178" t="e">
        <f>#REF!</f>
        <v>#REF!</v>
      </c>
      <c r="BA209" s="178">
        <f>MONTH(DB[[#This Row],[Datum]])</f>
        <v>7</v>
      </c>
    </row>
    <row r="210" spans="1:53" x14ac:dyDescent="0.3">
      <c r="A210" s="44">
        <f t="shared" si="73"/>
        <v>30</v>
      </c>
      <c r="B210" t="str">
        <f t="shared" si="74"/>
        <v>Wk 30</v>
      </c>
      <c r="C210" t="s">
        <v>115</v>
      </c>
      <c r="D210" s="313">
        <v>44769</v>
      </c>
      <c r="E210" s="44">
        <f>DB[[#This Row],[Sales-FC-Orders-Collect]]+DB[[#This Row],[Sales-FC-Orders-HD]]</f>
        <v>2200</v>
      </c>
      <c r="F210" s="402">
        <f>INDEX('LT Collect Forecast'!$K$1:$Q$55,MATCH(B210,'LT Collect Forecast'!$A:$A,0),MATCH(C210,'LT Collect Forecast'!$K$2:$Q$2,0))</f>
        <v>450</v>
      </c>
      <c r="G210" s="44">
        <f>INDEX('LT HD Forecast'!$K$1:$Q$55,MATCH(B210,'LT HD Forecast'!$A:$A,0),MATCH(C210,'LT HD Forecast'!$K$2:$Q$2,0))</f>
        <v>1750</v>
      </c>
      <c r="H210" s="44" cm="1">
        <f t="array" ref="H210">IFERROR(INDEX('ST Forecast'!$E$2:$RK$36,6,M210),"")</f>
        <v>42.835730829075956</v>
      </c>
      <c r="I210" s="44" cm="1">
        <f t="array" ref="I210">IFERROR(INDEX('ST Forecast'!$E$2:$RK$36,7,M210),"")</f>
        <v>46.905249242696421</v>
      </c>
      <c r="J210" s="44">
        <f>SUM(DB[[#This Row],[Sales-FC-Picks-Collect]:[Sales-FC-Picks-HD]])</f>
        <v>101360.26504780291</v>
      </c>
      <c r="K210" s="44">
        <f t="shared" si="69"/>
        <v>19276.078873084181</v>
      </c>
      <c r="L210" s="44">
        <f t="shared" si="70"/>
        <v>82084.186174718736</v>
      </c>
      <c r="M210" s="403">
        <f>IFERROR(IF(B210=B209,M209+1,MATCH(B210,'ST Forecast'!$E$2:$RK$2,0)+1),"")</f>
        <v>236</v>
      </c>
      <c r="N210">
        <f>SUM(DB[[#This Row],[Ops-FC-Orders-Collect]:[Ops-FC-Orders-HD]])</f>
        <v>2200</v>
      </c>
      <c r="O210" s="44" cm="1">
        <f t="array" ref="O210">IFERROR(INDEX('ST Forecast'!$E$2:$RK$36,13,M210),"")</f>
        <v>450</v>
      </c>
      <c r="P210" s="44">
        <f t="shared" si="75"/>
        <v>1750</v>
      </c>
      <c r="Q210" s="44" cm="1">
        <f t="array" ref="Q210">IFERROR(INDEX('ST Forecast'!$E$2:$RK$36,14,M210),"")</f>
        <v>850</v>
      </c>
      <c r="R210" s="44" cm="1">
        <f t="array" ref="R210">IFERROR(INDEX('ST Forecast'!$E$2:$RK$36,15,M210),"")</f>
        <v>900</v>
      </c>
      <c r="S210" s="312">
        <f>SUM(DB[[#This Row],[Ops-FC-Picks-Collect]:[Ops-FC-Picks-HD]])</f>
        <v>99333.059746846862</v>
      </c>
      <c r="T210" s="44">
        <f t="shared" si="76"/>
        <v>18890.557295622497</v>
      </c>
      <c r="U210" s="44">
        <f t="shared" si="77"/>
        <v>80442.502451224369</v>
      </c>
      <c r="V210" s="44">
        <f t="shared" si="78"/>
        <v>39072.072619166116</v>
      </c>
      <c r="W210" s="404">
        <f t="shared" si="79"/>
        <v>41370.429832058246</v>
      </c>
      <c r="X210" s="44">
        <f>SUM(DB[[#This Row],[Capped-Orders-Collect]:[Capped-Orders-HD]])</f>
        <v>90</v>
      </c>
      <c r="Y210">
        <f>INDEX('Operations Forecast'!$A$2:$BGY$47,3,MATCH(DB!D210,'Operations Forecast'!$A$2:$BGY$2))</f>
        <v>0</v>
      </c>
      <c r="Z210">
        <f t="shared" si="80"/>
        <v>90</v>
      </c>
      <c r="AA210">
        <f>INDEX('Operations Forecast'!$A$2:$BGY$47,10,MATCH(DB!D210,'Operations Forecast'!$A$2:$BGY$2))</f>
        <v>90</v>
      </c>
      <c r="AB210">
        <f>INDEX('Operations Forecast'!$A$2:$BGY$47,21,MATCH(DB!D210,'Operations Forecast'!$A$2:$BGY$2))</f>
        <v>0</v>
      </c>
      <c r="AC210" s="312">
        <f>SUM(DB[[#This Row],[Act-Orders-Collect]:[Act-Orders-HD]])</f>
        <v>1981</v>
      </c>
      <c r="AD210" s="858">
        <f>IFERROR(INDEX('Operations Forecast_new'!$7:$7,MATCH(DB[[#This Row],[Datum]],'Operations Forecast_new'!$2:$2,0)),0)</f>
        <v>435</v>
      </c>
      <c r="AE210" s="312">
        <f t="shared" si="81"/>
        <v>1546</v>
      </c>
      <c r="AF210" s="858">
        <f>IFERROR(INDEX('Operations Forecast_new'!$13:$13,MATCH(DB[[#This Row],[Datum]],'Operations Forecast_new'!$2:$2,0)),0)</f>
        <v>718</v>
      </c>
      <c r="AG210" s="858">
        <f>IFERROR(INDEX('Operations Forecast_new'!$19:$19,MATCH(DB[[#This Row],[Datum]],'Operations Forecast_new'!$2:$2,0)),0)</f>
        <v>828</v>
      </c>
      <c r="AH210" s="312">
        <f t="shared" si="71"/>
        <v>86970.905999999988</v>
      </c>
      <c r="AI210" s="858">
        <f>IFERROR(INDEX('Operations Forecast_new'!$9:$9,MATCH(DB[[#This Row],[Datum]],'Operations Forecast_new'!$2:$2,0)),0)</f>
        <v>17484.39</v>
      </c>
      <c r="AJ210" s="312">
        <f t="shared" si="82"/>
        <v>69486.515999999989</v>
      </c>
      <c r="AK210" s="858">
        <f>IFERROR(INDEX('Operations Forecast_new'!$15:$15,MATCH(DB[[#This Row],[Datum]],'Operations Forecast_new'!$2:$2,0)),0)</f>
        <v>32271.227999999999</v>
      </c>
      <c r="AL210" s="858">
        <f>IFERROR(INDEX('Operations Forecast_new'!$21:$21,MATCH(DB[[#This Row],[Datum]],'Operations Forecast_new'!$2:$2,0)),0)</f>
        <v>37215.287999999993</v>
      </c>
      <c r="AM210" s="178">
        <f>IFERROR(INDEX('Operations Forecast_new'!$8:$8,MATCH(DB[[#This Row],[Datum]],'Operations Forecast_new'!$2:$2,0)),0)</f>
        <v>40.6</v>
      </c>
      <c r="AN210" s="859">
        <f>IFERROR(INDEX('Operations Forecast_new'!$20:$20,MATCH(DB[[#This Row],[Datum]],'Operations Forecast_new'!$2:$2,0)),0)</f>
        <v>45.4</v>
      </c>
      <c r="AO210" s="44">
        <f t="shared" si="83"/>
        <v>40.193999999999996</v>
      </c>
      <c r="AP210" s="404">
        <f t="shared" si="84"/>
        <v>44.945999999999991</v>
      </c>
      <c r="AQ210" s="44">
        <f t="shared" si="72"/>
        <v>111158.85381584316</v>
      </c>
      <c r="AR210" s="44" cm="1">
        <f t="array" ref="AR210">IFERROR(INDEX('ST Forecast'!$E$2:$RK$36,25,M210)+(INDEX('ST Forecast'!$E$2:$RK$36,29,M210)),"")</f>
        <v>51311.5</v>
      </c>
      <c r="AS210" s="44" cm="1">
        <f t="array" ref="AS210">IFERROR(INDEX('ST Forecast'!$E$2:$RK$36,26,M210)+INDEX('ST Forecast'!$E$2:$RK$36,30,M210),"")</f>
        <v>40557.284350918097</v>
      </c>
      <c r="AT210" s="44" cm="1">
        <f t="array" ref="AT210">IFERROR(INDEX('ST Forecast'!$E$2:$RK$36,27,M210)+INDEX('ST Forecast'!$E$2:$RK$36,31,M210),"")</f>
        <v>12640.773815843157</v>
      </c>
      <c r="AU210" s="44" cm="1">
        <f t="array" ref="AU210">IFERROR(INDEX('ST Forecast'!$E$2:$RK$36,28,M210),"")</f>
        <v>6649.295649081906</v>
      </c>
      <c r="AV210" s="44" cm="1">
        <f t="array" ref="AV210">IFERROR(INDEX('ST Forecast'!$E$2:$RK$36,29,M210),"")</f>
        <v>0</v>
      </c>
      <c r="AW210" s="44">
        <f>DB[[#This Row],[Inbound FC]]-DB[[#This Row],[Inbound Act - Ultrafresh2]]</f>
        <v>111158.85381584316</v>
      </c>
      <c r="AX210" s="178" t="e">
        <f>#REF!</f>
        <v>#REF!</v>
      </c>
      <c r="AY210" s="178" t="e">
        <f>#REF!</f>
        <v>#REF!</v>
      </c>
      <c r="AZ210" s="178" t="e">
        <f>#REF!</f>
        <v>#REF!</v>
      </c>
      <c r="BA210" s="178">
        <f>MONTH(DB[[#This Row],[Datum]])</f>
        <v>7</v>
      </c>
    </row>
    <row r="211" spans="1:53" x14ac:dyDescent="0.3">
      <c r="A211" s="44">
        <f t="shared" si="73"/>
        <v>30</v>
      </c>
      <c r="B211" t="str">
        <f t="shared" si="74"/>
        <v>Wk 30</v>
      </c>
      <c r="C211" t="s">
        <v>116</v>
      </c>
      <c r="D211" s="313">
        <v>44770</v>
      </c>
      <c r="E211" s="44">
        <f>DB[[#This Row],[Sales-FC-Orders-Collect]]+DB[[#This Row],[Sales-FC-Orders-HD]]</f>
        <v>2100</v>
      </c>
      <c r="F211" s="402" cm="1">
        <f t="array" ref="F211">INDEX('LT Collect Forecast'!$K$1:$Q$55,MATCH(B211,'LT Collect Forecast'!$A:$A,0)+1,MATCH(C211,'LT Collect Forecast'!$K$2:$Q$2,0))</f>
        <v>450</v>
      </c>
      <c r="G211" s="44" cm="1">
        <f t="array" ref="G211">INDEX('LT HD Forecast'!$K$1:$Q$55,MATCH(B211,'LT HD Forecast'!$A:$A,0)+1,MATCH(C211,'LT HD Forecast'!$K$2:$Q$2,0))</f>
        <v>1650</v>
      </c>
      <c r="H211" s="44" cm="1">
        <f t="array" ref="H211">IFERROR(INDEX('ST Forecast'!$E$2:$RK$36,6,M211),"")</f>
        <v>44.7619390114873</v>
      </c>
      <c r="I211" s="44" cm="1">
        <f t="array" ref="I211">IFERROR(INDEX('ST Forecast'!$E$2:$RK$36,7,M211),"")</f>
        <v>47.067441928000477</v>
      </c>
      <c r="J211" s="44">
        <f>SUM(DB[[#This Row],[Sales-FC-Picks-Collect]:[Sales-FC-Picks-HD]])</f>
        <v>97804.151736370084</v>
      </c>
      <c r="K211" s="44">
        <f t="shared" si="69"/>
        <v>20142.872555169284</v>
      </c>
      <c r="L211" s="44">
        <f t="shared" si="70"/>
        <v>77661.279181200793</v>
      </c>
      <c r="M211" s="403">
        <f>IFERROR(IF(B211=B210,M210+1,MATCH(B211,'ST Forecast'!$E$2:$RK$2,0)+1),"")</f>
        <v>237</v>
      </c>
      <c r="N211">
        <f>SUM(DB[[#This Row],[Ops-FC-Orders-Collect]:[Ops-FC-Orders-HD]])</f>
        <v>2100</v>
      </c>
      <c r="O211" s="44" cm="1">
        <f t="array" ref="O211">IFERROR(INDEX('ST Forecast'!$E$2:$RK$36,13,M211),"")</f>
        <v>450</v>
      </c>
      <c r="P211" s="44">
        <f t="shared" si="75"/>
        <v>1650</v>
      </c>
      <c r="Q211" s="44" cm="1">
        <f t="array" ref="Q211">IFERROR(INDEX('ST Forecast'!$E$2:$RK$36,14,M211),"")</f>
        <v>850</v>
      </c>
      <c r="R211" s="44" cm="1">
        <f t="array" ref="R211">IFERROR(INDEX('ST Forecast'!$E$2:$RK$36,15,M211),"")</f>
        <v>800</v>
      </c>
      <c r="S211" s="312">
        <f>SUM(DB[[#This Row],[Ops-FC-Picks-Collect]:[Ops-FC-Picks-HD]])</f>
        <v>95848.068701642667</v>
      </c>
      <c r="T211" s="44">
        <f t="shared" si="76"/>
        <v>19740.015104065897</v>
      </c>
      <c r="U211" s="44">
        <f t="shared" si="77"/>
        <v>76108.053597576771</v>
      </c>
      <c r="V211" s="44">
        <f t="shared" si="78"/>
        <v>39207.179126024399</v>
      </c>
      <c r="W211" s="404">
        <f t="shared" si="79"/>
        <v>36900.874471552379</v>
      </c>
      <c r="X211" s="44">
        <f>SUM(DB[[#This Row],[Capped-Orders-Collect]:[Capped-Orders-HD]])</f>
        <v>90</v>
      </c>
      <c r="Y211">
        <f>INDEX('Operations Forecast'!$A$2:$BGY$47,3,MATCH(DB!D211,'Operations Forecast'!$A$2:$BGY$2))</f>
        <v>0</v>
      </c>
      <c r="Z211">
        <f t="shared" si="80"/>
        <v>90</v>
      </c>
      <c r="AA211">
        <f>INDEX('Operations Forecast'!$A$2:$BGY$47,10,MATCH(DB!D211,'Operations Forecast'!$A$2:$BGY$2))</f>
        <v>90</v>
      </c>
      <c r="AB211">
        <f>INDEX('Operations Forecast'!$A$2:$BGY$47,21,MATCH(DB!D211,'Operations Forecast'!$A$2:$BGY$2))</f>
        <v>0</v>
      </c>
      <c r="AC211" s="312">
        <f>SUM(DB[[#This Row],[Act-Orders-Collect]:[Act-Orders-HD]])</f>
        <v>2020</v>
      </c>
      <c r="AD211" s="858">
        <f>IFERROR(INDEX('Operations Forecast_new'!$7:$7,MATCH(DB[[#This Row],[Datum]],'Operations Forecast_new'!$2:$2,0)),0)</f>
        <v>451</v>
      </c>
      <c r="AE211" s="312">
        <f t="shared" si="81"/>
        <v>1569</v>
      </c>
      <c r="AF211" s="858">
        <f>IFERROR(INDEX('Operations Forecast_new'!$13:$13,MATCH(DB[[#This Row],[Datum]],'Operations Forecast_new'!$2:$2,0)),0)</f>
        <v>722</v>
      </c>
      <c r="AG211" s="858">
        <f>IFERROR(INDEX('Operations Forecast_new'!$19:$19,MATCH(DB[[#This Row],[Datum]],'Operations Forecast_new'!$2:$2,0)),0)</f>
        <v>847</v>
      </c>
      <c r="AH211" s="312">
        <f t="shared" si="71"/>
        <v>93466.791000000012</v>
      </c>
      <c r="AI211" s="858">
        <f>IFERROR(INDEX('Operations Forecast_new'!$9:$9,MATCH(DB[[#This Row],[Datum]],'Operations Forecast_new'!$2:$2,0)),0)</f>
        <v>18752.579999999998</v>
      </c>
      <c r="AJ211" s="312">
        <f t="shared" si="82"/>
        <v>74714.21100000001</v>
      </c>
      <c r="AK211" s="858">
        <f>IFERROR(INDEX('Operations Forecast_new'!$15:$15,MATCH(DB[[#This Row],[Datum]],'Operations Forecast_new'!$2:$2,0)),0)</f>
        <v>34380.918000000005</v>
      </c>
      <c r="AL211" s="858">
        <f>IFERROR(INDEX('Operations Forecast_new'!$21:$21,MATCH(DB[[#This Row],[Datum]],'Operations Forecast_new'!$2:$2,0)),0)</f>
        <v>40333.293000000005</v>
      </c>
      <c r="AM211" s="178">
        <f>IFERROR(INDEX('Operations Forecast_new'!$8:$8,MATCH(DB[[#This Row],[Datum]],'Operations Forecast_new'!$2:$2,0)),0)</f>
        <v>42</v>
      </c>
      <c r="AN211" s="859">
        <f>IFERROR(INDEX('Operations Forecast_new'!$20:$20,MATCH(DB[[#This Row],[Datum]],'Operations Forecast_new'!$2:$2,0)),0)</f>
        <v>48.1</v>
      </c>
      <c r="AO211" s="44">
        <f t="shared" si="83"/>
        <v>41.58</v>
      </c>
      <c r="AP211" s="404">
        <f t="shared" si="84"/>
        <v>47.619000000000007</v>
      </c>
      <c r="AQ211" s="44">
        <f t="shared" si="72"/>
        <v>94827.000000000044</v>
      </c>
      <c r="AR211" s="44" cm="1">
        <f t="array" ref="AR211">IFERROR(INDEX('ST Forecast'!$E$2:$RK$36,25,M211)+(INDEX('ST Forecast'!$E$2:$RK$36,29,M211)),"")</f>
        <v>42490.340944918862</v>
      </c>
      <c r="AS211" s="44" cm="1">
        <f t="array" ref="AS211">IFERROR(INDEX('ST Forecast'!$E$2:$RK$36,26,M211)+INDEX('ST Forecast'!$E$2:$RK$36,30,M211),"")</f>
        <v>40571.877769209212</v>
      </c>
      <c r="AT211" s="44" cm="1">
        <f t="array" ref="AT211">IFERROR(INDEX('ST Forecast'!$E$2:$RK$36,27,M211)+INDEX('ST Forecast'!$E$2:$RK$36,31,M211),"")</f>
        <v>5056.8743356344394</v>
      </c>
      <c r="AU211" s="44" cm="1">
        <f t="array" ref="AU211">IFERROR(INDEX('ST Forecast'!$E$2:$RK$36,28,M211),"")</f>
        <v>6707.9069502375351</v>
      </c>
      <c r="AV211" s="44" cm="1">
        <f t="array" ref="AV211">IFERROR(INDEX('ST Forecast'!$E$2:$RK$36,29,M211),"")</f>
        <v>0</v>
      </c>
      <c r="AW211" s="44">
        <f>DB[[#This Row],[Inbound FC]]-DB[[#This Row],[Inbound Act - Ultrafresh2]]</f>
        <v>94827.000000000044</v>
      </c>
      <c r="AX211" s="178" t="e">
        <f>#REF!</f>
        <v>#REF!</v>
      </c>
      <c r="AY211" s="178" t="e">
        <f>#REF!</f>
        <v>#REF!</v>
      </c>
      <c r="AZ211" s="178" t="e">
        <f>#REF!</f>
        <v>#REF!</v>
      </c>
      <c r="BA211" s="178">
        <f>MONTH(DB[[#This Row],[Datum]])</f>
        <v>7</v>
      </c>
    </row>
    <row r="212" spans="1:53" x14ac:dyDescent="0.3">
      <c r="A212" s="44">
        <f t="shared" si="73"/>
        <v>30</v>
      </c>
      <c r="B212" t="str">
        <f t="shared" si="74"/>
        <v>Wk 30</v>
      </c>
      <c r="C212" t="s">
        <v>117</v>
      </c>
      <c r="D212" s="313">
        <v>44771</v>
      </c>
      <c r="E212" s="44">
        <f>DB[[#This Row],[Sales-FC-Orders-Collect]]+DB[[#This Row],[Sales-FC-Orders-HD]]</f>
        <v>2350</v>
      </c>
      <c r="F212" s="402" cm="1">
        <f t="array" ref="F212">INDEX('LT Collect Forecast'!$K$1:$Q$55,MATCH(B212,'LT Collect Forecast'!$A:$A,0)+1,MATCH(C212,'LT Collect Forecast'!$K$2:$Q$2,0))</f>
        <v>700</v>
      </c>
      <c r="G212" s="44" cm="1">
        <f t="array" ref="G212">INDEX('LT HD Forecast'!$K$1:$Q$55,MATCH(B212,'LT HD Forecast'!$A:$A,0)+1,MATCH(C212,'LT HD Forecast'!$K$2:$Q$2,0))</f>
        <v>1650</v>
      </c>
      <c r="H212" s="44" cm="1">
        <f t="array" ref="H212">IFERROR(INDEX('ST Forecast'!$E$2:$RK$36,6,M212),"")</f>
        <v>48.436586179036183</v>
      </c>
      <c r="I212" s="44" cm="1">
        <f t="array" ref="I212">IFERROR(INDEX('ST Forecast'!$E$2:$RK$36,7,M212),"")</f>
        <v>48.691696461071913</v>
      </c>
      <c r="J212" s="44">
        <f>SUM(DB[[#This Row],[Sales-FC-Picks-Collect]:[Sales-FC-Picks-HD]])</f>
        <v>114246.90948609399</v>
      </c>
      <c r="K212" s="44">
        <f t="shared" si="69"/>
        <v>33905.610325325331</v>
      </c>
      <c r="L212" s="44">
        <f t="shared" si="70"/>
        <v>80341.299160768656</v>
      </c>
      <c r="M212" s="403">
        <f>IFERROR(IF(B212=B211,M211+1,MATCH(B212,'ST Forecast'!$E$2:$RK$2,0)+1),"")</f>
        <v>238</v>
      </c>
      <c r="N212">
        <f>SUM(DB[[#This Row],[Ops-FC-Orders-Collect]:[Ops-FC-Orders-HD]])</f>
        <v>2450</v>
      </c>
      <c r="O212" s="44" cm="1">
        <f t="array" ref="O212">IFERROR(INDEX('ST Forecast'!$E$2:$RK$36,13,M212),"")</f>
        <v>700</v>
      </c>
      <c r="P212" s="44">
        <f t="shared" si="75"/>
        <v>1750</v>
      </c>
      <c r="Q212" s="44" cm="1">
        <f t="array" ref="Q212">IFERROR(INDEX('ST Forecast'!$E$2:$RK$36,14,M212),"")</f>
        <v>900</v>
      </c>
      <c r="R212" s="44" cm="1">
        <f t="array" ref="R212">IFERROR(INDEX('ST Forecast'!$E$2:$RK$36,15,M212),"")</f>
        <v>850</v>
      </c>
      <c r="S212" s="312">
        <f>SUM(DB[[#This Row],[Ops-FC-Picks-Collect]:[Ops-FC-Picks-HD]])</f>
        <v>116733.75754955717</v>
      </c>
      <c r="T212" s="44">
        <f t="shared" si="76"/>
        <v>33227.498118818825</v>
      </c>
      <c r="U212" s="44">
        <f t="shared" si="77"/>
        <v>83506.259430738341</v>
      </c>
      <c r="V212" s="44">
        <f t="shared" si="78"/>
        <v>42946.07627866543</v>
      </c>
      <c r="W212" s="404">
        <f t="shared" si="79"/>
        <v>40560.183152072903</v>
      </c>
      <c r="X212" s="44">
        <f>SUM(DB[[#This Row],[Capped-Orders-Collect]:[Capped-Orders-HD]])</f>
        <v>90</v>
      </c>
      <c r="Y212">
        <f>INDEX('Operations Forecast'!$A$2:$BGY$47,3,MATCH(DB!D212,'Operations Forecast'!$A$2:$BGY$2))</f>
        <v>0</v>
      </c>
      <c r="Z212">
        <f t="shared" si="80"/>
        <v>90</v>
      </c>
      <c r="AA212">
        <f>INDEX('Operations Forecast'!$A$2:$BGY$47,10,MATCH(DB!D212,'Operations Forecast'!$A$2:$BGY$2))</f>
        <v>90</v>
      </c>
      <c r="AB212">
        <f>INDEX('Operations Forecast'!$A$2:$BGY$47,21,MATCH(DB!D212,'Operations Forecast'!$A$2:$BGY$2))</f>
        <v>0</v>
      </c>
      <c r="AC212" s="312">
        <f>SUM(DB[[#This Row],[Act-Orders-Collect]:[Act-Orders-HD]])</f>
        <v>2537</v>
      </c>
      <c r="AD212" s="858">
        <f>IFERROR(INDEX('Operations Forecast_new'!$7:$7,MATCH(DB[[#This Row],[Datum]],'Operations Forecast_new'!$2:$2,0)),0)</f>
        <v>824</v>
      </c>
      <c r="AE212" s="312">
        <f t="shared" si="81"/>
        <v>1713</v>
      </c>
      <c r="AF212" s="858">
        <f>IFERROR(INDEX('Operations Forecast_new'!$13:$13,MATCH(DB[[#This Row],[Datum]],'Operations Forecast_new'!$2:$2,0)),0)</f>
        <v>920</v>
      </c>
      <c r="AG212" s="858">
        <f>IFERROR(INDEX('Operations Forecast_new'!$19:$19,MATCH(DB[[#This Row],[Datum]],'Operations Forecast_new'!$2:$2,0)),0)</f>
        <v>793</v>
      </c>
      <c r="AH212" s="312">
        <f t="shared" si="71"/>
        <v>124044.42600000001</v>
      </c>
      <c r="AI212" s="858">
        <f>IFERROR(INDEX('Operations Forecast_new'!$9:$9,MATCH(DB[[#This Row],[Datum]],'Operations Forecast_new'!$2:$2,0)),0)</f>
        <v>38911.752</v>
      </c>
      <c r="AJ212" s="312">
        <f t="shared" si="82"/>
        <v>85132.673999999999</v>
      </c>
      <c r="AK212" s="858">
        <f>IFERROR(INDEX('Operations Forecast_new'!$15:$15,MATCH(DB[[#This Row],[Datum]],'Operations Forecast_new'!$2:$2,0)),0)</f>
        <v>45722.159999999996</v>
      </c>
      <c r="AL212" s="858">
        <f>IFERROR(INDEX('Operations Forecast_new'!$21:$21,MATCH(DB[[#This Row],[Datum]],'Operations Forecast_new'!$2:$2,0)),0)</f>
        <v>39410.514000000003</v>
      </c>
      <c r="AM212" s="178">
        <f>IFERROR(INDEX('Operations Forecast_new'!$8:$8,MATCH(DB[[#This Row],[Datum]],'Operations Forecast_new'!$2:$2,0)),0)</f>
        <v>47.7</v>
      </c>
      <c r="AN212" s="859">
        <f>IFERROR(INDEX('Operations Forecast_new'!$20:$20,MATCH(DB[[#This Row],[Datum]],'Operations Forecast_new'!$2:$2,0)),0)</f>
        <v>50.2</v>
      </c>
      <c r="AO212" s="44">
        <f t="shared" si="83"/>
        <v>47.222999999999999</v>
      </c>
      <c r="AP212" s="404">
        <f t="shared" si="84"/>
        <v>49.698</v>
      </c>
      <c r="AQ212" s="44">
        <f t="shared" si="72"/>
        <v>93366.699354932993</v>
      </c>
      <c r="AR212" s="44" cm="1">
        <f t="array" ref="AR212">IFERROR(INDEX('ST Forecast'!$E$2:$RK$36,25,M212)+(INDEX('ST Forecast'!$E$2:$RK$36,29,M212)),"")</f>
        <v>37918.776000000005</v>
      </c>
      <c r="AS212" s="44" cm="1">
        <f t="array" ref="AS212">IFERROR(INDEX('ST Forecast'!$E$2:$RK$36,26,M212)+INDEX('ST Forecast'!$E$2:$RK$36,30,M212),"")</f>
        <v>44783.583152436127</v>
      </c>
      <c r="AT212" s="44" cm="1">
        <f t="array" ref="AT212">IFERROR(INDEX('ST Forecast'!$E$2:$RK$36,27,M212)+INDEX('ST Forecast'!$E$2:$RK$36,31,M212),"")</f>
        <v>4080.1233549329831</v>
      </c>
      <c r="AU212" s="44" cm="1">
        <f t="array" ref="AU212">IFERROR(INDEX('ST Forecast'!$E$2:$RK$36,28,M212),"")</f>
        <v>6584.2168475638746</v>
      </c>
      <c r="AV212" s="44" cm="1">
        <f t="array" ref="AV212">IFERROR(INDEX('ST Forecast'!$E$2:$RK$36,29,M212),"")</f>
        <v>0</v>
      </c>
      <c r="AW212" s="44">
        <f>DB[[#This Row],[Inbound FC]]-DB[[#This Row],[Inbound Act - Ultrafresh2]]</f>
        <v>93366.699354932993</v>
      </c>
      <c r="AX212" s="178" t="e">
        <f>#REF!</f>
        <v>#REF!</v>
      </c>
      <c r="AY212" s="178" t="e">
        <f>#REF!</f>
        <v>#REF!</v>
      </c>
      <c r="AZ212" s="178" t="e">
        <f>#REF!</f>
        <v>#REF!</v>
      </c>
      <c r="BA212" s="178">
        <f>MONTH(DB[[#This Row],[Datum]])</f>
        <v>7</v>
      </c>
    </row>
    <row r="213" spans="1:53" x14ac:dyDescent="0.3">
      <c r="A213" s="44">
        <f t="shared" si="73"/>
        <v>30</v>
      </c>
      <c r="B213" t="str">
        <f t="shared" si="74"/>
        <v>Wk 30</v>
      </c>
      <c r="C213" t="s">
        <v>118</v>
      </c>
      <c r="D213" s="313">
        <v>44772</v>
      </c>
      <c r="E213" s="44">
        <f>DB[[#This Row],[Sales-FC-Orders-Collect]]+DB[[#This Row],[Sales-FC-Orders-HD]]</f>
        <v>2200</v>
      </c>
      <c r="F213" s="402" cm="1">
        <f t="array" ref="F213">INDEX('LT Collect Forecast'!$K$1:$Q$55,MATCH(B213,'LT Collect Forecast'!$A:$A,0)+1,MATCH(C213,'LT Collect Forecast'!$K$2:$Q$2,0))</f>
        <v>650</v>
      </c>
      <c r="G213" s="44" cm="1">
        <f t="array" ref="G213">INDEX('LT HD Forecast'!$K$1:$Q$55,MATCH(B213,'LT HD Forecast'!$A:$A,0)+1,MATCH(C213,'LT HD Forecast'!$K$2:$Q$2,0))</f>
        <v>1550</v>
      </c>
      <c r="H213" s="44" cm="1">
        <f t="array" ref="H213">IFERROR(INDEX('ST Forecast'!$E$2:$RK$36,6,M213),"")</f>
        <v>47.990728904862479</v>
      </c>
      <c r="I213" s="44" cm="1">
        <f t="array" ref="I213">IFERROR(INDEX('ST Forecast'!$E$2:$RK$36,7,M213),"")</f>
        <v>48.878016806936976</v>
      </c>
      <c r="J213" s="44">
        <f>SUM(DB[[#This Row],[Sales-FC-Picks-Collect]:[Sales-FC-Picks-HD]])</f>
        <v>106954.89983891293</v>
      </c>
      <c r="K213" s="44">
        <f t="shared" si="69"/>
        <v>31193.973788160612</v>
      </c>
      <c r="L213" s="44">
        <f t="shared" si="70"/>
        <v>75760.926050752314</v>
      </c>
      <c r="M213" s="403">
        <f>IFERROR(IF(B213=B212,M212+1,MATCH(B213,'ST Forecast'!$E$2:$RK$2,0)+1),"")</f>
        <v>239</v>
      </c>
      <c r="N213">
        <f>SUM(DB[[#This Row],[Ops-FC-Orders-Collect]:[Ops-FC-Orders-HD]])</f>
        <v>2200</v>
      </c>
      <c r="O213" s="44" cm="1">
        <f t="array" ref="O213">IFERROR(INDEX('ST Forecast'!$E$2:$RK$36,13,M213),"")</f>
        <v>650</v>
      </c>
      <c r="P213" s="44">
        <f t="shared" si="75"/>
        <v>1550</v>
      </c>
      <c r="Q213" s="44" cm="1">
        <f t="array" ref="Q213">IFERROR(INDEX('ST Forecast'!$E$2:$RK$36,14,M213),"")</f>
        <v>850</v>
      </c>
      <c r="R213" s="44" cm="1">
        <f t="array" ref="R213">IFERROR(INDEX('ST Forecast'!$E$2:$RK$36,15,M213),"")</f>
        <v>700</v>
      </c>
      <c r="S213" s="312">
        <f>SUM(DB[[#This Row],[Ops-FC-Picks-Collect]:[Ops-FC-Picks-HD]])</f>
        <v>104815.80184213466</v>
      </c>
      <c r="T213" s="44">
        <f t="shared" si="76"/>
        <v>30570.094312397399</v>
      </c>
      <c r="U213" s="44">
        <f t="shared" si="77"/>
        <v>74245.707529737265</v>
      </c>
      <c r="V213" s="44">
        <f t="shared" si="78"/>
        <v>40715.3880001785</v>
      </c>
      <c r="W213" s="404">
        <f t="shared" si="79"/>
        <v>33530.319529558765</v>
      </c>
      <c r="X213" s="44">
        <f>SUM(DB[[#This Row],[Capped-Orders-Collect]:[Capped-Orders-HD]])</f>
        <v>90</v>
      </c>
      <c r="Y213">
        <f>INDEX('Operations Forecast'!$A$2:$BGY$47,3,MATCH(DB!D213,'Operations Forecast'!$A$2:$BGY$2))</f>
        <v>0</v>
      </c>
      <c r="Z213">
        <f t="shared" si="80"/>
        <v>90</v>
      </c>
      <c r="AA213">
        <f>INDEX('Operations Forecast'!$A$2:$BGY$47,10,MATCH(DB!D213,'Operations Forecast'!$A$2:$BGY$2))</f>
        <v>90</v>
      </c>
      <c r="AB213">
        <f>INDEX('Operations Forecast'!$A$2:$BGY$47,21,MATCH(DB!D213,'Operations Forecast'!$A$2:$BGY$2))</f>
        <v>0</v>
      </c>
      <c r="AC213" s="312">
        <f>SUM(DB[[#This Row],[Act-Orders-Collect]:[Act-Orders-HD]])</f>
        <v>2386</v>
      </c>
      <c r="AD213" s="858">
        <f>IFERROR(INDEX('Operations Forecast_new'!$7:$7,MATCH(DB[[#This Row],[Datum]],'Operations Forecast_new'!$2:$2,0)),0)</f>
        <v>750</v>
      </c>
      <c r="AE213" s="312">
        <f t="shared" si="81"/>
        <v>1636</v>
      </c>
      <c r="AF213" s="858">
        <f>IFERROR(INDEX('Operations Forecast_new'!$13:$13,MATCH(DB[[#This Row],[Datum]],'Operations Forecast_new'!$2:$2,0)),0)</f>
        <v>911</v>
      </c>
      <c r="AG213" s="858">
        <f>IFERROR(INDEX('Operations Forecast_new'!$19:$19,MATCH(DB[[#This Row],[Datum]],'Operations Forecast_new'!$2:$2,0)),0)</f>
        <v>725</v>
      </c>
      <c r="AH213" s="312">
        <f t="shared" si="71"/>
        <v>113166.504</v>
      </c>
      <c r="AI213" s="858">
        <f>IFERROR(INDEX('Operations Forecast_new'!$9:$9,MATCH(DB[[#This Row],[Datum]],'Operations Forecast_new'!$2:$2,0)),0)</f>
        <v>34452</v>
      </c>
      <c r="AJ213" s="312">
        <f t="shared" si="82"/>
        <v>78714.504000000001</v>
      </c>
      <c r="AK213" s="858">
        <f>IFERROR(INDEX('Operations Forecast_new'!$15:$15,MATCH(DB[[#This Row],[Datum]],'Operations Forecast_new'!$2:$2,0)),0)</f>
        <v>43831.853999999999</v>
      </c>
      <c r="AL213" s="858">
        <f>IFERROR(INDEX('Operations Forecast_new'!$21:$21,MATCH(DB[[#This Row],[Datum]],'Operations Forecast_new'!$2:$2,0)),0)</f>
        <v>34882.65</v>
      </c>
      <c r="AM213" s="178">
        <f>IFERROR(INDEX('Operations Forecast_new'!$8:$8,MATCH(DB[[#This Row],[Datum]],'Operations Forecast_new'!$2:$2,0)),0)</f>
        <v>46.4</v>
      </c>
      <c r="AN213" s="859">
        <f>IFERROR(INDEX('Operations Forecast_new'!$20:$20,MATCH(DB[[#This Row],[Datum]],'Operations Forecast_new'!$2:$2,0)),0)</f>
        <v>48.6</v>
      </c>
      <c r="AO213" s="44">
        <f t="shared" si="83"/>
        <v>45.936</v>
      </c>
      <c r="AP213" s="404">
        <f t="shared" si="84"/>
        <v>48.113999999999997</v>
      </c>
      <c r="AQ213" s="44">
        <f t="shared" si="72"/>
        <v>96639.000000000073</v>
      </c>
      <c r="AR213" s="44" cm="1">
        <f t="array" ref="AR213">IFERROR(INDEX('ST Forecast'!$E$2:$RK$36,25,M213)+(INDEX('ST Forecast'!$E$2:$RK$36,29,M213)),"")</f>
        <v>45482.767317041624</v>
      </c>
      <c r="AS213" s="44" cm="1">
        <f t="array" ref="AS213">IFERROR(INDEX('ST Forecast'!$E$2:$RK$36,26,M213)+INDEX('ST Forecast'!$E$2:$RK$36,30,M213),"")</f>
        <v>42309.694584779943</v>
      </c>
      <c r="AT213" s="44" cm="1">
        <f t="array" ref="AT213">IFERROR(INDEX('ST Forecast'!$E$2:$RK$36,27,M213)+INDEX('ST Forecast'!$E$2:$RK$36,31,M213),"")</f>
        <v>3738.6029452799748</v>
      </c>
      <c r="AU213" s="44" cm="1">
        <f t="array" ref="AU213">IFERROR(INDEX('ST Forecast'!$E$2:$RK$36,28,M213),"")</f>
        <v>5107.9351528985235</v>
      </c>
      <c r="AV213" s="44" cm="1">
        <f t="array" ref="AV213">IFERROR(INDEX('ST Forecast'!$E$2:$RK$36,29,M213),"")</f>
        <v>0</v>
      </c>
      <c r="AW213" s="44">
        <f>DB[[#This Row],[Inbound FC]]-DB[[#This Row],[Inbound Act - Ultrafresh2]]</f>
        <v>96639.000000000073</v>
      </c>
      <c r="AX213" s="178" t="e">
        <f>#REF!</f>
        <v>#REF!</v>
      </c>
      <c r="AY213" s="178" t="e">
        <f>#REF!</f>
        <v>#REF!</v>
      </c>
      <c r="AZ213" s="178" t="e">
        <f>#REF!</f>
        <v>#REF!</v>
      </c>
      <c r="BA213" s="178">
        <f>MONTH(DB[[#This Row],[Datum]])</f>
        <v>7</v>
      </c>
    </row>
    <row r="214" spans="1:53" x14ac:dyDescent="0.3">
      <c r="A214" s="44">
        <f t="shared" si="73"/>
        <v>30</v>
      </c>
      <c r="B214" t="str">
        <f t="shared" si="74"/>
        <v>Wk 30</v>
      </c>
      <c r="C214" t="s">
        <v>119</v>
      </c>
      <c r="D214" s="313">
        <v>44773</v>
      </c>
      <c r="E214" s="44">
        <f>DB[[#This Row],[Sales-FC-Orders-Collect]]+DB[[#This Row],[Sales-FC-Orders-HD]]</f>
        <v>0</v>
      </c>
      <c r="F214" s="402" cm="1">
        <f t="array" ref="F214">INDEX('LT Collect Forecast'!$K$1:$Q$55,MATCH(B214,'LT Collect Forecast'!$A:$A,0)+1,MATCH(C214,'LT Collect Forecast'!$K$2:$Q$2,0))</f>
        <v>0</v>
      </c>
      <c r="G214" s="44" cm="1">
        <f t="array" ref="G214">INDEX('LT HD Forecast'!$K$1:$Q$55,MATCH(B214,'LT HD Forecast'!$A:$A,0)+1,MATCH(C214,'LT HD Forecast'!$K$2:$Q$2,0))</f>
        <v>0</v>
      </c>
      <c r="H214" s="44" cm="1">
        <f t="array" ref="H214">IFERROR(INDEX('ST Forecast'!$E$2:$RK$36,6,M214),"")</f>
        <v>0</v>
      </c>
      <c r="I214" s="44" cm="1">
        <f t="array" ref="I214">IFERROR(INDEX('ST Forecast'!$E$2:$RK$36,7,M214),"")</f>
        <v>0</v>
      </c>
      <c r="J214" s="44">
        <f>SUM(DB[[#This Row],[Sales-FC-Picks-Collect]:[Sales-FC-Picks-HD]])</f>
        <v>0</v>
      </c>
      <c r="K214" s="44">
        <f t="shared" si="69"/>
        <v>0</v>
      </c>
      <c r="L214" s="44">
        <f t="shared" si="70"/>
        <v>0</v>
      </c>
      <c r="M214" s="403">
        <f>IFERROR(IF(B214=B213,M213+1,MATCH(B214,'ST Forecast'!$E$2:$RK$2,0)+1),"")</f>
        <v>240</v>
      </c>
      <c r="N214">
        <f>SUM(DB[[#This Row],[Ops-FC-Orders-Collect]:[Ops-FC-Orders-HD]])</f>
        <v>0</v>
      </c>
      <c r="O214" s="44" cm="1">
        <f t="array" ref="O214">IFERROR(INDEX('ST Forecast'!$E$2:$RK$36,13,M214),"")</f>
        <v>0</v>
      </c>
      <c r="P214" s="44">
        <f t="shared" si="75"/>
        <v>0</v>
      </c>
      <c r="Q214" s="44" cm="1">
        <f t="array" ref="Q214">IFERROR(INDEX('ST Forecast'!$E$2:$RK$36,14,M214),"")</f>
        <v>0</v>
      </c>
      <c r="R214" s="44" cm="1">
        <f t="array" ref="R214">IFERROR(INDEX('ST Forecast'!$E$2:$RK$36,15,M214),"")</f>
        <v>0</v>
      </c>
      <c r="S214" s="312">
        <f>SUM(DB[[#This Row],[Ops-FC-Picks-Collect]:[Ops-FC-Picks-HD]])</f>
        <v>0</v>
      </c>
      <c r="T214" s="44">
        <f t="shared" si="76"/>
        <v>0</v>
      </c>
      <c r="U214" s="44">
        <f t="shared" si="77"/>
        <v>0</v>
      </c>
      <c r="V214" s="44">
        <f t="shared" si="78"/>
        <v>0</v>
      </c>
      <c r="W214" s="404">
        <f t="shared" si="79"/>
        <v>0</v>
      </c>
      <c r="X214" s="44">
        <f>SUM(DB[[#This Row],[Capped-Orders-Collect]:[Capped-Orders-HD]])</f>
        <v>90</v>
      </c>
      <c r="Y214">
        <f>INDEX('Operations Forecast'!$A$2:$BGY$47,3,MATCH(DB!D214,'Operations Forecast'!$A$2:$BGY$2))</f>
        <v>0</v>
      </c>
      <c r="Z214">
        <f t="shared" si="80"/>
        <v>90</v>
      </c>
      <c r="AA214">
        <f>INDEX('Operations Forecast'!$A$2:$BGY$47,10,MATCH(DB!D214,'Operations Forecast'!$A$2:$BGY$2))</f>
        <v>90</v>
      </c>
      <c r="AB214">
        <f>INDEX('Operations Forecast'!$A$2:$BGY$47,21,MATCH(DB!D214,'Operations Forecast'!$A$2:$BGY$2))</f>
        <v>0</v>
      </c>
      <c r="AC214" s="312">
        <f>SUM(DB[[#This Row],[Act-Orders-Collect]:[Act-Orders-HD]])</f>
        <v>0</v>
      </c>
      <c r="AD214" s="858">
        <f>IFERROR(INDEX('Operations Forecast_new'!$7:$7,MATCH(DB[[#This Row],[Datum]],'Operations Forecast_new'!$2:$2,0)),0)</f>
        <v>0</v>
      </c>
      <c r="AE214" s="312">
        <f t="shared" si="81"/>
        <v>0</v>
      </c>
      <c r="AF214" s="858">
        <f>IFERROR(INDEX('Operations Forecast_new'!$13:$13,MATCH(DB[[#This Row],[Datum]],'Operations Forecast_new'!$2:$2,0)),0)</f>
        <v>0</v>
      </c>
      <c r="AG214" s="858">
        <f>IFERROR(INDEX('Operations Forecast_new'!$19:$19,MATCH(DB[[#This Row],[Datum]],'Operations Forecast_new'!$2:$2,0)),0)</f>
        <v>0</v>
      </c>
      <c r="AH214" s="312">
        <f t="shared" si="71"/>
        <v>0</v>
      </c>
      <c r="AI214" s="858">
        <f>IFERROR(INDEX('Operations Forecast_new'!$9:$9,MATCH(DB[[#This Row],[Datum]],'Operations Forecast_new'!$2:$2,0)),0)</f>
        <v>0</v>
      </c>
      <c r="AJ214" s="312">
        <f t="shared" si="82"/>
        <v>0</v>
      </c>
      <c r="AK214" s="858">
        <f>IFERROR(INDEX('Operations Forecast_new'!$15:$15,MATCH(DB[[#This Row],[Datum]],'Operations Forecast_new'!$2:$2,0)),0)</f>
        <v>0</v>
      </c>
      <c r="AL214" s="858">
        <f>IFERROR(INDEX('Operations Forecast_new'!$21:$21,MATCH(DB[[#This Row],[Datum]],'Operations Forecast_new'!$2:$2,0)),0)</f>
        <v>0</v>
      </c>
      <c r="AM214" s="178">
        <f>IFERROR(INDEX('Operations Forecast_new'!$8:$8,MATCH(DB[[#This Row],[Datum]],'Operations Forecast_new'!$2:$2,0)),0)</f>
        <v>0</v>
      </c>
      <c r="AN214" s="859">
        <f>IFERROR(INDEX('Operations Forecast_new'!$20:$20,MATCH(DB[[#This Row],[Datum]],'Operations Forecast_new'!$2:$2,0)),0)</f>
        <v>0</v>
      </c>
      <c r="AO214" s="44" t="str">
        <f t="shared" si="83"/>
        <v>-</v>
      </c>
      <c r="AP214" s="404" t="str">
        <f t="shared" si="84"/>
        <v>-</v>
      </c>
      <c r="AQ214" s="44">
        <f t="shared" si="72"/>
        <v>0</v>
      </c>
      <c r="AR214" s="44" cm="1">
        <f t="array" ref="AR214">IFERROR(INDEX('ST Forecast'!$E$2:$RK$36,25,M214)+(INDEX('ST Forecast'!$E$2:$RK$36,29,M214)),"")</f>
        <v>0</v>
      </c>
      <c r="AS214" s="44" cm="1">
        <f t="array" ref="AS214">IFERROR(INDEX('ST Forecast'!$E$2:$RK$36,26,M214)+INDEX('ST Forecast'!$E$2:$RK$36,30,M214),"")</f>
        <v>0</v>
      </c>
      <c r="AT214" s="44" cm="1">
        <f t="array" ref="AT214">IFERROR(INDEX('ST Forecast'!$E$2:$RK$36,27,M214)+INDEX('ST Forecast'!$E$2:$RK$36,31,M214),"")</f>
        <v>0</v>
      </c>
      <c r="AU214" s="44" cm="1">
        <f t="array" ref="AU214">IFERROR(INDEX('ST Forecast'!$E$2:$RK$36,28,M214),"")</f>
        <v>0</v>
      </c>
      <c r="AV214" s="44" cm="1">
        <f t="array" ref="AV214">IFERROR(INDEX('ST Forecast'!$E$2:$RK$36,29,M214),"")</f>
        <v>0</v>
      </c>
      <c r="AW214" s="44">
        <f>DB[[#This Row],[Inbound FC]]-DB[[#This Row],[Inbound Act - Ultrafresh2]]</f>
        <v>0</v>
      </c>
      <c r="AX214" s="178" t="e">
        <f>#REF!</f>
        <v>#REF!</v>
      </c>
      <c r="AY214" s="178" t="e">
        <f>#REF!</f>
        <v>#REF!</v>
      </c>
      <c r="AZ214" s="178" t="e">
        <f>#REF!</f>
        <v>#REF!</v>
      </c>
      <c r="BA214" s="178">
        <f>MONTH(DB[[#This Row],[Datum]])</f>
        <v>7</v>
      </c>
    </row>
    <row r="215" spans="1:53" x14ac:dyDescent="0.3">
      <c r="A215" s="44">
        <f t="shared" si="73"/>
        <v>31</v>
      </c>
      <c r="B215" t="str">
        <f t="shared" si="74"/>
        <v>Wk 31</v>
      </c>
      <c r="C215" t="s">
        <v>113</v>
      </c>
      <c r="D215" s="313">
        <v>44774</v>
      </c>
      <c r="E215" s="44">
        <f>DB[[#This Row],[Sales-FC-Orders-Collect]]+DB[[#This Row],[Sales-FC-Orders-HD]]</f>
        <v>1950</v>
      </c>
      <c r="F215" s="402">
        <f>INDEX('LT Collect Forecast'!$K$1:$Q$55,MATCH(B215,'LT Collect Forecast'!$A:$A,0),MATCH(C215,'LT Collect Forecast'!$K$2:$Q$2,0))</f>
        <v>500</v>
      </c>
      <c r="G215" s="44">
        <f>INDEX('LT HD Forecast'!$K$1:$Q$55,MATCH(B215,'LT HD Forecast'!$A:$A,0),MATCH(C215,'LT HD Forecast'!$K$2:$Q$2,0))</f>
        <v>1450</v>
      </c>
      <c r="H215" s="44" cm="1">
        <f t="array" ref="H215">IFERROR(INDEX('ST Forecast'!$E$2:$RK$36,6,M215),"")</f>
        <v>47.07014344184055</v>
      </c>
      <c r="I215" s="44" cm="1">
        <f t="array" ref="I215">IFERROR(INDEX('ST Forecast'!$E$2:$RK$36,7,M215),"")</f>
        <v>46.446210925004202</v>
      </c>
      <c r="J215" s="44">
        <f>SUM(DB[[#This Row],[Sales-FC-Picks-Collect]:[Sales-FC-Picks-HD]])</f>
        <v>90882.077562176361</v>
      </c>
      <c r="K215" s="44">
        <f t="shared" si="69"/>
        <v>23535.071720920274</v>
      </c>
      <c r="L215" s="44">
        <f t="shared" si="70"/>
        <v>67347.00584125609</v>
      </c>
      <c r="M215" s="403">
        <f>IFERROR(IF(B215=B214,M214+1,MATCH(B215,'ST Forecast'!$E$2:$RK$2,0)+1),"")</f>
        <v>242</v>
      </c>
      <c r="N215">
        <f>SUM(DB[[#This Row],[Ops-FC-Orders-Collect]:[Ops-FC-Orders-HD]])</f>
        <v>1950</v>
      </c>
      <c r="O215" s="44" cm="1">
        <f t="array" ref="O215">IFERROR(INDEX('ST Forecast'!$E$2:$RK$36,13,M215),"")</f>
        <v>500</v>
      </c>
      <c r="P215" s="44">
        <f t="shared" si="75"/>
        <v>1450</v>
      </c>
      <c r="Q215" s="44" cm="1">
        <f t="array" ref="Q215">IFERROR(INDEX('ST Forecast'!$E$2:$RK$36,14,M215),"")</f>
        <v>650</v>
      </c>
      <c r="R215" s="44" cm="1">
        <f t="array" ref="R215">IFERROR(INDEX('ST Forecast'!$E$2:$RK$36,15,M215),"")</f>
        <v>800</v>
      </c>
      <c r="S215" s="312">
        <f>SUM(DB[[#This Row],[Ops-FC-Picks-Collect]:[Ops-FC-Picks-HD]])</f>
        <v>89064.436010932841</v>
      </c>
      <c r="T215" s="44">
        <f t="shared" si="76"/>
        <v>23064.370286501868</v>
      </c>
      <c r="U215" s="44">
        <f t="shared" si="77"/>
        <v>66000.06572443097</v>
      </c>
      <c r="V215" s="44">
        <f t="shared" si="78"/>
        <v>29586.236359227678</v>
      </c>
      <c r="W215" s="404">
        <f t="shared" si="79"/>
        <v>36413.829365203288</v>
      </c>
      <c r="X215" s="44">
        <f>SUM(DB[[#This Row],[Capped-Orders-Collect]:[Capped-Orders-HD]])</f>
        <v>90</v>
      </c>
      <c r="Y215">
        <f>INDEX('Operations Forecast'!$A$2:$BGY$47,3,MATCH(DB!D215,'Operations Forecast'!$A$2:$BGY$2))</f>
        <v>0</v>
      </c>
      <c r="Z215">
        <f t="shared" si="80"/>
        <v>90</v>
      </c>
      <c r="AA215">
        <f>INDEX('Operations Forecast'!$A$2:$BGY$47,10,MATCH(DB!D215,'Operations Forecast'!$A$2:$BGY$2))</f>
        <v>90</v>
      </c>
      <c r="AB215">
        <f>INDEX('Operations Forecast'!$A$2:$BGY$47,21,MATCH(DB!D215,'Operations Forecast'!$A$2:$BGY$2))</f>
        <v>0</v>
      </c>
      <c r="AC215" s="312">
        <f>SUM(DB[[#This Row],[Act-Orders-Collect]:[Act-Orders-HD]])</f>
        <v>2033</v>
      </c>
      <c r="AD215" s="858">
        <f>IFERROR(INDEX('Operations Forecast_new'!$7:$7,MATCH(DB[[#This Row],[Datum]],'Operations Forecast_new'!$2:$2,0)),0)</f>
        <v>575</v>
      </c>
      <c r="AE215" s="312">
        <f t="shared" si="81"/>
        <v>1458</v>
      </c>
      <c r="AF215" s="858">
        <f>IFERROR(INDEX('Operations Forecast_new'!$13:$13,MATCH(DB[[#This Row],[Datum]],'Operations Forecast_new'!$2:$2,0)),0)</f>
        <v>666</v>
      </c>
      <c r="AG215" s="858">
        <f>IFERROR(INDEX('Operations Forecast_new'!$19:$19,MATCH(DB[[#This Row],[Datum]],'Operations Forecast_new'!$2:$2,0)),0)</f>
        <v>792</v>
      </c>
      <c r="AH215" s="312">
        <f t="shared" si="71"/>
        <v>99139.194000000003</v>
      </c>
      <c r="AI215" s="858">
        <f>IFERROR(INDEX('Operations Forecast_new'!$9:$9,MATCH(DB[[#This Row],[Datum]],'Operations Forecast_new'!$2:$2,0)),0)</f>
        <v>25957.8</v>
      </c>
      <c r="AJ215" s="312">
        <f t="shared" si="82"/>
        <v>73181.394</v>
      </c>
      <c r="AK215" s="858">
        <f>IFERROR(INDEX('Operations Forecast_new'!$15:$15,MATCH(DB[[#This Row],[Datum]],'Operations Forecast_new'!$2:$2,0)),0)</f>
        <v>33428.538</v>
      </c>
      <c r="AL215" s="858">
        <f>IFERROR(INDEX('Operations Forecast_new'!$21:$21,MATCH(DB[[#This Row],[Datum]],'Operations Forecast_new'!$2:$2,0)),0)</f>
        <v>39752.856</v>
      </c>
      <c r="AM215" s="178">
        <f>IFERROR(INDEX('Operations Forecast_new'!$8:$8,MATCH(DB[[#This Row],[Datum]],'Operations Forecast_new'!$2:$2,0)),0)</f>
        <v>45.6</v>
      </c>
      <c r="AN215" s="859">
        <f>IFERROR(INDEX('Operations Forecast_new'!$20:$20,MATCH(DB[[#This Row],[Datum]],'Operations Forecast_new'!$2:$2,0)),0)</f>
        <v>50.7</v>
      </c>
      <c r="AO215" s="44">
        <f t="shared" si="83"/>
        <v>45.143999999999998</v>
      </c>
      <c r="AP215" s="404">
        <f t="shared" si="84"/>
        <v>50.192999999999998</v>
      </c>
      <c r="AQ215" s="44">
        <f t="shared" si="72"/>
        <v>177023</v>
      </c>
      <c r="AR215" s="44" cm="1">
        <f t="array" ref="AR215">IFERROR(INDEX('ST Forecast'!$E$2:$RK$36,25,M215)+(INDEX('ST Forecast'!$E$2:$RK$36,29,M215)),"")</f>
        <v>72018.44</v>
      </c>
      <c r="AS215" s="44" cm="1">
        <f t="array" ref="AS215">IFERROR(INDEX('ST Forecast'!$E$2:$RK$36,26,M215)+INDEX('ST Forecast'!$E$2:$RK$36,30,M215),"")</f>
        <v>51237.15657638789</v>
      </c>
      <c r="AT215" s="44" cm="1">
        <f t="array" ref="AT215">IFERROR(INDEX('ST Forecast'!$E$2:$RK$36,27,M215)+INDEX('ST Forecast'!$E$2:$RK$36,31,M215),"")</f>
        <v>46835.82</v>
      </c>
      <c r="AU215" s="44" cm="1">
        <f t="array" ref="AU215">IFERROR(INDEX('ST Forecast'!$E$2:$RK$36,28,M215),"")</f>
        <v>6931.5834236121045</v>
      </c>
      <c r="AV215" s="44" cm="1">
        <f t="array" ref="AV215">IFERROR(INDEX('ST Forecast'!$E$2:$RK$36,29,M215),"")</f>
        <v>0</v>
      </c>
      <c r="AW215" s="44">
        <f>DB[[#This Row],[Inbound FC]]-DB[[#This Row],[Inbound Act - Ultrafresh2]]</f>
        <v>177023</v>
      </c>
      <c r="AX215" s="178" t="e">
        <f>#REF!</f>
        <v>#REF!</v>
      </c>
      <c r="AY215" s="178" t="e">
        <f>#REF!</f>
        <v>#REF!</v>
      </c>
      <c r="AZ215" s="178" t="e">
        <f>#REF!</f>
        <v>#REF!</v>
      </c>
      <c r="BA215" s="178">
        <f>MONTH(DB[[#This Row],[Datum]])</f>
        <v>8</v>
      </c>
    </row>
    <row r="216" spans="1:53" x14ac:dyDescent="0.3">
      <c r="A216" s="44">
        <f t="shared" si="73"/>
        <v>31</v>
      </c>
      <c r="B216" t="str">
        <f t="shared" si="74"/>
        <v>Wk 31</v>
      </c>
      <c r="C216" t="s">
        <v>114</v>
      </c>
      <c r="D216" s="313">
        <v>44775</v>
      </c>
      <c r="E216" s="44">
        <f>DB[[#This Row],[Sales-FC-Orders-Collect]]+DB[[#This Row],[Sales-FC-Orders-HD]]</f>
        <v>2200</v>
      </c>
      <c r="F216" s="402">
        <f>INDEX('LT Collect Forecast'!$K$1:$Q$55,MATCH(B216,'LT Collect Forecast'!$A:$A,0),MATCH(C216,'LT Collect Forecast'!$K$2:$Q$2,0))</f>
        <v>450</v>
      </c>
      <c r="G216" s="44">
        <f>INDEX('LT HD Forecast'!$K$1:$Q$55,MATCH(B216,'LT HD Forecast'!$A:$A,0),MATCH(C216,'LT HD Forecast'!$K$2:$Q$2,0))</f>
        <v>1750</v>
      </c>
      <c r="H216" s="44" cm="1">
        <f t="array" ref="H216">IFERROR(INDEX('ST Forecast'!$E$2:$RK$36,6,M216),"")</f>
        <v>44.119171069087365</v>
      </c>
      <c r="I216" s="44" cm="1">
        <f t="array" ref="I216">IFERROR(INDEX('ST Forecast'!$E$2:$RK$36,7,M216),"")</f>
        <v>44.656179434406383</v>
      </c>
      <c r="J216" s="44">
        <f>SUM(DB[[#This Row],[Sales-FC-Picks-Collect]:[Sales-FC-Picks-HD]])</f>
        <v>98001.940991300478</v>
      </c>
      <c r="K216" s="44">
        <f t="shared" si="69"/>
        <v>19853.626981089314</v>
      </c>
      <c r="L216" s="44">
        <f t="shared" si="70"/>
        <v>78148.314010211165</v>
      </c>
      <c r="M216" s="403">
        <f>IFERROR(IF(B216=B215,M215+1,MATCH(B216,'ST Forecast'!$E$2:$RK$2,0)+1),"")</f>
        <v>243</v>
      </c>
      <c r="N216">
        <f>SUM(DB[[#This Row],[Ops-FC-Orders-Collect]:[Ops-FC-Orders-HD]])</f>
        <v>2200</v>
      </c>
      <c r="O216" s="44" cm="1">
        <f t="array" ref="O216">IFERROR(INDEX('ST Forecast'!$E$2:$RK$36,13,M216),"")</f>
        <v>450</v>
      </c>
      <c r="P216" s="44">
        <f t="shared" si="75"/>
        <v>1750</v>
      </c>
      <c r="Q216" s="44" cm="1">
        <f t="array" ref="Q216">IFERROR(INDEX('ST Forecast'!$E$2:$RK$36,14,M216),"")</f>
        <v>850</v>
      </c>
      <c r="R216" s="44" cm="1">
        <f t="array" ref="R216">IFERROR(INDEX('ST Forecast'!$E$2:$RK$36,15,M216),"")</f>
        <v>900</v>
      </c>
      <c r="S216" s="312">
        <f>SUM(DB[[#This Row],[Ops-FC-Picks-Collect]:[Ops-FC-Picks-HD]])</f>
        <v>96041.902171474474</v>
      </c>
      <c r="T216" s="44">
        <f t="shared" si="76"/>
        <v>19456.554441467528</v>
      </c>
      <c r="U216" s="44">
        <f t="shared" si="77"/>
        <v>76585.34773000695</v>
      </c>
      <c r="V216" s="44">
        <f t="shared" si="78"/>
        <v>37198.59746886052</v>
      </c>
      <c r="W216" s="404">
        <f t="shared" si="79"/>
        <v>39386.75026114643</v>
      </c>
      <c r="X216" s="44">
        <f>SUM(DB[[#This Row],[Capped-Orders-Collect]:[Capped-Orders-HD]])</f>
        <v>90</v>
      </c>
      <c r="Y216">
        <f>INDEX('Operations Forecast'!$A$2:$BGY$47,3,MATCH(DB!D216,'Operations Forecast'!$A$2:$BGY$2))</f>
        <v>0</v>
      </c>
      <c r="Z216">
        <f t="shared" si="80"/>
        <v>90</v>
      </c>
      <c r="AA216">
        <f>INDEX('Operations Forecast'!$A$2:$BGY$47,10,MATCH(DB!D216,'Operations Forecast'!$A$2:$BGY$2))</f>
        <v>90</v>
      </c>
      <c r="AB216">
        <f>INDEX('Operations Forecast'!$A$2:$BGY$47,21,MATCH(DB!D216,'Operations Forecast'!$A$2:$BGY$2))</f>
        <v>0</v>
      </c>
      <c r="AC216" s="312">
        <f>SUM(DB[[#This Row],[Act-Orders-Collect]:[Act-Orders-HD]])</f>
        <v>2286</v>
      </c>
      <c r="AD216" s="858">
        <f>IFERROR(INDEX('Operations Forecast_new'!$7:$7,MATCH(DB[[#This Row],[Datum]],'Operations Forecast_new'!$2:$2,0)),0)</f>
        <v>522</v>
      </c>
      <c r="AE216" s="312">
        <f t="shared" si="81"/>
        <v>1764</v>
      </c>
      <c r="AF216" s="858">
        <f>IFERROR(INDEX('Operations Forecast_new'!$13:$13,MATCH(DB[[#This Row],[Datum]],'Operations Forecast_new'!$2:$2,0)),0)</f>
        <v>920</v>
      </c>
      <c r="AG216" s="858">
        <f>IFERROR(INDEX('Operations Forecast_new'!$19:$19,MATCH(DB[[#This Row],[Datum]],'Operations Forecast_new'!$2:$2,0)),0)</f>
        <v>844</v>
      </c>
      <c r="AH216" s="312">
        <f t="shared" si="71"/>
        <v>104152.554</v>
      </c>
      <c r="AI216" s="858">
        <f>IFERROR(INDEX('Operations Forecast_new'!$9:$9,MATCH(DB[[#This Row],[Datum]],'Operations Forecast_new'!$2:$2,0)),0)</f>
        <v>21549.726000000002</v>
      </c>
      <c r="AJ216" s="312">
        <f t="shared" si="82"/>
        <v>82602.827999999994</v>
      </c>
      <c r="AK216" s="858">
        <f>IFERROR(INDEX('Operations Forecast_new'!$15:$15,MATCH(DB[[#This Row],[Datum]],'Operations Forecast_new'!$2:$2,0)),0)</f>
        <v>43080.84</v>
      </c>
      <c r="AL216" s="858">
        <f>IFERROR(INDEX('Operations Forecast_new'!$21:$21,MATCH(DB[[#This Row],[Datum]],'Operations Forecast_new'!$2:$2,0)),0)</f>
        <v>39521.987999999998</v>
      </c>
      <c r="AM216" s="178">
        <f>IFERROR(INDEX('Operations Forecast_new'!$8:$8,MATCH(DB[[#This Row],[Datum]],'Operations Forecast_new'!$2:$2,0)),0)</f>
        <v>41.7</v>
      </c>
      <c r="AN216" s="859">
        <f>IFERROR(INDEX('Operations Forecast_new'!$20:$20,MATCH(DB[[#This Row],[Datum]],'Operations Forecast_new'!$2:$2,0)),0)</f>
        <v>47.3</v>
      </c>
      <c r="AO216" s="44">
        <f t="shared" si="83"/>
        <v>41.283000000000001</v>
      </c>
      <c r="AP216" s="404">
        <f t="shared" si="84"/>
        <v>46.826999999999998</v>
      </c>
      <c r="AQ216" s="44">
        <f t="shared" si="72"/>
        <v>114255.14407442123</v>
      </c>
      <c r="AR216" s="44" cm="1">
        <f t="array" ref="AR216">IFERROR(INDEX('ST Forecast'!$E$2:$RK$36,25,M216)+(INDEX('ST Forecast'!$E$2:$RK$36,29,M216)),"")</f>
        <v>52116.696000000004</v>
      </c>
      <c r="AS216" s="44" cm="1">
        <f t="array" ref="AS216">IFERROR(INDEX('ST Forecast'!$E$2:$RK$36,26,M216)+INDEX('ST Forecast'!$E$2:$RK$36,30,M216),"")</f>
        <v>50358.349416517791</v>
      </c>
      <c r="AT216" s="44" cm="1">
        <f t="array" ref="AT216">IFERROR(INDEX('ST Forecast'!$E$2:$RK$36,27,M216)+INDEX('ST Forecast'!$E$2:$RK$36,31,M216),"")</f>
        <v>4992.9480744212342</v>
      </c>
      <c r="AU216" s="44" cm="1">
        <f t="array" ref="AU216">IFERROR(INDEX('ST Forecast'!$E$2:$RK$36,28,M216),"")</f>
        <v>6787.1505834822074</v>
      </c>
      <c r="AV216" s="44" cm="1">
        <f t="array" ref="AV216">IFERROR(INDEX('ST Forecast'!$E$2:$RK$36,29,M216),"")</f>
        <v>0</v>
      </c>
      <c r="AW216" s="44">
        <f>DB[[#This Row],[Inbound FC]]-DB[[#This Row],[Inbound Act - Ultrafresh2]]</f>
        <v>114255.14407442123</v>
      </c>
      <c r="AX216" s="178" t="e">
        <f>#REF!</f>
        <v>#REF!</v>
      </c>
      <c r="AY216" s="178" t="e">
        <f>#REF!</f>
        <v>#REF!</v>
      </c>
      <c r="AZ216" s="178" t="e">
        <f>#REF!</f>
        <v>#REF!</v>
      </c>
      <c r="BA216" s="178">
        <f>MONTH(DB[[#This Row],[Datum]])</f>
        <v>8</v>
      </c>
    </row>
    <row r="217" spans="1:53" x14ac:dyDescent="0.3">
      <c r="A217" s="44">
        <f t="shared" si="73"/>
        <v>31</v>
      </c>
      <c r="B217" t="str">
        <f t="shared" si="74"/>
        <v>Wk 31</v>
      </c>
      <c r="C217" t="s">
        <v>115</v>
      </c>
      <c r="D217" s="313">
        <v>44776</v>
      </c>
      <c r="E217" s="44">
        <f>DB[[#This Row],[Sales-FC-Orders-Collect]]+DB[[#This Row],[Sales-FC-Orders-HD]]</f>
        <v>2200</v>
      </c>
      <c r="F217" s="402">
        <f>INDEX('LT Collect Forecast'!$K$1:$Q$55,MATCH(B217,'LT Collect Forecast'!$A:$A,0),MATCH(C217,'LT Collect Forecast'!$K$2:$Q$2,0))</f>
        <v>450</v>
      </c>
      <c r="G217" s="44">
        <f>INDEX('LT HD Forecast'!$K$1:$Q$55,MATCH(B217,'LT HD Forecast'!$A:$A,0),MATCH(C217,'LT HD Forecast'!$K$2:$Q$2,0))</f>
        <v>1750</v>
      </c>
      <c r="H217" s="44" cm="1">
        <f t="array" ref="H217">IFERROR(INDEX('ST Forecast'!$E$2:$RK$36,6,M217),"")</f>
        <v>42.825251974106237</v>
      </c>
      <c r="I217" s="44" cm="1">
        <f t="array" ref="I217">IFERROR(INDEX('ST Forecast'!$E$2:$RK$36,7,M217),"")</f>
        <v>46.051996014317574</v>
      </c>
      <c r="J217" s="44">
        <f>SUM(DB[[#This Row],[Sales-FC-Picks-Collect]:[Sales-FC-Picks-HD]])</f>
        <v>99862.356413403555</v>
      </c>
      <c r="K217" s="44">
        <f t="shared" si="69"/>
        <v>19271.363388347807</v>
      </c>
      <c r="L217" s="44">
        <f t="shared" si="70"/>
        <v>80590.993025055752</v>
      </c>
      <c r="M217" s="403">
        <f>IFERROR(IF(B217=B216,M216+1,MATCH(B217,'ST Forecast'!$E$2:$RK$2,0)+1),"")</f>
        <v>244</v>
      </c>
      <c r="N217">
        <f>SUM(DB[[#This Row],[Ops-FC-Orders-Collect]:[Ops-FC-Orders-HD]])</f>
        <v>2200</v>
      </c>
      <c r="O217" s="44" cm="1">
        <f t="array" ref="O217">IFERROR(INDEX('ST Forecast'!$E$2:$RK$36,13,M217),"")</f>
        <v>450</v>
      </c>
      <c r="P217" s="44">
        <f t="shared" si="75"/>
        <v>1750</v>
      </c>
      <c r="Q217" s="44" cm="1">
        <f t="array" ref="Q217">IFERROR(INDEX('ST Forecast'!$E$2:$RK$36,14,M217),"")</f>
        <v>850</v>
      </c>
      <c r="R217" s="44" cm="1">
        <f t="array" ref="R217">IFERROR(INDEX('ST Forecast'!$E$2:$RK$36,15,M217),"")</f>
        <v>900</v>
      </c>
      <c r="S217" s="312">
        <f>SUM(DB[[#This Row],[Ops-FC-Picks-Collect]:[Ops-FC-Picks-HD]])</f>
        <v>97865.109285135492</v>
      </c>
      <c r="T217" s="44">
        <f t="shared" si="76"/>
        <v>18885.936120580849</v>
      </c>
      <c r="U217" s="44">
        <f t="shared" si="77"/>
        <v>78979.173164554639</v>
      </c>
      <c r="V217" s="44">
        <f t="shared" si="78"/>
        <v>38361.312679926537</v>
      </c>
      <c r="W217" s="404">
        <f t="shared" si="79"/>
        <v>40617.860484628094</v>
      </c>
      <c r="X217" s="44">
        <f>SUM(DB[[#This Row],[Capped-Orders-Collect]:[Capped-Orders-HD]])</f>
        <v>90</v>
      </c>
      <c r="Y217">
        <f>INDEX('Operations Forecast'!$A$2:$BGY$47,3,MATCH(DB!D217,'Operations Forecast'!$A$2:$BGY$2))</f>
        <v>0</v>
      </c>
      <c r="Z217">
        <f t="shared" si="80"/>
        <v>90</v>
      </c>
      <c r="AA217">
        <f>INDEX('Operations Forecast'!$A$2:$BGY$47,10,MATCH(DB!D217,'Operations Forecast'!$A$2:$BGY$2))</f>
        <v>90</v>
      </c>
      <c r="AB217">
        <f>INDEX('Operations Forecast'!$A$2:$BGY$47,21,MATCH(DB!D217,'Operations Forecast'!$A$2:$BGY$2))</f>
        <v>0</v>
      </c>
      <c r="AC217" s="312">
        <f>SUM(DB[[#This Row],[Act-Orders-Collect]:[Act-Orders-HD]])</f>
        <v>2286</v>
      </c>
      <c r="AD217" s="858">
        <f>IFERROR(INDEX('Operations Forecast_new'!$7:$7,MATCH(DB[[#This Row],[Datum]],'Operations Forecast_new'!$2:$2,0)),0)</f>
        <v>518</v>
      </c>
      <c r="AE217" s="312">
        <f t="shared" si="81"/>
        <v>1768</v>
      </c>
      <c r="AF217" s="858">
        <f>IFERROR(INDEX('Operations Forecast_new'!$13:$13,MATCH(DB[[#This Row],[Datum]],'Operations Forecast_new'!$2:$2,0)),0)</f>
        <v>973</v>
      </c>
      <c r="AG217" s="858">
        <f>IFERROR(INDEX('Operations Forecast_new'!$19:$19,MATCH(DB[[#This Row],[Datum]],'Operations Forecast_new'!$2:$2,0)),0)</f>
        <v>795</v>
      </c>
      <c r="AH217" s="312">
        <f t="shared" si="71"/>
        <v>102602.808</v>
      </c>
      <c r="AI217" s="858">
        <f>IFERROR(INDEX('Operations Forecast_new'!$9:$9,MATCH(DB[[#This Row],[Datum]],'Operations Forecast_new'!$2:$2,0)),0)</f>
        <v>20512.8</v>
      </c>
      <c r="AJ217" s="312">
        <f t="shared" si="82"/>
        <v>82090.008000000002</v>
      </c>
      <c r="AK217" s="858">
        <f>IFERROR(INDEX('Operations Forecast_new'!$15:$15,MATCH(DB[[#This Row],[Datum]],'Operations Forecast_new'!$2:$2,0)),0)</f>
        <v>45177.362999999998</v>
      </c>
      <c r="AL217" s="858">
        <f>IFERROR(INDEX('Operations Forecast_new'!$21:$21,MATCH(DB[[#This Row],[Datum]],'Operations Forecast_new'!$2:$2,0)),0)</f>
        <v>36912.644999999997</v>
      </c>
      <c r="AM217" s="178">
        <f>IFERROR(INDEX('Operations Forecast_new'!$8:$8,MATCH(DB[[#This Row],[Datum]],'Operations Forecast_new'!$2:$2,0)),0)</f>
        <v>40</v>
      </c>
      <c r="AN217" s="859">
        <f>IFERROR(INDEX('Operations Forecast_new'!$20:$20,MATCH(DB[[#This Row],[Datum]],'Operations Forecast_new'!$2:$2,0)),0)</f>
        <v>46.9</v>
      </c>
      <c r="AO217" s="44">
        <f t="shared" si="83"/>
        <v>39.6</v>
      </c>
      <c r="AP217" s="404">
        <f t="shared" si="84"/>
        <v>46.430999999999997</v>
      </c>
      <c r="AQ217" s="44">
        <f t="shared" si="72"/>
        <v>103054.47705221524</v>
      </c>
      <c r="AR217" s="44" cm="1">
        <f t="array" ref="AR217">IFERROR(INDEX('ST Forecast'!$E$2:$RK$36,25,M217)+(INDEX('ST Forecast'!$E$2:$RK$36,29,M217)),"")</f>
        <v>47162.879999999997</v>
      </c>
      <c r="AS217" s="44" cm="1">
        <f t="array" ref="AS217">IFERROR(INDEX('ST Forecast'!$E$2:$RK$36,26,M217)+INDEX('ST Forecast'!$E$2:$RK$36,30,M217),"")</f>
        <v>40796.537237693381</v>
      </c>
      <c r="AT217" s="44" cm="1">
        <f t="array" ref="AT217">IFERROR(INDEX('ST Forecast'!$E$2:$RK$36,27,M217)+INDEX('ST Forecast'!$E$2:$RK$36,31,M217),"")</f>
        <v>8728.7170522152464</v>
      </c>
      <c r="AU217" s="44" cm="1">
        <f t="array" ref="AU217">IFERROR(INDEX('ST Forecast'!$E$2:$RK$36,28,M217),"")</f>
        <v>6366.3427623066154</v>
      </c>
      <c r="AV217" s="44" cm="1">
        <f t="array" ref="AV217">IFERROR(INDEX('ST Forecast'!$E$2:$RK$36,29,M217),"")</f>
        <v>0</v>
      </c>
      <c r="AW217" s="44">
        <f>DB[[#This Row],[Inbound FC]]-DB[[#This Row],[Inbound Act - Ultrafresh2]]</f>
        <v>103054.47705221524</v>
      </c>
      <c r="AX217" s="178" t="e">
        <f>#REF!</f>
        <v>#REF!</v>
      </c>
      <c r="AY217" s="178" t="e">
        <f>#REF!</f>
        <v>#REF!</v>
      </c>
      <c r="AZ217" s="178" t="e">
        <f>#REF!</f>
        <v>#REF!</v>
      </c>
      <c r="BA217" s="178">
        <f>MONTH(DB[[#This Row],[Datum]])</f>
        <v>8</v>
      </c>
    </row>
    <row r="218" spans="1:53" x14ac:dyDescent="0.3">
      <c r="A218" s="44">
        <f t="shared" si="73"/>
        <v>31</v>
      </c>
      <c r="B218" t="str">
        <f t="shared" si="74"/>
        <v>Wk 31</v>
      </c>
      <c r="C218" t="s">
        <v>116</v>
      </c>
      <c r="D218" s="313">
        <v>44777</v>
      </c>
      <c r="E218" s="44">
        <f>DB[[#This Row],[Sales-FC-Orders-Collect]]+DB[[#This Row],[Sales-FC-Orders-HD]]</f>
        <v>2000</v>
      </c>
      <c r="F218" s="402" cm="1">
        <f t="array" ref="F218">INDEX('LT Collect Forecast'!$K$1:$Q$55,MATCH(B218,'LT Collect Forecast'!$A:$A,0)+1,MATCH(C218,'LT Collect Forecast'!$K$2:$Q$2,0))</f>
        <v>500</v>
      </c>
      <c r="G218" s="44" cm="1">
        <f t="array" ref="G218">INDEX('LT HD Forecast'!$K$1:$Q$55,MATCH(B218,'LT HD Forecast'!$A:$A,0)+1,MATCH(C218,'LT HD Forecast'!$K$2:$Q$2,0))</f>
        <v>1500</v>
      </c>
      <c r="H218" s="44" cm="1">
        <f t="array" ref="H218">IFERROR(INDEX('ST Forecast'!$E$2:$RK$36,6,M218),"")</f>
        <v>42.715953572678814</v>
      </c>
      <c r="I218" s="44" cm="1">
        <f t="array" ref="I218">IFERROR(INDEX('ST Forecast'!$E$2:$RK$36,7,M218),"")</f>
        <v>47.908522798289823</v>
      </c>
      <c r="J218" s="44">
        <f>SUM(DB[[#This Row],[Sales-FC-Picks-Collect]:[Sales-FC-Picks-HD]])</f>
        <v>93220.760983774147</v>
      </c>
      <c r="K218" s="44">
        <f t="shared" si="69"/>
        <v>21357.976786339408</v>
      </c>
      <c r="L218" s="44">
        <f t="shared" si="70"/>
        <v>71862.784197434739</v>
      </c>
      <c r="M218" s="403">
        <f>IFERROR(IF(B218=B217,M217+1,MATCH(B218,'ST Forecast'!$E$2:$RK$2,0)+1),"")</f>
        <v>245</v>
      </c>
      <c r="N218">
        <f>SUM(DB[[#This Row],[Ops-FC-Orders-Collect]:[Ops-FC-Orders-HD]])</f>
        <v>2050</v>
      </c>
      <c r="O218" s="44" cm="1">
        <f t="array" ref="O218">IFERROR(INDEX('ST Forecast'!$E$2:$RK$36,13,M218),"")</f>
        <v>500</v>
      </c>
      <c r="P218" s="44">
        <f t="shared" si="75"/>
        <v>1550</v>
      </c>
      <c r="Q218" s="44" cm="1">
        <f t="array" ref="Q218">IFERROR(INDEX('ST Forecast'!$E$2:$RK$36,14,M218),"")</f>
        <v>750</v>
      </c>
      <c r="R218" s="44" cm="1">
        <f t="array" ref="R218">IFERROR(INDEX('ST Forecast'!$E$2:$RK$36,15,M218),"")</f>
        <v>800</v>
      </c>
      <c r="S218" s="312">
        <f>SUM(DB[[#This Row],[Ops-FC-Picks-Collect]:[Ops-FC-Picks-HD]])</f>
        <v>93703.863381214876</v>
      </c>
      <c r="T218" s="44">
        <f t="shared" si="76"/>
        <v>20930.817250612621</v>
      </c>
      <c r="U218" s="44">
        <f t="shared" si="77"/>
        <v>72773.046130602248</v>
      </c>
      <c r="V218" s="44">
        <f t="shared" si="78"/>
        <v>35212.764256743023</v>
      </c>
      <c r="W218" s="404">
        <f t="shared" si="79"/>
        <v>37560.281873859218</v>
      </c>
      <c r="X218" s="44">
        <f>SUM(DB[[#This Row],[Capped-Orders-Collect]:[Capped-Orders-HD]])</f>
        <v>90</v>
      </c>
      <c r="Y218">
        <f>INDEX('Operations Forecast'!$A$2:$BGY$47,3,MATCH(DB!D218,'Operations Forecast'!$A$2:$BGY$2))</f>
        <v>0</v>
      </c>
      <c r="Z218">
        <f t="shared" si="80"/>
        <v>90</v>
      </c>
      <c r="AA218">
        <f>INDEX('Operations Forecast'!$A$2:$BGY$47,10,MATCH(DB!D218,'Operations Forecast'!$A$2:$BGY$2))</f>
        <v>90</v>
      </c>
      <c r="AB218">
        <f>INDEX('Operations Forecast'!$A$2:$BGY$47,21,MATCH(DB!D218,'Operations Forecast'!$A$2:$BGY$2))</f>
        <v>0</v>
      </c>
      <c r="AC218" s="312">
        <f>SUM(DB[[#This Row],[Act-Orders-Collect]:[Act-Orders-HD]])</f>
        <v>2255</v>
      </c>
      <c r="AD218" s="858">
        <f>IFERROR(INDEX('Operations Forecast_new'!$7:$7,MATCH(DB[[#This Row],[Datum]],'Operations Forecast_new'!$2:$2,0)),0)</f>
        <v>555</v>
      </c>
      <c r="AE218" s="312">
        <f t="shared" si="81"/>
        <v>1700</v>
      </c>
      <c r="AF218" s="858">
        <f>IFERROR(INDEX('Operations Forecast_new'!$13:$13,MATCH(DB[[#This Row],[Datum]],'Operations Forecast_new'!$2:$2,0)),0)</f>
        <v>827</v>
      </c>
      <c r="AG218" s="858">
        <f>IFERROR(INDEX('Operations Forecast_new'!$19:$19,MATCH(DB[[#This Row],[Datum]],'Operations Forecast_new'!$2:$2,0)),0)</f>
        <v>873</v>
      </c>
      <c r="AH218" s="312">
        <f t="shared" si="71"/>
        <v>98211</v>
      </c>
      <c r="AI218" s="858">
        <f>IFERROR(INDEX('Operations Forecast_new'!$9:$9,MATCH(DB[[#This Row],[Datum]],'Operations Forecast_new'!$2:$2,0)),0)</f>
        <v>21201</v>
      </c>
      <c r="AJ218" s="312">
        <f t="shared" si="82"/>
        <v>77010</v>
      </c>
      <c r="AK218" s="858">
        <f>IFERROR(INDEX('Operations Forecast_new'!$15:$15,MATCH(DB[[#This Row],[Datum]],'Operations Forecast_new'!$2:$2,0)),0)</f>
        <v>37463.1</v>
      </c>
      <c r="AL218" s="858">
        <f>IFERROR(INDEX('Operations Forecast_new'!$21:$21,MATCH(DB[[#This Row],[Datum]],'Operations Forecast_new'!$2:$2,0)),0)</f>
        <v>39546.899999999994</v>
      </c>
      <c r="AM218" s="178">
        <f>IFERROR(INDEX('Operations Forecast_new'!$8:$8,MATCH(DB[[#This Row],[Datum]],'Operations Forecast_new'!$2:$2,0)),0)</f>
        <v>38.200000000000003</v>
      </c>
      <c r="AN218" s="859">
        <f>IFERROR(INDEX('Operations Forecast_new'!$20:$20,MATCH(DB[[#This Row],[Datum]],'Operations Forecast_new'!$2:$2,0)),0)</f>
        <v>45.3</v>
      </c>
      <c r="AO218" s="44">
        <f t="shared" si="83"/>
        <v>38.200000000000003</v>
      </c>
      <c r="AP218" s="404">
        <f t="shared" si="84"/>
        <v>45.3</v>
      </c>
      <c r="AQ218" s="44">
        <f t="shared" si="72"/>
        <v>92148.803352641582</v>
      </c>
      <c r="AR218" s="44" cm="1">
        <f t="array" ref="AR218">IFERROR(INDEX('ST Forecast'!$E$2:$RK$36,25,M218)+(INDEX('ST Forecast'!$E$2:$RK$36,29,M218)),"")</f>
        <v>38647.11</v>
      </c>
      <c r="AS218" s="44" cm="1">
        <f t="array" ref="AS218">IFERROR(INDEX('ST Forecast'!$E$2:$RK$36,26,M218)+INDEX('ST Forecast'!$E$2:$RK$36,30,M218),"")</f>
        <v>40852.80140911998</v>
      </c>
      <c r="AT218" s="44" cm="1">
        <f t="array" ref="AT218">IFERROR(INDEX('ST Forecast'!$E$2:$RK$36,27,M218)+INDEX('ST Forecast'!$E$2:$RK$36,31,M218),"")</f>
        <v>6226.3913526415699</v>
      </c>
      <c r="AU218" s="44" cm="1">
        <f t="array" ref="AU218">IFERROR(INDEX('ST Forecast'!$E$2:$RK$36,28,M218),"")</f>
        <v>6422.5005908800258</v>
      </c>
      <c r="AV218" s="44" cm="1">
        <f t="array" ref="AV218">IFERROR(INDEX('ST Forecast'!$E$2:$RK$36,29,M218),"")</f>
        <v>0</v>
      </c>
      <c r="AW218" s="44">
        <f>DB[[#This Row],[Inbound FC]]-DB[[#This Row],[Inbound Act - Ultrafresh2]]</f>
        <v>92148.803352641582</v>
      </c>
      <c r="AX218" s="178" t="e">
        <f>#REF!</f>
        <v>#REF!</v>
      </c>
      <c r="AY218" s="178" t="e">
        <f>#REF!</f>
        <v>#REF!</v>
      </c>
      <c r="AZ218" s="178" t="e">
        <f>#REF!</f>
        <v>#REF!</v>
      </c>
      <c r="BA218" s="178">
        <f>MONTH(DB[[#This Row],[Datum]])</f>
        <v>8</v>
      </c>
    </row>
    <row r="219" spans="1:53" x14ac:dyDescent="0.3">
      <c r="A219" s="44">
        <f t="shared" si="73"/>
        <v>31</v>
      </c>
      <c r="B219" t="str">
        <f t="shared" si="74"/>
        <v>Wk 31</v>
      </c>
      <c r="C219" t="s">
        <v>117</v>
      </c>
      <c r="D219" s="313">
        <v>44778</v>
      </c>
      <c r="E219" s="44">
        <f>DB[[#This Row],[Sales-FC-Orders-Collect]]+DB[[#This Row],[Sales-FC-Orders-HD]]</f>
        <v>2350</v>
      </c>
      <c r="F219" s="402" cm="1">
        <f t="array" ref="F219">INDEX('LT Collect Forecast'!$K$1:$Q$55,MATCH(B219,'LT Collect Forecast'!$A:$A,0)+1,MATCH(C219,'LT Collect Forecast'!$K$2:$Q$2,0))</f>
        <v>800</v>
      </c>
      <c r="G219" s="44" cm="1">
        <f t="array" ref="G219">INDEX('LT HD Forecast'!$K$1:$Q$55,MATCH(B219,'LT HD Forecast'!$A:$A,0)+1,MATCH(C219,'LT HD Forecast'!$K$2:$Q$2,0))</f>
        <v>1550</v>
      </c>
      <c r="H219" s="44" cm="1">
        <f t="array" ref="H219">IFERROR(INDEX('ST Forecast'!$E$2:$RK$36,6,M219),"")</f>
        <v>47.019329304869167</v>
      </c>
      <c r="I219" s="44" cm="1">
        <f t="array" ref="I219">IFERROR(INDEX('ST Forecast'!$E$2:$RK$36,7,M219),"")</f>
        <v>49.855127694954071</v>
      </c>
      <c r="J219" s="44">
        <f>SUM(DB[[#This Row],[Sales-FC-Picks-Collect]:[Sales-FC-Picks-HD]])</f>
        <v>114890.91137107415</v>
      </c>
      <c r="K219" s="44">
        <f t="shared" si="69"/>
        <v>37615.463443895336</v>
      </c>
      <c r="L219" s="44">
        <f t="shared" si="70"/>
        <v>77275.447927178815</v>
      </c>
      <c r="M219" s="403">
        <f>IFERROR(IF(B219=B218,M218+1,MATCH(B219,'ST Forecast'!$E$2:$RK$2,0)+1),"")</f>
        <v>246</v>
      </c>
      <c r="N219">
        <f>SUM(DB[[#This Row],[Ops-FC-Orders-Collect]:[Ops-FC-Orders-HD]])</f>
        <v>2425</v>
      </c>
      <c r="O219" s="44" cm="1">
        <f t="array" ref="O219">IFERROR(INDEX('ST Forecast'!$E$2:$RK$36,13,M219),"")</f>
        <v>800</v>
      </c>
      <c r="P219" s="44">
        <f t="shared" si="75"/>
        <v>1625</v>
      </c>
      <c r="Q219" s="44" cm="1">
        <f t="array" ref="Q219">IFERROR(INDEX('ST Forecast'!$E$2:$RK$36,14,M219),"")</f>
        <v>775</v>
      </c>
      <c r="R219" s="44" cm="1">
        <f t="array" ref="R219">IFERROR(INDEX('ST Forecast'!$E$2:$RK$36,15,M219),"")</f>
        <v>850</v>
      </c>
      <c r="S219" s="312">
        <f>SUM(DB[[#This Row],[Ops-FC-Picks-Collect]:[Ops-FC-Picks-HD]])</f>
        <v>116257.44502923178</v>
      </c>
      <c r="T219" s="44">
        <f t="shared" si="76"/>
        <v>36863.154175017429</v>
      </c>
      <c r="U219" s="44">
        <f t="shared" si="77"/>
        <v>79394.290854214356</v>
      </c>
      <c r="V219" s="44">
        <f t="shared" si="78"/>
        <v>37864.969484317618</v>
      </c>
      <c r="W219" s="404">
        <f t="shared" si="79"/>
        <v>41529.321369896737</v>
      </c>
      <c r="X219" s="44">
        <f>SUM(DB[[#This Row],[Capped-Orders-Collect]:[Capped-Orders-HD]])</f>
        <v>90</v>
      </c>
      <c r="Y219">
        <f>INDEX('Operations Forecast'!$A$2:$BGY$47,3,MATCH(DB!D219,'Operations Forecast'!$A$2:$BGY$2))</f>
        <v>0</v>
      </c>
      <c r="Z219">
        <f t="shared" si="80"/>
        <v>90</v>
      </c>
      <c r="AA219">
        <f>INDEX('Operations Forecast'!$A$2:$BGY$47,10,MATCH(DB!D219,'Operations Forecast'!$A$2:$BGY$2))</f>
        <v>90</v>
      </c>
      <c r="AB219">
        <f>INDEX('Operations Forecast'!$A$2:$BGY$47,21,MATCH(DB!D219,'Operations Forecast'!$A$2:$BGY$2))</f>
        <v>0</v>
      </c>
      <c r="AC219" s="312">
        <f>SUM(DB[[#This Row],[Act-Orders-Collect]:[Act-Orders-HD]])</f>
        <v>2468</v>
      </c>
      <c r="AD219" s="858">
        <f>IFERROR(INDEX('Operations Forecast_new'!$7:$7,MATCH(DB[[#This Row],[Datum]],'Operations Forecast_new'!$2:$2,0)),0)</f>
        <v>807</v>
      </c>
      <c r="AE219" s="312">
        <f t="shared" si="81"/>
        <v>1661</v>
      </c>
      <c r="AF219" s="858">
        <f>IFERROR(INDEX('Operations Forecast_new'!$13:$13,MATCH(DB[[#This Row],[Datum]],'Operations Forecast_new'!$2:$2,0)),0)</f>
        <v>892</v>
      </c>
      <c r="AG219" s="858">
        <f>IFERROR(INDEX('Operations Forecast_new'!$19:$19,MATCH(DB[[#This Row],[Datum]],'Operations Forecast_new'!$2:$2,0)),0)</f>
        <v>769</v>
      </c>
      <c r="AH219" s="312">
        <f t="shared" si="71"/>
        <v>114230</v>
      </c>
      <c r="AI219" s="858">
        <f>IFERROR(INDEX('Operations Forecast_new'!$9:$9,MATCH(DB[[#This Row],[Datum]],'Operations Forecast_new'!$2:$2,0)),0)</f>
        <v>35830.799999999996</v>
      </c>
      <c r="AJ219" s="312">
        <f t="shared" si="82"/>
        <v>78399.200000000012</v>
      </c>
      <c r="AK219" s="858">
        <f>IFERROR(INDEX('Operations Forecast_new'!$15:$15,MATCH(DB[[#This Row],[Datum]],'Operations Forecast_new'!$2:$2,0)),0)</f>
        <v>42102.400000000001</v>
      </c>
      <c r="AL219" s="858">
        <f>IFERROR(INDEX('Operations Forecast_new'!$21:$21,MATCH(DB[[#This Row],[Datum]],'Operations Forecast_new'!$2:$2,0)),0)</f>
        <v>36296.800000000003</v>
      </c>
      <c r="AM219" s="178">
        <f>IFERROR(INDEX('Operations Forecast_new'!$8:$8,MATCH(DB[[#This Row],[Datum]],'Operations Forecast_new'!$2:$2,0)),0)</f>
        <v>44.4</v>
      </c>
      <c r="AN219" s="859">
        <f>IFERROR(INDEX('Operations Forecast_new'!$20:$20,MATCH(DB[[#This Row],[Datum]],'Operations Forecast_new'!$2:$2,0)),0)</f>
        <v>47.2</v>
      </c>
      <c r="AO219" s="44">
        <f t="shared" si="83"/>
        <v>44.399999999999991</v>
      </c>
      <c r="AP219" s="404">
        <f t="shared" si="84"/>
        <v>47.20000000000001</v>
      </c>
      <c r="AQ219" s="44">
        <f t="shared" si="72"/>
        <v>89435.946097443346</v>
      </c>
      <c r="AR219" s="44" cm="1">
        <f t="array" ref="AR219">IFERROR(INDEX('ST Forecast'!$E$2:$RK$36,25,M219)+(INDEX('ST Forecast'!$E$2:$RK$36,29,M219)),"")</f>
        <v>36305.332000000002</v>
      </c>
      <c r="AS219" s="44" cm="1">
        <f t="array" ref="AS219">IFERROR(INDEX('ST Forecast'!$E$2:$RK$36,26,M219)+INDEX('ST Forecast'!$E$2:$RK$36,30,M219),"")</f>
        <v>42878.041593399546</v>
      </c>
      <c r="AT219" s="44" cm="1">
        <f t="array" ref="AT219">IFERROR(INDEX('ST Forecast'!$E$2:$RK$36,27,M219)+INDEX('ST Forecast'!$E$2:$RK$36,31,M219),"")</f>
        <v>3948.5140974433298</v>
      </c>
      <c r="AU219" s="44" cm="1">
        <f t="array" ref="AU219">IFERROR(INDEX('ST Forecast'!$E$2:$RK$36,28,M219),"")</f>
        <v>6304.0584066004621</v>
      </c>
      <c r="AV219" s="44" cm="1">
        <f t="array" ref="AV219">IFERROR(INDEX('ST Forecast'!$E$2:$RK$36,29,M219),"")</f>
        <v>0</v>
      </c>
      <c r="AW219" s="44">
        <f>DB[[#This Row],[Inbound FC]]-DB[[#This Row],[Inbound Act - Ultrafresh2]]</f>
        <v>89435.946097443346</v>
      </c>
      <c r="AX219" s="178" t="e">
        <f>#REF!</f>
        <v>#REF!</v>
      </c>
      <c r="AY219" s="178" t="e">
        <f>#REF!</f>
        <v>#REF!</v>
      </c>
      <c r="AZ219" s="178" t="e">
        <f>#REF!</f>
        <v>#REF!</v>
      </c>
      <c r="BA219" s="178">
        <f>MONTH(DB[[#This Row],[Datum]])</f>
        <v>8</v>
      </c>
    </row>
    <row r="220" spans="1:53" x14ac:dyDescent="0.3">
      <c r="A220" s="44">
        <f t="shared" si="73"/>
        <v>31</v>
      </c>
      <c r="B220" t="str">
        <f t="shared" si="74"/>
        <v>Wk 31</v>
      </c>
      <c r="C220" t="s">
        <v>118</v>
      </c>
      <c r="D220" s="313">
        <v>44779</v>
      </c>
      <c r="E220" s="44">
        <f>DB[[#This Row],[Sales-FC-Orders-Collect]]+DB[[#This Row],[Sales-FC-Orders-HD]]</f>
        <v>2225</v>
      </c>
      <c r="F220" s="402" cm="1">
        <f t="array" ref="F220">INDEX('LT Collect Forecast'!$K$1:$Q$55,MATCH(B220,'LT Collect Forecast'!$A:$A,0)+1,MATCH(C220,'LT Collect Forecast'!$K$2:$Q$2,0))</f>
        <v>725</v>
      </c>
      <c r="G220" s="44" cm="1">
        <f t="array" ref="G220">INDEX('LT HD Forecast'!$K$1:$Q$55,MATCH(B220,'LT HD Forecast'!$A:$A,0)+1,MATCH(C220,'LT HD Forecast'!$K$2:$Q$2,0))</f>
        <v>1500</v>
      </c>
      <c r="H220" s="44" cm="1">
        <f t="array" ref="H220">IFERROR(INDEX('ST Forecast'!$E$2:$RK$36,6,M220),"")</f>
        <v>46.424968108265482</v>
      </c>
      <c r="I220" s="44" cm="1">
        <f t="array" ref="I220">IFERROR(INDEX('ST Forecast'!$E$2:$RK$36,7,M220),"")</f>
        <v>49.824391281399819</v>
      </c>
      <c r="J220" s="44">
        <f>SUM(DB[[#This Row],[Sales-FC-Picks-Collect]:[Sales-FC-Picks-HD]])</f>
        <v>108394.68880059221</v>
      </c>
      <c r="K220" s="44">
        <f t="shared" si="69"/>
        <v>33658.101878492474</v>
      </c>
      <c r="L220" s="44">
        <f t="shared" si="70"/>
        <v>74736.586922099727</v>
      </c>
      <c r="M220" s="403">
        <f>IFERROR(IF(B220=B219,M219+1,MATCH(B220,'ST Forecast'!$E$2:$RK$2,0)+1),"")</f>
        <v>247</v>
      </c>
      <c r="N220">
        <f>SUM(DB[[#This Row],[Ops-FC-Orders-Collect]:[Ops-FC-Orders-HD]])</f>
        <v>2225</v>
      </c>
      <c r="O220" s="44" cm="1">
        <f t="array" ref="O220">IFERROR(INDEX('ST Forecast'!$E$2:$RK$36,13,M220),"")</f>
        <v>725</v>
      </c>
      <c r="P220" s="44">
        <f t="shared" si="75"/>
        <v>1500</v>
      </c>
      <c r="Q220" s="44" cm="1">
        <f t="array" ref="Q220">IFERROR(INDEX('ST Forecast'!$E$2:$RK$36,14,M220),"")</f>
        <v>850</v>
      </c>
      <c r="R220" s="44" cm="1">
        <f t="array" ref="R220">IFERROR(INDEX('ST Forecast'!$E$2:$RK$36,15,M220),"")</f>
        <v>650</v>
      </c>
      <c r="S220" s="312">
        <f>SUM(DB[[#This Row],[Ops-FC-Picks-Collect]:[Ops-FC-Picks-HD]])</f>
        <v>106226.79502458035</v>
      </c>
      <c r="T220" s="44">
        <f t="shared" si="76"/>
        <v>32984.939840922627</v>
      </c>
      <c r="U220" s="44">
        <f t="shared" si="77"/>
        <v>73241.855183657724</v>
      </c>
      <c r="V220" s="44">
        <f t="shared" si="78"/>
        <v>41503.717937406043</v>
      </c>
      <c r="W220" s="404">
        <f t="shared" si="79"/>
        <v>31738.137246251685</v>
      </c>
      <c r="X220" s="44">
        <f>SUM(DB[[#This Row],[Capped-Orders-Collect]:[Capped-Orders-HD]])</f>
        <v>90</v>
      </c>
      <c r="Y220">
        <f>INDEX('Operations Forecast'!$A$2:$BGY$47,3,MATCH(DB!D220,'Operations Forecast'!$A$2:$BGY$2))</f>
        <v>0</v>
      </c>
      <c r="Z220">
        <f t="shared" si="80"/>
        <v>90</v>
      </c>
      <c r="AA220">
        <f>INDEX('Operations Forecast'!$A$2:$BGY$47,10,MATCH(DB!D220,'Operations Forecast'!$A$2:$BGY$2))</f>
        <v>90</v>
      </c>
      <c r="AB220">
        <f>INDEX('Operations Forecast'!$A$2:$BGY$47,21,MATCH(DB!D220,'Operations Forecast'!$A$2:$BGY$2))</f>
        <v>0</v>
      </c>
      <c r="AC220" s="312">
        <f>SUM(DB[[#This Row],[Act-Orders-Collect]:[Act-Orders-HD]])</f>
        <v>2158</v>
      </c>
      <c r="AD220" s="858">
        <f>IFERROR(INDEX('Operations Forecast_new'!$7:$7,MATCH(DB[[#This Row],[Datum]],'Operations Forecast_new'!$2:$2,0)),0)</f>
        <v>745</v>
      </c>
      <c r="AE220" s="312">
        <f t="shared" si="81"/>
        <v>1413</v>
      </c>
      <c r="AF220" s="858">
        <f>IFERROR(INDEX('Operations Forecast_new'!$13:$13,MATCH(DB[[#This Row],[Datum]],'Operations Forecast_new'!$2:$2,0)),0)</f>
        <v>817</v>
      </c>
      <c r="AG220" s="858">
        <f>IFERROR(INDEX('Operations Forecast_new'!$19:$19,MATCH(DB[[#This Row],[Datum]],'Operations Forecast_new'!$2:$2,0)),0)</f>
        <v>596</v>
      </c>
      <c r="AH220" s="312">
        <f t="shared" si="71"/>
        <v>101634.1</v>
      </c>
      <c r="AI220" s="858">
        <f>IFERROR(INDEX('Operations Forecast_new'!$9:$9,MATCH(DB[[#This Row],[Datum]],'Operations Forecast_new'!$2:$2,0)),0)</f>
        <v>34940.5</v>
      </c>
      <c r="AJ220" s="312">
        <f t="shared" si="82"/>
        <v>66693.600000000006</v>
      </c>
      <c r="AK220" s="858">
        <f>IFERROR(INDEX('Operations Forecast_new'!$15:$15,MATCH(DB[[#This Row],[Datum]],'Operations Forecast_new'!$2:$2,0)),0)</f>
        <v>38562.400000000001</v>
      </c>
      <c r="AL220" s="858">
        <f>IFERROR(INDEX('Operations Forecast_new'!$21:$21,MATCH(DB[[#This Row],[Datum]],'Operations Forecast_new'!$2:$2,0)),0)</f>
        <v>28131.200000000001</v>
      </c>
      <c r="AM220" s="178">
        <f>IFERROR(INDEX('Operations Forecast_new'!$8:$8,MATCH(DB[[#This Row],[Datum]],'Operations Forecast_new'!$2:$2,0)),0)</f>
        <v>46.9</v>
      </c>
      <c r="AN220" s="859">
        <f>IFERROR(INDEX('Operations Forecast_new'!$20:$20,MATCH(DB[[#This Row],[Datum]],'Operations Forecast_new'!$2:$2,0)),0)</f>
        <v>47.2</v>
      </c>
      <c r="AO220" s="44">
        <f t="shared" si="83"/>
        <v>46.9</v>
      </c>
      <c r="AP220" s="404">
        <f t="shared" si="84"/>
        <v>47.2</v>
      </c>
      <c r="AQ220" s="44">
        <f t="shared" si="72"/>
        <v>92527.000000000044</v>
      </c>
      <c r="AR220" s="44" cm="1">
        <f t="array" ref="AR220">IFERROR(INDEX('ST Forecast'!$E$2:$RK$36,25,M220)+(INDEX('ST Forecast'!$E$2:$RK$36,29,M220)),"")</f>
        <v>43547.47060238527</v>
      </c>
      <c r="AS220" s="44" cm="1">
        <f t="array" ref="AS220">IFERROR(INDEX('ST Forecast'!$E$2:$RK$36,26,M220)+INDEX('ST Forecast'!$E$2:$RK$36,30,M220),"")</f>
        <v>40509.412461283056</v>
      </c>
      <c r="AT220" s="44" cm="1">
        <f t="array" ref="AT220">IFERROR(INDEX('ST Forecast'!$E$2:$RK$36,27,M220)+INDEX('ST Forecast'!$E$2:$RK$36,31,M220),"")</f>
        <v>3579.5249818181087</v>
      </c>
      <c r="AU220" s="44" cm="1">
        <f t="array" ref="AU220">IFERROR(INDEX('ST Forecast'!$E$2:$RK$36,28,M220),"")</f>
        <v>4890.5919545136194</v>
      </c>
      <c r="AV220" s="44" cm="1">
        <f t="array" ref="AV220">IFERROR(INDEX('ST Forecast'!$E$2:$RK$36,29,M220),"")</f>
        <v>0</v>
      </c>
      <c r="AW220" s="44">
        <f>DB[[#This Row],[Inbound FC]]-DB[[#This Row],[Inbound Act - Ultrafresh2]]</f>
        <v>92527.000000000044</v>
      </c>
      <c r="AX220" s="178" t="e">
        <f>#REF!</f>
        <v>#REF!</v>
      </c>
      <c r="AY220" s="178" t="e">
        <f>#REF!</f>
        <v>#REF!</v>
      </c>
      <c r="AZ220" s="178" t="e">
        <f>#REF!</f>
        <v>#REF!</v>
      </c>
      <c r="BA220" s="178">
        <f>MONTH(DB[[#This Row],[Datum]])</f>
        <v>8</v>
      </c>
    </row>
    <row r="221" spans="1:53" x14ac:dyDescent="0.3">
      <c r="A221" s="44">
        <f t="shared" si="73"/>
        <v>31</v>
      </c>
      <c r="B221" t="str">
        <f t="shared" si="74"/>
        <v>Wk 31</v>
      </c>
      <c r="C221" t="s">
        <v>119</v>
      </c>
      <c r="D221" s="313">
        <v>44780</v>
      </c>
      <c r="E221" s="44">
        <f>DB[[#This Row],[Sales-FC-Orders-Collect]]+DB[[#This Row],[Sales-FC-Orders-HD]]</f>
        <v>0</v>
      </c>
      <c r="F221" s="402" cm="1">
        <f t="array" ref="F221">INDEX('LT Collect Forecast'!$K$1:$Q$55,MATCH(B221,'LT Collect Forecast'!$A:$A,0)+1,MATCH(C221,'LT Collect Forecast'!$K$2:$Q$2,0))</f>
        <v>0</v>
      </c>
      <c r="G221" s="44" cm="1">
        <f t="array" ref="G221">INDEX('LT HD Forecast'!$K$1:$Q$55,MATCH(B221,'LT HD Forecast'!$A:$A,0)+1,MATCH(C221,'LT HD Forecast'!$K$2:$Q$2,0))</f>
        <v>0</v>
      </c>
      <c r="H221" s="44" cm="1">
        <f t="array" ref="H221">IFERROR(INDEX('ST Forecast'!$E$2:$RK$36,6,M221),"")</f>
        <v>0</v>
      </c>
      <c r="I221" s="44" cm="1">
        <f t="array" ref="I221">IFERROR(INDEX('ST Forecast'!$E$2:$RK$36,7,M221),"")</f>
        <v>0</v>
      </c>
      <c r="J221" s="44">
        <f>SUM(DB[[#This Row],[Sales-FC-Picks-Collect]:[Sales-FC-Picks-HD]])</f>
        <v>0</v>
      </c>
      <c r="K221" s="44">
        <f t="shared" si="69"/>
        <v>0</v>
      </c>
      <c r="L221" s="44">
        <f t="shared" si="70"/>
        <v>0</v>
      </c>
      <c r="M221" s="403">
        <f>IFERROR(IF(B221=B220,M220+1,MATCH(B221,'ST Forecast'!$E$2:$RK$2,0)+1),"")</f>
        <v>248</v>
      </c>
      <c r="N221">
        <f>SUM(DB[[#This Row],[Ops-FC-Orders-Collect]:[Ops-FC-Orders-HD]])</f>
        <v>0</v>
      </c>
      <c r="O221" s="44" cm="1">
        <f t="array" ref="O221">IFERROR(INDEX('ST Forecast'!$E$2:$RK$36,13,M221),"")</f>
        <v>0</v>
      </c>
      <c r="P221" s="44">
        <f t="shared" si="75"/>
        <v>0</v>
      </c>
      <c r="Q221" s="44" cm="1">
        <f t="array" ref="Q221">IFERROR(INDEX('ST Forecast'!$E$2:$RK$36,14,M221),"")</f>
        <v>0</v>
      </c>
      <c r="R221" s="44" cm="1">
        <f t="array" ref="R221">IFERROR(INDEX('ST Forecast'!$E$2:$RK$36,15,M221),"")</f>
        <v>0</v>
      </c>
      <c r="S221" s="312">
        <f>SUM(DB[[#This Row],[Ops-FC-Picks-Collect]:[Ops-FC-Picks-HD]])</f>
        <v>0</v>
      </c>
      <c r="T221" s="44">
        <f t="shared" si="76"/>
        <v>0</v>
      </c>
      <c r="U221" s="44">
        <f t="shared" si="77"/>
        <v>0</v>
      </c>
      <c r="V221" s="44">
        <f t="shared" si="78"/>
        <v>0</v>
      </c>
      <c r="W221" s="404">
        <f t="shared" si="79"/>
        <v>0</v>
      </c>
      <c r="X221" s="44">
        <f>SUM(DB[[#This Row],[Capped-Orders-Collect]:[Capped-Orders-HD]])</f>
        <v>90</v>
      </c>
      <c r="Y221">
        <f>INDEX('Operations Forecast'!$A$2:$BGY$47,3,MATCH(DB!D221,'Operations Forecast'!$A$2:$BGY$2))</f>
        <v>0</v>
      </c>
      <c r="Z221">
        <f t="shared" si="80"/>
        <v>90</v>
      </c>
      <c r="AA221">
        <f>INDEX('Operations Forecast'!$A$2:$BGY$47,10,MATCH(DB!D221,'Operations Forecast'!$A$2:$BGY$2))</f>
        <v>90</v>
      </c>
      <c r="AB221">
        <f>INDEX('Operations Forecast'!$A$2:$BGY$47,21,MATCH(DB!D221,'Operations Forecast'!$A$2:$BGY$2))</f>
        <v>0</v>
      </c>
      <c r="AC221" s="312">
        <f>SUM(DB[[#This Row],[Act-Orders-Collect]:[Act-Orders-HD]])</f>
        <v>0</v>
      </c>
      <c r="AD221" s="858">
        <f>IFERROR(INDEX('Operations Forecast_new'!$7:$7,MATCH(DB[[#This Row],[Datum]],'Operations Forecast_new'!$2:$2,0)),0)</f>
        <v>0</v>
      </c>
      <c r="AE221" s="312">
        <f t="shared" si="81"/>
        <v>0</v>
      </c>
      <c r="AF221" s="858">
        <f>IFERROR(INDEX('Operations Forecast_new'!$13:$13,MATCH(DB[[#This Row],[Datum]],'Operations Forecast_new'!$2:$2,0)),0)</f>
        <v>0</v>
      </c>
      <c r="AG221" s="858">
        <f>IFERROR(INDEX('Operations Forecast_new'!$19:$19,MATCH(DB[[#This Row],[Datum]],'Operations Forecast_new'!$2:$2,0)),0)</f>
        <v>0</v>
      </c>
      <c r="AH221" s="312">
        <f t="shared" si="71"/>
        <v>0</v>
      </c>
      <c r="AI221" s="858">
        <f>IFERROR(INDEX('Operations Forecast_new'!$9:$9,MATCH(DB[[#This Row],[Datum]],'Operations Forecast_new'!$2:$2,0)),0)</f>
        <v>0</v>
      </c>
      <c r="AJ221" s="312">
        <f t="shared" si="82"/>
        <v>0</v>
      </c>
      <c r="AK221" s="858">
        <f>IFERROR(INDEX('Operations Forecast_new'!$15:$15,MATCH(DB[[#This Row],[Datum]],'Operations Forecast_new'!$2:$2,0)),0)</f>
        <v>0</v>
      </c>
      <c r="AL221" s="858">
        <f>IFERROR(INDEX('Operations Forecast_new'!$21:$21,MATCH(DB[[#This Row],[Datum]],'Operations Forecast_new'!$2:$2,0)),0)</f>
        <v>0</v>
      </c>
      <c r="AM221" s="178">
        <f>IFERROR(INDEX('Operations Forecast_new'!$8:$8,MATCH(DB[[#This Row],[Datum]],'Operations Forecast_new'!$2:$2,0)),0)</f>
        <v>0</v>
      </c>
      <c r="AN221" s="859">
        <f>IFERROR(INDEX('Operations Forecast_new'!$20:$20,MATCH(DB[[#This Row],[Datum]],'Operations Forecast_new'!$2:$2,0)),0)</f>
        <v>0</v>
      </c>
      <c r="AO221" s="44" t="str">
        <f t="shared" si="83"/>
        <v>-</v>
      </c>
      <c r="AP221" s="404" t="str">
        <f t="shared" si="84"/>
        <v>-</v>
      </c>
      <c r="AQ221" s="44">
        <f t="shared" si="72"/>
        <v>0</v>
      </c>
      <c r="AR221" s="44" cm="1">
        <f t="array" ref="AR221">IFERROR(INDEX('ST Forecast'!$E$2:$RK$36,25,M221)+(INDEX('ST Forecast'!$E$2:$RK$36,29,M221)),"")</f>
        <v>0</v>
      </c>
      <c r="AS221" s="44" cm="1">
        <f t="array" ref="AS221">IFERROR(INDEX('ST Forecast'!$E$2:$RK$36,26,M221)+INDEX('ST Forecast'!$E$2:$RK$36,30,M221),"")</f>
        <v>0</v>
      </c>
      <c r="AT221" s="44" cm="1">
        <f t="array" ref="AT221">IFERROR(INDEX('ST Forecast'!$E$2:$RK$36,27,M221)+INDEX('ST Forecast'!$E$2:$RK$36,31,M221),"")</f>
        <v>0</v>
      </c>
      <c r="AU221" s="44" cm="1">
        <f t="array" ref="AU221">IFERROR(INDEX('ST Forecast'!$E$2:$RK$36,28,M221),"")</f>
        <v>0</v>
      </c>
      <c r="AV221" s="44" cm="1">
        <f t="array" ref="AV221">IFERROR(INDEX('ST Forecast'!$E$2:$RK$36,29,M221),"")</f>
        <v>0</v>
      </c>
      <c r="AW221" s="44">
        <f>DB[[#This Row],[Inbound FC]]-DB[[#This Row],[Inbound Act - Ultrafresh2]]</f>
        <v>0</v>
      </c>
      <c r="AX221" s="178" t="e">
        <f>#REF!</f>
        <v>#REF!</v>
      </c>
      <c r="AY221" s="178" t="e">
        <f>#REF!</f>
        <v>#REF!</v>
      </c>
      <c r="AZ221" s="178" t="e">
        <f>#REF!</f>
        <v>#REF!</v>
      </c>
      <c r="BA221" s="178">
        <f>MONTH(DB[[#This Row],[Datum]])</f>
        <v>8</v>
      </c>
    </row>
    <row r="222" spans="1:53" x14ac:dyDescent="0.3">
      <c r="A222" s="44">
        <f t="shared" si="73"/>
        <v>32</v>
      </c>
      <c r="B222" t="str">
        <f t="shared" si="74"/>
        <v>Wk 32</v>
      </c>
      <c r="C222" t="s">
        <v>113</v>
      </c>
      <c r="D222" s="313">
        <v>44781</v>
      </c>
      <c r="E222" s="44">
        <f>DB[[#This Row],[Sales-FC-Orders-Collect]]+DB[[#This Row],[Sales-FC-Orders-HD]]</f>
        <v>1875</v>
      </c>
      <c r="F222" s="402">
        <f>INDEX('LT Collect Forecast'!$K$1:$Q$55,MATCH(B222,'LT Collect Forecast'!$A:$A,0),MATCH(C222,'LT Collect Forecast'!$K$2:$Q$2,0))</f>
        <v>525</v>
      </c>
      <c r="G222" s="44">
        <f>INDEX('LT HD Forecast'!$K$1:$Q$55,MATCH(B222,'LT HD Forecast'!$A:$A,0),MATCH(C222,'LT HD Forecast'!$K$2:$Q$2,0))</f>
        <v>1350</v>
      </c>
      <c r="H222" s="44" cm="1">
        <f t="array" ref="H222">IFERROR(INDEX('ST Forecast'!$E$2:$RK$36,6,M222),"")</f>
        <v>45.51536107094509</v>
      </c>
      <c r="I222" s="44" cm="1">
        <f t="array" ref="I222">IFERROR(INDEX('ST Forecast'!$E$2:$RK$36,7,M222),"")</f>
        <v>48.131395432170763</v>
      </c>
      <c r="J222" s="44">
        <f>SUM(DB[[#This Row],[Sales-FC-Picks-Collect]:[Sales-FC-Picks-HD]])</f>
        <v>88872.948395676707</v>
      </c>
      <c r="K222" s="44">
        <f t="shared" si="69"/>
        <v>23895.564562246171</v>
      </c>
      <c r="L222" s="44">
        <f t="shared" si="70"/>
        <v>64977.383833430533</v>
      </c>
      <c r="M222" s="403">
        <f>IFERROR(IF(B222=B221,M221+1,MATCH(B222,'ST Forecast'!$E$2:$RK$2,0)+1),"")</f>
        <v>250</v>
      </c>
      <c r="N222">
        <f>SUM(DB[[#This Row],[Ops-FC-Orders-Collect]:[Ops-FC-Orders-HD]])</f>
        <v>1975</v>
      </c>
      <c r="O222" s="44" cm="1">
        <f t="array" ref="O222">IFERROR(INDEX('ST Forecast'!$E$2:$RK$36,13,M222),"")</f>
        <v>525</v>
      </c>
      <c r="P222" s="44">
        <f t="shared" si="75"/>
        <v>1450</v>
      </c>
      <c r="Q222" s="44" cm="1">
        <f t="array" ref="Q222">IFERROR(INDEX('ST Forecast'!$E$2:$RK$36,14,M222),"")</f>
        <v>650</v>
      </c>
      <c r="R222" s="44" cm="1">
        <f t="array" ref="R222">IFERROR(INDEX('ST Forecast'!$E$2:$RK$36,15,M222),"")</f>
        <v>800</v>
      </c>
      <c r="S222" s="312">
        <f>SUM(DB[[#This Row],[Ops-FC-Picks-Collect]:[Ops-FC-Picks-HD]])</f>
        <v>91812.366180115903</v>
      </c>
      <c r="T222" s="44">
        <f t="shared" si="76"/>
        <v>23417.653271001247</v>
      </c>
      <c r="U222" s="44">
        <f t="shared" si="77"/>
        <v>68394.712909114663</v>
      </c>
      <c r="V222" s="44">
        <f t="shared" si="78"/>
        <v>30659.698890292777</v>
      </c>
      <c r="W222" s="404">
        <f t="shared" si="79"/>
        <v>37735.014018821879</v>
      </c>
      <c r="X222" s="44">
        <f>SUM(DB[[#This Row],[Capped-Orders-Collect]:[Capped-Orders-HD]])</f>
        <v>90</v>
      </c>
      <c r="Y222">
        <f>INDEX('Operations Forecast'!$A$2:$BGY$47,3,MATCH(DB!D222,'Operations Forecast'!$A$2:$BGY$2))</f>
        <v>0</v>
      </c>
      <c r="Z222">
        <f t="shared" si="80"/>
        <v>90</v>
      </c>
      <c r="AA222">
        <f>INDEX('Operations Forecast'!$A$2:$BGY$47,10,MATCH(DB!D222,'Operations Forecast'!$A$2:$BGY$2))</f>
        <v>90</v>
      </c>
      <c r="AB222">
        <f>INDEX('Operations Forecast'!$A$2:$BGY$47,21,MATCH(DB!D222,'Operations Forecast'!$A$2:$BGY$2))</f>
        <v>0</v>
      </c>
      <c r="AC222" s="312">
        <f>SUM(DB[[#This Row],[Act-Orders-Collect]:[Act-Orders-HD]])</f>
        <v>2074</v>
      </c>
      <c r="AD222" s="858">
        <f>IFERROR(INDEX('Operations Forecast_new'!$7:$7,MATCH(DB[[#This Row],[Datum]],'Operations Forecast_new'!$2:$2,0)),0)</f>
        <v>634</v>
      </c>
      <c r="AE222" s="312">
        <f t="shared" si="81"/>
        <v>1440</v>
      </c>
      <c r="AF222" s="858">
        <f>IFERROR(INDEX('Operations Forecast_new'!$13:$13,MATCH(DB[[#This Row],[Datum]],'Operations Forecast_new'!$2:$2,0)),0)</f>
        <v>602</v>
      </c>
      <c r="AG222" s="858">
        <f>IFERROR(INDEX('Operations Forecast_new'!$19:$19,MATCH(DB[[#This Row],[Datum]],'Operations Forecast_new'!$2:$2,0)),0)</f>
        <v>838</v>
      </c>
      <c r="AH222" s="312">
        <f t="shared" si="71"/>
        <v>94386.203999999998</v>
      </c>
      <c r="AI222" s="858">
        <f>IFERROR(INDEX('Operations Forecast_new'!$9:$9,MATCH(DB[[#This Row],[Datum]],'Operations Forecast_new'!$2:$2,0)),0)</f>
        <v>27240.444</v>
      </c>
      <c r="AJ222" s="312">
        <f t="shared" si="82"/>
        <v>67145.759999999995</v>
      </c>
      <c r="AK222" s="858">
        <f>IFERROR(INDEX('Operations Forecast_new'!$15:$15,MATCH(DB[[#This Row],[Datum]],'Operations Forecast_new'!$2:$2,0)),0)</f>
        <v>28070.657999999999</v>
      </c>
      <c r="AL222" s="858">
        <f>IFERROR(INDEX('Operations Forecast_new'!$21:$21,MATCH(DB[[#This Row],[Datum]],'Operations Forecast_new'!$2:$2,0)),0)</f>
        <v>39075.101999999999</v>
      </c>
      <c r="AM222" s="178">
        <f>IFERROR(INDEX('Operations Forecast_new'!$8:$8,MATCH(DB[[#This Row],[Datum]],'Operations Forecast_new'!$2:$2,0)),0)</f>
        <v>43.4</v>
      </c>
      <c r="AN222" s="859">
        <f>IFERROR(INDEX('Operations Forecast_new'!$20:$20,MATCH(DB[[#This Row],[Datum]],'Operations Forecast_new'!$2:$2,0)),0)</f>
        <v>47.1</v>
      </c>
      <c r="AO222" s="44">
        <f t="shared" si="83"/>
        <v>42.966000000000001</v>
      </c>
      <c r="AP222" s="404">
        <f t="shared" si="84"/>
        <v>46.628999999999998</v>
      </c>
      <c r="AQ222" s="44">
        <f t="shared" si="72"/>
        <v>178778</v>
      </c>
      <c r="AR222" s="44" cm="1">
        <f t="array" ref="AR222">IFERROR(INDEX('ST Forecast'!$E$2:$RK$36,25,M222)+(INDEX('ST Forecast'!$E$2:$RK$36,29,M222)),"")</f>
        <v>70842.720000000001</v>
      </c>
      <c r="AS222" s="44" cm="1">
        <f t="array" ref="AS222">IFERROR(INDEX('ST Forecast'!$E$2:$RK$36,26,M222)+INDEX('ST Forecast'!$E$2:$RK$36,30,M222),"")</f>
        <v>50400.696501301696</v>
      </c>
      <c r="AT222" s="44" cm="1">
        <f t="array" ref="AT222">IFERROR(INDEX('ST Forecast'!$E$2:$RK$36,27,M222)+INDEX('ST Forecast'!$E$2:$RK$36,31,M222),"")</f>
        <v>50716.160000000003</v>
      </c>
      <c r="AU222" s="44" cm="1">
        <f t="array" ref="AU222">IFERROR(INDEX('ST Forecast'!$E$2:$RK$36,28,M222),"")</f>
        <v>6818.423498698302</v>
      </c>
      <c r="AV222" s="44" cm="1">
        <f t="array" ref="AV222">IFERROR(INDEX('ST Forecast'!$E$2:$RK$36,29,M222),"")</f>
        <v>0</v>
      </c>
      <c r="AW222" s="44">
        <f>DB[[#This Row],[Inbound FC]]-DB[[#This Row],[Inbound Act - Ultrafresh2]]</f>
        <v>178778</v>
      </c>
      <c r="AX222" s="178" t="e">
        <f>#REF!</f>
        <v>#REF!</v>
      </c>
      <c r="AY222" s="178" t="e">
        <f>#REF!</f>
        <v>#REF!</v>
      </c>
      <c r="AZ222" s="178" t="e">
        <f>#REF!</f>
        <v>#REF!</v>
      </c>
      <c r="BA222" s="178">
        <f>MONTH(DB[[#This Row],[Datum]])</f>
        <v>8</v>
      </c>
    </row>
    <row r="223" spans="1:53" x14ac:dyDescent="0.3">
      <c r="A223" s="44">
        <f t="shared" si="73"/>
        <v>32</v>
      </c>
      <c r="B223" t="str">
        <f t="shared" si="74"/>
        <v>Wk 32</v>
      </c>
      <c r="C223" t="s">
        <v>114</v>
      </c>
      <c r="D223" s="313">
        <v>44782</v>
      </c>
      <c r="E223" s="44">
        <f>DB[[#This Row],[Sales-FC-Orders-Collect]]+DB[[#This Row],[Sales-FC-Orders-HD]]</f>
        <v>2025</v>
      </c>
      <c r="F223" s="402">
        <f>INDEX('LT Collect Forecast'!$K$1:$Q$55,MATCH(B223,'LT Collect Forecast'!$A:$A,0),MATCH(C223,'LT Collect Forecast'!$K$2:$Q$2,0))</f>
        <v>475</v>
      </c>
      <c r="G223" s="44">
        <f>INDEX('LT HD Forecast'!$K$1:$Q$55,MATCH(B223,'LT HD Forecast'!$A:$A,0),MATCH(C223,'LT HD Forecast'!$K$2:$Q$2,0))</f>
        <v>1550</v>
      </c>
      <c r="H223" s="44" cm="1">
        <f t="array" ref="H223">IFERROR(INDEX('ST Forecast'!$E$2:$RK$36,6,M223),"")</f>
        <v>42.487421138009921</v>
      </c>
      <c r="I223" s="44" cm="1">
        <f t="array" ref="I223">IFERROR(INDEX('ST Forecast'!$E$2:$RK$36,7,M223),"")</f>
        <v>45.860092047315547</v>
      </c>
      <c r="J223" s="44">
        <f>SUM(DB[[#This Row],[Sales-FC-Picks-Collect]:[Sales-FC-Picks-HD]])</f>
        <v>91264.66771389381</v>
      </c>
      <c r="K223" s="44">
        <f t="shared" si="69"/>
        <v>20181.525040554712</v>
      </c>
      <c r="L223" s="44">
        <f t="shared" si="70"/>
        <v>71083.142673339098</v>
      </c>
      <c r="M223" s="403">
        <f>IFERROR(IF(B223=B222,M222+1,MATCH(B223,'ST Forecast'!$E$2:$RK$2,0)+1),"")</f>
        <v>251</v>
      </c>
      <c r="N223">
        <f>SUM(DB[[#This Row],[Ops-FC-Orders-Collect]:[Ops-FC-Orders-HD]])</f>
        <v>2125</v>
      </c>
      <c r="O223" s="44" cm="1">
        <f t="array" ref="O223">IFERROR(INDEX('ST Forecast'!$E$2:$RK$36,13,M223),"")</f>
        <v>475</v>
      </c>
      <c r="P223" s="44">
        <f t="shared" si="75"/>
        <v>1650</v>
      </c>
      <c r="Q223" s="44" cm="1">
        <f t="array" ref="Q223">IFERROR(INDEX('ST Forecast'!$E$2:$RK$36,14,M223),"")</f>
        <v>800</v>
      </c>
      <c r="R223" s="44" cm="1">
        <f t="array" ref="R223">IFERROR(INDEX('ST Forecast'!$E$2:$RK$36,15,M223),"")</f>
        <v>850</v>
      </c>
      <c r="S223" s="312">
        <f>SUM(DB[[#This Row],[Ops-FC-Picks-Collect]:[Ops-FC-Picks-HD]])</f>
        <v>93933.663380252852</v>
      </c>
      <c r="T223" s="44">
        <f t="shared" si="76"/>
        <v>19777.894539743618</v>
      </c>
      <c r="U223" s="44">
        <f t="shared" si="77"/>
        <v>74155.768840509234</v>
      </c>
      <c r="V223" s="44">
        <f t="shared" si="78"/>
        <v>35954.312165095391</v>
      </c>
      <c r="W223" s="404">
        <f t="shared" si="79"/>
        <v>38201.45667541385</v>
      </c>
      <c r="X223" s="44">
        <f>SUM(DB[[#This Row],[Capped-Orders-Collect]:[Capped-Orders-HD]])</f>
        <v>90</v>
      </c>
      <c r="Y223">
        <f>INDEX('Operations Forecast'!$A$2:$BGY$47,3,MATCH(DB!D223,'Operations Forecast'!$A$2:$BGY$2))</f>
        <v>0</v>
      </c>
      <c r="Z223">
        <f t="shared" si="80"/>
        <v>90</v>
      </c>
      <c r="AA223">
        <f>INDEX('Operations Forecast'!$A$2:$BGY$47,10,MATCH(DB!D223,'Operations Forecast'!$A$2:$BGY$2))</f>
        <v>90</v>
      </c>
      <c r="AB223">
        <f>INDEX('Operations Forecast'!$A$2:$BGY$47,21,MATCH(DB!D223,'Operations Forecast'!$A$2:$BGY$2))</f>
        <v>0</v>
      </c>
      <c r="AC223" s="312">
        <f>SUM(DB[[#This Row],[Act-Orders-Collect]:[Act-Orders-HD]])</f>
        <v>2230</v>
      </c>
      <c r="AD223" s="858">
        <f>IFERROR(INDEX('Operations Forecast_new'!$7:$7,MATCH(DB[[#This Row],[Datum]],'Operations Forecast_new'!$2:$2,0)),0)</f>
        <v>500</v>
      </c>
      <c r="AE223" s="312">
        <f t="shared" si="81"/>
        <v>1730</v>
      </c>
      <c r="AF223" s="858">
        <f>IFERROR(INDEX('Operations Forecast_new'!$13:$13,MATCH(DB[[#This Row],[Datum]],'Operations Forecast_new'!$2:$2,0)),0)</f>
        <v>847</v>
      </c>
      <c r="AG223" s="858">
        <f>IFERROR(INDEX('Operations Forecast_new'!$19:$19,MATCH(DB[[#This Row],[Datum]],'Operations Forecast_new'!$2:$2,0)),0)</f>
        <v>883</v>
      </c>
      <c r="AH223" s="312">
        <f t="shared" si="71"/>
        <v>96704.19</v>
      </c>
      <c r="AI223" s="858">
        <f>IFERROR(INDEX('Operations Forecast_new'!$9:$9,MATCH(DB[[#This Row],[Datum]],'Operations Forecast_new'!$2:$2,0)),0)</f>
        <v>20146.5</v>
      </c>
      <c r="AJ223" s="312">
        <f t="shared" si="82"/>
        <v>76557.69</v>
      </c>
      <c r="AK223" s="858">
        <f>IFERROR(INDEX('Operations Forecast_new'!$15:$15,MATCH(DB[[#This Row],[Datum]],'Operations Forecast_new'!$2:$2,0)),0)</f>
        <v>37482.291000000005</v>
      </c>
      <c r="AL223" s="858">
        <f>IFERROR(INDEX('Operations Forecast_new'!$21:$21,MATCH(DB[[#This Row],[Datum]],'Operations Forecast_new'!$2:$2,0)),0)</f>
        <v>39075.399000000005</v>
      </c>
      <c r="AM223" s="178">
        <f>IFERROR(INDEX('Operations Forecast_new'!$8:$8,MATCH(DB[[#This Row],[Datum]],'Operations Forecast_new'!$2:$2,0)),0)</f>
        <v>40.700000000000003</v>
      </c>
      <c r="AN223" s="859">
        <f>IFERROR(INDEX('Operations Forecast_new'!$20:$20,MATCH(DB[[#This Row],[Datum]],'Operations Forecast_new'!$2:$2,0)),0)</f>
        <v>44.7</v>
      </c>
      <c r="AO223" s="44">
        <f t="shared" si="83"/>
        <v>40.292999999999999</v>
      </c>
      <c r="AP223" s="404">
        <f t="shared" si="84"/>
        <v>44.253</v>
      </c>
      <c r="AQ223" s="44">
        <f t="shared" si="72"/>
        <v>112389.72948497089</v>
      </c>
      <c r="AR223" s="44" cm="1">
        <f t="array" ref="AR223">IFERROR(INDEX('ST Forecast'!$E$2:$RK$36,25,M223)+(INDEX('ST Forecast'!$E$2:$RK$36,29,M223)),"")</f>
        <v>51265.8</v>
      </c>
      <c r="AS223" s="44" cm="1">
        <f t="array" ref="AS223">IFERROR(INDEX('ST Forecast'!$E$2:$RK$36,26,M223)+INDEX('ST Forecast'!$E$2:$RK$36,30,M223),"")</f>
        <v>49536.161492611078</v>
      </c>
      <c r="AT223" s="44" cm="1">
        <f t="array" ref="AT223">IFERROR(INDEX('ST Forecast'!$E$2:$RK$36,27,M223)+INDEX('ST Forecast'!$E$2:$RK$36,31,M223),"")</f>
        <v>4911.4294849708831</v>
      </c>
      <c r="AU223" s="44" cm="1">
        <f t="array" ref="AU223">IFERROR(INDEX('ST Forecast'!$E$2:$RK$36,28,M223),"")</f>
        <v>6676.3385073889203</v>
      </c>
      <c r="AV223" s="44" cm="1">
        <f t="array" ref="AV223">IFERROR(INDEX('ST Forecast'!$E$2:$RK$36,29,M223),"")</f>
        <v>0</v>
      </c>
      <c r="AW223" s="44">
        <f>DB[[#This Row],[Inbound FC]]-DB[[#This Row],[Inbound Act - Ultrafresh2]]</f>
        <v>112389.72948497089</v>
      </c>
      <c r="AX223" s="178" t="e">
        <f>#REF!</f>
        <v>#REF!</v>
      </c>
      <c r="AY223" s="178" t="e">
        <f>#REF!</f>
        <v>#REF!</v>
      </c>
      <c r="AZ223" s="178" t="e">
        <f>#REF!</f>
        <v>#REF!</v>
      </c>
      <c r="BA223" s="178">
        <f>MONTH(DB[[#This Row],[Datum]])</f>
        <v>8</v>
      </c>
    </row>
    <row r="224" spans="1:53" x14ac:dyDescent="0.3">
      <c r="A224" s="44">
        <f t="shared" si="73"/>
        <v>32</v>
      </c>
      <c r="B224" t="str">
        <f t="shared" si="74"/>
        <v>Wk 32</v>
      </c>
      <c r="C224" t="s">
        <v>115</v>
      </c>
      <c r="D224" s="313">
        <v>44783</v>
      </c>
      <c r="E224" s="44">
        <f>DB[[#This Row],[Sales-FC-Orders-Collect]]+DB[[#This Row],[Sales-FC-Orders-HD]]</f>
        <v>1975</v>
      </c>
      <c r="F224" s="402">
        <f>INDEX('LT Collect Forecast'!$K$1:$Q$55,MATCH(B224,'LT Collect Forecast'!$A:$A,0),MATCH(C224,'LT Collect Forecast'!$K$2:$Q$2,0))</f>
        <v>475</v>
      </c>
      <c r="G224" s="44">
        <f>INDEX('LT HD Forecast'!$K$1:$Q$55,MATCH(B224,'LT HD Forecast'!$A:$A,0),MATCH(C224,'LT HD Forecast'!$K$2:$Q$2,0))</f>
        <v>1500</v>
      </c>
      <c r="H224" s="44" cm="1">
        <f t="array" ref="H224">IFERROR(INDEX('ST Forecast'!$E$2:$RK$36,6,M224),"")</f>
        <v>42.108473337933788</v>
      </c>
      <c r="I224" s="44" cm="1">
        <f t="array" ref="I224">IFERROR(INDEX('ST Forecast'!$E$2:$RK$36,7,M224),"")</f>
        <v>46.787284104349915</v>
      </c>
      <c r="J224" s="44">
        <f>SUM(DB[[#This Row],[Sales-FC-Picks-Collect]:[Sales-FC-Picks-HD]])</f>
        <v>90182.450992043421</v>
      </c>
      <c r="K224" s="44">
        <f t="shared" si="69"/>
        <v>20001.52483551855</v>
      </c>
      <c r="L224" s="44">
        <f t="shared" si="70"/>
        <v>70180.926156524874</v>
      </c>
      <c r="M224" s="403">
        <f>IFERROR(IF(B224=B223,M223+1,MATCH(B224,'ST Forecast'!$E$2:$RK$2,0)+1),"")</f>
        <v>252</v>
      </c>
      <c r="N224">
        <f>SUM(DB[[#This Row],[Ops-FC-Orders-Collect]:[Ops-FC-Orders-HD]])</f>
        <v>2125</v>
      </c>
      <c r="O224" s="44" cm="1">
        <f t="array" ref="O224">IFERROR(INDEX('ST Forecast'!$E$2:$RK$36,13,M224),"")</f>
        <v>475</v>
      </c>
      <c r="P224" s="44">
        <f t="shared" si="75"/>
        <v>1650</v>
      </c>
      <c r="Q224" s="44" cm="1">
        <f t="array" ref="Q224">IFERROR(INDEX('ST Forecast'!$E$2:$RK$36,14,M224),"")</f>
        <v>800</v>
      </c>
      <c r="R224" s="44" cm="1">
        <f t="array" ref="R224">IFERROR(INDEX('ST Forecast'!$E$2:$RK$36,15,M224),"")</f>
        <v>850</v>
      </c>
      <c r="S224" s="312">
        <f>SUM(DB[[#This Row],[Ops-FC-Picks-Collect]:[Ops-FC-Picks-HD]])</f>
        <v>95256.532735541987</v>
      </c>
      <c r="T224" s="44">
        <f t="shared" si="76"/>
        <v>19601.494338808177</v>
      </c>
      <c r="U224" s="44">
        <f t="shared" si="77"/>
        <v>75655.038396733813</v>
      </c>
      <c r="V224" s="44">
        <f t="shared" si="78"/>
        <v>36681.230737810336</v>
      </c>
      <c r="W224" s="404">
        <f t="shared" si="79"/>
        <v>38973.807658923477</v>
      </c>
      <c r="X224" s="44">
        <f>SUM(DB[[#This Row],[Capped-Orders-Collect]:[Capped-Orders-HD]])</f>
        <v>90</v>
      </c>
      <c r="Y224">
        <f>INDEX('Operations Forecast'!$A$2:$BGY$47,3,MATCH(DB!D224,'Operations Forecast'!$A$2:$BGY$2))</f>
        <v>0</v>
      </c>
      <c r="Z224">
        <f t="shared" si="80"/>
        <v>90</v>
      </c>
      <c r="AA224">
        <f>INDEX('Operations Forecast'!$A$2:$BGY$47,10,MATCH(DB!D224,'Operations Forecast'!$A$2:$BGY$2))</f>
        <v>90</v>
      </c>
      <c r="AB224">
        <f>INDEX('Operations Forecast'!$A$2:$BGY$47,21,MATCH(DB!D224,'Operations Forecast'!$A$2:$BGY$2))</f>
        <v>0</v>
      </c>
      <c r="AC224" s="312">
        <f>SUM(DB[[#This Row],[Act-Orders-Collect]:[Act-Orders-HD]])</f>
        <v>2073</v>
      </c>
      <c r="AD224" s="858">
        <f>IFERROR(INDEX('Operations Forecast_new'!$7:$7,MATCH(DB[[#This Row],[Datum]],'Operations Forecast_new'!$2:$2,0)),0)</f>
        <v>482</v>
      </c>
      <c r="AE224" s="312">
        <f t="shared" si="81"/>
        <v>1591</v>
      </c>
      <c r="AF224" s="858">
        <f>IFERROR(INDEX('Operations Forecast_new'!$13:$13,MATCH(DB[[#This Row],[Datum]],'Operations Forecast_new'!$2:$2,0)),0)</f>
        <v>723</v>
      </c>
      <c r="AG224" s="858">
        <f>IFERROR(INDEX('Operations Forecast_new'!$19:$19,MATCH(DB[[#This Row],[Datum]],'Operations Forecast_new'!$2:$2,0)),0)</f>
        <v>868</v>
      </c>
      <c r="AH224" s="312">
        <f t="shared" si="71"/>
        <v>89274.141000000003</v>
      </c>
      <c r="AI224" s="858">
        <f>IFERROR(INDEX('Operations Forecast_new'!$9:$9,MATCH(DB[[#This Row],[Datum]],'Operations Forecast_new'!$2:$2,0)),0)</f>
        <v>19182.636000000002</v>
      </c>
      <c r="AJ224" s="312">
        <f t="shared" si="82"/>
        <v>70091.505000000005</v>
      </c>
      <c r="AK224" s="858">
        <f>IFERROR(INDEX('Operations Forecast_new'!$15:$15,MATCH(DB[[#This Row],[Datum]],'Operations Forecast_new'!$2:$2,0)),0)</f>
        <v>31851.764999999999</v>
      </c>
      <c r="AL224" s="858">
        <f>IFERROR(INDEX('Operations Forecast_new'!$21:$21,MATCH(DB[[#This Row],[Datum]],'Operations Forecast_new'!$2:$2,0)),0)</f>
        <v>38239.74</v>
      </c>
      <c r="AM224" s="178">
        <f>IFERROR(INDEX('Operations Forecast_new'!$8:$8,MATCH(DB[[#This Row],[Datum]],'Operations Forecast_new'!$2:$2,0)),0)</f>
        <v>40.200000000000003</v>
      </c>
      <c r="AN224" s="859">
        <f>IFERROR(INDEX('Operations Forecast_new'!$20:$20,MATCH(DB[[#This Row],[Datum]],'Operations Forecast_new'!$2:$2,0)),0)</f>
        <v>44.5</v>
      </c>
      <c r="AO224" s="44">
        <f t="shared" si="83"/>
        <v>39.798000000000002</v>
      </c>
      <c r="AP224" s="404">
        <f t="shared" si="84"/>
        <v>44.055</v>
      </c>
      <c r="AQ224" s="44">
        <f t="shared" si="72"/>
        <v>101429.33866685706</v>
      </c>
      <c r="AR224" s="44" cm="1">
        <f t="array" ref="AR224">IFERROR(INDEX('ST Forecast'!$E$2:$RK$36,25,M224)+(INDEX('ST Forecast'!$E$2:$RK$36,29,M224)),"")</f>
        <v>46392.959999999999</v>
      </c>
      <c r="AS224" s="44" cm="1">
        <f t="array" ref="AS224">IFERROR(INDEX('ST Forecast'!$E$2:$RK$36,26,M224)+INDEX('ST Forecast'!$E$2:$RK$36,30,M224),"")</f>
        <v>40130.545891320027</v>
      </c>
      <c r="AT224" s="44" cm="1">
        <f t="array" ref="AT224">IFERROR(INDEX('ST Forecast'!$E$2:$RK$36,27,M224)+INDEX('ST Forecast'!$E$2:$RK$36,31,M224),"")</f>
        <v>8643.4186668570674</v>
      </c>
      <c r="AU224" s="44" cm="1">
        <f t="array" ref="AU224">IFERROR(INDEX('ST Forecast'!$E$2:$RK$36,28,M224),"")</f>
        <v>6262.4141086799682</v>
      </c>
      <c r="AV224" s="44" cm="1">
        <f t="array" ref="AV224">IFERROR(INDEX('ST Forecast'!$E$2:$RK$36,29,M224),"")</f>
        <v>0</v>
      </c>
      <c r="AW224" s="44">
        <f>DB[[#This Row],[Inbound FC]]-DB[[#This Row],[Inbound Act - Ultrafresh2]]</f>
        <v>101429.33866685706</v>
      </c>
      <c r="AX224" s="178" t="e">
        <f>#REF!</f>
        <v>#REF!</v>
      </c>
      <c r="AY224" s="178" t="e">
        <f>#REF!</f>
        <v>#REF!</v>
      </c>
      <c r="AZ224" s="178" t="e">
        <f>#REF!</f>
        <v>#REF!</v>
      </c>
      <c r="BA224" s="178">
        <f>MONTH(DB[[#This Row],[Datum]])</f>
        <v>8</v>
      </c>
    </row>
    <row r="225" spans="1:53" x14ac:dyDescent="0.3">
      <c r="A225" s="44">
        <f t="shared" si="73"/>
        <v>32</v>
      </c>
      <c r="B225" t="str">
        <f t="shared" si="74"/>
        <v>Wk 32</v>
      </c>
      <c r="C225" t="s">
        <v>116</v>
      </c>
      <c r="D225" s="313">
        <v>44784</v>
      </c>
      <c r="E225" s="44">
        <f>DB[[#This Row],[Sales-FC-Orders-Collect]]+DB[[#This Row],[Sales-FC-Orders-HD]]</f>
        <v>2050</v>
      </c>
      <c r="F225" s="402" cm="1">
        <f t="array" ref="F225">INDEX('LT Collect Forecast'!$K$1:$Q$55,MATCH(B225,'LT Collect Forecast'!$A:$A,0)+1,MATCH(C225,'LT Collect Forecast'!$K$2:$Q$2,0))</f>
        <v>400</v>
      </c>
      <c r="G225" s="44" cm="1">
        <f t="array" ref="G225">INDEX('LT HD Forecast'!$K$1:$Q$55,MATCH(B225,'LT HD Forecast'!$A:$A,0)+1,MATCH(C225,'LT HD Forecast'!$K$2:$Q$2,0))</f>
        <v>1650</v>
      </c>
      <c r="H225" s="44" cm="1">
        <f t="array" ref="H225">IFERROR(INDEX('ST Forecast'!$E$2:$RK$36,6,M225),"")</f>
        <v>41.513077117834108</v>
      </c>
      <c r="I225" s="44" cm="1">
        <f t="array" ref="I225">IFERROR(INDEX('ST Forecast'!$E$2:$RK$36,7,M225),"")</f>
        <v>46.475118919026094</v>
      </c>
      <c r="J225" s="44">
        <f>SUM(DB[[#This Row],[Sales-FC-Picks-Collect]:[Sales-FC-Picks-HD]])</f>
        <v>93289.177063526702</v>
      </c>
      <c r="K225" s="44">
        <f t="shared" si="69"/>
        <v>16605.230847133644</v>
      </c>
      <c r="L225" s="44">
        <f t="shared" si="70"/>
        <v>76683.946216393058</v>
      </c>
      <c r="M225" s="403">
        <f>IFERROR(IF(B225=B224,M224+1,MATCH(B225,'ST Forecast'!$E$2:$RK$2,0)+1),"")</f>
        <v>253</v>
      </c>
      <c r="N225">
        <f>SUM(DB[[#This Row],[Ops-FC-Orders-Collect]:[Ops-FC-Orders-HD]])</f>
        <v>2100</v>
      </c>
      <c r="O225" s="44" cm="1">
        <f t="array" ref="O225">IFERROR(INDEX('ST Forecast'!$E$2:$RK$36,13,M225),"")</f>
        <v>450</v>
      </c>
      <c r="P225" s="44">
        <f t="shared" si="75"/>
        <v>1650</v>
      </c>
      <c r="Q225" s="44" cm="1">
        <f t="array" ref="Q225">IFERROR(INDEX('ST Forecast'!$E$2:$RK$36,14,M225),"")</f>
        <v>800</v>
      </c>
      <c r="R225" s="44" cm="1">
        <f t="array" ref="R225">IFERROR(INDEX('ST Forecast'!$E$2:$RK$36,15,M225),"")</f>
        <v>850</v>
      </c>
      <c r="S225" s="312">
        <f>SUM(DB[[#This Row],[Ops-FC-Picks-Collect]:[Ops-FC-Picks-HD]])</f>
        <v>93457.534301030042</v>
      </c>
      <c r="T225" s="44">
        <f t="shared" si="76"/>
        <v>18307.267008964842</v>
      </c>
      <c r="U225" s="44">
        <f t="shared" si="77"/>
        <v>75150.267292065197</v>
      </c>
      <c r="V225" s="44">
        <f t="shared" si="78"/>
        <v>36436.493232516455</v>
      </c>
      <c r="W225" s="404">
        <f t="shared" si="79"/>
        <v>38713.774059548734</v>
      </c>
      <c r="X225" s="44">
        <f>SUM(DB[[#This Row],[Capped-Orders-Collect]:[Capped-Orders-HD]])</f>
        <v>90</v>
      </c>
      <c r="Y225">
        <f>INDEX('Operations Forecast'!$A$2:$BGY$47,3,MATCH(DB!D225,'Operations Forecast'!$A$2:$BGY$2))</f>
        <v>0</v>
      </c>
      <c r="Z225">
        <f t="shared" si="80"/>
        <v>90</v>
      </c>
      <c r="AA225">
        <f>INDEX('Operations Forecast'!$A$2:$BGY$47,10,MATCH(DB!D225,'Operations Forecast'!$A$2:$BGY$2))</f>
        <v>90</v>
      </c>
      <c r="AB225">
        <f>INDEX('Operations Forecast'!$A$2:$BGY$47,21,MATCH(DB!D225,'Operations Forecast'!$A$2:$BGY$2))</f>
        <v>0</v>
      </c>
      <c r="AC225" s="312">
        <f>SUM(DB[[#This Row],[Act-Orders-Collect]:[Act-Orders-HD]])</f>
        <v>2114</v>
      </c>
      <c r="AD225" s="858">
        <f>IFERROR(INDEX('Operations Forecast_new'!$7:$7,MATCH(DB[[#This Row],[Datum]],'Operations Forecast_new'!$2:$2,0)),0)</f>
        <v>508</v>
      </c>
      <c r="AE225" s="312">
        <f t="shared" si="81"/>
        <v>1606</v>
      </c>
      <c r="AF225" s="858">
        <f>IFERROR(INDEX('Operations Forecast_new'!$13:$13,MATCH(DB[[#This Row],[Datum]],'Operations Forecast_new'!$2:$2,0)),0)</f>
        <v>760</v>
      </c>
      <c r="AG225" s="858">
        <f>IFERROR(INDEX('Operations Forecast_new'!$19:$19,MATCH(DB[[#This Row],[Datum]],'Operations Forecast_new'!$2:$2,0)),0)</f>
        <v>846</v>
      </c>
      <c r="AH225" s="312">
        <f t="shared" si="71"/>
        <v>90567.377999999997</v>
      </c>
      <c r="AI225" s="858">
        <f>IFERROR(INDEX('Operations Forecast_new'!$9:$9,MATCH(DB[[#This Row],[Datum]],'Operations Forecast_new'!$2:$2,0)),0)</f>
        <v>19815.047999999999</v>
      </c>
      <c r="AJ225" s="312">
        <f t="shared" si="82"/>
        <v>70752.33</v>
      </c>
      <c r="AK225" s="858">
        <f>IFERROR(INDEX('Operations Forecast_new'!$15:$15,MATCH(DB[[#This Row],[Datum]],'Operations Forecast_new'!$2:$2,0)),0)</f>
        <v>33481.800000000003</v>
      </c>
      <c r="AL225" s="858">
        <f>IFERROR(INDEX('Operations Forecast_new'!$21:$21,MATCH(DB[[#This Row],[Datum]],'Operations Forecast_new'!$2:$2,0)),0)</f>
        <v>37270.53</v>
      </c>
      <c r="AM225" s="178">
        <f>IFERROR(INDEX('Operations Forecast_new'!$8:$8,MATCH(DB[[#This Row],[Datum]],'Operations Forecast_new'!$2:$2,0)),0)</f>
        <v>39.4</v>
      </c>
      <c r="AN225" s="859">
        <f>IFERROR(INDEX('Operations Forecast_new'!$20:$20,MATCH(DB[[#This Row],[Datum]],'Operations Forecast_new'!$2:$2,0)),0)</f>
        <v>44.5</v>
      </c>
      <c r="AO225" s="44">
        <f t="shared" si="83"/>
        <v>39.006</v>
      </c>
      <c r="AP225" s="404">
        <f t="shared" si="84"/>
        <v>44.055</v>
      </c>
      <c r="AQ225" s="44">
        <f t="shared" si="72"/>
        <v>93864.263586980451</v>
      </c>
      <c r="AR225" s="44" cm="1">
        <f t="array" ref="AR225">IFERROR(INDEX('ST Forecast'!$E$2:$RK$36,25,M225)+(INDEX('ST Forecast'!$E$2:$RK$36,29,M225)),"")</f>
        <v>38016.300000000003</v>
      </c>
      <c r="AS225" s="44" cm="1">
        <f t="array" ref="AS225">IFERROR(INDEX('ST Forecast'!$E$2:$RK$36,26,M225)+INDEX('ST Forecast'!$E$2:$RK$36,30,M225),"")</f>
        <v>40185.989436455347</v>
      </c>
      <c r="AT225" s="44" cm="1">
        <f t="array" ref="AT225">IFERROR(INDEX('ST Forecast'!$E$2:$RK$36,27,M225)+INDEX('ST Forecast'!$E$2:$RK$36,31,M225),"")</f>
        <v>9344.3035869804389</v>
      </c>
      <c r="AU225" s="44" cm="1">
        <f t="array" ref="AU225">IFERROR(INDEX('ST Forecast'!$E$2:$RK$36,28,M225),"")</f>
        <v>6317.6705635446569</v>
      </c>
      <c r="AV225" s="44" cm="1">
        <f t="array" ref="AV225">IFERROR(INDEX('ST Forecast'!$E$2:$RK$36,29,M225),"")</f>
        <v>0</v>
      </c>
      <c r="AW225" s="44">
        <f>DB[[#This Row],[Inbound FC]]-DB[[#This Row],[Inbound Act - Ultrafresh2]]</f>
        <v>93864.263586980451</v>
      </c>
      <c r="AX225" s="178" t="e">
        <f>#REF!</f>
        <v>#REF!</v>
      </c>
      <c r="AY225" s="178" t="e">
        <f>#REF!</f>
        <v>#REF!</v>
      </c>
      <c r="AZ225" s="178" t="e">
        <f>#REF!</f>
        <v>#REF!</v>
      </c>
      <c r="BA225" s="178">
        <f>MONTH(DB[[#This Row],[Datum]])</f>
        <v>8</v>
      </c>
    </row>
    <row r="226" spans="1:53" x14ac:dyDescent="0.3">
      <c r="A226" s="44">
        <f t="shared" si="73"/>
        <v>32</v>
      </c>
      <c r="B226" t="str">
        <f t="shared" si="74"/>
        <v>Wk 32</v>
      </c>
      <c r="C226" t="s">
        <v>117</v>
      </c>
      <c r="D226" s="313">
        <v>44785</v>
      </c>
      <c r="E226" s="44">
        <f>DB[[#This Row],[Sales-FC-Orders-Collect]]+DB[[#This Row],[Sales-FC-Orders-HD]]</f>
        <v>2450</v>
      </c>
      <c r="F226" s="402" cm="1">
        <f t="array" ref="F226">INDEX('LT Collect Forecast'!$K$1:$Q$55,MATCH(B226,'LT Collect Forecast'!$A:$A,0)+1,MATCH(C226,'LT Collect Forecast'!$K$2:$Q$2,0))</f>
        <v>750</v>
      </c>
      <c r="G226" s="44" cm="1">
        <f t="array" ref="G226">INDEX('LT HD Forecast'!$K$1:$Q$55,MATCH(B226,'LT HD Forecast'!$A:$A,0)+1,MATCH(C226,'LT HD Forecast'!$K$2:$Q$2,0))</f>
        <v>1700</v>
      </c>
      <c r="H226" s="44" cm="1">
        <f t="array" ref="H226">IFERROR(INDEX('ST Forecast'!$E$2:$RK$36,6,M226),"")</f>
        <v>46.080230377995704</v>
      </c>
      <c r="I226" s="44" cm="1">
        <f t="array" ref="I226">IFERROR(INDEX('ST Forecast'!$E$2:$RK$36,7,M226),"")</f>
        <v>48.134045353624309</v>
      </c>
      <c r="J226" s="44">
        <f>SUM(DB[[#This Row],[Sales-FC-Picks-Collect]:[Sales-FC-Picks-HD]])</f>
        <v>116388.0498846581</v>
      </c>
      <c r="K226" s="44">
        <f t="shared" si="69"/>
        <v>34560.172783496775</v>
      </c>
      <c r="L226" s="44">
        <f t="shared" si="70"/>
        <v>81827.877101161328</v>
      </c>
      <c r="M226" s="403">
        <f>IFERROR(IF(B226=B225,M225+1,MATCH(B226,'ST Forecast'!$E$2:$RK$2,0)+1),"")</f>
        <v>254</v>
      </c>
      <c r="N226">
        <f>SUM(DB[[#This Row],[Ops-FC-Orders-Collect]:[Ops-FC-Orders-HD]])</f>
        <v>2400</v>
      </c>
      <c r="O226" s="44" cm="1">
        <f t="array" ref="O226">IFERROR(INDEX('ST Forecast'!$E$2:$RK$36,13,M226),"")</f>
        <v>750</v>
      </c>
      <c r="P226" s="44">
        <f t="shared" si="75"/>
        <v>1650</v>
      </c>
      <c r="Q226" s="44" cm="1">
        <f t="array" ref="Q226">IFERROR(INDEX('ST Forecast'!$E$2:$RK$36,14,M226),"")</f>
        <v>775</v>
      </c>
      <c r="R226" s="44" cm="1">
        <f t="array" ref="R226">IFERROR(INDEX('ST Forecast'!$E$2:$RK$36,15,M226),"")</f>
        <v>875</v>
      </c>
      <c r="S226" s="312">
        <f>SUM(DB[[#This Row],[Ops-FC-Picks-Collect]:[Ops-FC-Picks-HD]])</f>
        <v>111701.72066463734</v>
      </c>
      <c r="T226" s="44">
        <f t="shared" si="76"/>
        <v>33868.969327826839</v>
      </c>
      <c r="U226" s="44">
        <f t="shared" si="77"/>
        <v>77832.751336810499</v>
      </c>
      <c r="V226" s="44">
        <f t="shared" si="78"/>
        <v>36557.807446077662</v>
      </c>
      <c r="W226" s="404">
        <f t="shared" si="79"/>
        <v>41274.943890732844</v>
      </c>
      <c r="X226" s="44">
        <f>SUM(DB[[#This Row],[Capped-Orders-Collect]:[Capped-Orders-HD]])</f>
        <v>90</v>
      </c>
      <c r="Y226">
        <f>INDEX('Operations Forecast'!$A$2:$BGY$47,3,MATCH(DB!D226,'Operations Forecast'!$A$2:$BGY$2))</f>
        <v>0</v>
      </c>
      <c r="Z226">
        <f t="shared" si="80"/>
        <v>90</v>
      </c>
      <c r="AA226">
        <f>INDEX('Operations Forecast'!$A$2:$BGY$47,10,MATCH(DB!D226,'Operations Forecast'!$A$2:$BGY$2))</f>
        <v>90</v>
      </c>
      <c r="AB226">
        <f>INDEX('Operations Forecast'!$A$2:$BGY$47,21,MATCH(DB!D226,'Operations Forecast'!$A$2:$BGY$2))</f>
        <v>0</v>
      </c>
      <c r="AC226" s="312">
        <f>SUM(DB[[#This Row],[Act-Orders-Collect]:[Act-Orders-HD]])</f>
        <v>2410</v>
      </c>
      <c r="AD226" s="858">
        <f>IFERROR(INDEX('Operations Forecast_new'!$7:$7,MATCH(DB[[#This Row],[Datum]],'Operations Forecast_new'!$2:$2,0)),0)</f>
        <v>713</v>
      </c>
      <c r="AE226" s="312">
        <f t="shared" si="81"/>
        <v>1697</v>
      </c>
      <c r="AF226" s="858">
        <f>IFERROR(INDEX('Operations Forecast_new'!$13:$13,MATCH(DB[[#This Row],[Datum]],'Operations Forecast_new'!$2:$2,0)),0)</f>
        <v>917</v>
      </c>
      <c r="AG226" s="858">
        <f>IFERROR(INDEX('Operations Forecast_new'!$19:$19,MATCH(DB[[#This Row],[Datum]],'Operations Forecast_new'!$2:$2,0)),0)</f>
        <v>780</v>
      </c>
      <c r="AH226" s="312">
        <f t="shared" si="71"/>
        <v>113700.114</v>
      </c>
      <c r="AI226" s="858">
        <f>IFERROR(INDEX('Operations Forecast_new'!$9:$9,MATCH(DB[[#This Row],[Datum]],'Operations Forecast_new'!$2:$2,0)),0)</f>
        <v>34234.695</v>
      </c>
      <c r="AJ226" s="312">
        <f t="shared" si="82"/>
        <v>79465.418999999994</v>
      </c>
      <c r="AK226" s="858">
        <f>IFERROR(INDEX('Operations Forecast_new'!$15:$15,MATCH(DB[[#This Row],[Datum]],'Operations Forecast_new'!$2:$2,0)),0)</f>
        <v>42940.358999999997</v>
      </c>
      <c r="AL226" s="858">
        <f>IFERROR(INDEX('Operations Forecast_new'!$21:$21,MATCH(DB[[#This Row],[Datum]],'Operations Forecast_new'!$2:$2,0)),0)</f>
        <v>36525.06</v>
      </c>
      <c r="AM226" s="178">
        <f>IFERROR(INDEX('Operations Forecast_new'!$8:$8,MATCH(DB[[#This Row],[Datum]],'Operations Forecast_new'!$2:$2,0)),0)</f>
        <v>48.5</v>
      </c>
      <c r="AN226" s="859">
        <f>IFERROR(INDEX('Operations Forecast_new'!$20:$20,MATCH(DB[[#This Row],[Datum]],'Operations Forecast_new'!$2:$2,0)),0)</f>
        <v>47.3</v>
      </c>
      <c r="AO226" s="44">
        <f t="shared" si="83"/>
        <v>48.015000000000001</v>
      </c>
      <c r="AP226" s="404">
        <f t="shared" si="84"/>
        <v>46.826999999999998</v>
      </c>
      <c r="AQ226" s="44">
        <f t="shared" si="72"/>
        <v>87934.404135708319</v>
      </c>
      <c r="AR226" s="44" cm="1">
        <f t="array" ref="AR226">IFERROR(INDEX('ST Forecast'!$E$2:$RK$36,25,M226)+(INDEX('ST Forecast'!$E$2:$RK$36,29,M226)),"")</f>
        <v>35712.572</v>
      </c>
      <c r="AS226" s="44" cm="1">
        <f t="array" ref="AS226">IFERROR(INDEX('ST Forecast'!$E$2:$RK$36,26,M226)+INDEX('ST Forecast'!$E$2:$RK$36,30,M226),"")</f>
        <v>42177.968448912019</v>
      </c>
      <c r="AT226" s="44" cm="1">
        <f t="array" ref="AT226">IFERROR(INDEX('ST Forecast'!$E$2:$RK$36,27,M226)+INDEX('ST Forecast'!$E$2:$RK$36,31,M226),"")</f>
        <v>3842.7321357083288</v>
      </c>
      <c r="AU226" s="44" cm="1">
        <f t="array" ref="AU226">IFERROR(INDEX('ST Forecast'!$E$2:$RK$36,28,M226),"")</f>
        <v>6201.1315510879858</v>
      </c>
      <c r="AV226" s="44" cm="1">
        <f t="array" ref="AV226">IFERROR(INDEX('ST Forecast'!$E$2:$RK$36,29,M226),"")</f>
        <v>0</v>
      </c>
      <c r="AW226" s="44">
        <f>DB[[#This Row],[Inbound FC]]-DB[[#This Row],[Inbound Act - Ultrafresh2]]</f>
        <v>87934.404135708319</v>
      </c>
      <c r="AX226" s="178" t="e">
        <f>#REF!</f>
        <v>#REF!</v>
      </c>
      <c r="AY226" s="178" t="e">
        <f>#REF!</f>
        <v>#REF!</v>
      </c>
      <c r="AZ226" s="178" t="e">
        <f>#REF!</f>
        <v>#REF!</v>
      </c>
      <c r="BA226" s="178">
        <f>MONTH(DB[[#This Row],[Datum]])</f>
        <v>8</v>
      </c>
    </row>
    <row r="227" spans="1:53" x14ac:dyDescent="0.3">
      <c r="A227" s="44">
        <f t="shared" si="73"/>
        <v>32</v>
      </c>
      <c r="B227" t="str">
        <f t="shared" si="74"/>
        <v>Wk 32</v>
      </c>
      <c r="C227" t="s">
        <v>118</v>
      </c>
      <c r="D227" s="313">
        <v>44786</v>
      </c>
      <c r="E227" s="44">
        <f>DB[[#This Row],[Sales-FC-Orders-Collect]]+DB[[#This Row],[Sales-FC-Orders-HD]]</f>
        <v>2275</v>
      </c>
      <c r="F227" s="402" cm="1">
        <f t="array" ref="F227">INDEX('LT Collect Forecast'!$K$1:$Q$55,MATCH(B227,'LT Collect Forecast'!$A:$A,0)+1,MATCH(C227,'LT Collect Forecast'!$K$2:$Q$2,0))</f>
        <v>675</v>
      </c>
      <c r="G227" s="44" cm="1">
        <f t="array" ref="G227">INDEX('LT HD Forecast'!$K$1:$Q$55,MATCH(B227,'LT HD Forecast'!$A:$A,0)+1,MATCH(C227,'LT HD Forecast'!$K$2:$Q$2,0))</f>
        <v>1600</v>
      </c>
      <c r="H227" s="44" cm="1">
        <f t="array" ref="H227">IFERROR(INDEX('ST Forecast'!$E$2:$RK$36,6,M227),"")</f>
        <v>46.359374383016949</v>
      </c>
      <c r="I227" s="44" cm="1">
        <f t="array" ref="I227">IFERROR(INDEX('ST Forecast'!$E$2:$RK$36,7,M227),"")</f>
        <v>48.315571251366293</v>
      </c>
      <c r="J227" s="44">
        <f>SUM(DB[[#This Row],[Sales-FC-Picks-Collect]:[Sales-FC-Picks-HD]])</f>
        <v>108597.4917107225</v>
      </c>
      <c r="K227" s="44">
        <f t="shared" si="69"/>
        <v>31292.577708536439</v>
      </c>
      <c r="L227" s="44">
        <f t="shared" si="70"/>
        <v>77304.914002186066</v>
      </c>
      <c r="M227" s="403">
        <f>IFERROR(IF(B227=B226,M226+1,MATCH(B227,'ST Forecast'!$E$2:$RK$2,0)+1),"")</f>
        <v>255</v>
      </c>
      <c r="N227">
        <f>SUM(DB[[#This Row],[Ops-FC-Orders-Collect]:[Ops-FC-Orders-HD]])</f>
        <v>2250</v>
      </c>
      <c r="O227" s="44" cm="1">
        <f t="array" ref="O227">IFERROR(INDEX('ST Forecast'!$E$2:$RK$36,13,M227),"")</f>
        <v>700</v>
      </c>
      <c r="P227" s="44">
        <f t="shared" si="75"/>
        <v>1550</v>
      </c>
      <c r="Q227" s="44" cm="1">
        <f t="array" ref="Q227">IFERROR(INDEX('ST Forecast'!$E$2:$RK$36,14,M227),"")</f>
        <v>850</v>
      </c>
      <c r="R227" s="44" cm="1">
        <f t="array" ref="R227">IFERROR(INDEX('ST Forecast'!$E$2:$RK$36,15,M227),"")</f>
        <v>700</v>
      </c>
      <c r="S227" s="312">
        <f>SUM(DB[[#This Row],[Ops-FC-Picks-Collect]:[Ops-FC-Picks-HD]])</f>
        <v>105193.88355757503</v>
      </c>
      <c r="T227" s="44">
        <f t="shared" si="76"/>
        <v>31802.530826749626</v>
      </c>
      <c r="U227" s="44">
        <f t="shared" si="77"/>
        <v>73391.352730825398</v>
      </c>
      <c r="V227" s="44">
        <f t="shared" si="78"/>
        <v>40246.870852388121</v>
      </c>
      <c r="W227" s="404">
        <f t="shared" si="79"/>
        <v>33144.481878437276</v>
      </c>
      <c r="X227" s="44">
        <f>SUM(DB[[#This Row],[Capped-Orders-Collect]:[Capped-Orders-HD]])</f>
        <v>90</v>
      </c>
      <c r="Y227">
        <f>INDEX('Operations Forecast'!$A$2:$BGY$47,3,MATCH(DB!D227,'Operations Forecast'!$A$2:$BGY$2))</f>
        <v>0</v>
      </c>
      <c r="Z227">
        <f t="shared" si="80"/>
        <v>90</v>
      </c>
      <c r="AA227">
        <f>INDEX('Operations Forecast'!$A$2:$BGY$47,10,MATCH(DB!D227,'Operations Forecast'!$A$2:$BGY$2))</f>
        <v>90</v>
      </c>
      <c r="AB227">
        <f>INDEX('Operations Forecast'!$A$2:$BGY$47,21,MATCH(DB!D227,'Operations Forecast'!$A$2:$BGY$2))</f>
        <v>0</v>
      </c>
      <c r="AC227" s="312">
        <f>SUM(DB[[#This Row],[Act-Orders-Collect]:[Act-Orders-HD]])</f>
        <v>2262</v>
      </c>
      <c r="AD227" s="858">
        <f>IFERROR(INDEX('Operations Forecast_new'!$7:$7,MATCH(DB[[#This Row],[Datum]],'Operations Forecast_new'!$2:$2,0)),0)</f>
        <v>675</v>
      </c>
      <c r="AE227" s="312">
        <f t="shared" si="81"/>
        <v>1587</v>
      </c>
      <c r="AF227" s="858">
        <f>IFERROR(INDEX('Operations Forecast_new'!$13:$13,MATCH(DB[[#This Row],[Datum]],'Operations Forecast_new'!$2:$2,0)),0)</f>
        <v>946</v>
      </c>
      <c r="AG227" s="858">
        <f>IFERROR(INDEX('Operations Forecast_new'!$19:$19,MATCH(DB[[#This Row],[Datum]],'Operations Forecast_new'!$2:$2,0)),0)</f>
        <v>641</v>
      </c>
      <c r="AH227" s="312">
        <f t="shared" si="71"/>
        <v>107930.988</v>
      </c>
      <c r="AI227" s="858">
        <f>IFERROR(INDEX('Operations Forecast_new'!$9:$9,MATCH(DB[[#This Row],[Datum]],'Operations Forecast_new'!$2:$2,0)),0)</f>
        <v>33145.199999999997</v>
      </c>
      <c r="AJ227" s="312">
        <f t="shared" si="82"/>
        <v>74785.788</v>
      </c>
      <c r="AK227" s="858">
        <f>IFERROR(INDEX('Operations Forecast_new'!$15:$15,MATCH(DB[[#This Row],[Datum]],'Operations Forecast_new'!$2:$2,0)),0)</f>
        <v>44579.303999999996</v>
      </c>
      <c r="AL227" s="858">
        <f>IFERROR(INDEX('Operations Forecast_new'!$21:$21,MATCH(DB[[#This Row],[Datum]],'Operations Forecast_new'!$2:$2,0)),0)</f>
        <v>30206.484</v>
      </c>
      <c r="AM227" s="178">
        <f>IFERROR(INDEX('Operations Forecast_new'!$8:$8,MATCH(DB[[#This Row],[Datum]],'Operations Forecast_new'!$2:$2,0)),0)</f>
        <v>49.6</v>
      </c>
      <c r="AN227" s="859">
        <f>IFERROR(INDEX('Operations Forecast_new'!$20:$20,MATCH(DB[[#This Row],[Datum]],'Operations Forecast_new'!$2:$2,0)),0)</f>
        <v>47.6</v>
      </c>
      <c r="AO227" s="44">
        <f t="shared" si="83"/>
        <v>49.103999999999999</v>
      </c>
      <c r="AP227" s="404">
        <f t="shared" si="84"/>
        <v>47.124000000000002</v>
      </c>
      <c r="AQ227" s="44">
        <f t="shared" si="72"/>
        <v>91017.000000000058</v>
      </c>
      <c r="AR227" s="44" cm="1">
        <f t="array" ref="AR227">IFERROR(INDEX('ST Forecast'!$E$2:$RK$36,25,M227)+(INDEX('ST Forecast'!$E$2:$RK$36,29,M227)),"")</f>
        <v>42836.795009211368</v>
      </c>
      <c r="AS227" s="44" cm="1">
        <f t="array" ref="AS227">IFERROR(INDEX('ST Forecast'!$E$2:$RK$36,26,M227)+INDEX('ST Forecast'!$E$2:$RK$36,30,M227),"")</f>
        <v>39848.316642586491</v>
      </c>
      <c r="AT227" s="44" cm="1">
        <f t="array" ref="AT227">IFERROR(INDEX('ST Forecast'!$E$2:$RK$36,27,M227)+INDEX('ST Forecast'!$E$2:$RK$36,31,M227),"")</f>
        <v>3521.1087063250598</v>
      </c>
      <c r="AU227" s="44" cm="1">
        <f t="array" ref="AU227">IFERROR(INDEX('ST Forecast'!$E$2:$RK$36,28,M227),"")</f>
        <v>4810.7796418771395</v>
      </c>
      <c r="AV227" s="44" cm="1">
        <f t="array" ref="AV227">IFERROR(INDEX('ST Forecast'!$E$2:$RK$36,29,M227),"")</f>
        <v>0</v>
      </c>
      <c r="AW227" s="44">
        <f>DB[[#This Row],[Inbound FC]]-DB[[#This Row],[Inbound Act - Ultrafresh2]]</f>
        <v>91017.000000000058</v>
      </c>
      <c r="AX227" s="178" t="e">
        <f>#REF!</f>
        <v>#REF!</v>
      </c>
      <c r="AY227" s="178" t="e">
        <f>#REF!</f>
        <v>#REF!</v>
      </c>
      <c r="AZ227" s="178" t="e">
        <f>#REF!</f>
        <v>#REF!</v>
      </c>
      <c r="BA227" s="178">
        <f>MONTH(DB[[#This Row],[Datum]])</f>
        <v>8</v>
      </c>
    </row>
    <row r="228" spans="1:53" x14ac:dyDescent="0.3">
      <c r="A228" s="44">
        <f t="shared" si="73"/>
        <v>32</v>
      </c>
      <c r="B228" t="str">
        <f t="shared" si="74"/>
        <v>Wk 32</v>
      </c>
      <c r="C228" t="s">
        <v>119</v>
      </c>
      <c r="D228" s="313">
        <v>44787</v>
      </c>
      <c r="E228" s="44">
        <f>DB[[#This Row],[Sales-FC-Orders-Collect]]+DB[[#This Row],[Sales-FC-Orders-HD]]</f>
        <v>0</v>
      </c>
      <c r="F228" s="402" cm="1">
        <f t="array" ref="F228">INDEX('LT Collect Forecast'!$K$1:$Q$55,MATCH(B228,'LT Collect Forecast'!$A:$A,0)+1,MATCH(C228,'LT Collect Forecast'!$K$2:$Q$2,0))</f>
        <v>0</v>
      </c>
      <c r="G228" s="44" cm="1">
        <f t="array" ref="G228">INDEX('LT HD Forecast'!$K$1:$Q$55,MATCH(B228,'LT HD Forecast'!$A:$A,0)+1,MATCH(C228,'LT HD Forecast'!$K$2:$Q$2,0))</f>
        <v>0</v>
      </c>
      <c r="H228" s="44" cm="1">
        <f t="array" ref="H228">IFERROR(INDEX('ST Forecast'!$E$2:$RK$36,6,M228),"")</f>
        <v>0</v>
      </c>
      <c r="I228" s="44" cm="1">
        <f t="array" ref="I228">IFERROR(INDEX('ST Forecast'!$E$2:$RK$36,7,M228),"")</f>
        <v>0</v>
      </c>
      <c r="J228" s="44">
        <f>SUM(DB[[#This Row],[Sales-FC-Picks-Collect]:[Sales-FC-Picks-HD]])</f>
        <v>0</v>
      </c>
      <c r="K228" s="44">
        <f t="shared" si="69"/>
        <v>0</v>
      </c>
      <c r="L228" s="44">
        <f t="shared" si="70"/>
        <v>0</v>
      </c>
      <c r="M228" s="403">
        <f>IFERROR(IF(B228=B227,M227+1,MATCH(B228,'ST Forecast'!$E$2:$RK$2,0)+1),"")</f>
        <v>256</v>
      </c>
      <c r="N228">
        <f>SUM(DB[[#This Row],[Ops-FC-Orders-Collect]:[Ops-FC-Orders-HD]])</f>
        <v>0</v>
      </c>
      <c r="O228" s="44" cm="1">
        <f t="array" ref="O228">IFERROR(INDEX('ST Forecast'!$E$2:$RK$36,13,M228),"")</f>
        <v>0</v>
      </c>
      <c r="P228" s="44">
        <f t="shared" si="75"/>
        <v>0</v>
      </c>
      <c r="Q228" s="44" cm="1">
        <f t="array" ref="Q228">IFERROR(INDEX('ST Forecast'!$E$2:$RK$36,14,M228),"")</f>
        <v>0</v>
      </c>
      <c r="R228" s="44" cm="1">
        <f t="array" ref="R228">IFERROR(INDEX('ST Forecast'!$E$2:$RK$36,15,M228),"")</f>
        <v>0</v>
      </c>
      <c r="S228" s="312">
        <f>SUM(DB[[#This Row],[Ops-FC-Picks-Collect]:[Ops-FC-Picks-HD]])</f>
        <v>0</v>
      </c>
      <c r="T228" s="44">
        <f t="shared" si="76"/>
        <v>0</v>
      </c>
      <c r="U228" s="44">
        <f t="shared" si="77"/>
        <v>0</v>
      </c>
      <c r="V228" s="44">
        <f t="shared" si="78"/>
        <v>0</v>
      </c>
      <c r="W228" s="404">
        <f t="shared" si="79"/>
        <v>0</v>
      </c>
      <c r="X228" s="44">
        <f>SUM(DB[[#This Row],[Capped-Orders-Collect]:[Capped-Orders-HD]])</f>
        <v>90</v>
      </c>
      <c r="Y228">
        <f>INDEX('Operations Forecast'!$A$2:$BGY$47,3,MATCH(DB!D228,'Operations Forecast'!$A$2:$BGY$2))</f>
        <v>0</v>
      </c>
      <c r="Z228">
        <f t="shared" si="80"/>
        <v>90</v>
      </c>
      <c r="AA228">
        <f>INDEX('Operations Forecast'!$A$2:$BGY$47,10,MATCH(DB!D228,'Operations Forecast'!$A$2:$BGY$2))</f>
        <v>90</v>
      </c>
      <c r="AB228">
        <f>INDEX('Operations Forecast'!$A$2:$BGY$47,21,MATCH(DB!D228,'Operations Forecast'!$A$2:$BGY$2))</f>
        <v>0</v>
      </c>
      <c r="AC228" s="312">
        <f>SUM(DB[[#This Row],[Act-Orders-Collect]:[Act-Orders-HD]])</f>
        <v>0</v>
      </c>
      <c r="AD228" s="858">
        <f>IFERROR(INDEX('Operations Forecast_new'!$7:$7,MATCH(DB[[#This Row],[Datum]],'Operations Forecast_new'!$2:$2,0)),0)</f>
        <v>0</v>
      </c>
      <c r="AE228" s="312">
        <f t="shared" si="81"/>
        <v>0</v>
      </c>
      <c r="AF228" s="858">
        <f>IFERROR(INDEX('Operations Forecast_new'!$13:$13,MATCH(DB[[#This Row],[Datum]],'Operations Forecast_new'!$2:$2,0)),0)</f>
        <v>0</v>
      </c>
      <c r="AG228" s="858">
        <f>IFERROR(INDEX('Operations Forecast_new'!$19:$19,MATCH(DB[[#This Row],[Datum]],'Operations Forecast_new'!$2:$2,0)),0)</f>
        <v>0</v>
      </c>
      <c r="AH228" s="312">
        <f t="shared" si="71"/>
        <v>0</v>
      </c>
      <c r="AI228" s="858">
        <f>IFERROR(INDEX('Operations Forecast_new'!$9:$9,MATCH(DB[[#This Row],[Datum]],'Operations Forecast_new'!$2:$2,0)),0)</f>
        <v>0</v>
      </c>
      <c r="AJ228" s="312">
        <f t="shared" si="82"/>
        <v>0</v>
      </c>
      <c r="AK228" s="858">
        <f>IFERROR(INDEX('Operations Forecast_new'!$15:$15,MATCH(DB[[#This Row],[Datum]],'Operations Forecast_new'!$2:$2,0)),0)</f>
        <v>0</v>
      </c>
      <c r="AL228" s="858">
        <f>IFERROR(INDEX('Operations Forecast_new'!$21:$21,MATCH(DB[[#This Row],[Datum]],'Operations Forecast_new'!$2:$2,0)),0)</f>
        <v>0</v>
      </c>
      <c r="AM228" s="178">
        <f>IFERROR(INDEX('Operations Forecast_new'!$8:$8,MATCH(DB[[#This Row],[Datum]],'Operations Forecast_new'!$2:$2,0)),0)</f>
        <v>0</v>
      </c>
      <c r="AN228" s="859">
        <f>IFERROR(INDEX('Operations Forecast_new'!$20:$20,MATCH(DB[[#This Row],[Datum]],'Operations Forecast_new'!$2:$2,0)),0)</f>
        <v>0</v>
      </c>
      <c r="AO228" s="44" t="str">
        <f t="shared" si="83"/>
        <v>-</v>
      </c>
      <c r="AP228" s="404" t="str">
        <f t="shared" si="84"/>
        <v>-</v>
      </c>
      <c r="AQ228" s="44">
        <f t="shared" si="72"/>
        <v>0</v>
      </c>
      <c r="AR228" s="44" cm="1">
        <f t="array" ref="AR228">IFERROR(INDEX('ST Forecast'!$E$2:$RK$36,25,M228)+(INDEX('ST Forecast'!$E$2:$RK$36,29,M228)),"")</f>
        <v>0</v>
      </c>
      <c r="AS228" s="44" cm="1">
        <f t="array" ref="AS228">IFERROR(INDEX('ST Forecast'!$E$2:$RK$36,26,M228)+INDEX('ST Forecast'!$E$2:$RK$36,30,M228),"")</f>
        <v>0</v>
      </c>
      <c r="AT228" s="44" cm="1">
        <f t="array" ref="AT228">IFERROR(INDEX('ST Forecast'!$E$2:$RK$36,27,M228)+INDEX('ST Forecast'!$E$2:$RK$36,31,M228),"")</f>
        <v>0</v>
      </c>
      <c r="AU228" s="44" cm="1">
        <f t="array" ref="AU228">IFERROR(INDEX('ST Forecast'!$E$2:$RK$36,28,M228),"")</f>
        <v>0</v>
      </c>
      <c r="AV228" s="44" cm="1">
        <f t="array" ref="AV228">IFERROR(INDEX('ST Forecast'!$E$2:$RK$36,29,M228),"")</f>
        <v>0</v>
      </c>
      <c r="AW228" s="44">
        <f>DB[[#This Row],[Inbound FC]]-DB[[#This Row],[Inbound Act - Ultrafresh2]]</f>
        <v>0</v>
      </c>
      <c r="AX228" s="178" t="e">
        <f>#REF!</f>
        <v>#REF!</v>
      </c>
      <c r="AY228" s="178" t="e">
        <f>#REF!</f>
        <v>#REF!</v>
      </c>
      <c r="AZ228" s="178" t="e">
        <f>#REF!</f>
        <v>#REF!</v>
      </c>
      <c r="BA228" s="178">
        <f>MONTH(DB[[#This Row],[Datum]])</f>
        <v>8</v>
      </c>
    </row>
    <row r="229" spans="1:53" x14ac:dyDescent="0.3">
      <c r="A229" s="44">
        <f t="shared" si="73"/>
        <v>33</v>
      </c>
      <c r="B229" t="str">
        <f t="shared" si="74"/>
        <v>Wk 33</v>
      </c>
      <c r="C229" t="s">
        <v>113</v>
      </c>
      <c r="D229" s="313">
        <v>44788</v>
      </c>
      <c r="E229" s="44">
        <f>DB[[#This Row],[Sales-FC-Orders-Collect]]+DB[[#This Row],[Sales-FC-Orders-HD]]</f>
        <v>0</v>
      </c>
      <c r="F229" s="402">
        <f>INDEX('LT Collect Forecast'!$K$1:$Q$55,MATCH(B229,'LT Collect Forecast'!$A:$A,0),MATCH(C229,'LT Collect Forecast'!$K$2:$Q$2,0))</f>
        <v>0</v>
      </c>
      <c r="G229" s="44">
        <f>INDEX('LT HD Forecast'!$K$1:$Q$55,MATCH(B229,'LT HD Forecast'!$A:$A,0),MATCH(C229,'LT HD Forecast'!$K$2:$Q$2,0))</f>
        <v>0</v>
      </c>
      <c r="H229" s="44" cm="1">
        <f t="array" ref="H229">IFERROR(INDEX('ST Forecast'!$E$2:$RK$36,6,M229),"")</f>
        <v>0</v>
      </c>
      <c r="I229" s="44" cm="1">
        <f t="array" ref="I229">IFERROR(INDEX('ST Forecast'!$E$2:$RK$36,7,M229),"")</f>
        <v>0</v>
      </c>
      <c r="J229" s="44">
        <f>SUM(DB[[#This Row],[Sales-FC-Picks-Collect]:[Sales-FC-Picks-HD]])</f>
        <v>0</v>
      </c>
      <c r="K229" s="44">
        <f t="shared" si="69"/>
        <v>0</v>
      </c>
      <c r="L229" s="44">
        <f t="shared" si="70"/>
        <v>0</v>
      </c>
      <c r="M229" s="403">
        <f>IFERROR(IF(B229=B228,M228+1,MATCH(B229,'ST Forecast'!$E$2:$RK$2,0)+1),"")</f>
        <v>258</v>
      </c>
      <c r="N229">
        <f>SUM(DB[[#This Row],[Ops-FC-Orders-Collect]:[Ops-FC-Orders-HD]])</f>
        <v>0</v>
      </c>
      <c r="O229" s="44" cm="1">
        <f t="array" ref="O229">IFERROR(INDEX('ST Forecast'!$E$2:$RK$36,13,M229),"")</f>
        <v>0</v>
      </c>
      <c r="P229" s="44">
        <f t="shared" si="75"/>
        <v>0</v>
      </c>
      <c r="Q229" s="44" cm="1">
        <f t="array" ref="Q229">IFERROR(INDEX('ST Forecast'!$E$2:$RK$36,14,M229),"")</f>
        <v>0</v>
      </c>
      <c r="R229" s="44" cm="1">
        <f t="array" ref="R229">IFERROR(INDEX('ST Forecast'!$E$2:$RK$36,15,M229),"")</f>
        <v>0</v>
      </c>
      <c r="S229" s="312">
        <f>SUM(DB[[#This Row],[Ops-FC-Picks-Collect]:[Ops-FC-Picks-HD]])</f>
        <v>0</v>
      </c>
      <c r="T229" s="44">
        <f t="shared" si="76"/>
        <v>0</v>
      </c>
      <c r="U229" s="44">
        <f t="shared" si="77"/>
        <v>0</v>
      </c>
      <c r="V229" s="44">
        <f t="shared" si="78"/>
        <v>0</v>
      </c>
      <c r="W229" s="404">
        <f t="shared" si="79"/>
        <v>0</v>
      </c>
      <c r="X229" s="44">
        <f>SUM(DB[[#This Row],[Capped-Orders-Collect]:[Capped-Orders-HD]])</f>
        <v>90</v>
      </c>
      <c r="Y229">
        <f>INDEX('Operations Forecast'!$A$2:$BGY$47,3,MATCH(DB!D229,'Operations Forecast'!$A$2:$BGY$2))</f>
        <v>0</v>
      </c>
      <c r="Z229">
        <f t="shared" si="80"/>
        <v>90</v>
      </c>
      <c r="AA229">
        <f>INDEX('Operations Forecast'!$A$2:$BGY$47,10,MATCH(DB!D229,'Operations Forecast'!$A$2:$BGY$2))</f>
        <v>90</v>
      </c>
      <c r="AB229">
        <f>INDEX('Operations Forecast'!$A$2:$BGY$47,21,MATCH(DB!D229,'Operations Forecast'!$A$2:$BGY$2))</f>
        <v>0</v>
      </c>
      <c r="AC229" s="312">
        <f>SUM(DB[[#This Row],[Act-Orders-Collect]:[Act-Orders-HD]])</f>
        <v>0</v>
      </c>
      <c r="AD229" s="858">
        <f>IFERROR(INDEX('Operations Forecast_new'!$7:$7,MATCH(DB[[#This Row],[Datum]],'Operations Forecast_new'!$2:$2,0)),0)</f>
        <v>0</v>
      </c>
      <c r="AE229" s="312">
        <f t="shared" si="81"/>
        <v>0</v>
      </c>
      <c r="AF229" s="858">
        <f>IFERROR(INDEX('Operations Forecast_new'!$13:$13,MATCH(DB[[#This Row],[Datum]],'Operations Forecast_new'!$2:$2,0)),0)</f>
        <v>0</v>
      </c>
      <c r="AG229" s="858">
        <f>IFERROR(INDEX('Operations Forecast_new'!$19:$19,MATCH(DB[[#This Row],[Datum]],'Operations Forecast_new'!$2:$2,0)),0)</f>
        <v>0</v>
      </c>
      <c r="AH229" s="312">
        <f t="shared" si="71"/>
        <v>0</v>
      </c>
      <c r="AI229" s="858">
        <f>IFERROR(INDEX('Operations Forecast_new'!$9:$9,MATCH(DB[[#This Row],[Datum]],'Operations Forecast_new'!$2:$2,0)),0)</f>
        <v>0</v>
      </c>
      <c r="AJ229" s="312">
        <f t="shared" si="82"/>
        <v>0</v>
      </c>
      <c r="AK229" s="858">
        <f>IFERROR(INDEX('Operations Forecast_new'!$15:$15,MATCH(DB[[#This Row],[Datum]],'Operations Forecast_new'!$2:$2,0)),0)</f>
        <v>0</v>
      </c>
      <c r="AL229" s="858">
        <f>IFERROR(INDEX('Operations Forecast_new'!$21:$21,MATCH(DB[[#This Row],[Datum]],'Operations Forecast_new'!$2:$2,0)),0)</f>
        <v>0</v>
      </c>
      <c r="AM229" s="178">
        <f>IFERROR(INDEX('Operations Forecast_new'!$8:$8,MATCH(DB[[#This Row],[Datum]],'Operations Forecast_new'!$2:$2,0)),0)</f>
        <v>0</v>
      </c>
      <c r="AN229" s="859">
        <f>IFERROR(INDEX('Operations Forecast_new'!$20:$20,MATCH(DB[[#This Row],[Datum]],'Operations Forecast_new'!$2:$2,0)),0)</f>
        <v>0</v>
      </c>
      <c r="AO229" s="44" t="str">
        <f t="shared" si="83"/>
        <v>-</v>
      </c>
      <c r="AP229" s="404" t="str">
        <f t="shared" si="84"/>
        <v>-</v>
      </c>
      <c r="AQ229" s="44">
        <f t="shared" si="72"/>
        <v>0</v>
      </c>
      <c r="AR229" s="44" cm="1">
        <f t="array" ref="AR229">IFERROR(INDEX('ST Forecast'!$E$2:$RK$36,25,M229)+(INDEX('ST Forecast'!$E$2:$RK$36,29,M229)),"")</f>
        <v>0</v>
      </c>
      <c r="AS229" s="44" cm="1">
        <f t="array" ref="AS229">IFERROR(INDEX('ST Forecast'!$E$2:$RK$36,26,M229)+INDEX('ST Forecast'!$E$2:$RK$36,30,M229),"")</f>
        <v>0</v>
      </c>
      <c r="AT229" s="44" cm="1">
        <f t="array" ref="AT229">IFERROR(INDEX('ST Forecast'!$E$2:$RK$36,27,M229)+INDEX('ST Forecast'!$E$2:$RK$36,31,M229),"")</f>
        <v>0</v>
      </c>
      <c r="AU229" s="44" cm="1">
        <f t="array" ref="AU229">IFERROR(INDEX('ST Forecast'!$E$2:$RK$36,28,M229),"")</f>
        <v>0</v>
      </c>
      <c r="AV229" s="44" cm="1">
        <f t="array" ref="AV229">IFERROR(INDEX('ST Forecast'!$E$2:$RK$36,29,M229),"")</f>
        <v>0</v>
      </c>
      <c r="AW229" s="44">
        <f>DB[[#This Row],[Inbound FC]]-DB[[#This Row],[Inbound Act - Ultrafresh2]]</f>
        <v>0</v>
      </c>
      <c r="AX229" s="178" t="e">
        <f>#REF!</f>
        <v>#REF!</v>
      </c>
      <c r="AY229" s="178" t="e">
        <f>#REF!</f>
        <v>#REF!</v>
      </c>
      <c r="AZ229" s="178" t="e">
        <f>#REF!</f>
        <v>#REF!</v>
      </c>
      <c r="BA229" s="178">
        <f>MONTH(DB[[#This Row],[Datum]])</f>
        <v>8</v>
      </c>
    </row>
    <row r="230" spans="1:53" x14ac:dyDescent="0.3">
      <c r="A230" s="44">
        <f t="shared" si="73"/>
        <v>33</v>
      </c>
      <c r="B230" t="str">
        <f t="shared" si="74"/>
        <v>Wk 33</v>
      </c>
      <c r="C230" t="s">
        <v>114</v>
      </c>
      <c r="D230" s="313">
        <v>44789</v>
      </c>
      <c r="E230" s="44">
        <f>DB[[#This Row],[Sales-FC-Orders-Collect]]+DB[[#This Row],[Sales-FC-Orders-HD]]</f>
        <v>1800</v>
      </c>
      <c r="F230" s="402">
        <f>INDEX('LT Collect Forecast'!$K$1:$Q$55,MATCH(B230,'LT Collect Forecast'!$A:$A,0),MATCH(C230,'LT Collect Forecast'!$K$2:$Q$2,0))</f>
        <v>800</v>
      </c>
      <c r="G230" s="44">
        <f>INDEX('LT HD Forecast'!$K$1:$Q$55,MATCH(B230,'LT HD Forecast'!$A:$A,0),MATCH(C230,'LT HD Forecast'!$K$2:$Q$2,0))</f>
        <v>1000</v>
      </c>
      <c r="H230" s="44" cm="1">
        <f t="array" ref="H230">IFERROR(INDEX('ST Forecast'!$E$2:$RK$36,6,M230),"")</f>
        <v>42.18893386327801</v>
      </c>
      <c r="I230" s="44" cm="1">
        <f t="array" ref="I230">IFERROR(INDEX('ST Forecast'!$E$2:$RK$36,7,M230),"")</f>
        <v>44.438576629249049</v>
      </c>
      <c r="J230" s="44">
        <f>SUM(DB[[#This Row],[Sales-FC-Picks-Collect]:[Sales-FC-Picks-HD]])</f>
        <v>78189.723719871457</v>
      </c>
      <c r="K230" s="44">
        <f t="shared" si="69"/>
        <v>33751.147090622406</v>
      </c>
      <c r="L230" s="44">
        <f t="shared" si="70"/>
        <v>44438.576629249052</v>
      </c>
      <c r="M230" s="403">
        <f>IFERROR(IF(B230=B229,M229+1,MATCH(B230,'ST Forecast'!$E$2:$RK$2,0)+1),"")</f>
        <v>259</v>
      </c>
      <c r="N230">
        <f>SUM(DB[[#This Row],[Ops-FC-Orders-Collect]:[Ops-FC-Orders-HD]])</f>
        <v>1800</v>
      </c>
      <c r="O230" s="44" cm="1">
        <f t="array" ref="O230">IFERROR(INDEX('ST Forecast'!$E$2:$RK$36,13,M230),"")</f>
        <v>800</v>
      </c>
      <c r="P230" s="44">
        <f t="shared" si="75"/>
        <v>1000</v>
      </c>
      <c r="Q230" s="44" cm="1">
        <f t="array" ref="Q230">IFERROR(INDEX('ST Forecast'!$E$2:$RK$36,14,M230),"")</f>
        <v>200</v>
      </c>
      <c r="R230" s="44" cm="1">
        <f t="array" ref="R230">IFERROR(INDEX('ST Forecast'!$E$2:$RK$36,15,M230),"")</f>
        <v>800</v>
      </c>
      <c r="S230" s="312">
        <f>SUM(DB[[#This Row],[Ops-FC-Picks-Collect]:[Ops-FC-Picks-HD]])</f>
        <v>76625.929245474021</v>
      </c>
      <c r="T230" s="44">
        <f t="shared" si="76"/>
        <v>33076.124148809955</v>
      </c>
      <c r="U230" s="44">
        <f t="shared" si="77"/>
        <v>43549.805096664066</v>
      </c>
      <c r="V230" s="44">
        <f t="shared" si="78"/>
        <v>8709.9610193328135</v>
      </c>
      <c r="W230" s="404">
        <f t="shared" si="79"/>
        <v>34839.844077331254</v>
      </c>
      <c r="X230" s="44">
        <f>SUM(DB[[#This Row],[Capped-Orders-Collect]:[Capped-Orders-HD]])</f>
        <v>90</v>
      </c>
      <c r="Y230">
        <f>INDEX('Operations Forecast'!$A$2:$BGY$47,3,MATCH(DB!D230,'Operations Forecast'!$A$2:$BGY$2))</f>
        <v>0</v>
      </c>
      <c r="Z230">
        <f t="shared" si="80"/>
        <v>90</v>
      </c>
      <c r="AA230">
        <f>INDEX('Operations Forecast'!$A$2:$BGY$47,10,MATCH(DB!D230,'Operations Forecast'!$A$2:$BGY$2))</f>
        <v>90</v>
      </c>
      <c r="AB230">
        <f>INDEX('Operations Forecast'!$A$2:$BGY$47,21,MATCH(DB!D230,'Operations Forecast'!$A$2:$BGY$2))</f>
        <v>0</v>
      </c>
      <c r="AC230" s="312">
        <f>SUM(DB[[#This Row],[Act-Orders-Collect]:[Act-Orders-HD]])</f>
        <v>1713</v>
      </c>
      <c r="AD230" s="858">
        <f>IFERROR(INDEX('Operations Forecast_new'!$7:$7,MATCH(DB[[#This Row],[Datum]],'Operations Forecast_new'!$2:$2,0)),0)</f>
        <v>691</v>
      </c>
      <c r="AE230" s="312">
        <f t="shared" si="81"/>
        <v>1022</v>
      </c>
      <c r="AF230" s="858">
        <f>IFERROR(INDEX('Operations Forecast_new'!$13:$13,MATCH(DB[[#This Row],[Datum]],'Operations Forecast_new'!$2:$2,0)),0)</f>
        <v>132</v>
      </c>
      <c r="AG230" s="858">
        <f>IFERROR(INDEX('Operations Forecast_new'!$19:$19,MATCH(DB[[#This Row],[Datum]],'Operations Forecast_new'!$2:$2,0)),0)</f>
        <v>890</v>
      </c>
      <c r="AH230" s="312">
        <f t="shared" si="71"/>
        <v>75662.828999999998</v>
      </c>
      <c r="AI230" s="858">
        <f>IFERROR(INDEX('Operations Forecast_new'!$9:$9,MATCH(DB[[#This Row],[Datum]],'Operations Forecast_new'!$2:$2,0)),0)</f>
        <v>30031.550999999996</v>
      </c>
      <c r="AJ230" s="312">
        <f t="shared" si="82"/>
        <v>45631.277999999998</v>
      </c>
      <c r="AK230" s="858">
        <f>IFERROR(INDEX('Operations Forecast_new'!$15:$15,MATCH(DB[[#This Row],[Datum]],'Operations Forecast_new'!$2:$2,0)),0)</f>
        <v>5893.6679999999997</v>
      </c>
      <c r="AL230" s="858">
        <f>IFERROR(INDEX('Operations Forecast_new'!$21:$21,MATCH(DB[[#This Row],[Datum]],'Operations Forecast_new'!$2:$2,0)),0)</f>
        <v>39737.61</v>
      </c>
      <c r="AM230" s="178">
        <f>IFERROR(INDEX('Operations Forecast_new'!$8:$8,MATCH(DB[[#This Row],[Datum]],'Operations Forecast_new'!$2:$2,0)),0)</f>
        <v>43.9</v>
      </c>
      <c r="AN230" s="859">
        <f>IFERROR(INDEX('Operations Forecast_new'!$20:$20,MATCH(DB[[#This Row],[Datum]],'Operations Forecast_new'!$2:$2,0)),0)</f>
        <v>45.1</v>
      </c>
      <c r="AO230" s="44">
        <f t="shared" si="83"/>
        <v>43.460999999999991</v>
      </c>
      <c r="AP230" s="404">
        <f t="shared" si="84"/>
        <v>44.649000000000001</v>
      </c>
      <c r="AQ230" s="44">
        <f t="shared" si="72"/>
        <v>171854.0601675557</v>
      </c>
      <c r="AR230" s="44" cm="1">
        <f t="array" ref="AR230">IFERROR(INDEX('ST Forecast'!$E$2:$RK$36,25,M230)+(INDEX('ST Forecast'!$E$2:$RK$36,29,M230)),"")</f>
        <v>62413.175999999999</v>
      </c>
      <c r="AS230" s="44" cm="1">
        <f t="array" ref="AS230">IFERROR(INDEX('ST Forecast'!$E$2:$RK$36,26,M230)+INDEX('ST Forecast'!$E$2:$RK$36,30,M230),"")</f>
        <v>60307.440157039549</v>
      </c>
      <c r="AT230" s="44" cm="1">
        <f t="array" ref="AT230">IFERROR(INDEX('ST Forecast'!$E$2:$RK$36,27,M230)+INDEX('ST Forecast'!$E$2:$RK$36,31,M230),"")</f>
        <v>41005.384167555705</v>
      </c>
      <c r="AU230" s="44" cm="1">
        <f t="array" ref="AU230">IFERROR(INDEX('ST Forecast'!$E$2:$RK$36,28,M230),"")</f>
        <v>8128.0598429604534</v>
      </c>
      <c r="AV230" s="44" cm="1">
        <f t="array" ref="AV230">IFERROR(INDEX('ST Forecast'!$E$2:$RK$36,29,M230),"")</f>
        <v>0</v>
      </c>
      <c r="AW230" s="44">
        <f>DB[[#This Row],[Inbound FC]]-DB[[#This Row],[Inbound Act - Ultrafresh2]]</f>
        <v>171854.0601675557</v>
      </c>
      <c r="AX230" s="178" t="e">
        <f>#REF!</f>
        <v>#REF!</v>
      </c>
      <c r="AY230" s="178" t="e">
        <f>#REF!</f>
        <v>#REF!</v>
      </c>
      <c r="AZ230" s="178" t="e">
        <f>#REF!</f>
        <v>#REF!</v>
      </c>
      <c r="BA230" s="178">
        <f>MONTH(DB[[#This Row],[Datum]])</f>
        <v>8</v>
      </c>
    </row>
    <row r="231" spans="1:53" x14ac:dyDescent="0.3">
      <c r="A231" s="44">
        <f t="shared" si="73"/>
        <v>33</v>
      </c>
      <c r="B231" t="str">
        <f t="shared" si="74"/>
        <v>Wk 33</v>
      </c>
      <c r="C231" t="s">
        <v>115</v>
      </c>
      <c r="D231" s="313">
        <v>44790</v>
      </c>
      <c r="E231" s="44">
        <f>DB[[#This Row],[Sales-FC-Orders-Collect]]+DB[[#This Row],[Sales-FC-Orders-HD]]</f>
        <v>2400</v>
      </c>
      <c r="F231" s="402">
        <f>INDEX('LT Collect Forecast'!$K$1:$Q$55,MATCH(B231,'LT Collect Forecast'!$A:$A,0),MATCH(C231,'LT Collect Forecast'!$K$2:$Q$2,0))</f>
        <v>550</v>
      </c>
      <c r="G231" s="44">
        <f>INDEX('LT HD Forecast'!$K$1:$Q$55,MATCH(B231,'LT HD Forecast'!$A:$A,0),MATCH(C231,'LT HD Forecast'!$K$2:$Q$2,0))</f>
        <v>1850</v>
      </c>
      <c r="H231" s="44" cm="1">
        <f t="array" ref="H231">IFERROR(INDEX('ST Forecast'!$E$2:$RK$36,6,M231),"")</f>
        <v>41.269604475623503</v>
      </c>
      <c r="I231" s="44" cm="1">
        <f t="array" ref="I231">IFERROR(INDEX('ST Forecast'!$E$2:$RK$36,7,M231),"")</f>
        <v>45.438002190222235</v>
      </c>
      <c r="J231" s="44">
        <f>SUM(DB[[#This Row],[Sales-FC-Picks-Collect]:[Sales-FC-Picks-HD]])</f>
        <v>106758.58651350407</v>
      </c>
      <c r="K231" s="44">
        <f t="shared" si="69"/>
        <v>22698.282461592928</v>
      </c>
      <c r="L231" s="44">
        <f t="shared" si="70"/>
        <v>84060.304051911138</v>
      </c>
      <c r="M231" s="403">
        <f>IFERROR(IF(B231=B230,M230+1,MATCH(B231,'ST Forecast'!$E$2:$RK$2,0)+1),"")</f>
        <v>260</v>
      </c>
      <c r="N231">
        <f>SUM(DB[[#This Row],[Ops-FC-Orders-Collect]:[Ops-FC-Orders-HD]])</f>
        <v>2400</v>
      </c>
      <c r="O231" s="44" cm="1">
        <f t="array" ref="O231">IFERROR(INDEX('ST Forecast'!$E$2:$RK$36,13,M231),"")</f>
        <v>550</v>
      </c>
      <c r="P231" s="44">
        <f t="shared" si="75"/>
        <v>1850</v>
      </c>
      <c r="Q231" s="44" cm="1">
        <f t="array" ref="Q231">IFERROR(INDEX('ST Forecast'!$E$2:$RK$36,14,M231),"")</f>
        <v>950</v>
      </c>
      <c r="R231" s="44" cm="1">
        <f t="array" ref="R231">IFERROR(INDEX('ST Forecast'!$E$2:$RK$36,15,M231),"")</f>
        <v>900</v>
      </c>
      <c r="S231" s="312">
        <f>SUM(DB[[#This Row],[Ops-FC-Picks-Collect]:[Ops-FC-Picks-HD]])</f>
        <v>104623.41478323398</v>
      </c>
      <c r="T231" s="44">
        <f t="shared" si="76"/>
        <v>22244.31681236107</v>
      </c>
      <c r="U231" s="44">
        <f t="shared" si="77"/>
        <v>82379.097970872914</v>
      </c>
      <c r="V231" s="44">
        <f t="shared" si="78"/>
        <v>42302.780039096899</v>
      </c>
      <c r="W231" s="404">
        <f t="shared" si="79"/>
        <v>40076.317931776008</v>
      </c>
      <c r="X231" s="44">
        <f>SUM(DB[[#This Row],[Capped-Orders-Collect]:[Capped-Orders-HD]])</f>
        <v>90</v>
      </c>
      <c r="Y231">
        <f>INDEX('Operations Forecast'!$A$2:$BGY$47,3,MATCH(DB!D231,'Operations Forecast'!$A$2:$BGY$2))</f>
        <v>0</v>
      </c>
      <c r="Z231">
        <f t="shared" si="80"/>
        <v>90</v>
      </c>
      <c r="AA231">
        <f>INDEX('Operations Forecast'!$A$2:$BGY$47,10,MATCH(DB!D231,'Operations Forecast'!$A$2:$BGY$2))</f>
        <v>90</v>
      </c>
      <c r="AB231">
        <f>INDEX('Operations Forecast'!$A$2:$BGY$47,21,MATCH(DB!D231,'Operations Forecast'!$A$2:$BGY$2))</f>
        <v>0</v>
      </c>
      <c r="AC231" s="312">
        <f>SUM(DB[[#This Row],[Act-Orders-Collect]:[Act-Orders-HD]])</f>
        <v>2452</v>
      </c>
      <c r="AD231" s="858">
        <f>IFERROR(INDEX('Operations Forecast_new'!$7:$7,MATCH(DB[[#This Row],[Datum]],'Operations Forecast_new'!$2:$2,0)),0)</f>
        <v>590</v>
      </c>
      <c r="AE231" s="312">
        <f t="shared" si="81"/>
        <v>1862</v>
      </c>
      <c r="AF231" s="858">
        <f>IFERROR(INDEX('Operations Forecast_new'!$13:$13,MATCH(DB[[#This Row],[Datum]],'Operations Forecast_new'!$2:$2,0)),0)</f>
        <v>943</v>
      </c>
      <c r="AG231" s="858">
        <f>IFERROR(INDEX('Operations Forecast_new'!$19:$19,MATCH(DB[[#This Row],[Datum]],'Operations Forecast_new'!$2:$2,0)),0)</f>
        <v>919</v>
      </c>
      <c r="AH231" s="312">
        <f t="shared" si="71"/>
        <v>108077.508</v>
      </c>
      <c r="AI231" s="858">
        <f>IFERROR(INDEX('Operations Forecast_new'!$9:$9,MATCH(DB[[#This Row],[Datum]],'Operations Forecast_new'!$2:$2,0)),0)</f>
        <v>24941.07</v>
      </c>
      <c r="AJ231" s="312">
        <f t="shared" si="82"/>
        <v>83136.438000000009</v>
      </c>
      <c r="AK231" s="858">
        <f>IFERROR(INDEX('Operations Forecast_new'!$15:$15,MATCH(DB[[#This Row],[Datum]],'Operations Forecast_new'!$2:$2,0)),0)</f>
        <v>42104.007000000005</v>
      </c>
      <c r="AL231" s="858">
        <f>IFERROR(INDEX('Operations Forecast_new'!$21:$21,MATCH(DB[[#This Row],[Datum]],'Operations Forecast_new'!$2:$2,0)),0)</f>
        <v>41032.431000000004</v>
      </c>
      <c r="AM231" s="178">
        <f>IFERROR(INDEX('Operations Forecast_new'!$8:$8,MATCH(DB[[#This Row],[Datum]],'Operations Forecast_new'!$2:$2,0)),0)</f>
        <v>42.7</v>
      </c>
      <c r="AN231" s="859">
        <f>IFERROR(INDEX('Operations Forecast_new'!$20:$20,MATCH(DB[[#This Row],[Datum]],'Operations Forecast_new'!$2:$2,0)),0)</f>
        <v>45.1</v>
      </c>
      <c r="AO231" s="44">
        <f t="shared" si="83"/>
        <v>42.272999999999996</v>
      </c>
      <c r="AP231" s="404">
        <f t="shared" si="84"/>
        <v>44.649000000000008</v>
      </c>
      <c r="AQ231" s="44">
        <f t="shared" si="72"/>
        <v>108590.97451479334</v>
      </c>
      <c r="AR231" s="44" cm="1">
        <f t="array" ref="AR231">IFERROR(INDEX('ST Forecast'!$E$2:$RK$36,25,M231)+(INDEX('ST Forecast'!$E$2:$RK$36,29,M231)),"")</f>
        <v>49930.559999999998</v>
      </c>
      <c r="AS231" s="44" cm="1">
        <f t="array" ref="AS231">IFERROR(INDEX('ST Forecast'!$E$2:$RK$36,26,M231)+INDEX('ST Forecast'!$E$2:$RK$36,30,M231),"")</f>
        <v>43190.618349407072</v>
      </c>
      <c r="AT231" s="44" cm="1">
        <f t="array" ref="AT231">IFERROR(INDEX('ST Forecast'!$E$2:$RK$36,27,M231)+INDEX('ST Forecast'!$E$2:$RK$36,31,M231),"")</f>
        <v>8729.8545147933401</v>
      </c>
      <c r="AU231" s="44" cm="1">
        <f t="array" ref="AU231">IFERROR(INDEX('ST Forecast'!$E$2:$RK$36,28,M231),"")</f>
        <v>6739.9416505929275</v>
      </c>
      <c r="AV231" s="44" cm="1">
        <f t="array" ref="AV231">IFERROR(INDEX('ST Forecast'!$E$2:$RK$36,29,M231),"")</f>
        <v>0</v>
      </c>
      <c r="AW231" s="44">
        <f>DB[[#This Row],[Inbound FC]]-DB[[#This Row],[Inbound Act - Ultrafresh2]]</f>
        <v>108590.97451479334</v>
      </c>
      <c r="AX231" s="178" t="e">
        <f>#REF!</f>
        <v>#REF!</v>
      </c>
      <c r="AY231" s="178" t="e">
        <f>#REF!</f>
        <v>#REF!</v>
      </c>
      <c r="AZ231" s="178" t="e">
        <f>#REF!</f>
        <v>#REF!</v>
      </c>
      <c r="BA231" s="178">
        <f>MONTH(DB[[#This Row],[Datum]])</f>
        <v>8</v>
      </c>
    </row>
    <row r="232" spans="1:53" x14ac:dyDescent="0.3">
      <c r="A232" s="44">
        <f t="shared" si="73"/>
        <v>33</v>
      </c>
      <c r="B232" t="str">
        <f t="shared" si="74"/>
        <v>Wk 33</v>
      </c>
      <c r="C232" t="s">
        <v>116</v>
      </c>
      <c r="D232" s="313">
        <v>44791</v>
      </c>
      <c r="E232" s="44">
        <f>DB[[#This Row],[Sales-FC-Orders-Collect]]+DB[[#This Row],[Sales-FC-Orders-HD]]</f>
        <v>2225</v>
      </c>
      <c r="F232" s="402" cm="1">
        <f t="array" ref="F232">INDEX('LT Collect Forecast'!$K$1:$Q$55,MATCH(B232,'LT Collect Forecast'!$A:$A,0)+1,MATCH(C232,'LT Collect Forecast'!$K$2:$Q$2,0))</f>
        <v>475</v>
      </c>
      <c r="G232" s="44" cm="1">
        <f t="array" ref="G232">INDEX('LT HD Forecast'!$K$1:$Q$55,MATCH(B232,'LT HD Forecast'!$A:$A,0)+1,MATCH(C232,'LT HD Forecast'!$K$2:$Q$2,0))</f>
        <v>1750</v>
      </c>
      <c r="H232" s="44" cm="1">
        <f t="array" ref="H232">IFERROR(INDEX('ST Forecast'!$E$2:$RK$36,6,M232),"")</f>
        <v>41.615846988449839</v>
      </c>
      <c r="I232" s="44" cm="1">
        <f t="array" ref="I232">IFERROR(INDEX('ST Forecast'!$E$2:$RK$36,7,M232),"")</f>
        <v>46.943995111217497</v>
      </c>
      <c r="J232" s="44">
        <f>SUM(DB[[#This Row],[Sales-FC-Picks-Collect]:[Sales-FC-Picks-HD]])</f>
        <v>101919.51876414429</v>
      </c>
      <c r="K232" s="44">
        <f t="shared" si="69"/>
        <v>19767.527319513672</v>
      </c>
      <c r="L232" s="44">
        <f t="shared" si="70"/>
        <v>82151.991444630621</v>
      </c>
      <c r="M232" s="403">
        <f>IFERROR(IF(B232=B231,M231+1,MATCH(B232,'ST Forecast'!$E$2:$RK$2,0)+1),"")</f>
        <v>261</v>
      </c>
      <c r="N232">
        <f>SUM(DB[[#This Row],[Ops-FC-Orders-Collect]:[Ops-FC-Orders-HD]])</f>
        <v>2225</v>
      </c>
      <c r="O232" s="44" cm="1">
        <f t="array" ref="O232">IFERROR(INDEX('ST Forecast'!$E$2:$RK$36,13,M232),"")</f>
        <v>475</v>
      </c>
      <c r="P232" s="44">
        <f t="shared" si="75"/>
        <v>1750</v>
      </c>
      <c r="Q232" s="44" cm="1">
        <f t="array" ref="Q232">IFERROR(INDEX('ST Forecast'!$E$2:$RK$36,14,M232),"")</f>
        <v>875</v>
      </c>
      <c r="R232" s="44" cm="1">
        <f t="array" ref="R232">IFERROR(INDEX('ST Forecast'!$E$2:$RK$36,15,M232),"")</f>
        <v>875</v>
      </c>
      <c r="S232" s="312">
        <f>SUM(DB[[#This Row],[Ops-FC-Picks-Collect]:[Ops-FC-Picks-HD]])</f>
        <v>99881.128388861413</v>
      </c>
      <c r="T232" s="44">
        <f t="shared" si="76"/>
        <v>19372.176773123399</v>
      </c>
      <c r="U232" s="44">
        <f t="shared" si="77"/>
        <v>80508.951615738013</v>
      </c>
      <c r="V232" s="44">
        <f t="shared" si="78"/>
        <v>40254.475807869007</v>
      </c>
      <c r="W232" s="404">
        <f t="shared" si="79"/>
        <v>40254.475807869007</v>
      </c>
      <c r="X232" s="44">
        <f>SUM(DB[[#This Row],[Capped-Orders-Collect]:[Capped-Orders-HD]])</f>
        <v>90</v>
      </c>
      <c r="Y232">
        <f>INDEX('Operations Forecast'!$A$2:$BGY$47,3,MATCH(DB!D232,'Operations Forecast'!$A$2:$BGY$2))</f>
        <v>0</v>
      </c>
      <c r="Z232">
        <f t="shared" si="80"/>
        <v>90</v>
      </c>
      <c r="AA232">
        <f>INDEX('Operations Forecast'!$A$2:$BGY$47,10,MATCH(DB!D232,'Operations Forecast'!$A$2:$BGY$2))</f>
        <v>90</v>
      </c>
      <c r="AB232">
        <f>INDEX('Operations Forecast'!$A$2:$BGY$47,21,MATCH(DB!D232,'Operations Forecast'!$A$2:$BGY$2))</f>
        <v>0</v>
      </c>
      <c r="AC232" s="312">
        <f>SUM(DB[[#This Row],[Act-Orders-Collect]:[Act-Orders-HD]])</f>
        <v>2301</v>
      </c>
      <c r="AD232" s="858">
        <f>IFERROR(INDEX('Operations Forecast_new'!$7:$7,MATCH(DB[[#This Row],[Datum]],'Operations Forecast_new'!$2:$2,0)),0)</f>
        <v>417</v>
      </c>
      <c r="AE232" s="312">
        <f t="shared" si="81"/>
        <v>1884</v>
      </c>
      <c r="AF232" s="858">
        <f>IFERROR(INDEX('Operations Forecast_new'!$13:$13,MATCH(DB[[#This Row],[Datum]],'Operations Forecast_new'!$2:$2,0)),0)</f>
        <v>875</v>
      </c>
      <c r="AG232" s="858">
        <f>IFERROR(INDEX('Operations Forecast_new'!$19:$19,MATCH(DB[[#This Row],[Datum]],'Operations Forecast_new'!$2:$2,0)),0)</f>
        <v>1009</v>
      </c>
      <c r="AH232" s="312">
        <f t="shared" si="71"/>
        <v>102966.633</v>
      </c>
      <c r="AI232" s="858">
        <f>IFERROR(INDEX('Operations Forecast_new'!$9:$9,MATCH(DB[[#This Row],[Datum]],'Operations Forecast_new'!$2:$2,0)),0)</f>
        <v>18288.368999999999</v>
      </c>
      <c r="AJ232" s="312">
        <f t="shared" si="82"/>
        <v>84678.263999999996</v>
      </c>
      <c r="AK232" s="858">
        <f>IFERROR(INDEX('Operations Forecast_new'!$15:$15,MATCH(DB[[#This Row],[Datum]],'Operations Forecast_new'!$2:$2,0)),0)</f>
        <v>39327.75</v>
      </c>
      <c r="AL232" s="858">
        <f>IFERROR(INDEX('Operations Forecast_new'!$21:$21,MATCH(DB[[#This Row],[Datum]],'Operations Forecast_new'!$2:$2,0)),0)</f>
        <v>45350.513999999996</v>
      </c>
      <c r="AM232" s="178">
        <f>IFERROR(INDEX('Operations Forecast_new'!$8:$8,MATCH(DB[[#This Row],[Datum]],'Operations Forecast_new'!$2:$2,0)),0)</f>
        <v>44.3</v>
      </c>
      <c r="AN232" s="859">
        <f>IFERROR(INDEX('Operations Forecast_new'!$20:$20,MATCH(DB[[#This Row],[Datum]],'Operations Forecast_new'!$2:$2,0)),0)</f>
        <v>45.4</v>
      </c>
      <c r="AO232" s="44">
        <f t="shared" si="83"/>
        <v>43.856999999999999</v>
      </c>
      <c r="AP232" s="404">
        <f t="shared" si="84"/>
        <v>44.945999999999998</v>
      </c>
      <c r="AQ232" s="44">
        <f t="shared" si="72"/>
        <v>106899.36571479334</v>
      </c>
      <c r="AR232" s="44" cm="1">
        <f t="array" ref="AR232">IFERROR(INDEX('ST Forecast'!$E$2:$RK$36,25,M232)+(INDEX('ST Forecast'!$E$2:$RK$36,29,M232)),"")</f>
        <v>44729.46</v>
      </c>
      <c r="AS232" s="44" cm="1">
        <f t="array" ref="AS232">IFERROR(INDEX('ST Forecast'!$E$2:$RK$36,26,M232)+INDEX('ST Forecast'!$E$2:$RK$36,30,M232),"")</f>
        <v>47282.286994219634</v>
      </c>
      <c r="AT232" s="44" cm="1">
        <f t="array" ref="AT232">IFERROR(INDEX('ST Forecast'!$E$2:$RK$36,27,M232)+INDEX('ST Forecast'!$E$2:$RK$36,31,M232),"")</f>
        <v>7454.3337147933398</v>
      </c>
      <c r="AU232" s="44" cm="1">
        <f t="array" ref="AU232">IFERROR(INDEX('ST Forecast'!$E$2:$RK$36,28,M232),"")</f>
        <v>7433.2850057803671</v>
      </c>
      <c r="AV232" s="44" cm="1">
        <f t="array" ref="AV232">IFERROR(INDEX('ST Forecast'!$E$2:$RK$36,29,M232),"")</f>
        <v>0</v>
      </c>
      <c r="AW232" s="44">
        <f>DB[[#This Row],[Inbound FC]]-DB[[#This Row],[Inbound Act - Ultrafresh2]]</f>
        <v>106899.36571479334</v>
      </c>
      <c r="AX232" s="178" t="e">
        <f>#REF!</f>
        <v>#REF!</v>
      </c>
      <c r="AY232" s="178" t="e">
        <f>#REF!</f>
        <v>#REF!</v>
      </c>
      <c r="AZ232" s="178" t="e">
        <f>#REF!</f>
        <v>#REF!</v>
      </c>
      <c r="BA232" s="178">
        <f>MONTH(DB[[#This Row],[Datum]])</f>
        <v>8</v>
      </c>
    </row>
    <row r="233" spans="1:53" x14ac:dyDescent="0.3">
      <c r="A233" s="44">
        <f t="shared" si="73"/>
        <v>33</v>
      </c>
      <c r="B233" t="str">
        <f t="shared" si="74"/>
        <v>Wk 33</v>
      </c>
      <c r="C233" t="s">
        <v>117</v>
      </c>
      <c r="D233" s="313">
        <v>44792</v>
      </c>
      <c r="E233" s="44">
        <f>DB[[#This Row],[Sales-FC-Orders-Collect]]+DB[[#This Row],[Sales-FC-Orders-HD]]</f>
        <v>2625</v>
      </c>
      <c r="F233" s="402" cm="1">
        <f t="array" ref="F233">INDEX('LT Collect Forecast'!$K$1:$Q$55,MATCH(B233,'LT Collect Forecast'!$A:$A,0)+1,MATCH(C233,'LT Collect Forecast'!$K$2:$Q$2,0))</f>
        <v>825</v>
      </c>
      <c r="G233" s="44" cm="1">
        <f t="array" ref="G233">INDEX('LT HD Forecast'!$K$1:$Q$55,MATCH(B233,'LT HD Forecast'!$A:$A,0)+1,MATCH(C233,'LT HD Forecast'!$K$2:$Q$2,0))</f>
        <v>1800</v>
      </c>
      <c r="H233" s="44" cm="1">
        <f t="array" ref="H233">IFERROR(INDEX('ST Forecast'!$E$2:$RK$36,6,M233),"")</f>
        <v>46.194306703883264</v>
      </c>
      <c r="I233" s="44" cm="1">
        <f t="array" ref="I233">IFERROR(INDEX('ST Forecast'!$E$2:$RK$36,7,M233),"")</f>
        <v>48.648108233002027</v>
      </c>
      <c r="J233" s="44">
        <f>SUM(DB[[#This Row],[Sales-FC-Picks-Collect]:[Sales-FC-Picks-HD]])</f>
        <v>125676.89785010734</v>
      </c>
      <c r="K233" s="44">
        <f t="shared" si="69"/>
        <v>38110.30303070369</v>
      </c>
      <c r="L233" s="44">
        <f t="shared" si="70"/>
        <v>87566.594819403646</v>
      </c>
      <c r="M233" s="403">
        <f>IFERROR(IF(B233=B232,M232+1,MATCH(B233,'ST Forecast'!$E$2:$RK$2,0)+1),"")</f>
        <v>262</v>
      </c>
      <c r="N233">
        <f>SUM(DB[[#This Row],[Ops-FC-Orders-Collect]:[Ops-FC-Orders-HD]])</f>
        <v>2625</v>
      </c>
      <c r="O233" s="44" cm="1">
        <f t="array" ref="O233">IFERROR(INDEX('ST Forecast'!$E$2:$RK$36,13,M233),"")</f>
        <v>825</v>
      </c>
      <c r="P233" s="44">
        <f t="shared" si="75"/>
        <v>1800</v>
      </c>
      <c r="Q233" s="44" cm="1">
        <f t="array" ref="Q233">IFERROR(INDEX('ST Forecast'!$E$2:$RK$36,14,M233),"")</f>
        <v>900</v>
      </c>
      <c r="R233" s="44" cm="1">
        <f t="array" ref="R233">IFERROR(INDEX('ST Forecast'!$E$2:$RK$36,15,M233),"")</f>
        <v>900</v>
      </c>
      <c r="S233" s="312">
        <f>SUM(DB[[#This Row],[Ops-FC-Picks-Collect]:[Ops-FC-Picks-HD]])</f>
        <v>123163.3598931052</v>
      </c>
      <c r="T233" s="44">
        <f t="shared" si="76"/>
        <v>37348.096970089617</v>
      </c>
      <c r="U233" s="44">
        <f t="shared" si="77"/>
        <v>85815.262923015573</v>
      </c>
      <c r="V233" s="44">
        <f t="shared" si="78"/>
        <v>42907.631461507786</v>
      </c>
      <c r="W233" s="404">
        <f t="shared" si="79"/>
        <v>42907.631461507786</v>
      </c>
      <c r="X233" s="44">
        <f>SUM(DB[[#This Row],[Capped-Orders-Collect]:[Capped-Orders-HD]])</f>
        <v>90</v>
      </c>
      <c r="Y233">
        <f>INDEX('Operations Forecast'!$A$2:$BGY$47,3,MATCH(DB!D233,'Operations Forecast'!$A$2:$BGY$2))</f>
        <v>0</v>
      </c>
      <c r="Z233">
        <f t="shared" si="80"/>
        <v>90</v>
      </c>
      <c r="AA233">
        <f>INDEX('Operations Forecast'!$A$2:$BGY$47,10,MATCH(DB!D233,'Operations Forecast'!$A$2:$BGY$2))</f>
        <v>90</v>
      </c>
      <c r="AB233">
        <f>INDEX('Operations Forecast'!$A$2:$BGY$47,21,MATCH(DB!D233,'Operations Forecast'!$A$2:$BGY$2))</f>
        <v>0</v>
      </c>
      <c r="AC233" s="312">
        <f>SUM(DB[[#This Row],[Act-Orders-Collect]:[Act-Orders-HD]])</f>
        <v>2485</v>
      </c>
      <c r="AD233" s="858">
        <f>IFERROR(INDEX('Operations Forecast_new'!$7:$7,MATCH(DB[[#This Row],[Datum]],'Operations Forecast_new'!$2:$2,0)),0)</f>
        <v>724</v>
      </c>
      <c r="AE233" s="312">
        <f t="shared" si="81"/>
        <v>1761</v>
      </c>
      <c r="AF233" s="858">
        <f>IFERROR(INDEX('Operations Forecast_new'!$13:$13,MATCH(DB[[#This Row],[Datum]],'Operations Forecast_new'!$2:$2,0)),0)</f>
        <v>971</v>
      </c>
      <c r="AG233" s="858">
        <f>IFERROR(INDEX('Operations Forecast_new'!$19:$19,MATCH(DB[[#This Row],[Datum]],'Operations Forecast_new'!$2:$2,0)),0)</f>
        <v>790</v>
      </c>
      <c r="AH233" s="312">
        <f t="shared" si="71"/>
        <v>121120.758</v>
      </c>
      <c r="AI233" s="858">
        <f>IFERROR(INDEX('Operations Forecast_new'!$9:$9,MATCH(DB[[#This Row],[Datum]],'Operations Forecast_new'!$2:$2,0)),0)</f>
        <v>35694.647999999994</v>
      </c>
      <c r="AJ233" s="312">
        <f t="shared" si="82"/>
        <v>85426.11</v>
      </c>
      <c r="AK233" s="858">
        <f>IFERROR(INDEX('Operations Forecast_new'!$15:$15,MATCH(DB[[#This Row],[Datum]],'Operations Forecast_new'!$2:$2,0)),0)</f>
        <v>47103.21</v>
      </c>
      <c r="AL233" s="858">
        <f>IFERROR(INDEX('Operations Forecast_new'!$21:$21,MATCH(DB[[#This Row],[Datum]],'Operations Forecast_new'!$2:$2,0)),0)</f>
        <v>38322.9</v>
      </c>
      <c r="AM233" s="178">
        <f>IFERROR(INDEX('Operations Forecast_new'!$8:$8,MATCH(DB[[#This Row],[Datum]],'Operations Forecast_new'!$2:$2,0)),0)</f>
        <v>49.8</v>
      </c>
      <c r="AN233" s="859">
        <f>IFERROR(INDEX('Operations Forecast_new'!$20:$20,MATCH(DB[[#This Row],[Datum]],'Operations Forecast_new'!$2:$2,0)),0)</f>
        <v>49</v>
      </c>
      <c r="AO233" s="44">
        <f t="shared" si="83"/>
        <v>49.301999999999992</v>
      </c>
      <c r="AP233" s="404">
        <f t="shared" si="84"/>
        <v>48.51</v>
      </c>
      <c r="AQ233" s="44">
        <f t="shared" si="72"/>
        <v>103989.36571479334</v>
      </c>
      <c r="AR233" s="44" cm="1">
        <f t="array" ref="AR233">IFERROR(INDEX('ST Forecast'!$E$2:$RK$36,25,M233)+(INDEX('ST Forecast'!$E$2:$RK$36,29,M233)),"")</f>
        <v>42232.932000000001</v>
      </c>
      <c r="AS233" s="44" cm="1">
        <f t="array" ref="AS233">IFERROR(INDEX('ST Forecast'!$E$2:$RK$36,26,M233)+INDEX('ST Forecast'!$E$2:$RK$36,30,M233),"")</f>
        <v>49878.773038274776</v>
      </c>
      <c r="AT233" s="44" cm="1">
        <f t="array" ref="AT233">IFERROR(INDEX('ST Forecast'!$E$2:$RK$36,27,M233)+INDEX('ST Forecast'!$E$2:$RK$36,31,M233),"")</f>
        <v>4544.3337147933398</v>
      </c>
      <c r="AU233" s="44" cm="1">
        <f t="array" ref="AU233">IFERROR(INDEX('ST Forecast'!$E$2:$RK$36,28,M233),"")</f>
        <v>7333.3269617252281</v>
      </c>
      <c r="AV233" s="44" cm="1">
        <f t="array" ref="AV233">IFERROR(INDEX('ST Forecast'!$E$2:$RK$36,29,M233),"")</f>
        <v>0</v>
      </c>
      <c r="AW233" s="44">
        <f>DB[[#This Row],[Inbound FC]]-DB[[#This Row],[Inbound Act - Ultrafresh2]]</f>
        <v>103989.36571479334</v>
      </c>
      <c r="AX233" s="178" t="e">
        <f>#REF!</f>
        <v>#REF!</v>
      </c>
      <c r="AY233" s="178" t="e">
        <f>#REF!</f>
        <v>#REF!</v>
      </c>
      <c r="AZ233" s="178" t="e">
        <f>#REF!</f>
        <v>#REF!</v>
      </c>
      <c r="BA233" s="178">
        <f>MONTH(DB[[#This Row],[Datum]])</f>
        <v>8</v>
      </c>
    </row>
    <row r="234" spans="1:53" x14ac:dyDescent="0.3">
      <c r="A234" s="44">
        <f t="shared" si="73"/>
        <v>33</v>
      </c>
      <c r="B234" t="str">
        <f t="shared" si="74"/>
        <v>Wk 33</v>
      </c>
      <c r="C234" t="s">
        <v>118</v>
      </c>
      <c r="D234" s="313">
        <v>44793</v>
      </c>
      <c r="E234" s="44">
        <f>DB[[#This Row],[Sales-FC-Orders-Collect]]+DB[[#This Row],[Sales-FC-Orders-HD]]</f>
        <v>2375</v>
      </c>
      <c r="F234" s="402" cm="1">
        <f t="array" ref="F234">INDEX('LT Collect Forecast'!$K$1:$Q$55,MATCH(B234,'LT Collect Forecast'!$A:$A,0)+1,MATCH(C234,'LT Collect Forecast'!$K$2:$Q$2,0))</f>
        <v>775</v>
      </c>
      <c r="G234" s="44" cm="1">
        <f t="array" ref="G234">INDEX('LT HD Forecast'!$K$1:$Q$55,MATCH(B234,'LT HD Forecast'!$A:$A,0)+1,MATCH(C234,'LT HD Forecast'!$K$2:$Q$2,0))</f>
        <v>1600</v>
      </c>
      <c r="H234" s="44" cm="1">
        <f t="array" ref="H234">IFERROR(INDEX('ST Forecast'!$E$2:$RK$36,6,M234),"")</f>
        <v>46.474141758454927</v>
      </c>
      <c r="I234" s="44" cm="1">
        <f t="array" ref="I234">IFERROR(INDEX('ST Forecast'!$E$2:$RK$36,7,M234),"")</f>
        <v>48.822453348214495</v>
      </c>
      <c r="J234" s="44">
        <f>SUM(DB[[#This Row],[Sales-FC-Picks-Collect]:[Sales-FC-Picks-HD]])</f>
        <v>114133.38521994576</v>
      </c>
      <c r="K234" s="44">
        <f t="shared" si="69"/>
        <v>36017.459862802571</v>
      </c>
      <c r="L234" s="44">
        <f t="shared" si="70"/>
        <v>78115.925357143191</v>
      </c>
      <c r="M234" s="403">
        <f>IFERROR(IF(B234=B233,M233+1,MATCH(B234,'ST Forecast'!$E$2:$RK$2,0)+1),"")</f>
        <v>263</v>
      </c>
      <c r="N234">
        <f>SUM(DB[[#This Row],[Ops-FC-Orders-Collect]:[Ops-FC-Orders-HD]])</f>
        <v>2375</v>
      </c>
      <c r="O234" s="44" cm="1">
        <f t="array" ref="O234">IFERROR(INDEX('ST Forecast'!$E$2:$RK$36,13,M234),"")</f>
        <v>775</v>
      </c>
      <c r="P234" s="44">
        <f t="shared" si="75"/>
        <v>1600</v>
      </c>
      <c r="Q234" s="44" cm="1">
        <f t="array" ref="Q234">IFERROR(INDEX('ST Forecast'!$E$2:$RK$36,14,M234),"")</f>
        <v>900</v>
      </c>
      <c r="R234" s="44" cm="1">
        <f t="array" ref="R234">IFERROR(INDEX('ST Forecast'!$E$2:$RK$36,15,M234),"")</f>
        <v>700</v>
      </c>
      <c r="S234" s="312">
        <f>SUM(DB[[#This Row],[Ops-FC-Picks-Collect]:[Ops-FC-Picks-HD]])</f>
        <v>111850.71751554686</v>
      </c>
      <c r="T234" s="44">
        <f t="shared" si="76"/>
        <v>35297.110665546519</v>
      </c>
      <c r="U234" s="44">
        <f t="shared" si="77"/>
        <v>76553.606850000331</v>
      </c>
      <c r="V234" s="44">
        <f t="shared" si="78"/>
        <v>43061.403853125179</v>
      </c>
      <c r="W234" s="404">
        <f t="shared" si="79"/>
        <v>33492.202996875145</v>
      </c>
      <c r="X234" s="44">
        <f>SUM(DB[[#This Row],[Capped-Orders-Collect]:[Capped-Orders-HD]])</f>
        <v>90</v>
      </c>
      <c r="Y234">
        <f>INDEX('Operations Forecast'!$A$2:$BGY$47,3,MATCH(DB!D234,'Operations Forecast'!$A$2:$BGY$2))</f>
        <v>0</v>
      </c>
      <c r="Z234">
        <f t="shared" si="80"/>
        <v>90</v>
      </c>
      <c r="AA234">
        <f>INDEX('Operations Forecast'!$A$2:$BGY$47,10,MATCH(DB!D234,'Operations Forecast'!$A$2:$BGY$2))</f>
        <v>90</v>
      </c>
      <c r="AB234">
        <f>INDEX('Operations Forecast'!$A$2:$BGY$47,21,MATCH(DB!D234,'Operations Forecast'!$A$2:$BGY$2))</f>
        <v>0</v>
      </c>
      <c r="AC234" s="312">
        <f>SUM(DB[[#This Row],[Act-Orders-Collect]:[Act-Orders-HD]])</f>
        <v>2232</v>
      </c>
      <c r="AD234" s="858">
        <f>IFERROR(INDEX('Operations Forecast_new'!$7:$7,MATCH(DB[[#This Row],[Datum]],'Operations Forecast_new'!$2:$2,0)),0)</f>
        <v>720</v>
      </c>
      <c r="AE234" s="312">
        <f t="shared" si="81"/>
        <v>1512</v>
      </c>
      <c r="AF234" s="858">
        <f>IFERROR(INDEX('Operations Forecast_new'!$13:$13,MATCH(DB[[#This Row],[Datum]],'Operations Forecast_new'!$2:$2,0)),0)</f>
        <v>889</v>
      </c>
      <c r="AG234" s="858">
        <f>IFERROR(INDEX('Operations Forecast_new'!$19:$19,MATCH(DB[[#This Row],[Datum]],'Operations Forecast_new'!$2:$2,0)),0)</f>
        <v>623</v>
      </c>
      <c r="AH234" s="312">
        <f t="shared" si="71"/>
        <v>107119.58399999999</v>
      </c>
      <c r="AI234" s="858">
        <f>IFERROR(INDEX('Operations Forecast_new'!$9:$9,MATCH(DB[[#This Row],[Datum]],'Operations Forecast_new'!$2:$2,0)),0)</f>
        <v>34071.839999999997</v>
      </c>
      <c r="AJ234" s="312">
        <f t="shared" si="82"/>
        <v>73047.743999999992</v>
      </c>
      <c r="AK234" s="858">
        <f>IFERROR(INDEX('Operations Forecast_new'!$15:$15,MATCH(DB[[#This Row],[Datum]],'Operations Forecast_new'!$2:$2,0)),0)</f>
        <v>42949.367999999995</v>
      </c>
      <c r="AL234" s="858">
        <f>IFERROR(INDEX('Operations Forecast_new'!$21:$21,MATCH(DB[[#This Row],[Datum]],'Operations Forecast_new'!$2:$2,0)),0)</f>
        <v>30098.375999999997</v>
      </c>
      <c r="AM234" s="178">
        <f>IFERROR(INDEX('Operations Forecast_new'!$8:$8,MATCH(DB[[#This Row],[Datum]],'Operations Forecast_new'!$2:$2,0)),0)</f>
        <v>47.8</v>
      </c>
      <c r="AN234" s="859">
        <f>IFERROR(INDEX('Operations Forecast_new'!$20:$20,MATCH(DB[[#This Row],[Datum]],'Operations Forecast_new'!$2:$2,0)),0)</f>
        <v>48.8</v>
      </c>
      <c r="AO234" s="44">
        <f t="shared" si="83"/>
        <v>47.321999999999996</v>
      </c>
      <c r="AP234" s="404">
        <f t="shared" si="84"/>
        <v>48.311999999999998</v>
      </c>
      <c r="AQ234" s="44">
        <f t="shared" si="72"/>
        <v>98547.000000000044</v>
      </c>
      <c r="AR234" s="44" cm="1">
        <f t="array" ref="AR234">IFERROR(INDEX('ST Forecast'!$E$2:$RK$36,25,M234)+(INDEX('ST Forecast'!$E$2:$RK$36,29,M234)),"")</f>
        <v>46380.76005331699</v>
      </c>
      <c r="AS234" s="44" cm="1">
        <f t="array" ref="AS234">IFERROR(INDEX('ST Forecast'!$E$2:$RK$36,26,M234)+INDEX('ST Forecast'!$E$2:$RK$36,30,M234),"")</f>
        <v>43145.039500060098</v>
      </c>
      <c r="AT234" s="44" cm="1">
        <f t="array" ref="AT234">IFERROR(INDEX('ST Forecast'!$E$2:$RK$36,27,M234)+INDEX('ST Forecast'!$E$2:$RK$36,31,M234),"")</f>
        <v>3812.4163582870856</v>
      </c>
      <c r="AU234" s="44" cm="1">
        <f t="array" ref="AU234">IFERROR(INDEX('ST Forecast'!$E$2:$RK$36,28,M234),"")</f>
        <v>5208.7840883358767</v>
      </c>
      <c r="AV234" s="44" cm="1">
        <f t="array" ref="AV234">IFERROR(INDEX('ST Forecast'!$E$2:$RK$36,29,M234),"")</f>
        <v>0</v>
      </c>
      <c r="AW234" s="44">
        <f>DB[[#This Row],[Inbound FC]]-DB[[#This Row],[Inbound Act - Ultrafresh2]]</f>
        <v>98547.000000000044</v>
      </c>
      <c r="AX234" s="178" t="e">
        <f>#REF!</f>
        <v>#REF!</v>
      </c>
      <c r="AY234" s="178" t="e">
        <f>#REF!</f>
        <v>#REF!</v>
      </c>
      <c r="AZ234" s="178" t="e">
        <f>#REF!</f>
        <v>#REF!</v>
      </c>
      <c r="BA234" s="178">
        <f>MONTH(DB[[#This Row],[Datum]])</f>
        <v>8</v>
      </c>
    </row>
    <row r="235" spans="1:53" x14ac:dyDescent="0.3">
      <c r="A235" s="44">
        <f t="shared" si="73"/>
        <v>33</v>
      </c>
      <c r="B235" t="str">
        <f t="shared" si="74"/>
        <v>Wk 33</v>
      </c>
      <c r="C235" t="s">
        <v>119</v>
      </c>
      <c r="D235" s="313">
        <v>44794</v>
      </c>
      <c r="E235" s="44">
        <f>DB[[#This Row],[Sales-FC-Orders-Collect]]+DB[[#This Row],[Sales-FC-Orders-HD]]</f>
        <v>0</v>
      </c>
      <c r="F235" s="402" cm="1">
        <f t="array" ref="F235">INDEX('LT Collect Forecast'!$K$1:$Q$55,MATCH(B235,'LT Collect Forecast'!$A:$A,0)+1,MATCH(C235,'LT Collect Forecast'!$K$2:$Q$2,0))</f>
        <v>0</v>
      </c>
      <c r="G235" s="44" cm="1">
        <f t="array" ref="G235">INDEX('LT HD Forecast'!$K$1:$Q$55,MATCH(B235,'LT HD Forecast'!$A:$A,0)+1,MATCH(C235,'LT HD Forecast'!$K$2:$Q$2,0))</f>
        <v>0</v>
      </c>
      <c r="H235" s="44" cm="1">
        <f t="array" ref="H235">IFERROR(INDEX('ST Forecast'!$E$2:$RK$36,6,M235),"")</f>
        <v>0</v>
      </c>
      <c r="I235" s="44" cm="1">
        <f t="array" ref="I235">IFERROR(INDEX('ST Forecast'!$E$2:$RK$36,7,M235),"")</f>
        <v>0</v>
      </c>
      <c r="J235" s="44">
        <f>SUM(DB[[#This Row],[Sales-FC-Picks-Collect]:[Sales-FC-Picks-HD]])</f>
        <v>0</v>
      </c>
      <c r="K235" s="44">
        <f t="shared" si="69"/>
        <v>0</v>
      </c>
      <c r="L235" s="44">
        <f t="shared" si="70"/>
        <v>0</v>
      </c>
      <c r="M235" s="403">
        <f>IFERROR(IF(B235=B234,M234+1,MATCH(B235,'ST Forecast'!$E$2:$RK$2,0)+1),"")</f>
        <v>264</v>
      </c>
      <c r="N235">
        <f>SUM(DB[[#This Row],[Ops-FC-Orders-Collect]:[Ops-FC-Orders-HD]])</f>
        <v>0</v>
      </c>
      <c r="O235" s="44" cm="1">
        <f t="array" ref="O235">IFERROR(INDEX('ST Forecast'!$E$2:$RK$36,13,M235),"")</f>
        <v>0</v>
      </c>
      <c r="P235" s="44">
        <f t="shared" si="75"/>
        <v>0</v>
      </c>
      <c r="Q235" s="44" cm="1">
        <f t="array" ref="Q235">IFERROR(INDEX('ST Forecast'!$E$2:$RK$36,14,M235),"")</f>
        <v>0</v>
      </c>
      <c r="R235" s="44" cm="1">
        <f t="array" ref="R235">IFERROR(INDEX('ST Forecast'!$E$2:$RK$36,15,M235),"")</f>
        <v>0</v>
      </c>
      <c r="S235" s="312">
        <f>SUM(DB[[#This Row],[Ops-FC-Picks-Collect]:[Ops-FC-Picks-HD]])</f>
        <v>0</v>
      </c>
      <c r="T235" s="44">
        <f t="shared" si="76"/>
        <v>0</v>
      </c>
      <c r="U235" s="44">
        <f t="shared" si="77"/>
        <v>0</v>
      </c>
      <c r="V235" s="44">
        <f t="shared" si="78"/>
        <v>0</v>
      </c>
      <c r="W235" s="404">
        <f t="shared" si="79"/>
        <v>0</v>
      </c>
      <c r="X235" s="44">
        <f>SUM(DB[[#This Row],[Capped-Orders-Collect]:[Capped-Orders-HD]])</f>
        <v>90</v>
      </c>
      <c r="Y235">
        <f>INDEX('Operations Forecast'!$A$2:$BGY$47,3,MATCH(DB!D235,'Operations Forecast'!$A$2:$BGY$2))</f>
        <v>0</v>
      </c>
      <c r="Z235">
        <f t="shared" si="80"/>
        <v>90</v>
      </c>
      <c r="AA235">
        <f>INDEX('Operations Forecast'!$A$2:$BGY$47,10,MATCH(DB!D235,'Operations Forecast'!$A$2:$BGY$2))</f>
        <v>90</v>
      </c>
      <c r="AB235">
        <f>INDEX('Operations Forecast'!$A$2:$BGY$47,21,MATCH(DB!D235,'Operations Forecast'!$A$2:$BGY$2))</f>
        <v>0</v>
      </c>
      <c r="AC235" s="312">
        <f>SUM(DB[[#This Row],[Act-Orders-Collect]:[Act-Orders-HD]])</f>
        <v>0</v>
      </c>
      <c r="AD235" s="858">
        <f>IFERROR(INDEX('Operations Forecast_new'!$7:$7,MATCH(DB[[#This Row],[Datum]],'Operations Forecast_new'!$2:$2,0)),0)</f>
        <v>0</v>
      </c>
      <c r="AE235" s="312">
        <f t="shared" si="81"/>
        <v>0</v>
      </c>
      <c r="AF235" s="858">
        <f>IFERROR(INDEX('Operations Forecast_new'!$13:$13,MATCH(DB[[#This Row],[Datum]],'Operations Forecast_new'!$2:$2,0)),0)</f>
        <v>0</v>
      </c>
      <c r="AG235" s="858">
        <f>IFERROR(INDEX('Operations Forecast_new'!$19:$19,MATCH(DB[[#This Row],[Datum]],'Operations Forecast_new'!$2:$2,0)),0)</f>
        <v>0</v>
      </c>
      <c r="AH235" s="312">
        <f t="shared" si="71"/>
        <v>0</v>
      </c>
      <c r="AI235" s="858">
        <f>IFERROR(INDEX('Operations Forecast_new'!$9:$9,MATCH(DB[[#This Row],[Datum]],'Operations Forecast_new'!$2:$2,0)),0)</f>
        <v>0</v>
      </c>
      <c r="AJ235" s="312">
        <f t="shared" si="82"/>
        <v>0</v>
      </c>
      <c r="AK235" s="858">
        <f>IFERROR(INDEX('Operations Forecast_new'!$15:$15,MATCH(DB[[#This Row],[Datum]],'Operations Forecast_new'!$2:$2,0)),0)</f>
        <v>0</v>
      </c>
      <c r="AL235" s="858">
        <f>IFERROR(INDEX('Operations Forecast_new'!$21:$21,MATCH(DB[[#This Row],[Datum]],'Operations Forecast_new'!$2:$2,0)),0)</f>
        <v>0</v>
      </c>
      <c r="AM235" s="178">
        <f>IFERROR(INDEX('Operations Forecast_new'!$8:$8,MATCH(DB[[#This Row],[Datum]],'Operations Forecast_new'!$2:$2,0)),0)</f>
        <v>0</v>
      </c>
      <c r="AN235" s="859">
        <f>IFERROR(INDEX('Operations Forecast_new'!$20:$20,MATCH(DB[[#This Row],[Datum]],'Operations Forecast_new'!$2:$2,0)),0)</f>
        <v>0</v>
      </c>
      <c r="AO235" s="44" t="str">
        <f t="shared" si="83"/>
        <v>-</v>
      </c>
      <c r="AP235" s="404" t="str">
        <f t="shared" si="84"/>
        <v>-</v>
      </c>
      <c r="AQ235" s="44">
        <f t="shared" si="72"/>
        <v>0</v>
      </c>
      <c r="AR235" s="44" cm="1">
        <f t="array" ref="AR235">IFERROR(INDEX('ST Forecast'!$E$2:$RK$36,25,M235)+(INDEX('ST Forecast'!$E$2:$RK$36,29,M235)),"")</f>
        <v>0</v>
      </c>
      <c r="AS235" s="44" cm="1">
        <f t="array" ref="AS235">IFERROR(INDEX('ST Forecast'!$E$2:$RK$36,26,M235)+INDEX('ST Forecast'!$E$2:$RK$36,30,M235),"")</f>
        <v>0</v>
      </c>
      <c r="AT235" s="44" cm="1">
        <f t="array" ref="AT235">IFERROR(INDEX('ST Forecast'!$E$2:$RK$36,27,M235)+INDEX('ST Forecast'!$E$2:$RK$36,31,M235),"")</f>
        <v>0</v>
      </c>
      <c r="AU235" s="44" cm="1">
        <f t="array" ref="AU235">IFERROR(INDEX('ST Forecast'!$E$2:$RK$36,28,M235),"")</f>
        <v>0</v>
      </c>
      <c r="AV235" s="44" cm="1">
        <f t="array" ref="AV235">IFERROR(INDEX('ST Forecast'!$E$2:$RK$36,29,M235),"")</f>
        <v>0</v>
      </c>
      <c r="AW235" s="44">
        <f>DB[[#This Row],[Inbound FC]]-DB[[#This Row],[Inbound Act - Ultrafresh2]]</f>
        <v>0</v>
      </c>
      <c r="AX235" s="178" t="e">
        <f>#REF!</f>
        <v>#REF!</v>
      </c>
      <c r="AY235" s="178" t="e">
        <f>#REF!</f>
        <v>#REF!</v>
      </c>
      <c r="AZ235" s="178" t="e">
        <f>#REF!</f>
        <v>#REF!</v>
      </c>
      <c r="BA235" s="178">
        <f>MONTH(DB[[#This Row],[Datum]])</f>
        <v>8</v>
      </c>
    </row>
    <row r="236" spans="1:53" x14ac:dyDescent="0.3">
      <c r="A236" s="44">
        <f t="shared" si="73"/>
        <v>34</v>
      </c>
      <c r="B236" t="str">
        <f t="shared" si="74"/>
        <v>Wk 34</v>
      </c>
      <c r="C236" t="s">
        <v>113</v>
      </c>
      <c r="D236" s="313">
        <v>44795</v>
      </c>
      <c r="E236" s="44">
        <f>DB[[#This Row],[Sales-FC-Orders-Collect]]+DB[[#This Row],[Sales-FC-Orders-HD]]</f>
        <v>2150</v>
      </c>
      <c r="F236" s="402">
        <f>INDEX('LT Collect Forecast'!$K$1:$Q$55,MATCH(B236,'LT Collect Forecast'!$A:$A,0),MATCH(C236,'LT Collect Forecast'!$K$2:$Q$2,0))</f>
        <v>650</v>
      </c>
      <c r="G236" s="44">
        <f>INDEX('LT HD Forecast'!$K$1:$Q$55,MATCH(B236,'LT HD Forecast'!$A:$A,0),MATCH(C236,'LT HD Forecast'!$K$2:$Q$2,0))</f>
        <v>1500</v>
      </c>
      <c r="H236" s="44" cm="1">
        <f t="array" ref="H236">IFERROR(INDEX('ST Forecast'!$E$2:$RK$36,6,M236),"")</f>
        <v>45.144653258443938</v>
      </c>
      <c r="I236" s="44" cm="1">
        <f t="array" ref="I236">IFERROR(INDEX('ST Forecast'!$E$2:$RK$36,7,M236),"")</f>
        <v>47.622442281542725</v>
      </c>
      <c r="J236" s="44">
        <f>SUM(DB[[#This Row],[Sales-FC-Picks-Collect]:[Sales-FC-Picks-HD]])</f>
        <v>100777.68804030264</v>
      </c>
      <c r="K236" s="44">
        <f t="shared" si="69"/>
        <v>29344.024617988558</v>
      </c>
      <c r="L236" s="44">
        <f t="shared" si="70"/>
        <v>71433.663422314086</v>
      </c>
      <c r="M236" s="403">
        <f>IFERROR(IF(B236=B235,M235+1,MATCH(B236,'ST Forecast'!$E$2:$RK$2,0)+1),"")</f>
        <v>266</v>
      </c>
      <c r="N236">
        <f>SUM(DB[[#This Row],[Ops-FC-Orders-Collect]:[Ops-FC-Orders-HD]])</f>
        <v>2200</v>
      </c>
      <c r="O236" s="44" cm="1">
        <f t="array" ref="O236">IFERROR(INDEX('ST Forecast'!$E$2:$RK$36,13,M236),"")</f>
        <v>650</v>
      </c>
      <c r="P236" s="44">
        <f t="shared" si="75"/>
        <v>1550</v>
      </c>
      <c r="Q236" s="44" cm="1">
        <f t="array" ref="Q236">IFERROR(INDEX('ST Forecast'!$E$2:$RK$36,14,M236),"")</f>
        <v>650</v>
      </c>
      <c r="R236" s="44" cm="1">
        <f t="array" ref="R236">IFERROR(INDEX('ST Forecast'!$E$2:$RK$36,15,M236),"")</f>
        <v>900</v>
      </c>
      <c r="S236" s="312">
        <f>SUM(DB[[#This Row],[Ops-FC-Picks-Collect]:[Ops-FC-Picks-HD]])</f>
        <v>101095.63395129217</v>
      </c>
      <c r="T236" s="44">
        <f t="shared" si="76"/>
        <v>28757.144125628787</v>
      </c>
      <c r="U236" s="44">
        <f t="shared" si="77"/>
        <v>72338.48982566339</v>
      </c>
      <c r="V236" s="44">
        <f t="shared" si="78"/>
        <v>30335.495733342716</v>
      </c>
      <c r="W236" s="404">
        <f t="shared" si="79"/>
        <v>42002.994092320681</v>
      </c>
      <c r="X236" s="44">
        <f>SUM(DB[[#This Row],[Capped-Orders-Collect]:[Capped-Orders-HD]])</f>
        <v>90</v>
      </c>
      <c r="Y236">
        <f>INDEX('Operations Forecast'!$A$2:$BGY$47,3,MATCH(DB!D236,'Operations Forecast'!$A$2:$BGY$2))</f>
        <v>0</v>
      </c>
      <c r="Z236">
        <f t="shared" si="80"/>
        <v>90</v>
      </c>
      <c r="AA236">
        <f>INDEX('Operations Forecast'!$A$2:$BGY$47,10,MATCH(DB!D236,'Operations Forecast'!$A$2:$BGY$2))</f>
        <v>90</v>
      </c>
      <c r="AB236">
        <f>INDEX('Operations Forecast'!$A$2:$BGY$47,21,MATCH(DB!D236,'Operations Forecast'!$A$2:$BGY$2))</f>
        <v>0</v>
      </c>
      <c r="AC236" s="312">
        <f>SUM(DB[[#This Row],[Act-Orders-Collect]:[Act-Orders-HD]])</f>
        <v>2060</v>
      </c>
      <c r="AD236" s="858">
        <f>IFERROR(INDEX('Operations Forecast_new'!$7:$7,MATCH(DB[[#This Row],[Datum]],'Operations Forecast_new'!$2:$2,0)),0)</f>
        <v>590</v>
      </c>
      <c r="AE236" s="312">
        <f t="shared" si="81"/>
        <v>1470</v>
      </c>
      <c r="AF236" s="858">
        <f>IFERROR(INDEX('Operations Forecast_new'!$13:$13,MATCH(DB[[#This Row],[Datum]],'Operations Forecast_new'!$2:$2,0)),0)</f>
        <v>617</v>
      </c>
      <c r="AG236" s="858">
        <f>IFERROR(INDEX('Operations Forecast_new'!$19:$19,MATCH(DB[[#This Row],[Datum]],'Operations Forecast_new'!$2:$2,0)),0)</f>
        <v>853</v>
      </c>
      <c r="AH236" s="312">
        <f t="shared" si="71"/>
        <v>99083.16</v>
      </c>
      <c r="AI236" s="858">
        <f>IFERROR(INDEX('Operations Forecast_new'!$9:$9,MATCH(DB[[#This Row],[Datum]],'Operations Forecast_new'!$2:$2,0)),0)</f>
        <v>27627.93</v>
      </c>
      <c r="AJ236" s="312">
        <f t="shared" si="82"/>
        <v>71455.23</v>
      </c>
      <c r="AK236" s="858">
        <f>IFERROR(INDEX('Operations Forecast_new'!$15:$15,MATCH(DB[[#This Row],[Datum]],'Operations Forecast_new'!$2:$2,0)),0)</f>
        <v>29991.753000000001</v>
      </c>
      <c r="AL236" s="858">
        <f>IFERROR(INDEX('Operations Forecast_new'!$21:$21,MATCH(DB[[#This Row],[Datum]],'Operations Forecast_new'!$2:$2,0)),0)</f>
        <v>41463.476999999999</v>
      </c>
      <c r="AM236" s="178">
        <f>IFERROR(INDEX('Operations Forecast_new'!$8:$8,MATCH(DB[[#This Row],[Datum]],'Operations Forecast_new'!$2:$2,0)),0)</f>
        <v>47.3</v>
      </c>
      <c r="AN236" s="859">
        <f>IFERROR(INDEX('Operations Forecast_new'!$20:$20,MATCH(DB[[#This Row],[Datum]],'Operations Forecast_new'!$2:$2,0)),0)</f>
        <v>49.1</v>
      </c>
      <c r="AO236" s="44">
        <f t="shared" si="83"/>
        <v>46.826999999999998</v>
      </c>
      <c r="AP236" s="404">
        <f t="shared" si="84"/>
        <v>48.608999999999995</v>
      </c>
      <c r="AQ236" s="44">
        <f t="shared" si="72"/>
        <v>318432</v>
      </c>
      <c r="AR236" s="44" cm="1">
        <f t="array" ref="AR236">IFERROR(INDEX('ST Forecast'!$E$2:$RK$36,25,M236)+(INDEX('ST Forecast'!$E$2:$RK$36,29,M236)),"")</f>
        <v>130029.5</v>
      </c>
      <c r="AS236" s="44" cm="1">
        <f t="array" ref="AS236">IFERROR(INDEX('ST Forecast'!$E$2:$RK$36,26,M236)+INDEX('ST Forecast'!$E$2:$RK$36,30,M236),"")</f>
        <v>56615.553625587207</v>
      </c>
      <c r="AT236" s="44" cm="1">
        <f t="array" ref="AT236">IFERROR(INDEX('ST Forecast'!$E$2:$RK$36,27,M236)+INDEX('ST Forecast'!$E$2:$RK$36,31,M236),"")</f>
        <v>124290.5</v>
      </c>
      <c r="AU236" s="44" cm="1">
        <f t="array" ref="AU236">IFERROR(INDEX('ST Forecast'!$E$2:$RK$36,28,M236),"")</f>
        <v>7496.4463744127997</v>
      </c>
      <c r="AV236" s="44" cm="1">
        <f t="array" ref="AV236">IFERROR(INDEX('ST Forecast'!$E$2:$RK$36,29,M236),"")</f>
        <v>0</v>
      </c>
      <c r="AW236" s="44">
        <f>DB[[#This Row],[Inbound FC]]-DB[[#This Row],[Inbound Act - Ultrafresh2]]</f>
        <v>318432</v>
      </c>
      <c r="AX236" s="178" t="e">
        <f>#REF!</f>
        <v>#REF!</v>
      </c>
      <c r="AY236" s="178" t="e">
        <f>#REF!</f>
        <v>#REF!</v>
      </c>
      <c r="AZ236" s="178" t="e">
        <f>#REF!</f>
        <v>#REF!</v>
      </c>
      <c r="BA236" s="178">
        <f>MONTH(DB[[#This Row],[Datum]])</f>
        <v>8</v>
      </c>
    </row>
    <row r="237" spans="1:53" x14ac:dyDescent="0.3">
      <c r="A237" s="44">
        <f t="shared" si="73"/>
        <v>34</v>
      </c>
      <c r="B237" t="str">
        <f t="shared" si="74"/>
        <v>Wk 34</v>
      </c>
      <c r="C237" t="s">
        <v>114</v>
      </c>
      <c r="D237" s="313">
        <v>44796</v>
      </c>
      <c r="E237" s="44">
        <f>DB[[#This Row],[Sales-FC-Orders-Collect]]+DB[[#This Row],[Sales-FC-Orders-HD]]</f>
        <v>2300</v>
      </c>
      <c r="F237" s="402">
        <f>INDEX('LT Collect Forecast'!$K$1:$Q$55,MATCH(B237,'LT Collect Forecast'!$A:$A,0),MATCH(C237,'LT Collect Forecast'!$K$2:$Q$2,0))</f>
        <v>500</v>
      </c>
      <c r="G237" s="44">
        <f>INDEX('LT HD Forecast'!$K$1:$Q$55,MATCH(B237,'LT HD Forecast'!$A:$A,0),MATCH(C237,'LT HD Forecast'!$K$2:$Q$2,0))</f>
        <v>1800</v>
      </c>
      <c r="H237" s="44" cm="1">
        <f t="array" ref="H237">IFERROR(INDEX('ST Forecast'!$E$2:$RK$36,6,M237),"")</f>
        <v>42.293376886430394</v>
      </c>
      <c r="I237" s="44" cm="1">
        <f t="array" ref="I237">IFERROR(INDEX('ST Forecast'!$E$2:$RK$36,7,M237),"")</f>
        <v>44.891544622711727</v>
      </c>
      <c r="J237" s="44">
        <f>SUM(DB[[#This Row],[Sales-FC-Picks-Collect]:[Sales-FC-Picks-HD]])</f>
        <v>101951.46876409631</v>
      </c>
      <c r="K237" s="44">
        <f t="shared" si="69"/>
        <v>21146.688443215196</v>
      </c>
      <c r="L237" s="44">
        <f t="shared" si="70"/>
        <v>80804.780320881109</v>
      </c>
      <c r="M237" s="403">
        <f>IFERROR(IF(B237=B236,M236+1,MATCH(B237,'ST Forecast'!$E$2:$RK$2,0)+1),"")</f>
        <v>267</v>
      </c>
      <c r="N237">
        <f>SUM(DB[[#This Row],[Ops-FC-Orders-Collect]:[Ops-FC-Orders-HD]])</f>
        <v>2400</v>
      </c>
      <c r="O237" s="44" cm="1">
        <f t="array" ref="O237">IFERROR(INDEX('ST Forecast'!$E$2:$RK$36,13,M237),"")</f>
        <v>550</v>
      </c>
      <c r="P237" s="44">
        <f t="shared" si="75"/>
        <v>1850</v>
      </c>
      <c r="Q237" s="44" cm="1">
        <f t="array" ref="Q237">IFERROR(INDEX('ST Forecast'!$E$2:$RK$36,14,M237),"")</f>
        <v>950</v>
      </c>
      <c r="R237" s="44" cm="1">
        <f t="array" ref="R237">IFERROR(INDEX('ST Forecast'!$E$2:$RK$36,15,M237),"")</f>
        <v>900</v>
      </c>
      <c r="S237" s="312">
        <f>SUM(DB[[#This Row],[Ops-FC-Picks-Collect]:[Ops-FC-Picks-HD]])</f>
        <v>104184.50054276234</v>
      </c>
      <c r="T237" s="44">
        <f t="shared" si="76"/>
        <v>22796.130141785983</v>
      </c>
      <c r="U237" s="44">
        <f t="shared" si="77"/>
        <v>81388.370400976361</v>
      </c>
      <c r="V237" s="44">
        <f t="shared" si="78"/>
        <v>41794.028043744613</v>
      </c>
      <c r="W237" s="404">
        <f t="shared" si="79"/>
        <v>39594.342357231741</v>
      </c>
      <c r="X237" s="44">
        <f>SUM(DB[[#This Row],[Capped-Orders-Collect]:[Capped-Orders-HD]])</f>
        <v>90</v>
      </c>
      <c r="Y237">
        <f>INDEX('Operations Forecast'!$A$2:$BGY$47,3,MATCH(DB!D237,'Operations Forecast'!$A$2:$BGY$2))</f>
        <v>0</v>
      </c>
      <c r="Z237">
        <f t="shared" si="80"/>
        <v>90</v>
      </c>
      <c r="AA237">
        <f>INDEX('Operations Forecast'!$A$2:$BGY$47,10,MATCH(DB!D237,'Operations Forecast'!$A$2:$BGY$2))</f>
        <v>90</v>
      </c>
      <c r="AB237">
        <f>INDEX('Operations Forecast'!$A$2:$BGY$47,21,MATCH(DB!D237,'Operations Forecast'!$A$2:$BGY$2))</f>
        <v>0</v>
      </c>
      <c r="AC237" s="312">
        <f>SUM(DB[[#This Row],[Act-Orders-Collect]:[Act-Orders-HD]])</f>
        <v>2144</v>
      </c>
      <c r="AD237" s="858">
        <f>IFERROR(INDEX('Operations Forecast_new'!$7:$7,MATCH(DB[[#This Row],[Datum]],'Operations Forecast_new'!$2:$2,0)),0)</f>
        <v>475</v>
      </c>
      <c r="AE237" s="312">
        <f t="shared" si="81"/>
        <v>1669</v>
      </c>
      <c r="AF237" s="858">
        <f>IFERROR(INDEX('Operations Forecast_new'!$13:$13,MATCH(DB[[#This Row],[Datum]],'Operations Forecast_new'!$2:$2,0)),0)</f>
        <v>710</v>
      </c>
      <c r="AG237" s="858">
        <f>IFERROR(INDEX('Operations Forecast_new'!$19:$19,MATCH(DB[[#This Row],[Datum]],'Operations Forecast_new'!$2:$2,0)),0)</f>
        <v>959</v>
      </c>
      <c r="AH237" s="312">
        <f t="shared" si="71"/>
        <v>96065.640000000014</v>
      </c>
      <c r="AI237" s="858">
        <f>IFERROR(INDEX('Operations Forecast_new'!$9:$9,MATCH(DB[[#This Row],[Datum]],'Operations Forecast_new'!$2:$2,0)),0)</f>
        <v>19233.224999999999</v>
      </c>
      <c r="AJ237" s="312">
        <f t="shared" si="82"/>
        <v>76832.415000000008</v>
      </c>
      <c r="AK237" s="858">
        <f>IFERROR(INDEX('Operations Forecast_new'!$15:$15,MATCH(DB[[#This Row],[Datum]],'Operations Forecast_new'!$2:$2,0)),0)</f>
        <v>32684.85</v>
      </c>
      <c r="AL237" s="858">
        <f>IFERROR(INDEX('Operations Forecast_new'!$21:$21,MATCH(DB[[#This Row],[Datum]],'Operations Forecast_new'!$2:$2,0)),0)</f>
        <v>44147.565000000002</v>
      </c>
      <c r="AM237" s="178">
        <f>IFERROR(INDEX('Operations Forecast_new'!$8:$8,MATCH(DB[[#This Row],[Datum]],'Operations Forecast_new'!$2:$2,0)),0)</f>
        <v>40.9</v>
      </c>
      <c r="AN237" s="859">
        <f>IFERROR(INDEX('Operations Forecast_new'!$20:$20,MATCH(DB[[#This Row],[Datum]],'Operations Forecast_new'!$2:$2,0)),0)</f>
        <v>46.5</v>
      </c>
      <c r="AO237" s="44">
        <f t="shared" si="83"/>
        <v>40.491</v>
      </c>
      <c r="AP237" s="404">
        <f t="shared" si="84"/>
        <v>46.035000000000004</v>
      </c>
      <c r="AQ237" s="44">
        <f t="shared" si="72"/>
        <v>135419.5022058539</v>
      </c>
      <c r="AR237" s="44" cm="1">
        <f t="array" ref="AR237">IFERROR(INDEX('ST Forecast'!$E$2:$RK$36,25,M237)+(INDEX('ST Forecast'!$E$2:$RK$36,29,M237)),"")</f>
        <v>61770.671999999999</v>
      </c>
      <c r="AS237" s="44" cm="1">
        <f t="array" ref="AS237">IFERROR(INDEX('ST Forecast'!$E$2:$RK$36,26,M237)+INDEX('ST Forecast'!$E$2:$RK$36,30,M237),"")</f>
        <v>59686.613369909559</v>
      </c>
      <c r="AT237" s="44" cm="1">
        <f t="array" ref="AT237">IFERROR(INDEX('ST Forecast'!$E$2:$RK$36,27,M237)+INDEX('ST Forecast'!$E$2:$RK$36,31,M237),"")</f>
        <v>5917.8302058539102</v>
      </c>
      <c r="AU237" s="44" cm="1">
        <f t="array" ref="AU237">IFERROR(INDEX('ST Forecast'!$E$2:$RK$36,28,M237),"")</f>
        <v>8044.3866300904419</v>
      </c>
      <c r="AV237" s="44" cm="1">
        <f t="array" ref="AV237">IFERROR(INDEX('ST Forecast'!$E$2:$RK$36,29,M237),"")</f>
        <v>0</v>
      </c>
      <c r="AW237" s="44">
        <f>DB[[#This Row],[Inbound FC]]-DB[[#This Row],[Inbound Act - Ultrafresh2]]</f>
        <v>135419.5022058539</v>
      </c>
      <c r="AX237" s="178" t="e">
        <f>#REF!</f>
        <v>#REF!</v>
      </c>
      <c r="AY237" s="178" t="e">
        <f>#REF!</f>
        <v>#REF!</v>
      </c>
      <c r="AZ237" s="178" t="e">
        <f>#REF!</f>
        <v>#REF!</v>
      </c>
      <c r="BA237" s="178">
        <f>MONTH(DB[[#This Row],[Datum]])</f>
        <v>8</v>
      </c>
    </row>
    <row r="238" spans="1:53" x14ac:dyDescent="0.3">
      <c r="A238" s="44">
        <f t="shared" si="73"/>
        <v>34</v>
      </c>
      <c r="B238" t="str">
        <f t="shared" si="74"/>
        <v>Wk 34</v>
      </c>
      <c r="C238" t="s">
        <v>115</v>
      </c>
      <c r="D238" s="313">
        <v>44797</v>
      </c>
      <c r="E238" s="44">
        <f>DB[[#This Row],[Sales-FC-Orders-Collect]]+DB[[#This Row],[Sales-FC-Orders-HD]]</f>
        <v>2300</v>
      </c>
      <c r="F238" s="402">
        <f>INDEX('LT Collect Forecast'!$K$1:$Q$55,MATCH(B238,'LT Collect Forecast'!$A:$A,0),MATCH(C238,'LT Collect Forecast'!$K$2:$Q$2,0))</f>
        <v>500</v>
      </c>
      <c r="G238" s="44">
        <f>INDEX('LT HD Forecast'!$K$1:$Q$55,MATCH(B238,'LT HD Forecast'!$A:$A,0),MATCH(C238,'LT HD Forecast'!$K$2:$Q$2,0))</f>
        <v>1800</v>
      </c>
      <c r="H238" s="44" cm="1">
        <f t="array" ref="H238">IFERROR(INDEX('ST Forecast'!$E$2:$RK$36,6,M238),"")</f>
        <v>41.371771604797836</v>
      </c>
      <c r="I238" s="44" cm="1">
        <f t="array" ref="I238">IFERROR(INDEX('ST Forecast'!$E$2:$RK$36,7,M238),"")</f>
        <v>45.894619073678342</v>
      </c>
      <c r="J238" s="44">
        <f>SUM(DB[[#This Row],[Sales-FC-Picks-Collect]:[Sales-FC-Picks-HD]])</f>
        <v>103296.20013501993</v>
      </c>
      <c r="K238" s="44">
        <f t="shared" si="69"/>
        <v>20685.88580239892</v>
      </c>
      <c r="L238" s="44">
        <f t="shared" si="70"/>
        <v>82610.314332621012</v>
      </c>
      <c r="M238" s="403">
        <f>IFERROR(IF(B238=B237,M237+1,MATCH(B238,'ST Forecast'!$E$2:$RK$2,0)+1),"")</f>
        <v>268</v>
      </c>
      <c r="N238">
        <f>SUM(DB[[#This Row],[Ops-FC-Orders-Collect]:[Ops-FC-Orders-HD]])</f>
        <v>2400</v>
      </c>
      <c r="O238" s="44" cm="1">
        <f t="array" ref="O238">IFERROR(INDEX('ST Forecast'!$E$2:$RK$36,13,M238),"")</f>
        <v>550</v>
      </c>
      <c r="P238" s="44">
        <f t="shared" si="75"/>
        <v>1850</v>
      </c>
      <c r="Q238" s="44" cm="1">
        <f t="array" ref="Q238">IFERROR(INDEX('ST Forecast'!$E$2:$RK$36,14,M238),"")</f>
        <v>950</v>
      </c>
      <c r="R238" s="44" cm="1">
        <f t="array" ref="R238">IFERROR(INDEX('ST Forecast'!$E$2:$RK$36,15,M238),"")</f>
        <v>900</v>
      </c>
      <c r="S238" s="312">
        <f>SUM(DB[[#This Row],[Ops-FC-Picks-Collect]:[Ops-FC-Picks-HD]])</f>
        <v>105506.32927556487</v>
      </c>
      <c r="T238" s="44">
        <f t="shared" si="76"/>
        <v>22299.384894986033</v>
      </c>
      <c r="U238" s="44">
        <f t="shared" si="77"/>
        <v>83206.944380578832</v>
      </c>
      <c r="V238" s="44">
        <f t="shared" si="78"/>
        <v>42727.890357594537</v>
      </c>
      <c r="W238" s="404">
        <f t="shared" si="79"/>
        <v>40479.054022984295</v>
      </c>
      <c r="X238" s="44">
        <f>SUM(DB[[#This Row],[Capped-Orders-Collect]:[Capped-Orders-HD]])</f>
        <v>90</v>
      </c>
      <c r="Y238">
        <f>INDEX('Operations Forecast'!$A$2:$BGY$47,3,MATCH(DB!D238,'Operations Forecast'!$A$2:$BGY$2))</f>
        <v>0</v>
      </c>
      <c r="Z238">
        <f t="shared" si="80"/>
        <v>90</v>
      </c>
      <c r="AA238">
        <f>INDEX('Operations Forecast'!$A$2:$BGY$47,10,MATCH(DB!D238,'Operations Forecast'!$A$2:$BGY$2))</f>
        <v>90</v>
      </c>
      <c r="AB238">
        <f>INDEX('Operations Forecast'!$A$2:$BGY$47,21,MATCH(DB!D238,'Operations Forecast'!$A$2:$BGY$2))</f>
        <v>0</v>
      </c>
      <c r="AC238" s="312">
        <f>SUM(DB[[#This Row],[Act-Orders-Collect]:[Act-Orders-HD]])</f>
        <v>2225</v>
      </c>
      <c r="AD238" s="858">
        <f>IFERROR(INDEX('Operations Forecast_new'!$7:$7,MATCH(DB[[#This Row],[Datum]],'Operations Forecast_new'!$2:$2,0)),0)</f>
        <v>489</v>
      </c>
      <c r="AE238" s="312">
        <f t="shared" si="81"/>
        <v>1736</v>
      </c>
      <c r="AF238" s="858">
        <f>IFERROR(INDEX('Operations Forecast_new'!$13:$13,MATCH(DB[[#This Row],[Datum]],'Operations Forecast_new'!$2:$2,0)),0)</f>
        <v>851</v>
      </c>
      <c r="AG238" s="858">
        <f>IFERROR(INDEX('Operations Forecast_new'!$19:$19,MATCH(DB[[#This Row],[Datum]],'Operations Forecast_new'!$2:$2,0)),0)</f>
        <v>885</v>
      </c>
      <c r="AH238" s="312">
        <f t="shared" si="71"/>
        <v>99954.063000000009</v>
      </c>
      <c r="AI238" s="858">
        <f>IFERROR(INDEX('Operations Forecast_new'!$9:$9,MATCH(DB[[#This Row],[Datum]],'Operations Forecast_new'!$2:$2,0)),0)</f>
        <v>20381.031000000003</v>
      </c>
      <c r="AJ238" s="312">
        <f t="shared" si="82"/>
        <v>79573.032000000007</v>
      </c>
      <c r="AK238" s="858">
        <f>IFERROR(INDEX('Operations Forecast_new'!$15:$15,MATCH(DB[[#This Row],[Datum]],'Operations Forecast_new'!$2:$2,0)),0)</f>
        <v>39007.286999999997</v>
      </c>
      <c r="AL238" s="858">
        <f>IFERROR(INDEX('Operations Forecast_new'!$21:$21,MATCH(DB[[#This Row],[Datum]],'Operations Forecast_new'!$2:$2,0)),0)</f>
        <v>40565.745000000003</v>
      </c>
      <c r="AM238" s="178">
        <f>IFERROR(INDEX('Operations Forecast_new'!$8:$8,MATCH(DB[[#This Row],[Datum]],'Operations Forecast_new'!$2:$2,0)),0)</f>
        <v>42.1</v>
      </c>
      <c r="AN238" s="859">
        <f>IFERROR(INDEX('Operations Forecast_new'!$20:$20,MATCH(DB[[#This Row],[Datum]],'Operations Forecast_new'!$2:$2,0)),0)</f>
        <v>46.3</v>
      </c>
      <c r="AO238" s="44">
        <f t="shared" si="83"/>
        <v>41.679000000000002</v>
      </c>
      <c r="AP238" s="404">
        <f t="shared" si="84"/>
        <v>45.837000000000003</v>
      </c>
      <c r="AQ238" s="44">
        <f t="shared" si="72"/>
        <v>117599.753148121</v>
      </c>
      <c r="AR238" s="44" cm="1">
        <f t="array" ref="AR238">IFERROR(INDEX('ST Forecast'!$E$2:$RK$36,25,M238)+(INDEX('ST Forecast'!$E$2:$RK$36,29,M238)),"")</f>
        <v>54262.559999999998</v>
      </c>
      <c r="AS238" s="44" cm="1">
        <f t="array" ref="AS238">IFERROR(INDEX('ST Forecast'!$E$2:$RK$36,26,M238)+INDEX('ST Forecast'!$E$2:$RK$36,30,M238),"")</f>
        <v>46937.857689194796</v>
      </c>
      <c r="AT238" s="44" cm="1">
        <f t="array" ref="AT238">IFERROR(INDEX('ST Forecast'!$E$2:$RK$36,27,M238)+INDEX('ST Forecast'!$E$2:$RK$36,31,M238),"")</f>
        <v>9074.633148121</v>
      </c>
      <c r="AU238" s="44" cm="1">
        <f t="array" ref="AU238">IFERROR(INDEX('ST Forecast'!$E$2:$RK$36,28,M238),"")</f>
        <v>7324.7023108052017</v>
      </c>
      <c r="AV238" s="44" cm="1">
        <f t="array" ref="AV238">IFERROR(INDEX('ST Forecast'!$E$2:$RK$36,29,M238),"")</f>
        <v>0</v>
      </c>
      <c r="AW238" s="44">
        <f>DB[[#This Row],[Inbound FC]]-DB[[#This Row],[Inbound Act - Ultrafresh2]]</f>
        <v>117599.753148121</v>
      </c>
      <c r="AX238" s="178" t="e">
        <f>#REF!</f>
        <v>#REF!</v>
      </c>
      <c r="AY238" s="178" t="e">
        <f>#REF!</f>
        <v>#REF!</v>
      </c>
      <c r="AZ238" s="178" t="e">
        <f>#REF!</f>
        <v>#REF!</v>
      </c>
      <c r="BA238" s="178">
        <f>MONTH(DB[[#This Row],[Datum]])</f>
        <v>8</v>
      </c>
    </row>
    <row r="239" spans="1:53" x14ac:dyDescent="0.3">
      <c r="A239" s="44">
        <f t="shared" si="73"/>
        <v>34</v>
      </c>
      <c r="B239" t="str">
        <f t="shared" si="74"/>
        <v>Wk 34</v>
      </c>
      <c r="C239" t="s">
        <v>116</v>
      </c>
      <c r="D239" s="313">
        <v>44798</v>
      </c>
      <c r="E239" s="44">
        <f>DB[[#This Row],[Sales-FC-Orders-Collect]]+DB[[#This Row],[Sales-FC-Orders-HD]]</f>
        <v>2400</v>
      </c>
      <c r="F239" s="402" cm="1">
        <f t="array" ref="F239">INDEX('LT Collect Forecast'!$K$1:$Q$55,MATCH(B239,'LT Collect Forecast'!$A:$A,0)+1,MATCH(C239,'LT Collect Forecast'!$K$2:$Q$2,0))</f>
        <v>550</v>
      </c>
      <c r="G239" s="44" cm="1">
        <f t="array" ref="G239">INDEX('LT HD Forecast'!$K$1:$Q$55,MATCH(B239,'LT HD Forecast'!$A:$A,0)+1,MATCH(C239,'LT HD Forecast'!$K$2:$Q$2,0))</f>
        <v>1850</v>
      </c>
      <c r="H239" s="44" cm="1">
        <f t="array" ref="H239">IFERROR(INDEX('ST Forecast'!$E$2:$RK$36,6,M239),"")</f>
        <v>43.849245165510688</v>
      </c>
      <c r="I239" s="44" cm="1">
        <f t="array" ref="I239">IFERROR(INDEX('ST Forecast'!$E$2:$RK$36,7,M239),"")</f>
        <v>47.755297664776151</v>
      </c>
      <c r="J239" s="44">
        <f>SUM(DB[[#This Row],[Sales-FC-Picks-Collect]:[Sales-FC-Picks-HD]])</f>
        <v>112464.38552086677</v>
      </c>
      <c r="K239" s="44">
        <f t="shared" si="69"/>
        <v>24117.084841030879</v>
      </c>
      <c r="L239" s="44">
        <f t="shared" si="70"/>
        <v>88347.300679835884</v>
      </c>
      <c r="M239" s="403">
        <f>IFERROR(IF(B239=B238,M238+1,MATCH(B239,'ST Forecast'!$E$2:$RK$2,0)+1),"")</f>
        <v>269</v>
      </c>
      <c r="N239">
        <f>SUM(DB[[#This Row],[Ops-FC-Orders-Collect]:[Ops-FC-Orders-HD]])</f>
        <v>2375</v>
      </c>
      <c r="O239" s="44" cm="1">
        <f t="array" ref="O239">IFERROR(INDEX('ST Forecast'!$E$2:$RK$36,13,M239),"")</f>
        <v>550</v>
      </c>
      <c r="P239" s="44">
        <f t="shared" si="75"/>
        <v>1825</v>
      </c>
      <c r="Q239" s="44" cm="1">
        <f t="array" ref="Q239">IFERROR(INDEX('ST Forecast'!$E$2:$RK$36,14,M239),"")</f>
        <v>925</v>
      </c>
      <c r="R239" s="44" cm="1">
        <f t="array" ref="R239">IFERROR(INDEX('ST Forecast'!$E$2:$RK$36,15,M239),"")</f>
        <v>900</v>
      </c>
      <c r="S239" s="312">
        <f>SUM(DB[[#This Row],[Ops-FC-Picks-Collect]:[Ops-FC-Picks-HD]])</f>
        <v>109045.09301766241</v>
      </c>
      <c r="T239" s="44">
        <f t="shared" si="76"/>
        <v>23634.743144210261</v>
      </c>
      <c r="U239" s="44">
        <f t="shared" si="77"/>
        <v>85410.349873452156</v>
      </c>
      <c r="V239" s="44">
        <f t="shared" si="78"/>
        <v>43290.17733311958</v>
      </c>
      <c r="W239" s="404">
        <f t="shared" si="79"/>
        <v>42120.172540332569</v>
      </c>
      <c r="X239" s="44">
        <f>SUM(DB[[#This Row],[Capped-Orders-Collect]:[Capped-Orders-HD]])</f>
        <v>90</v>
      </c>
      <c r="Y239">
        <f>INDEX('Operations Forecast'!$A$2:$BGY$47,3,MATCH(DB!D239,'Operations Forecast'!$A$2:$BGY$2))</f>
        <v>0</v>
      </c>
      <c r="Z239">
        <f t="shared" si="80"/>
        <v>90</v>
      </c>
      <c r="AA239">
        <f>INDEX('Operations Forecast'!$A$2:$BGY$47,10,MATCH(DB!D239,'Operations Forecast'!$A$2:$BGY$2))</f>
        <v>90</v>
      </c>
      <c r="AB239">
        <f>INDEX('Operations Forecast'!$A$2:$BGY$47,21,MATCH(DB!D239,'Operations Forecast'!$A$2:$BGY$2))</f>
        <v>0</v>
      </c>
      <c r="AC239" s="312">
        <f>SUM(DB[[#This Row],[Act-Orders-Collect]:[Act-Orders-HD]])</f>
        <v>2128</v>
      </c>
      <c r="AD239" s="858">
        <f>IFERROR(INDEX('Operations Forecast_new'!$7:$7,MATCH(DB[[#This Row],[Datum]],'Operations Forecast_new'!$2:$2,0)),0)</f>
        <v>500</v>
      </c>
      <c r="AE239" s="312">
        <f t="shared" si="81"/>
        <v>1628</v>
      </c>
      <c r="AF239" s="858">
        <f>IFERROR(INDEX('Operations Forecast_new'!$13:$13,MATCH(DB[[#This Row],[Datum]],'Operations Forecast_new'!$2:$2,0)),0)</f>
        <v>757</v>
      </c>
      <c r="AG239" s="858">
        <f>IFERROR(INDEX('Operations Forecast_new'!$19:$19,MATCH(DB[[#This Row],[Datum]],'Operations Forecast_new'!$2:$2,0)),0)</f>
        <v>871</v>
      </c>
      <c r="AH239" s="312">
        <f t="shared" si="71"/>
        <v>98573.90400000001</v>
      </c>
      <c r="AI239" s="858">
        <f>IFERROR(INDEX('Operations Forecast_new'!$9:$9,MATCH(DB[[#This Row],[Datum]],'Operations Forecast_new'!$2:$2,0)),0)</f>
        <v>20889</v>
      </c>
      <c r="AJ239" s="312">
        <f t="shared" si="82"/>
        <v>77684.90400000001</v>
      </c>
      <c r="AK239" s="858">
        <f>IFERROR(INDEX('Operations Forecast_new'!$15:$15,MATCH(DB[[#This Row],[Datum]],'Operations Forecast_new'!$2:$2,0)),0)</f>
        <v>36122.525999999998</v>
      </c>
      <c r="AL239" s="858">
        <f>IFERROR(INDEX('Operations Forecast_new'!$21:$21,MATCH(DB[[#This Row],[Datum]],'Operations Forecast_new'!$2:$2,0)),0)</f>
        <v>41562.378000000004</v>
      </c>
      <c r="AM239" s="178">
        <f>IFERROR(INDEX('Operations Forecast_new'!$8:$8,MATCH(DB[[#This Row],[Datum]],'Operations Forecast_new'!$2:$2,0)),0)</f>
        <v>42.2</v>
      </c>
      <c r="AN239" s="859">
        <f>IFERROR(INDEX('Operations Forecast_new'!$20:$20,MATCH(DB[[#This Row],[Datum]],'Operations Forecast_new'!$2:$2,0)),0)</f>
        <v>48.2</v>
      </c>
      <c r="AO239" s="44">
        <f t="shared" si="83"/>
        <v>41.777999999999999</v>
      </c>
      <c r="AP239" s="404">
        <f t="shared" si="84"/>
        <v>47.718000000000004</v>
      </c>
      <c r="AQ239" s="44">
        <f t="shared" si="72"/>
        <v>121717.9018788455</v>
      </c>
      <c r="AR239" s="44" cm="1">
        <f t="array" ref="AR239">IFERROR(INDEX('ST Forecast'!$E$2:$RK$36,25,M239)+(INDEX('ST Forecast'!$E$2:$RK$36,29,M239)),"")</f>
        <v>49477.09</v>
      </c>
      <c r="AS239" s="44" cm="1">
        <f t="array" ref="AS239">IFERROR(INDEX('ST Forecast'!$E$2:$RK$36,26,M239)+INDEX('ST Forecast'!$E$2:$RK$36,30,M239),"")</f>
        <v>52300.87662625112</v>
      </c>
      <c r="AT239" s="44" cm="1">
        <f t="array" ref="AT239">IFERROR(INDEX('ST Forecast'!$E$2:$RK$36,27,M239)+INDEX('ST Forecast'!$E$2:$RK$36,31,M239),"")</f>
        <v>11717.673878845495</v>
      </c>
      <c r="AU239" s="44" cm="1">
        <f t="array" ref="AU239">IFERROR(INDEX('ST Forecast'!$E$2:$RK$36,28,M239),"")</f>
        <v>8222.2613737488846</v>
      </c>
      <c r="AV239" s="44" cm="1">
        <f t="array" ref="AV239">IFERROR(INDEX('ST Forecast'!$E$2:$RK$36,29,M239),"")</f>
        <v>0</v>
      </c>
      <c r="AW239" s="44">
        <f>DB[[#This Row],[Inbound FC]]-DB[[#This Row],[Inbound Act - Ultrafresh2]]</f>
        <v>121717.9018788455</v>
      </c>
      <c r="AX239" s="178" t="e">
        <f>#REF!</f>
        <v>#REF!</v>
      </c>
      <c r="AY239" s="178" t="e">
        <f>#REF!</f>
        <v>#REF!</v>
      </c>
      <c r="AZ239" s="178" t="e">
        <f>#REF!</f>
        <v>#REF!</v>
      </c>
      <c r="BA239" s="178">
        <f>MONTH(DB[[#This Row],[Datum]])</f>
        <v>8</v>
      </c>
    </row>
    <row r="240" spans="1:53" x14ac:dyDescent="0.3">
      <c r="A240" s="44">
        <f t="shared" si="73"/>
        <v>34</v>
      </c>
      <c r="B240" t="str">
        <f t="shared" si="74"/>
        <v>Wk 34</v>
      </c>
      <c r="C240" t="s">
        <v>117</v>
      </c>
      <c r="D240" s="313">
        <v>44799</v>
      </c>
      <c r="E240" s="44">
        <f>DB[[#This Row],[Sales-FC-Orders-Collect]]+DB[[#This Row],[Sales-FC-Orders-HD]]</f>
        <v>3200</v>
      </c>
      <c r="F240" s="402" cm="1">
        <f t="array" ref="F240">INDEX('LT Collect Forecast'!$K$1:$Q$55,MATCH(B240,'LT Collect Forecast'!$A:$A,0)+1,MATCH(C240,'LT Collect Forecast'!$K$2:$Q$2,0))</f>
        <v>1100</v>
      </c>
      <c r="G240" s="44" cm="1">
        <f t="array" ref="G240">INDEX('LT HD Forecast'!$K$1:$Q$55,MATCH(B240,'LT HD Forecast'!$A:$A,0)+1,MATCH(C240,'LT HD Forecast'!$K$2:$Q$2,0))</f>
        <v>2100</v>
      </c>
      <c r="H240" s="44" cm="1">
        <f t="array" ref="H240">IFERROR(INDEX('ST Forecast'!$E$2:$RK$36,6,M240),"")</f>
        <v>50.404027259566632</v>
      </c>
      <c r="I240" s="44" cm="1">
        <f t="array" ref="I240">IFERROR(INDEX('ST Forecast'!$E$2:$RK$36,7,M240),"")</f>
        <v>50.216137715264018</v>
      </c>
      <c r="J240" s="44">
        <f>SUM(DB[[#This Row],[Sales-FC-Picks-Collect]:[Sales-FC-Picks-HD]])</f>
        <v>160898.31918757776</v>
      </c>
      <c r="K240" s="44">
        <f t="shared" si="69"/>
        <v>55444.429985523297</v>
      </c>
      <c r="L240" s="44">
        <f t="shared" si="70"/>
        <v>105453.88920205444</v>
      </c>
      <c r="M240" s="403">
        <f>IFERROR(IF(B240=B239,M239+1,MATCH(B240,'ST Forecast'!$E$2:$RK$2,0)+1),"")</f>
        <v>270</v>
      </c>
      <c r="N240">
        <f>SUM(DB[[#This Row],[Ops-FC-Orders-Collect]:[Ops-FC-Orders-HD]])</f>
        <v>3200</v>
      </c>
      <c r="O240" s="44" cm="1">
        <f t="array" ref="O240">IFERROR(INDEX('ST Forecast'!$E$2:$RK$36,13,M240),"")</f>
        <v>1100</v>
      </c>
      <c r="P240" s="44">
        <f t="shared" si="75"/>
        <v>2100</v>
      </c>
      <c r="Q240" s="44" cm="1">
        <f t="array" ref="Q240">IFERROR(INDEX('ST Forecast'!$E$2:$RK$36,14,M240),"")</f>
        <v>1100</v>
      </c>
      <c r="R240" s="44" cm="1">
        <f t="array" ref="R240">IFERROR(INDEX('ST Forecast'!$E$2:$RK$36,15,M240),"")</f>
        <v>1000</v>
      </c>
      <c r="S240" s="312">
        <f>SUM(DB[[#This Row],[Ops-FC-Picks-Collect]:[Ops-FC-Picks-HD]])</f>
        <v>157680.35280382619</v>
      </c>
      <c r="T240" s="44">
        <f t="shared" si="76"/>
        <v>54335.54138581283</v>
      </c>
      <c r="U240" s="44">
        <f t="shared" si="77"/>
        <v>103344.81141801336</v>
      </c>
      <c r="V240" s="44">
        <f t="shared" si="78"/>
        <v>54132.996457054607</v>
      </c>
      <c r="W240" s="404">
        <f t="shared" si="79"/>
        <v>49211.814960958742</v>
      </c>
      <c r="X240" s="44">
        <f>SUM(DB[[#This Row],[Capped-Orders-Collect]:[Capped-Orders-HD]])</f>
        <v>90</v>
      </c>
      <c r="Y240">
        <f>INDEX('Operations Forecast'!$A$2:$BGY$47,3,MATCH(DB!D240,'Operations Forecast'!$A$2:$BGY$2))</f>
        <v>0</v>
      </c>
      <c r="Z240">
        <f t="shared" si="80"/>
        <v>90</v>
      </c>
      <c r="AA240">
        <f>INDEX('Operations Forecast'!$A$2:$BGY$47,10,MATCH(DB!D240,'Operations Forecast'!$A$2:$BGY$2))</f>
        <v>90</v>
      </c>
      <c r="AB240">
        <f>INDEX('Operations Forecast'!$A$2:$BGY$47,21,MATCH(DB!D240,'Operations Forecast'!$A$2:$BGY$2))</f>
        <v>0</v>
      </c>
      <c r="AC240" s="312">
        <f>SUM(DB[[#This Row],[Act-Orders-Collect]:[Act-Orders-HD]])</f>
        <v>2950</v>
      </c>
      <c r="AD240" s="858">
        <f>IFERROR(INDEX('Operations Forecast_new'!$7:$7,MATCH(DB[[#This Row],[Datum]],'Operations Forecast_new'!$2:$2,0)),0)</f>
        <v>1000</v>
      </c>
      <c r="AE240" s="312">
        <f t="shared" si="81"/>
        <v>1950</v>
      </c>
      <c r="AF240" s="858">
        <f>IFERROR(INDEX('Operations Forecast_new'!$13:$13,MATCH(DB[[#This Row],[Datum]],'Operations Forecast_new'!$2:$2,0)),0)</f>
        <v>1000</v>
      </c>
      <c r="AG240" s="858">
        <f>IFERROR(INDEX('Operations Forecast_new'!$19:$19,MATCH(DB[[#This Row],[Datum]],'Operations Forecast_new'!$2:$2,0)),0)</f>
        <v>950</v>
      </c>
      <c r="AH240" s="312">
        <f t="shared" si="71"/>
        <v>151489.79999999999</v>
      </c>
      <c r="AI240" s="858">
        <f>IFERROR(INDEX('Operations Forecast_new'!$9:$9,MATCH(DB[[#This Row],[Datum]],'Operations Forecast_new'!$2:$2,0)),0)</f>
        <v>51876</v>
      </c>
      <c r="AJ240" s="312">
        <f t="shared" si="82"/>
        <v>99613.8</v>
      </c>
      <c r="AK240" s="858">
        <f>IFERROR(INDEX('Operations Forecast_new'!$15:$15,MATCH(DB[[#This Row],[Datum]],'Operations Forecast_new'!$2:$2,0)),0)</f>
        <v>51084</v>
      </c>
      <c r="AL240" s="858">
        <f>IFERROR(INDEX('Operations Forecast_new'!$21:$21,MATCH(DB[[#This Row],[Datum]],'Operations Forecast_new'!$2:$2,0)),0)</f>
        <v>48529.8</v>
      </c>
      <c r="AM240" s="178">
        <f>IFERROR(INDEX('Operations Forecast_new'!$8:$8,MATCH(DB[[#This Row],[Datum]],'Operations Forecast_new'!$2:$2,0)),0)</f>
        <v>52.4</v>
      </c>
      <c r="AN240" s="859">
        <f>IFERROR(INDEX('Operations Forecast_new'!$20:$20,MATCH(DB[[#This Row],[Datum]],'Operations Forecast_new'!$2:$2,0)),0)</f>
        <v>51.6</v>
      </c>
      <c r="AO240" s="44">
        <f t="shared" si="83"/>
        <v>51.875999999999998</v>
      </c>
      <c r="AP240" s="404">
        <f t="shared" si="84"/>
        <v>51.084000000000003</v>
      </c>
      <c r="AQ240" s="44">
        <f t="shared" si="72"/>
        <v>116074.57309521419</v>
      </c>
      <c r="AR240" s="44" cm="1">
        <f t="array" ref="AR240">IFERROR(INDEX('ST Forecast'!$E$2:$RK$36,25,M240)+(INDEX('ST Forecast'!$E$2:$RK$36,29,M240)),"")</f>
        <v>47141.066000000006</v>
      </c>
      <c r="AS240" s="44" cm="1">
        <f t="array" ref="AS240">IFERROR(INDEX('ST Forecast'!$E$2:$RK$36,26,M240)+INDEX('ST Forecast'!$E$2:$RK$36,30,M240),"")</f>
        <v>55675.474575062224</v>
      </c>
      <c r="AT240" s="44" cm="1">
        <f t="array" ref="AT240">IFERROR(INDEX('ST Forecast'!$E$2:$RK$36,27,M240)+INDEX('ST Forecast'!$E$2:$RK$36,31,M240),"")</f>
        <v>5072.4570952141803</v>
      </c>
      <c r="AU240" s="44" cm="1">
        <f t="array" ref="AU240">IFERROR(INDEX('ST Forecast'!$E$2:$RK$36,28,M240),"")</f>
        <v>8185.5754249377815</v>
      </c>
      <c r="AV240" s="44" cm="1">
        <f t="array" ref="AV240">IFERROR(INDEX('ST Forecast'!$E$2:$RK$36,29,M240),"")</f>
        <v>0</v>
      </c>
      <c r="AW240" s="44">
        <f>DB[[#This Row],[Inbound FC]]-DB[[#This Row],[Inbound Act - Ultrafresh2]]</f>
        <v>116074.57309521419</v>
      </c>
      <c r="AX240" s="178" t="e">
        <f>#REF!</f>
        <v>#REF!</v>
      </c>
      <c r="AY240" s="178" t="e">
        <f>#REF!</f>
        <v>#REF!</v>
      </c>
      <c r="AZ240" s="178" t="e">
        <f>#REF!</f>
        <v>#REF!</v>
      </c>
      <c r="BA240" s="178">
        <f>MONTH(DB[[#This Row],[Datum]])</f>
        <v>8</v>
      </c>
    </row>
    <row r="241" spans="1:53" x14ac:dyDescent="0.3">
      <c r="A241" s="44">
        <f t="shared" si="73"/>
        <v>34</v>
      </c>
      <c r="B241" t="str">
        <f t="shared" si="74"/>
        <v>Wk 34</v>
      </c>
      <c r="C241" t="s">
        <v>118</v>
      </c>
      <c r="D241" s="313">
        <v>44800</v>
      </c>
      <c r="E241" s="44">
        <f>DB[[#This Row],[Sales-FC-Orders-Collect]]+DB[[#This Row],[Sales-FC-Orders-HD]]</f>
        <v>2900</v>
      </c>
      <c r="F241" s="402" cm="1">
        <f t="array" ref="F241">INDEX('LT Collect Forecast'!$K$1:$Q$55,MATCH(B241,'LT Collect Forecast'!$A:$A,0)+1,MATCH(C241,'LT Collect Forecast'!$K$2:$Q$2,0))</f>
        <v>1050</v>
      </c>
      <c r="G241" s="44" cm="1">
        <f t="array" ref="G241">INDEX('LT HD Forecast'!$K$1:$Q$55,MATCH(B241,'LT HD Forecast'!$A:$A,0)+1,MATCH(C241,'LT HD Forecast'!$K$2:$Q$2,0))</f>
        <v>1850</v>
      </c>
      <c r="H241" s="44" cm="1">
        <f t="array" ref="H241">IFERROR(INDEX('ST Forecast'!$E$2:$RK$36,6,M241),"")</f>
        <v>49.898258824181696</v>
      </c>
      <c r="I241" s="44" cm="1">
        <f t="array" ref="I241">IFERROR(INDEX('ST Forecast'!$E$2:$RK$36,7,M241),"")</f>
        <v>50.104069675585002</v>
      </c>
      <c r="J241" s="44">
        <f>SUM(DB[[#This Row],[Sales-FC-Picks-Collect]:[Sales-FC-Picks-HD]])</f>
        <v>145085.70066522303</v>
      </c>
      <c r="K241" s="44">
        <f t="shared" si="69"/>
        <v>52393.171765390784</v>
      </c>
      <c r="L241" s="44">
        <f t="shared" si="70"/>
        <v>92692.52889983225</v>
      </c>
      <c r="M241" s="403">
        <f>IFERROR(IF(B241=B240,M240+1,MATCH(B241,'ST Forecast'!$E$2:$RK$2,0)+1),"")</f>
        <v>271</v>
      </c>
      <c r="N241">
        <f>SUM(DB[[#This Row],[Ops-FC-Orders-Collect]:[Ops-FC-Orders-HD]])</f>
        <v>2900</v>
      </c>
      <c r="O241" s="44" cm="1">
        <f t="array" ref="O241">IFERROR(INDEX('ST Forecast'!$E$2:$RK$36,13,M241),"")</f>
        <v>1050</v>
      </c>
      <c r="P241" s="44">
        <f t="shared" si="75"/>
        <v>1850</v>
      </c>
      <c r="Q241" s="44" cm="1">
        <f t="array" ref="Q241">IFERROR(INDEX('ST Forecast'!$E$2:$RK$36,14,M241),"")</f>
        <v>1050</v>
      </c>
      <c r="R241" s="44" cm="1">
        <f t="array" ref="R241">IFERROR(INDEX('ST Forecast'!$E$2:$RK$36,15,M241),"")</f>
        <v>800</v>
      </c>
      <c r="S241" s="312">
        <f>SUM(DB[[#This Row],[Ops-FC-Picks-Collect]:[Ops-FC-Picks-HD]])</f>
        <v>142183.98665191859</v>
      </c>
      <c r="T241" s="44">
        <f t="shared" si="76"/>
        <v>51345.308330082968</v>
      </c>
      <c r="U241" s="44">
        <f t="shared" si="77"/>
        <v>90838.678321835614</v>
      </c>
      <c r="V241" s="44">
        <f t="shared" si="78"/>
        <v>51557.087696176968</v>
      </c>
      <c r="W241" s="404">
        <f t="shared" si="79"/>
        <v>39281.590625658646</v>
      </c>
      <c r="X241" s="44">
        <f>SUM(DB[[#This Row],[Capped-Orders-Collect]:[Capped-Orders-HD]])</f>
        <v>90</v>
      </c>
      <c r="Y241">
        <f>INDEX('Operations Forecast'!$A$2:$BGY$47,3,MATCH(DB!D241,'Operations Forecast'!$A$2:$BGY$2))</f>
        <v>0</v>
      </c>
      <c r="Z241">
        <f t="shared" si="80"/>
        <v>90</v>
      </c>
      <c r="AA241">
        <f>INDEX('Operations Forecast'!$A$2:$BGY$47,10,MATCH(DB!D241,'Operations Forecast'!$A$2:$BGY$2))</f>
        <v>90</v>
      </c>
      <c r="AB241">
        <f>INDEX('Operations Forecast'!$A$2:$BGY$47,21,MATCH(DB!D241,'Operations Forecast'!$A$2:$BGY$2))</f>
        <v>0</v>
      </c>
      <c r="AC241" s="312">
        <f>SUM(DB[[#This Row],[Act-Orders-Collect]:[Act-Orders-HD]])</f>
        <v>2677</v>
      </c>
      <c r="AD241" s="858">
        <f>IFERROR(INDEX('Operations Forecast_new'!$7:$7,MATCH(DB[[#This Row],[Datum]],'Operations Forecast_new'!$2:$2,0)),0)</f>
        <v>900</v>
      </c>
      <c r="AE241" s="312">
        <f t="shared" si="81"/>
        <v>1777</v>
      </c>
      <c r="AF241" s="858">
        <f>IFERROR(INDEX('Operations Forecast_new'!$13:$13,MATCH(DB[[#This Row],[Datum]],'Operations Forecast_new'!$2:$2,0)),0)</f>
        <v>1056</v>
      </c>
      <c r="AG241" s="858">
        <f>IFERROR(INDEX('Operations Forecast_new'!$19:$19,MATCH(DB[[#This Row],[Datum]],'Operations Forecast_new'!$2:$2,0)),0)</f>
        <v>721</v>
      </c>
      <c r="AH241" s="312">
        <f t="shared" si="71"/>
        <v>140028.07500000001</v>
      </c>
      <c r="AI241" s="858">
        <f>IFERROR(INDEX('Operations Forecast_new'!$9:$9,MATCH(DB[[#This Row],[Datum]],'Operations Forecast_new'!$2:$2,0)),0)</f>
        <v>47668.5</v>
      </c>
      <c r="AJ241" s="312">
        <f t="shared" si="82"/>
        <v>92359.574999999997</v>
      </c>
      <c r="AK241" s="858">
        <f>IFERROR(INDEX('Operations Forecast_new'!$15:$15,MATCH(DB[[#This Row],[Datum]],'Operations Forecast_new'!$2:$2,0)),0)</f>
        <v>54885.599999999999</v>
      </c>
      <c r="AL241" s="858">
        <f>IFERROR(INDEX('Operations Forecast_new'!$21:$21,MATCH(DB[[#This Row],[Datum]],'Operations Forecast_new'!$2:$2,0)),0)</f>
        <v>37473.974999999999</v>
      </c>
      <c r="AM241" s="178">
        <f>IFERROR(INDEX('Operations Forecast_new'!$8:$8,MATCH(DB[[#This Row],[Datum]],'Operations Forecast_new'!$2:$2,0)),0)</f>
        <v>53.5</v>
      </c>
      <c r="AN241" s="859">
        <f>IFERROR(INDEX('Operations Forecast_new'!$20:$20,MATCH(DB[[#This Row],[Datum]],'Operations Forecast_new'!$2:$2,0)),0)</f>
        <v>52.5</v>
      </c>
      <c r="AO241" s="44">
        <f t="shared" si="83"/>
        <v>52.965000000000003</v>
      </c>
      <c r="AP241" s="404">
        <f t="shared" si="84"/>
        <v>51.975000000000001</v>
      </c>
      <c r="AQ241" s="44">
        <f t="shared" si="72"/>
        <v>116917.00000000007</v>
      </c>
      <c r="AR241" s="44" cm="1">
        <f t="array" ref="AR241">IFERROR(INDEX('ST Forecast'!$E$2:$RK$36,25,M241)+(INDEX('ST Forecast'!$E$2:$RK$36,29,M241)),"")</f>
        <v>55026.528693452492</v>
      </c>
      <c r="AS241" s="44" cm="1">
        <f t="array" ref="AS241">IFERROR(INDEX('ST Forecast'!$E$2:$RK$36,26,M241)+INDEX('ST Forecast'!$E$2:$RK$36,30,M241),"")</f>
        <v>51187.642274534257</v>
      </c>
      <c r="AT241" s="44" cm="1">
        <f t="array" ref="AT241">IFERROR(INDEX('ST Forecast'!$E$2:$RK$36,27,M241)+INDEX('ST Forecast'!$E$2:$RK$36,31,M241),"")</f>
        <v>4523.083232993913</v>
      </c>
      <c r="AU241" s="44" cm="1">
        <f t="array" ref="AU241">IFERROR(INDEX('ST Forecast'!$E$2:$RK$36,28,M241),"")</f>
        <v>6179.7457990194089</v>
      </c>
      <c r="AV241" s="44" cm="1">
        <f t="array" ref="AV241">IFERROR(INDEX('ST Forecast'!$E$2:$RK$36,29,M241),"")</f>
        <v>0</v>
      </c>
      <c r="AW241" s="44">
        <f>DB[[#This Row],[Inbound FC]]-DB[[#This Row],[Inbound Act - Ultrafresh2]]</f>
        <v>116917.00000000007</v>
      </c>
      <c r="AX241" s="178" t="e">
        <f>#REF!</f>
        <v>#REF!</v>
      </c>
      <c r="AY241" s="178" t="e">
        <f>#REF!</f>
        <v>#REF!</v>
      </c>
      <c r="AZ241" s="178" t="e">
        <f>#REF!</f>
        <v>#REF!</v>
      </c>
      <c r="BA241" s="178">
        <f>MONTH(DB[[#This Row],[Datum]])</f>
        <v>8</v>
      </c>
    </row>
    <row r="242" spans="1:53" x14ac:dyDescent="0.3">
      <c r="A242" s="44">
        <f t="shared" si="73"/>
        <v>34</v>
      </c>
      <c r="B242" t="str">
        <f t="shared" si="74"/>
        <v>Wk 34</v>
      </c>
      <c r="C242" t="s">
        <v>119</v>
      </c>
      <c r="D242" s="313">
        <v>44801</v>
      </c>
      <c r="E242" s="44">
        <f>DB[[#This Row],[Sales-FC-Orders-Collect]]+DB[[#This Row],[Sales-FC-Orders-HD]]</f>
        <v>0</v>
      </c>
      <c r="F242" s="402" cm="1">
        <f t="array" ref="F242">INDEX('LT Collect Forecast'!$K$1:$Q$55,MATCH(B242,'LT Collect Forecast'!$A:$A,0)+1,MATCH(C242,'LT Collect Forecast'!$K$2:$Q$2,0))</f>
        <v>0</v>
      </c>
      <c r="G242" s="44" cm="1">
        <f t="array" ref="G242">INDEX('LT HD Forecast'!$K$1:$Q$55,MATCH(B242,'LT HD Forecast'!$A:$A,0)+1,MATCH(C242,'LT HD Forecast'!$K$2:$Q$2,0))</f>
        <v>0</v>
      </c>
      <c r="H242" s="44" cm="1">
        <f t="array" ref="H242">IFERROR(INDEX('ST Forecast'!$E$2:$RK$36,6,M242),"")</f>
        <v>0</v>
      </c>
      <c r="I242" s="44" cm="1">
        <f t="array" ref="I242">IFERROR(INDEX('ST Forecast'!$E$2:$RK$36,7,M242),"")</f>
        <v>0</v>
      </c>
      <c r="J242" s="44">
        <f>SUM(DB[[#This Row],[Sales-FC-Picks-Collect]:[Sales-FC-Picks-HD]])</f>
        <v>0</v>
      </c>
      <c r="K242" s="44">
        <f t="shared" si="69"/>
        <v>0</v>
      </c>
      <c r="L242" s="44">
        <f t="shared" si="70"/>
        <v>0</v>
      </c>
      <c r="M242" s="403">
        <f>IFERROR(IF(B242=B241,M241+1,MATCH(B242,'ST Forecast'!$E$2:$RK$2,0)+1),"")</f>
        <v>272</v>
      </c>
      <c r="N242">
        <f>SUM(DB[[#This Row],[Ops-FC-Orders-Collect]:[Ops-FC-Orders-HD]])</f>
        <v>0</v>
      </c>
      <c r="O242" s="44" cm="1">
        <f t="array" ref="O242">IFERROR(INDEX('ST Forecast'!$E$2:$RK$36,13,M242),"")</f>
        <v>0</v>
      </c>
      <c r="P242" s="44">
        <f t="shared" si="75"/>
        <v>0</v>
      </c>
      <c r="Q242" s="44" cm="1">
        <f t="array" ref="Q242">IFERROR(INDEX('ST Forecast'!$E$2:$RK$36,14,M242),"")</f>
        <v>0</v>
      </c>
      <c r="R242" s="44" cm="1">
        <f t="array" ref="R242">IFERROR(INDEX('ST Forecast'!$E$2:$RK$36,15,M242),"")</f>
        <v>0</v>
      </c>
      <c r="S242" s="312">
        <f>SUM(DB[[#This Row],[Ops-FC-Picks-Collect]:[Ops-FC-Picks-HD]])</f>
        <v>0</v>
      </c>
      <c r="T242" s="44">
        <f t="shared" si="76"/>
        <v>0</v>
      </c>
      <c r="U242" s="44">
        <f t="shared" si="77"/>
        <v>0</v>
      </c>
      <c r="V242" s="44">
        <f t="shared" si="78"/>
        <v>0</v>
      </c>
      <c r="W242" s="404">
        <f t="shared" si="79"/>
        <v>0</v>
      </c>
      <c r="X242" s="44">
        <f>SUM(DB[[#This Row],[Capped-Orders-Collect]:[Capped-Orders-HD]])</f>
        <v>90</v>
      </c>
      <c r="Y242">
        <f>INDEX('Operations Forecast'!$A$2:$BGY$47,3,MATCH(DB!D242,'Operations Forecast'!$A$2:$BGY$2))</f>
        <v>0</v>
      </c>
      <c r="Z242">
        <f t="shared" si="80"/>
        <v>90</v>
      </c>
      <c r="AA242">
        <f>INDEX('Operations Forecast'!$A$2:$BGY$47,10,MATCH(DB!D242,'Operations Forecast'!$A$2:$BGY$2))</f>
        <v>90</v>
      </c>
      <c r="AB242">
        <f>INDEX('Operations Forecast'!$A$2:$BGY$47,21,MATCH(DB!D242,'Operations Forecast'!$A$2:$BGY$2))</f>
        <v>0</v>
      </c>
      <c r="AC242" s="312">
        <f>SUM(DB[[#This Row],[Act-Orders-Collect]:[Act-Orders-HD]])</f>
        <v>0</v>
      </c>
      <c r="AD242" s="858">
        <f>IFERROR(INDEX('Operations Forecast_new'!$7:$7,MATCH(DB[[#This Row],[Datum]],'Operations Forecast_new'!$2:$2,0)),0)</f>
        <v>0</v>
      </c>
      <c r="AE242" s="312">
        <f t="shared" si="81"/>
        <v>0</v>
      </c>
      <c r="AF242" s="858">
        <f>IFERROR(INDEX('Operations Forecast_new'!$13:$13,MATCH(DB[[#This Row],[Datum]],'Operations Forecast_new'!$2:$2,0)),0)</f>
        <v>0</v>
      </c>
      <c r="AG242" s="858">
        <f>IFERROR(INDEX('Operations Forecast_new'!$19:$19,MATCH(DB[[#This Row],[Datum]],'Operations Forecast_new'!$2:$2,0)),0)</f>
        <v>0</v>
      </c>
      <c r="AH242" s="312">
        <f t="shared" si="71"/>
        <v>0</v>
      </c>
      <c r="AI242" s="858">
        <f>IFERROR(INDEX('Operations Forecast_new'!$9:$9,MATCH(DB[[#This Row],[Datum]],'Operations Forecast_new'!$2:$2,0)),0)</f>
        <v>0</v>
      </c>
      <c r="AJ242" s="312">
        <f t="shared" si="82"/>
        <v>0</v>
      </c>
      <c r="AK242" s="858">
        <f>IFERROR(INDEX('Operations Forecast_new'!$15:$15,MATCH(DB[[#This Row],[Datum]],'Operations Forecast_new'!$2:$2,0)),0)</f>
        <v>0</v>
      </c>
      <c r="AL242" s="858">
        <f>IFERROR(INDEX('Operations Forecast_new'!$21:$21,MATCH(DB[[#This Row],[Datum]],'Operations Forecast_new'!$2:$2,0)),0)</f>
        <v>0</v>
      </c>
      <c r="AM242" s="178">
        <f>IFERROR(INDEX('Operations Forecast_new'!$8:$8,MATCH(DB[[#This Row],[Datum]],'Operations Forecast_new'!$2:$2,0)),0)</f>
        <v>0</v>
      </c>
      <c r="AN242" s="859">
        <f>IFERROR(INDEX('Operations Forecast_new'!$20:$20,MATCH(DB[[#This Row],[Datum]],'Operations Forecast_new'!$2:$2,0)),0)</f>
        <v>0</v>
      </c>
      <c r="AO242" s="44" t="str">
        <f t="shared" si="83"/>
        <v>-</v>
      </c>
      <c r="AP242" s="404" t="str">
        <f t="shared" si="84"/>
        <v>-</v>
      </c>
      <c r="AQ242" s="44">
        <f t="shared" si="72"/>
        <v>0</v>
      </c>
      <c r="AR242" s="44" cm="1">
        <f t="array" ref="AR242">IFERROR(INDEX('ST Forecast'!$E$2:$RK$36,25,M242)+(INDEX('ST Forecast'!$E$2:$RK$36,29,M242)),"")</f>
        <v>0</v>
      </c>
      <c r="AS242" s="44" cm="1">
        <f t="array" ref="AS242">IFERROR(INDEX('ST Forecast'!$E$2:$RK$36,26,M242)+INDEX('ST Forecast'!$E$2:$RK$36,30,M242),"")</f>
        <v>0</v>
      </c>
      <c r="AT242" s="44" cm="1">
        <f t="array" ref="AT242">IFERROR(INDEX('ST Forecast'!$E$2:$RK$36,27,M242)+INDEX('ST Forecast'!$E$2:$RK$36,31,M242),"")</f>
        <v>0</v>
      </c>
      <c r="AU242" s="44" cm="1">
        <f t="array" ref="AU242">IFERROR(INDEX('ST Forecast'!$E$2:$RK$36,28,M242),"")</f>
        <v>0</v>
      </c>
      <c r="AV242" s="44" cm="1">
        <f t="array" ref="AV242">IFERROR(INDEX('ST Forecast'!$E$2:$RK$36,29,M242),"")</f>
        <v>0</v>
      </c>
      <c r="AW242" s="44">
        <f>DB[[#This Row],[Inbound FC]]-DB[[#This Row],[Inbound Act - Ultrafresh2]]</f>
        <v>0</v>
      </c>
      <c r="AX242" s="178" t="e">
        <f>#REF!</f>
        <v>#REF!</v>
      </c>
      <c r="AY242" s="178" t="e">
        <f>#REF!</f>
        <v>#REF!</v>
      </c>
      <c r="AZ242" s="178" t="e">
        <f>#REF!</f>
        <v>#REF!</v>
      </c>
      <c r="BA242" s="178">
        <f>MONTH(DB[[#This Row],[Datum]])</f>
        <v>8</v>
      </c>
    </row>
    <row r="243" spans="1:53" x14ac:dyDescent="0.3">
      <c r="A243" s="44">
        <f t="shared" si="73"/>
        <v>35</v>
      </c>
      <c r="B243" t="str">
        <f t="shared" si="74"/>
        <v>Wk 35</v>
      </c>
      <c r="C243" t="s">
        <v>113</v>
      </c>
      <c r="D243" s="313">
        <v>44802</v>
      </c>
      <c r="E243" s="44">
        <f>DB[[#This Row],[Sales-FC-Orders-Collect]]+DB[[#This Row],[Sales-FC-Orders-HD]]</f>
        <v>2400</v>
      </c>
      <c r="F243" s="402">
        <f>INDEX('LT Collect Forecast'!$K$1:$Q$55,MATCH(B243,'LT Collect Forecast'!$A:$A,0),MATCH(C243,'LT Collect Forecast'!$K$2:$Q$2,0))</f>
        <v>700</v>
      </c>
      <c r="G243" s="44">
        <f>INDEX('LT HD Forecast'!$K$1:$Q$55,MATCH(B243,'LT HD Forecast'!$A:$A,0),MATCH(C243,'LT HD Forecast'!$K$2:$Q$2,0))</f>
        <v>1700</v>
      </c>
      <c r="H243" s="44" cm="1">
        <f t="array" ref="H243">IFERROR(INDEX('ST Forecast'!$E$2:$RK$36,6,M243),"")</f>
        <v>48.474993246704202</v>
      </c>
      <c r="I243" s="44" cm="1">
        <f t="array" ref="I243">IFERROR(INDEX('ST Forecast'!$E$2:$RK$36,7,M243),"")</f>
        <v>49.706511611694268</v>
      </c>
      <c r="J243" s="44">
        <f>SUM(DB[[#This Row],[Sales-FC-Picks-Collect]:[Sales-FC-Picks-HD]])</f>
        <v>118433.56501257321</v>
      </c>
      <c r="K243" s="44">
        <f t="shared" si="69"/>
        <v>33932.49527269294</v>
      </c>
      <c r="L243" s="44">
        <f t="shared" si="70"/>
        <v>84501.069739880259</v>
      </c>
      <c r="M243" s="403">
        <f>IFERROR(IF(B243=B242,M242+1,MATCH(B243,'ST Forecast'!$E$2:$RK$2,0)+1),"")</f>
        <v>274</v>
      </c>
      <c r="N243">
        <f>SUM(DB[[#This Row],[Ops-FC-Orders-Collect]:[Ops-FC-Orders-HD]])</f>
        <v>2400</v>
      </c>
      <c r="O243" s="44" cm="1">
        <f t="array" ref="O243">IFERROR(INDEX('ST Forecast'!$E$2:$RK$36,13,M243),"")</f>
        <v>700</v>
      </c>
      <c r="P243" s="44">
        <f t="shared" si="75"/>
        <v>1700</v>
      </c>
      <c r="Q243" s="44" cm="1">
        <f t="array" ref="Q243">IFERROR(INDEX('ST Forecast'!$E$2:$RK$36,14,M243),"")</f>
        <v>750</v>
      </c>
      <c r="R243" s="44" cm="1">
        <f t="array" ref="R243">IFERROR(INDEX('ST Forecast'!$E$2:$RK$36,15,M243),"")</f>
        <v>950</v>
      </c>
      <c r="S243" s="312">
        <f>SUM(DB[[#This Row],[Ops-FC-Picks-Collect]:[Ops-FC-Picks-HD]])</f>
        <v>116064.89371232173</v>
      </c>
      <c r="T243" s="44">
        <f t="shared" si="76"/>
        <v>33253.845367239082</v>
      </c>
      <c r="U243" s="44">
        <f t="shared" si="77"/>
        <v>82811.048345082643</v>
      </c>
      <c r="V243" s="44">
        <f t="shared" si="78"/>
        <v>36534.286034595287</v>
      </c>
      <c r="W243" s="404">
        <f t="shared" si="79"/>
        <v>46276.762310487356</v>
      </c>
      <c r="X243" s="44">
        <f>SUM(DB[[#This Row],[Capped-Orders-Collect]:[Capped-Orders-HD]])</f>
        <v>90</v>
      </c>
      <c r="Y243">
        <f>INDEX('Operations Forecast'!$A$2:$BGY$47,3,MATCH(DB!D243,'Operations Forecast'!$A$2:$BGY$2))</f>
        <v>0</v>
      </c>
      <c r="Z243">
        <f t="shared" si="80"/>
        <v>90</v>
      </c>
      <c r="AA243">
        <f>INDEX('Operations Forecast'!$A$2:$BGY$47,10,MATCH(DB!D243,'Operations Forecast'!$A$2:$BGY$2))</f>
        <v>90</v>
      </c>
      <c r="AB243">
        <f>INDEX('Operations Forecast'!$A$2:$BGY$47,21,MATCH(DB!D243,'Operations Forecast'!$A$2:$BGY$2))</f>
        <v>0</v>
      </c>
      <c r="AC243" s="312">
        <f>SUM(DB[[#This Row],[Act-Orders-Collect]:[Act-Orders-HD]])</f>
        <v>2243</v>
      </c>
      <c r="AD243" s="858">
        <f>IFERROR(INDEX('Operations Forecast_new'!$7:$7,MATCH(DB[[#This Row],[Datum]],'Operations Forecast_new'!$2:$2,0)),0)</f>
        <v>600</v>
      </c>
      <c r="AE243" s="312">
        <f t="shared" si="81"/>
        <v>1643</v>
      </c>
      <c r="AF243" s="858">
        <f>IFERROR(INDEX('Operations Forecast_new'!$13:$13,MATCH(DB[[#This Row],[Datum]],'Operations Forecast_new'!$2:$2,0)),0)</f>
        <v>781</v>
      </c>
      <c r="AG243" s="858">
        <f>IFERROR(INDEX('Operations Forecast_new'!$19:$19,MATCH(DB[[#This Row],[Datum]],'Operations Forecast_new'!$2:$2,0)),0)</f>
        <v>862</v>
      </c>
      <c r="AH243" s="312">
        <f t="shared" si="71"/>
        <v>118932.06599999999</v>
      </c>
      <c r="AI243" s="858">
        <f>IFERROR(INDEX('Operations Forecast_new'!$9:$9,MATCH(DB[[#This Row],[Datum]],'Operations Forecast_new'!$2:$2,0)),0)</f>
        <v>31422.6</v>
      </c>
      <c r="AJ243" s="312">
        <f t="shared" si="82"/>
        <v>87509.465999999986</v>
      </c>
      <c r="AK243" s="858">
        <f>IFERROR(INDEX('Operations Forecast_new'!$15:$15,MATCH(DB[[#This Row],[Datum]],'Operations Forecast_new'!$2:$2,0)),0)</f>
        <v>41597.621999999996</v>
      </c>
      <c r="AL243" s="858">
        <f>IFERROR(INDEX('Operations Forecast_new'!$21:$21,MATCH(DB[[#This Row],[Datum]],'Operations Forecast_new'!$2:$2,0)),0)</f>
        <v>45911.843999999997</v>
      </c>
      <c r="AM243" s="178">
        <f>IFERROR(INDEX('Operations Forecast_new'!$8:$8,MATCH(DB[[#This Row],[Datum]],'Operations Forecast_new'!$2:$2,0)),0)</f>
        <v>52.9</v>
      </c>
      <c r="AN243" s="859">
        <f>IFERROR(INDEX('Operations Forecast_new'!$20:$20,MATCH(DB[[#This Row],[Datum]],'Operations Forecast_new'!$2:$2,0)),0)</f>
        <v>53.8</v>
      </c>
      <c r="AO243" s="44">
        <f t="shared" si="83"/>
        <v>52.370999999999995</v>
      </c>
      <c r="AP243" s="404">
        <f t="shared" si="84"/>
        <v>53.261999999999993</v>
      </c>
      <c r="AQ243" s="44">
        <f t="shared" si="72"/>
        <v>295739</v>
      </c>
      <c r="AR243" s="44" cm="1">
        <f t="array" ref="AR243">IFERROR(INDEX('ST Forecast'!$E$2:$RK$36,25,M243)+(INDEX('ST Forecast'!$E$2:$RK$36,29,M243)),"")</f>
        <v>129172.8</v>
      </c>
      <c r="AS243" s="44" cm="1">
        <f t="array" ref="AS243">IFERROR(INDEX('ST Forecast'!$E$2:$RK$36,26,M243)+INDEX('ST Forecast'!$E$2:$RK$36,30,M243),"")</f>
        <v>50759.298131289848</v>
      </c>
      <c r="AT243" s="44" cm="1">
        <f t="array" ref="AT243">IFERROR(INDEX('ST Forecast'!$E$2:$RK$36,27,M243)+INDEX('ST Forecast'!$E$2:$RK$36,31,M243),"")</f>
        <v>108025.4</v>
      </c>
      <c r="AU243" s="44" cm="1">
        <f t="array" ref="AU243">IFERROR(INDEX('ST Forecast'!$E$2:$RK$36,28,M243),"")</f>
        <v>7781.501868710151</v>
      </c>
      <c r="AV243" s="44" cm="1">
        <f t="array" ref="AV243">IFERROR(INDEX('ST Forecast'!$E$2:$RK$36,29,M243),"")</f>
        <v>0</v>
      </c>
      <c r="AW243" s="44">
        <f>DB[[#This Row],[Inbound FC]]-DB[[#This Row],[Inbound Act - Ultrafresh2]]</f>
        <v>295739</v>
      </c>
      <c r="AX243" s="178" t="e">
        <f>#REF!</f>
        <v>#REF!</v>
      </c>
      <c r="AY243" s="178" t="e">
        <f>#REF!</f>
        <v>#REF!</v>
      </c>
      <c r="AZ243" s="178" t="e">
        <f>#REF!</f>
        <v>#REF!</v>
      </c>
      <c r="BA243" s="178">
        <f>MONTH(DB[[#This Row],[Datum]])</f>
        <v>8</v>
      </c>
    </row>
    <row r="244" spans="1:53" x14ac:dyDescent="0.3">
      <c r="A244" s="44">
        <f t="shared" si="73"/>
        <v>35</v>
      </c>
      <c r="B244" t="str">
        <f t="shared" si="74"/>
        <v>Wk 35</v>
      </c>
      <c r="C244" t="s">
        <v>114</v>
      </c>
      <c r="D244" s="313">
        <v>44803</v>
      </c>
      <c r="E244" s="44">
        <f>DB[[#This Row],[Sales-FC-Orders-Collect]]+DB[[#This Row],[Sales-FC-Orders-HD]]</f>
        <v>2650</v>
      </c>
      <c r="F244" s="402">
        <f>INDEX('LT Collect Forecast'!$K$1:$Q$55,MATCH(B244,'LT Collect Forecast'!$A:$A,0),MATCH(C244,'LT Collect Forecast'!$K$2:$Q$2,0))</f>
        <v>650</v>
      </c>
      <c r="G244" s="44">
        <f>INDEX('LT HD Forecast'!$K$1:$Q$55,MATCH(B244,'LT HD Forecast'!$A:$A,0),MATCH(C244,'LT HD Forecast'!$K$2:$Q$2,0))</f>
        <v>2000</v>
      </c>
      <c r="H244" s="44" cm="1">
        <f t="array" ref="H244">IFERROR(INDEX('ST Forecast'!$E$2:$RK$36,6,M244),"")</f>
        <v>44.61182328580594</v>
      </c>
      <c r="I244" s="44" cm="1">
        <f t="array" ref="I244">IFERROR(INDEX('ST Forecast'!$E$2:$RK$36,7,M244),"")</f>
        <v>47.284188270846727</v>
      </c>
      <c r="J244" s="44">
        <f>SUM(DB[[#This Row],[Sales-FC-Picks-Collect]:[Sales-FC-Picks-HD]])</f>
        <v>123566.06167746731</v>
      </c>
      <c r="K244" s="44">
        <f t="shared" si="69"/>
        <v>28997.68513577386</v>
      </c>
      <c r="L244" s="44">
        <f t="shared" si="70"/>
        <v>94568.376541693448</v>
      </c>
      <c r="M244" s="403">
        <f>IFERROR(IF(B244=B243,M243+1,MATCH(B244,'ST Forecast'!$E$2:$RK$2,0)+1),"")</f>
        <v>275</v>
      </c>
      <c r="N244">
        <f>SUM(DB[[#This Row],[Ops-FC-Orders-Collect]:[Ops-FC-Orders-HD]])</f>
        <v>2700</v>
      </c>
      <c r="O244" s="44" cm="1">
        <f t="array" ref="O244">IFERROR(INDEX('ST Forecast'!$E$2:$RK$36,13,M244),"")</f>
        <v>650</v>
      </c>
      <c r="P244" s="44">
        <f t="shared" si="75"/>
        <v>2050</v>
      </c>
      <c r="Q244" s="44" cm="1">
        <f t="array" ref="Q244">IFERROR(INDEX('ST Forecast'!$E$2:$RK$36,14,M244),"")</f>
        <v>1050</v>
      </c>
      <c r="R244" s="44" cm="1">
        <f t="array" ref="R244">IFERROR(INDEX('ST Forecast'!$E$2:$RK$36,15,M244),"")</f>
        <v>1000</v>
      </c>
      <c r="S244" s="312">
        <f>SUM(DB[[#This Row],[Ops-FC-Picks-Collect]:[Ops-FC-Picks-HD]])</f>
        <v>123411.66566918945</v>
      </c>
      <c r="T244" s="44">
        <f t="shared" si="76"/>
        <v>28417.731433058383</v>
      </c>
      <c r="U244" s="44">
        <f t="shared" si="77"/>
        <v>94993.93423613107</v>
      </c>
      <c r="V244" s="44">
        <f t="shared" si="78"/>
        <v>48655.429730701282</v>
      </c>
      <c r="W244" s="404">
        <f t="shared" si="79"/>
        <v>46338.504505429788</v>
      </c>
      <c r="X244" s="44">
        <f>SUM(DB[[#This Row],[Capped-Orders-Collect]:[Capped-Orders-HD]])</f>
        <v>90</v>
      </c>
      <c r="Y244">
        <f>INDEX('Operations Forecast'!$A$2:$BGY$47,3,MATCH(DB!D244,'Operations Forecast'!$A$2:$BGY$2))</f>
        <v>0</v>
      </c>
      <c r="Z244">
        <f t="shared" si="80"/>
        <v>90</v>
      </c>
      <c r="AA244">
        <f>INDEX('Operations Forecast'!$A$2:$BGY$47,10,MATCH(DB!D244,'Operations Forecast'!$A$2:$BGY$2))</f>
        <v>90</v>
      </c>
      <c r="AB244">
        <f>INDEX('Operations Forecast'!$A$2:$BGY$47,21,MATCH(DB!D244,'Operations Forecast'!$A$2:$BGY$2))</f>
        <v>0</v>
      </c>
      <c r="AC244" s="312">
        <f>SUM(DB[[#This Row],[Act-Orders-Collect]:[Act-Orders-HD]])</f>
        <v>2484</v>
      </c>
      <c r="AD244" s="858">
        <f>IFERROR(INDEX('Operations Forecast_new'!$7:$7,MATCH(DB[[#This Row],[Datum]],'Operations Forecast_new'!$2:$2,0)),0)</f>
        <v>625</v>
      </c>
      <c r="AE244" s="312">
        <f t="shared" si="81"/>
        <v>1859</v>
      </c>
      <c r="AF244" s="858">
        <f>IFERROR(INDEX('Operations Forecast_new'!$13:$13,MATCH(DB[[#This Row],[Datum]],'Operations Forecast_new'!$2:$2,0)),0)</f>
        <v>1031</v>
      </c>
      <c r="AG244" s="858">
        <f>IFERROR(INDEX('Operations Forecast_new'!$19:$19,MATCH(DB[[#This Row],[Datum]],'Operations Forecast_new'!$2:$2,0)),0)</f>
        <v>828</v>
      </c>
      <c r="AH244" s="312">
        <f t="shared" si="71"/>
        <v>123849.69299999998</v>
      </c>
      <c r="AI244" s="858">
        <f>IFERROR(INDEX('Operations Forecast_new'!$9:$9,MATCH(DB[[#This Row],[Datum]],'Operations Forecast_new'!$2:$2,0)),0)</f>
        <v>27596.25</v>
      </c>
      <c r="AJ244" s="312">
        <f t="shared" si="82"/>
        <v>96253.442999999985</v>
      </c>
      <c r="AK244" s="858">
        <f>IFERROR(INDEX('Operations Forecast_new'!$15:$15,MATCH(DB[[#This Row],[Datum]],'Operations Forecast_new'!$2:$2,0)),0)</f>
        <v>53382.086999999992</v>
      </c>
      <c r="AL244" s="858">
        <f>IFERROR(INDEX('Operations Forecast_new'!$21:$21,MATCH(DB[[#This Row],[Datum]],'Operations Forecast_new'!$2:$2,0)),0)</f>
        <v>42871.355999999992</v>
      </c>
      <c r="AM244" s="178">
        <f>IFERROR(INDEX('Operations Forecast_new'!$8:$8,MATCH(DB[[#This Row],[Datum]],'Operations Forecast_new'!$2:$2,0)),0)</f>
        <v>44.6</v>
      </c>
      <c r="AN244" s="859">
        <f>IFERROR(INDEX('Operations Forecast_new'!$20:$20,MATCH(DB[[#This Row],[Datum]],'Operations Forecast_new'!$2:$2,0)),0)</f>
        <v>52.3</v>
      </c>
      <c r="AO244" s="44">
        <f t="shared" si="83"/>
        <v>44.154000000000003</v>
      </c>
      <c r="AP244" s="404">
        <f t="shared" si="84"/>
        <v>51.776999999999994</v>
      </c>
      <c r="AQ244" s="44">
        <f t="shared" si="72"/>
        <v>137040.73813108398</v>
      </c>
      <c r="AR244" s="44" cm="1">
        <f t="array" ref="AR244">IFERROR(INDEX('ST Forecast'!$E$2:$RK$36,25,M244)+(INDEX('ST Forecast'!$E$2:$RK$36,29,M244)),"")</f>
        <v>64334.76</v>
      </c>
      <c r="AS244" s="44" cm="1">
        <f t="array" ref="AS244">IFERROR(INDEX('ST Forecast'!$E$2:$RK$36,26,M244)+INDEX('ST Forecast'!$E$2:$RK$36,30,M244),"")</f>
        <v>58164.192521103265</v>
      </c>
      <c r="AT244" s="44" cm="1">
        <f t="array" ref="AT244">IFERROR(INDEX('ST Forecast'!$E$2:$RK$36,27,M244)+INDEX('ST Forecast'!$E$2:$RK$36,31,M244),"")</f>
        <v>6163.4781310839853</v>
      </c>
      <c r="AU244" s="44" cm="1">
        <f t="array" ref="AU244">IFERROR(INDEX('ST Forecast'!$E$2:$RK$36,28,M244),"")</f>
        <v>8378.3074788967388</v>
      </c>
      <c r="AV244" s="44" cm="1">
        <f t="array" ref="AV244">IFERROR(INDEX('ST Forecast'!$E$2:$RK$36,29,M244),"")</f>
        <v>0</v>
      </c>
      <c r="AW244" s="44">
        <f>DB[[#This Row],[Inbound FC]]-DB[[#This Row],[Inbound Act - Ultrafresh2]]</f>
        <v>137040.73813108398</v>
      </c>
      <c r="AX244" s="178" t="e">
        <f>#REF!</f>
        <v>#REF!</v>
      </c>
      <c r="AY244" s="178" t="e">
        <f>#REF!</f>
        <v>#REF!</v>
      </c>
      <c r="AZ244" s="178" t="e">
        <f>#REF!</f>
        <v>#REF!</v>
      </c>
      <c r="BA244" s="178">
        <f>MONTH(DB[[#This Row],[Datum]])</f>
        <v>8</v>
      </c>
    </row>
    <row r="245" spans="1:53" x14ac:dyDescent="0.3">
      <c r="A245" s="44">
        <f t="shared" si="73"/>
        <v>35</v>
      </c>
      <c r="B245" t="str">
        <f t="shared" si="74"/>
        <v>Wk 35</v>
      </c>
      <c r="C245" t="s">
        <v>115</v>
      </c>
      <c r="D245" s="313">
        <v>44804</v>
      </c>
      <c r="E245" s="44">
        <f>DB[[#This Row],[Sales-FC-Orders-Collect]]+DB[[#This Row],[Sales-FC-Orders-HD]]</f>
        <v>2750</v>
      </c>
      <c r="F245" s="402">
        <f>INDEX('LT Collect Forecast'!$K$1:$Q$55,MATCH(B245,'LT Collect Forecast'!$A:$A,0),MATCH(C245,'LT Collect Forecast'!$K$2:$Q$2,0))</f>
        <v>650</v>
      </c>
      <c r="G245" s="44">
        <f>INDEX('LT HD Forecast'!$K$1:$Q$55,MATCH(B245,'LT HD Forecast'!$A:$A,0),MATCH(C245,'LT HD Forecast'!$K$2:$Q$2,0))</f>
        <v>2100</v>
      </c>
      <c r="H245" s="44" cm="1">
        <f t="array" ref="H245">IFERROR(INDEX('ST Forecast'!$E$2:$RK$36,6,M245),"")</f>
        <v>43.907376429388748</v>
      </c>
      <c r="I245" s="44" cm="1">
        <f t="array" ref="I245">IFERROR(INDEX('ST Forecast'!$E$2:$RK$36,7,M245),"")</f>
        <v>47.251547934933875</v>
      </c>
      <c r="J245" s="44">
        <f>SUM(DB[[#This Row],[Sales-FC-Picks-Collect]:[Sales-FC-Picks-HD]])</f>
        <v>127768.04534246383</v>
      </c>
      <c r="K245" s="44">
        <f t="shared" si="69"/>
        <v>28539.794679102684</v>
      </c>
      <c r="L245" s="44">
        <f t="shared" si="70"/>
        <v>99228.250663361134</v>
      </c>
      <c r="M245" s="403">
        <f>IFERROR(IF(B245=B244,M244+1,MATCH(B245,'ST Forecast'!$E$2:$RK$2,0)+1),"")</f>
        <v>276</v>
      </c>
      <c r="N245">
        <f>SUM(DB[[#This Row],[Ops-FC-Orders-Collect]:[Ops-FC-Orders-HD]])</f>
        <v>2700</v>
      </c>
      <c r="O245" s="44" cm="1">
        <f t="array" ref="O245">IFERROR(INDEX('ST Forecast'!$E$2:$RK$36,13,M245),"")</f>
        <v>650</v>
      </c>
      <c r="P245" s="44">
        <f t="shared" si="75"/>
        <v>2050</v>
      </c>
      <c r="Q245" s="44" cm="1">
        <f t="array" ref="Q245">IFERROR(INDEX('ST Forecast'!$E$2:$RK$36,14,M245),"")</f>
        <v>1050</v>
      </c>
      <c r="R245" s="44" cm="1">
        <f t="array" ref="R245">IFERROR(INDEX('ST Forecast'!$E$2:$RK$36,15,M245),"")</f>
        <v>1000</v>
      </c>
      <c r="S245" s="312">
        <f>SUM(DB[[#This Row],[Ops-FC-Picks-Collect]:[Ops-FC-Picks-HD]])</f>
        <v>122897.35858680277</v>
      </c>
      <c r="T245" s="44">
        <f t="shared" si="76"/>
        <v>27968.998785520631</v>
      </c>
      <c r="U245" s="44">
        <f t="shared" si="77"/>
        <v>94928.359801282146</v>
      </c>
      <c r="V245" s="44">
        <f t="shared" si="78"/>
        <v>48621.842825046951</v>
      </c>
      <c r="W245" s="404">
        <f t="shared" si="79"/>
        <v>46306.516976235194</v>
      </c>
      <c r="X245" s="44">
        <f>SUM(DB[[#This Row],[Capped-Orders-Collect]:[Capped-Orders-HD]])</f>
        <v>90</v>
      </c>
      <c r="Y245">
        <f>INDEX('Operations Forecast'!$A$2:$BGY$47,3,MATCH(DB!D245,'Operations Forecast'!$A$2:$BGY$2))</f>
        <v>0</v>
      </c>
      <c r="Z245">
        <f t="shared" si="80"/>
        <v>90</v>
      </c>
      <c r="AA245">
        <f>INDEX('Operations Forecast'!$A$2:$BGY$47,10,MATCH(DB!D245,'Operations Forecast'!$A$2:$BGY$2))</f>
        <v>90</v>
      </c>
      <c r="AB245">
        <f>INDEX('Operations Forecast'!$A$2:$BGY$47,21,MATCH(DB!D245,'Operations Forecast'!$A$2:$BGY$2))</f>
        <v>0</v>
      </c>
      <c r="AC245" s="312">
        <f>SUM(DB[[#This Row],[Act-Orders-Collect]:[Act-Orders-HD]])</f>
        <v>2425</v>
      </c>
      <c r="AD245" s="858">
        <f>IFERROR(INDEX('Operations Forecast_new'!$7:$7,MATCH(DB[[#This Row],[Datum]],'Operations Forecast_new'!$2:$2,0)),0)</f>
        <v>600</v>
      </c>
      <c r="AE245" s="312">
        <f t="shared" si="81"/>
        <v>1825</v>
      </c>
      <c r="AF245" s="858">
        <f>IFERROR(INDEX('Operations Forecast_new'!$13:$13,MATCH(DB[[#This Row],[Datum]],'Operations Forecast_new'!$2:$2,0)),0)</f>
        <v>975</v>
      </c>
      <c r="AG245" s="858">
        <f>IFERROR(INDEX('Operations Forecast_new'!$19:$19,MATCH(DB[[#This Row],[Datum]],'Operations Forecast_new'!$2:$2,0)),0)</f>
        <v>850</v>
      </c>
      <c r="AH245" s="312">
        <f t="shared" si="71"/>
        <v>125784.45000000001</v>
      </c>
      <c r="AI245" s="858">
        <f>IFERROR(INDEX('Operations Forecast_new'!$9:$9,MATCH(DB[[#This Row],[Datum]],'Operations Forecast_new'!$2:$2,0)),0)</f>
        <v>27858.6</v>
      </c>
      <c r="AJ245" s="312">
        <f t="shared" si="82"/>
        <v>97925.85</v>
      </c>
      <c r="AK245" s="858">
        <f>IFERROR(INDEX('Operations Forecast_new'!$15:$15,MATCH(DB[[#This Row],[Datum]],'Operations Forecast_new'!$2:$2,0)),0)</f>
        <v>52316.55</v>
      </c>
      <c r="AL245" s="858">
        <f>IFERROR(INDEX('Operations Forecast_new'!$21:$21,MATCH(DB[[#This Row],[Datum]],'Operations Forecast_new'!$2:$2,0)),0)</f>
        <v>45609.3</v>
      </c>
      <c r="AM245" s="178">
        <f>IFERROR(INDEX('Operations Forecast_new'!$8:$8,MATCH(DB[[#This Row],[Datum]],'Operations Forecast_new'!$2:$2,0)),0)</f>
        <v>46.9</v>
      </c>
      <c r="AN245" s="859">
        <f>IFERROR(INDEX('Operations Forecast_new'!$20:$20,MATCH(DB[[#This Row],[Datum]],'Operations Forecast_new'!$2:$2,0)),0)</f>
        <v>54.2</v>
      </c>
      <c r="AO245" s="44">
        <f t="shared" si="83"/>
        <v>46.430999999999997</v>
      </c>
      <c r="AP245" s="404">
        <f t="shared" si="84"/>
        <v>53.658000000000001</v>
      </c>
      <c r="AQ245" s="44">
        <f t="shared" si="72"/>
        <v>169649.47255658513</v>
      </c>
      <c r="AR245" s="44" cm="1">
        <f t="array" ref="AR245">IFERROR(INDEX('ST Forecast'!$E$2:$RK$36,25,M245)+(INDEX('ST Forecast'!$E$2:$RK$36,29,M245)),"")</f>
        <v>64955.839999999997</v>
      </c>
      <c r="AS245" s="44" cm="1">
        <f t="array" ref="AS245">IFERROR(INDEX('ST Forecast'!$E$2:$RK$36,26,M245)+INDEX('ST Forecast'!$E$2:$RK$36,30,M245),"")</f>
        <v>68837.828345991322</v>
      </c>
      <c r="AT245" s="44" cm="1">
        <f t="array" ref="AT245">IFERROR(INDEX('ST Forecast'!$E$2:$RK$36,27,M245)+INDEX('ST Forecast'!$E$2:$RK$36,31,M245),"")</f>
        <v>25737.792556585129</v>
      </c>
      <c r="AU245" s="44" cm="1">
        <f t="array" ref="AU245">IFERROR(INDEX('ST Forecast'!$E$2:$RK$36,28,M245),"")</f>
        <v>10118.011654008675</v>
      </c>
      <c r="AV245" s="44" cm="1">
        <f t="array" ref="AV245">IFERROR(INDEX('ST Forecast'!$E$2:$RK$36,29,M245),"")</f>
        <v>0</v>
      </c>
      <c r="AW245" s="44">
        <f>DB[[#This Row],[Inbound FC]]-DB[[#This Row],[Inbound Act - Ultrafresh2]]</f>
        <v>169649.47255658513</v>
      </c>
      <c r="AX245" s="178" t="e">
        <f>#REF!</f>
        <v>#REF!</v>
      </c>
      <c r="AY245" s="178" t="e">
        <f>#REF!</f>
        <v>#REF!</v>
      </c>
      <c r="AZ245" s="178" t="e">
        <f>#REF!</f>
        <v>#REF!</v>
      </c>
      <c r="BA245" s="178">
        <f>MONTH(DB[[#This Row],[Datum]])</f>
        <v>8</v>
      </c>
    </row>
    <row r="246" spans="1:53" x14ac:dyDescent="0.3">
      <c r="A246" s="44">
        <f t="shared" si="73"/>
        <v>35</v>
      </c>
      <c r="B246" t="str">
        <f t="shared" si="74"/>
        <v>Wk 35</v>
      </c>
      <c r="C246" t="s">
        <v>116</v>
      </c>
      <c r="D246" s="313">
        <v>44805</v>
      </c>
      <c r="E246" s="44">
        <f>DB[[#This Row],[Sales-FC-Orders-Collect]]+DB[[#This Row],[Sales-FC-Orders-HD]]</f>
        <v>2750</v>
      </c>
      <c r="F246" s="402" cm="1">
        <f t="array" ref="F246">INDEX('LT Collect Forecast'!$K$1:$Q$55,MATCH(B246,'LT Collect Forecast'!$A:$A,0)+1,MATCH(C246,'LT Collect Forecast'!$K$2:$Q$2,0))</f>
        <v>650</v>
      </c>
      <c r="G246" s="44" cm="1">
        <f t="array" ref="G246">INDEX('LT HD Forecast'!$K$1:$Q$55,MATCH(B246,'LT HD Forecast'!$A:$A,0)+1,MATCH(C246,'LT HD Forecast'!$K$2:$Q$2,0))</f>
        <v>2100</v>
      </c>
      <c r="H246" s="44" cm="1">
        <f t="array" ref="H246">IFERROR(INDEX('ST Forecast'!$E$2:$RK$36,6,M246),"")</f>
        <v>45.319213073743406</v>
      </c>
      <c r="I246" s="44" cm="1">
        <f t="array" ref="I246">IFERROR(INDEX('ST Forecast'!$E$2:$RK$36,7,M246),"")</f>
        <v>48.718888955918139</v>
      </c>
      <c r="J246" s="44">
        <f>SUM(DB[[#This Row],[Sales-FC-Picks-Collect]:[Sales-FC-Picks-HD]])</f>
        <v>131767.15530536132</v>
      </c>
      <c r="K246" s="44">
        <f t="shared" si="69"/>
        <v>29457.488497933213</v>
      </c>
      <c r="L246" s="44">
        <f t="shared" si="70"/>
        <v>102309.66680742809</v>
      </c>
      <c r="M246" s="403">
        <f>IFERROR(IF(B246=B245,M245+1,MATCH(B246,'ST Forecast'!$E$2:$RK$2,0)+1),"")</f>
        <v>277</v>
      </c>
      <c r="N246">
        <f>SUM(DB[[#This Row],[Ops-FC-Orders-Collect]:[Ops-FC-Orders-HD]])</f>
        <v>2650</v>
      </c>
      <c r="O246" s="44" cm="1">
        <f t="array" ref="O246">IFERROR(INDEX('ST Forecast'!$E$2:$RK$36,13,M246),"")</f>
        <v>650</v>
      </c>
      <c r="P246" s="44">
        <f t="shared" si="75"/>
        <v>2000</v>
      </c>
      <c r="Q246" s="44" cm="1">
        <f t="array" ref="Q246">IFERROR(INDEX('ST Forecast'!$E$2:$RK$36,14,M246),"")</f>
        <v>1050</v>
      </c>
      <c r="R246" s="44" cm="1">
        <f t="array" ref="R246">IFERROR(INDEX('ST Forecast'!$E$2:$RK$36,15,M246),"")</f>
        <v>950</v>
      </c>
      <c r="S246" s="312">
        <f>SUM(DB[[#This Row],[Ops-FC-Picks-Collect]:[Ops-FC-Picks-HD]])</f>
        <v>124357.3610815741</v>
      </c>
      <c r="T246" s="44">
        <f t="shared" si="76"/>
        <v>28868.338727974548</v>
      </c>
      <c r="U246" s="44">
        <f t="shared" si="77"/>
        <v>95489.022353599546</v>
      </c>
      <c r="V246" s="44">
        <f t="shared" si="78"/>
        <v>50131.736735639766</v>
      </c>
      <c r="W246" s="404">
        <f t="shared" si="79"/>
        <v>45357.285617959787</v>
      </c>
      <c r="X246" s="44">
        <f>SUM(DB[[#This Row],[Capped-Orders-Collect]:[Capped-Orders-HD]])</f>
        <v>90</v>
      </c>
      <c r="Y246">
        <f>INDEX('Operations Forecast'!$A$2:$BGY$47,3,MATCH(DB!D246,'Operations Forecast'!$A$2:$BGY$2))</f>
        <v>0</v>
      </c>
      <c r="Z246">
        <f t="shared" si="80"/>
        <v>90</v>
      </c>
      <c r="AA246">
        <f>INDEX('Operations Forecast'!$A$2:$BGY$47,10,MATCH(DB!D246,'Operations Forecast'!$A$2:$BGY$2))</f>
        <v>90</v>
      </c>
      <c r="AB246">
        <f>INDEX('Operations Forecast'!$A$2:$BGY$47,21,MATCH(DB!D246,'Operations Forecast'!$A$2:$BGY$2))</f>
        <v>0</v>
      </c>
      <c r="AC246" s="312">
        <f>SUM(DB[[#This Row],[Act-Orders-Collect]:[Act-Orders-HD]])</f>
        <v>2530</v>
      </c>
      <c r="AD246" s="858">
        <f>IFERROR(INDEX('Operations Forecast_new'!$7:$7,MATCH(DB[[#This Row],[Datum]],'Operations Forecast_new'!$2:$2,0)),0)</f>
        <v>730</v>
      </c>
      <c r="AE246" s="312">
        <f t="shared" si="81"/>
        <v>1800</v>
      </c>
      <c r="AF246" s="858">
        <f>IFERROR(INDEX('Operations Forecast_new'!$13:$13,MATCH(DB[[#This Row],[Datum]],'Operations Forecast_new'!$2:$2,0)),0)</f>
        <v>950</v>
      </c>
      <c r="AG246" s="858">
        <f>IFERROR(INDEX('Operations Forecast_new'!$19:$19,MATCH(DB[[#This Row],[Datum]],'Operations Forecast_new'!$2:$2,0)),0)</f>
        <v>850</v>
      </c>
      <c r="AH246" s="312">
        <f t="shared" si="71"/>
        <v>124636.05</v>
      </c>
      <c r="AI246" s="858">
        <f>IFERROR(INDEX('Operations Forecast_new'!$9:$9,MATCH(DB[[#This Row],[Datum]],'Operations Forecast_new'!$2:$2,0)),0)</f>
        <v>31437.45</v>
      </c>
      <c r="AJ246" s="312">
        <f t="shared" si="82"/>
        <v>93198.6</v>
      </c>
      <c r="AK246" s="858">
        <f>IFERROR(INDEX('Operations Forecast_new'!$15:$15,MATCH(DB[[#This Row],[Datum]],'Operations Forecast_new'!$2:$2,0)),0)</f>
        <v>49188.15</v>
      </c>
      <c r="AL246" s="858">
        <f>IFERROR(INDEX('Operations Forecast_new'!$21:$21,MATCH(DB[[#This Row],[Datum]],'Operations Forecast_new'!$2:$2,0)),0)</f>
        <v>44010.45</v>
      </c>
      <c r="AM246" s="178">
        <f>IFERROR(INDEX('Operations Forecast_new'!$8:$8,MATCH(DB[[#This Row],[Datum]],'Operations Forecast_new'!$2:$2,0)),0)</f>
        <v>43.5</v>
      </c>
      <c r="AN246" s="859">
        <f>IFERROR(INDEX('Operations Forecast_new'!$20:$20,MATCH(DB[[#This Row],[Datum]],'Operations Forecast_new'!$2:$2,0)),0)</f>
        <v>52.3</v>
      </c>
      <c r="AO246" s="44">
        <f t="shared" si="83"/>
        <v>43.064999999999998</v>
      </c>
      <c r="AP246" s="404">
        <f t="shared" si="84"/>
        <v>51.777000000000001</v>
      </c>
      <c r="AQ246" s="44">
        <f t="shared" si="72"/>
        <v>135475.21059238934</v>
      </c>
      <c r="AR246" s="44" cm="1">
        <f t="array" ref="AR246">IFERROR(INDEX('ST Forecast'!$E$2:$RK$36,25,M246)+(INDEX('ST Forecast'!$E$2:$RK$36,29,M246)),"")</f>
        <v>54536.47</v>
      </c>
      <c r="AS246" s="44" cm="1">
        <f t="array" ref="AS246">IFERROR(INDEX('ST Forecast'!$E$2:$RK$36,26,M246)+INDEX('ST Forecast'!$E$2:$RK$36,30,M246),"")</f>
        <v>57649.008644227972</v>
      </c>
      <c r="AT246" s="44" cm="1">
        <f t="array" ref="AT246">IFERROR(INDEX('ST Forecast'!$E$2:$RK$36,27,M246)+INDEX('ST Forecast'!$E$2:$RK$36,31,M246),"")</f>
        <v>14226.686592389346</v>
      </c>
      <c r="AU246" s="44" cm="1">
        <f t="array" ref="AU246">IFERROR(INDEX('ST Forecast'!$E$2:$RK$36,28,M246),"")</f>
        <v>9063.0453557720302</v>
      </c>
      <c r="AV246" s="44" cm="1">
        <f t="array" ref="AV246">IFERROR(INDEX('ST Forecast'!$E$2:$RK$36,29,M246),"")</f>
        <v>0</v>
      </c>
      <c r="AW246" s="44">
        <f>DB[[#This Row],[Inbound FC]]-DB[[#This Row],[Inbound Act - Ultrafresh2]]</f>
        <v>135475.21059238934</v>
      </c>
      <c r="AX246" s="178" t="e">
        <f>#REF!</f>
        <v>#REF!</v>
      </c>
      <c r="AY246" s="178" t="e">
        <f>#REF!</f>
        <v>#REF!</v>
      </c>
      <c r="AZ246" s="178" t="e">
        <f>#REF!</f>
        <v>#REF!</v>
      </c>
      <c r="BA246" s="178">
        <f>MONTH(DB[[#This Row],[Datum]])</f>
        <v>9</v>
      </c>
    </row>
    <row r="247" spans="1:53" x14ac:dyDescent="0.3">
      <c r="A247" s="44">
        <f t="shared" si="73"/>
        <v>35</v>
      </c>
      <c r="B247" t="str">
        <f t="shared" si="74"/>
        <v>Wk 35</v>
      </c>
      <c r="C247" t="s">
        <v>117</v>
      </c>
      <c r="D247" s="313">
        <v>44806</v>
      </c>
      <c r="E247" s="44">
        <f>DB[[#This Row],[Sales-FC-Orders-Collect]]+DB[[#This Row],[Sales-FC-Orders-HD]]</f>
        <v>3250</v>
      </c>
      <c r="F247" s="402" cm="1">
        <f t="array" ref="F247">INDEX('LT Collect Forecast'!$K$1:$Q$55,MATCH(B247,'LT Collect Forecast'!$A:$A,0)+1,MATCH(C247,'LT Collect Forecast'!$K$2:$Q$2,0))</f>
        <v>1150</v>
      </c>
      <c r="G247" s="44" cm="1">
        <f t="array" ref="G247">INDEX('LT HD Forecast'!$K$1:$Q$55,MATCH(B247,'LT HD Forecast'!$A:$A,0)+1,MATCH(C247,'LT HD Forecast'!$K$2:$Q$2,0))</f>
        <v>2100</v>
      </c>
      <c r="H247" s="44" cm="1">
        <f t="array" ref="H247">IFERROR(INDEX('ST Forecast'!$E$2:$RK$36,6,M247),"")</f>
        <v>52.090323961205783</v>
      </c>
      <c r="I247" s="44" cm="1">
        <f t="array" ref="I247">IFERROR(INDEX('ST Forecast'!$E$2:$RK$36,7,M247),"")</f>
        <v>51.070661537905721</v>
      </c>
      <c r="J247" s="44">
        <f>SUM(DB[[#This Row],[Sales-FC-Picks-Collect]:[Sales-FC-Picks-HD]])</f>
        <v>167152.26178498869</v>
      </c>
      <c r="K247" s="44">
        <f t="shared" si="69"/>
        <v>59903.872555386653</v>
      </c>
      <c r="L247" s="44">
        <f t="shared" si="70"/>
        <v>107248.38922960202</v>
      </c>
      <c r="M247" s="403">
        <f>IFERROR(IF(B247=B246,M246+1,MATCH(B247,'ST Forecast'!$E$2:$RK$2,0)+1),"")</f>
        <v>278</v>
      </c>
      <c r="N247">
        <f>SUM(DB[[#This Row],[Ops-FC-Orders-Collect]:[Ops-FC-Orders-HD]])</f>
        <v>3200</v>
      </c>
      <c r="O247" s="44" cm="1">
        <f t="array" ref="O247">IFERROR(INDEX('ST Forecast'!$E$2:$RK$36,13,M247),"")</f>
        <v>1100</v>
      </c>
      <c r="P247" s="44">
        <f t="shared" si="75"/>
        <v>2100</v>
      </c>
      <c r="Q247" s="44" cm="1">
        <f t="array" ref="Q247">IFERROR(INDEX('ST Forecast'!$E$2:$RK$36,14,M247),"")</f>
        <v>1100</v>
      </c>
      <c r="R247" s="44" cm="1">
        <f t="array" ref="R247">IFERROR(INDEX('ST Forecast'!$E$2:$RK$36,15,M247),"")</f>
        <v>1000</v>
      </c>
      <c r="S247" s="312">
        <f>SUM(DB[[#This Row],[Ops-FC-Picks-Collect]:[Ops-FC-Picks-HD]])</f>
        <v>161256.79067518981</v>
      </c>
      <c r="T247" s="44">
        <f t="shared" si="76"/>
        <v>56153.369230179829</v>
      </c>
      <c r="U247" s="44">
        <f t="shared" si="77"/>
        <v>105103.42144500997</v>
      </c>
      <c r="V247" s="44">
        <f t="shared" si="78"/>
        <v>55054.173137862366</v>
      </c>
      <c r="W247" s="404">
        <f t="shared" si="79"/>
        <v>50049.248307147602</v>
      </c>
      <c r="X247" s="44">
        <f>SUM(DB[[#This Row],[Capped-Orders-Collect]:[Capped-Orders-HD]])</f>
        <v>90</v>
      </c>
      <c r="Y247">
        <f>INDEX('Operations Forecast'!$A$2:$BGY$47,3,MATCH(DB!D247,'Operations Forecast'!$A$2:$BGY$2))</f>
        <v>0</v>
      </c>
      <c r="Z247">
        <f t="shared" si="80"/>
        <v>90</v>
      </c>
      <c r="AA247">
        <f>INDEX('Operations Forecast'!$A$2:$BGY$47,10,MATCH(DB!D247,'Operations Forecast'!$A$2:$BGY$2))</f>
        <v>90</v>
      </c>
      <c r="AB247">
        <f>INDEX('Operations Forecast'!$A$2:$BGY$47,21,MATCH(DB!D247,'Operations Forecast'!$A$2:$BGY$2))</f>
        <v>0</v>
      </c>
      <c r="AC247" s="312">
        <f>SUM(DB[[#This Row],[Act-Orders-Collect]:[Act-Orders-HD]])</f>
        <v>3022</v>
      </c>
      <c r="AD247" s="858">
        <f>IFERROR(INDEX('Operations Forecast_new'!$7:$7,MATCH(DB[[#This Row],[Datum]],'Operations Forecast_new'!$2:$2,0)),0)</f>
        <v>1090</v>
      </c>
      <c r="AE247" s="312">
        <f t="shared" si="81"/>
        <v>1932</v>
      </c>
      <c r="AF247" s="858">
        <f>IFERROR(INDEX('Operations Forecast_new'!$13:$13,MATCH(DB[[#This Row],[Datum]],'Operations Forecast_new'!$2:$2,0)),0)</f>
        <v>1042</v>
      </c>
      <c r="AG247" s="858">
        <f>IFERROR(INDEX('Operations Forecast_new'!$19:$19,MATCH(DB[[#This Row],[Datum]],'Operations Forecast_new'!$2:$2,0)),0)</f>
        <v>890</v>
      </c>
      <c r="AH247" s="312">
        <f t="shared" si="71"/>
        <v>159098.742</v>
      </c>
      <c r="AI247" s="858">
        <f>IFERROR(INDEX('Operations Forecast_new'!$9:$9,MATCH(DB[[#This Row],[Datum]],'Operations Forecast_new'!$2:$2,0)),0)</f>
        <v>56005.29</v>
      </c>
      <c r="AJ247" s="312">
        <f t="shared" si="82"/>
        <v>103093.45199999999</v>
      </c>
      <c r="AK247" s="858">
        <f>IFERROR(INDEX('Operations Forecast_new'!$15:$15,MATCH(DB[[#This Row],[Datum]],'Operations Forecast_new'!$2:$2,0)),0)</f>
        <v>55602.161999999997</v>
      </c>
      <c r="AL247" s="858">
        <f>IFERROR(INDEX('Operations Forecast_new'!$21:$21,MATCH(DB[[#This Row],[Datum]],'Operations Forecast_new'!$2:$2,0)),0)</f>
        <v>47491.29</v>
      </c>
      <c r="AM247" s="178">
        <f>IFERROR(INDEX('Operations Forecast_new'!$8:$8,MATCH(DB[[#This Row],[Datum]],'Operations Forecast_new'!$2:$2,0)),0)</f>
        <v>51.9</v>
      </c>
      <c r="AN247" s="859">
        <f>IFERROR(INDEX('Operations Forecast_new'!$20:$20,MATCH(DB[[#This Row],[Datum]],'Operations Forecast_new'!$2:$2,0)),0)</f>
        <v>53.9</v>
      </c>
      <c r="AO247" s="44">
        <f t="shared" si="83"/>
        <v>51.381</v>
      </c>
      <c r="AP247" s="404">
        <f t="shared" si="84"/>
        <v>53.360999999999997</v>
      </c>
      <c r="AQ247" s="44">
        <f t="shared" si="72"/>
        <v>126148.41169001117</v>
      </c>
      <c r="AR247" s="44" cm="1">
        <f t="array" ref="AR247">IFERROR(INDEX('ST Forecast'!$E$2:$RK$36,25,M247)+(INDEX('ST Forecast'!$E$2:$RK$36,29,M247)),"")</f>
        <v>51232.328000000001</v>
      </c>
      <c r="AS247" s="44" cm="1">
        <f t="array" ref="AS247">IFERROR(INDEX('ST Forecast'!$E$2:$RK$36,26,M247)+INDEX('ST Forecast'!$E$2:$RK$36,30,M247),"")</f>
        <v>60507.417778487419</v>
      </c>
      <c r="AT247" s="44" cm="1">
        <f t="array" ref="AT247">IFERROR(INDEX('ST Forecast'!$E$2:$RK$36,27,M247)+INDEX('ST Forecast'!$E$2:$RK$36,31,M247),"")</f>
        <v>5512.6836900111703</v>
      </c>
      <c r="AU247" s="44" cm="1">
        <f t="array" ref="AU247">IFERROR(INDEX('ST Forecast'!$E$2:$RK$36,28,M247),"")</f>
        <v>8895.9822215125932</v>
      </c>
      <c r="AV247" s="44" cm="1">
        <f t="array" ref="AV247">IFERROR(INDEX('ST Forecast'!$E$2:$RK$36,29,M247),"")</f>
        <v>0</v>
      </c>
      <c r="AW247" s="44">
        <f>DB[[#This Row],[Inbound FC]]-DB[[#This Row],[Inbound Act - Ultrafresh2]]</f>
        <v>126148.41169001117</v>
      </c>
      <c r="AX247" s="178" t="e">
        <f>#REF!</f>
        <v>#REF!</v>
      </c>
      <c r="AY247" s="178" t="e">
        <f>#REF!</f>
        <v>#REF!</v>
      </c>
      <c r="AZ247" s="178" t="e">
        <f>#REF!</f>
        <v>#REF!</v>
      </c>
      <c r="BA247" s="178">
        <f>MONTH(DB[[#This Row],[Datum]])</f>
        <v>9</v>
      </c>
    </row>
    <row r="248" spans="1:53" x14ac:dyDescent="0.3">
      <c r="A248" s="44">
        <f t="shared" si="73"/>
        <v>35</v>
      </c>
      <c r="B248" t="str">
        <f t="shared" si="74"/>
        <v>Wk 35</v>
      </c>
      <c r="C248" t="s">
        <v>118</v>
      </c>
      <c r="D248" s="313">
        <v>44807</v>
      </c>
      <c r="E248" s="44">
        <f>DB[[#This Row],[Sales-FC-Orders-Collect]]+DB[[#This Row],[Sales-FC-Orders-HD]]</f>
        <v>2900</v>
      </c>
      <c r="F248" s="402" cm="1">
        <f t="array" ref="F248">INDEX('LT Collect Forecast'!$K$1:$Q$55,MATCH(B248,'LT Collect Forecast'!$A:$A,0)+1,MATCH(C248,'LT Collect Forecast'!$K$2:$Q$2,0))</f>
        <v>1050</v>
      </c>
      <c r="G248" s="44" cm="1">
        <f t="array" ref="G248">INDEX('LT HD Forecast'!$K$1:$Q$55,MATCH(B248,'LT HD Forecast'!$A:$A,0)+1,MATCH(C248,'LT HD Forecast'!$K$2:$Q$2,0))</f>
        <v>1850</v>
      </c>
      <c r="H248" s="44" cm="1">
        <f t="array" ref="H248">IFERROR(INDEX('ST Forecast'!$E$2:$RK$36,6,M248),"")</f>
        <v>52.177561449133094</v>
      </c>
      <c r="I248" s="44" cm="1">
        <f t="array" ref="I248">IFERROR(INDEX('ST Forecast'!$E$2:$RK$36,7,M248),"")</f>
        <v>51.542495044616551</v>
      </c>
      <c r="J248" s="44">
        <f>SUM(DB[[#This Row],[Sales-FC-Picks-Collect]:[Sales-FC-Picks-HD]])</f>
        <v>150140.05535413037</v>
      </c>
      <c r="K248" s="44">
        <f t="shared" si="69"/>
        <v>54786.439521589746</v>
      </c>
      <c r="L248" s="44">
        <f t="shared" si="70"/>
        <v>95353.615832540614</v>
      </c>
      <c r="M248" s="403">
        <f>IFERROR(IF(B248=B247,M247+1,MATCH(B248,'ST Forecast'!$E$2:$RK$2,0)+1),"")</f>
        <v>279</v>
      </c>
      <c r="N248">
        <f>SUM(DB[[#This Row],[Ops-FC-Orders-Collect]:[Ops-FC-Orders-HD]])</f>
        <v>2900</v>
      </c>
      <c r="O248" s="44" cm="1">
        <f t="array" ref="O248">IFERROR(INDEX('ST Forecast'!$E$2:$RK$36,13,M248),"")</f>
        <v>1000</v>
      </c>
      <c r="P248" s="44">
        <f t="shared" si="75"/>
        <v>1900</v>
      </c>
      <c r="Q248" s="44" cm="1">
        <f t="array" ref="Q248">IFERROR(INDEX('ST Forecast'!$E$2:$RK$36,14,M248),"")</f>
        <v>1000</v>
      </c>
      <c r="R248" s="44" cm="1">
        <f t="array" ref="R248">IFERROR(INDEX('ST Forecast'!$E$2:$RK$36,15,M248),"")</f>
        <v>900</v>
      </c>
      <c r="S248" s="312">
        <f>SUM(DB[[#This Row],[Ops-FC-Picks-Collect]:[Ops-FC-Picks-HD]])</f>
        <v>147106.13599322646</v>
      </c>
      <c r="T248" s="44">
        <f t="shared" si="76"/>
        <v>51134.010220150427</v>
      </c>
      <c r="U248" s="44">
        <f t="shared" si="77"/>
        <v>95972.125773076026</v>
      </c>
      <c r="V248" s="44">
        <f t="shared" si="78"/>
        <v>50511.645143724221</v>
      </c>
      <c r="W248" s="404">
        <f t="shared" si="79"/>
        <v>45460.480629351798</v>
      </c>
      <c r="X248" s="44">
        <f>SUM(DB[[#This Row],[Capped-Orders-Collect]:[Capped-Orders-HD]])</f>
        <v>90</v>
      </c>
      <c r="Y248">
        <f>INDEX('Operations Forecast'!$A$2:$BGY$47,3,MATCH(DB!D248,'Operations Forecast'!$A$2:$BGY$2))</f>
        <v>0</v>
      </c>
      <c r="Z248">
        <f t="shared" si="80"/>
        <v>90</v>
      </c>
      <c r="AA248">
        <f>INDEX('Operations Forecast'!$A$2:$BGY$47,10,MATCH(DB!D248,'Operations Forecast'!$A$2:$BGY$2))</f>
        <v>90</v>
      </c>
      <c r="AB248">
        <f>INDEX('Operations Forecast'!$A$2:$BGY$47,21,MATCH(DB!D248,'Operations Forecast'!$A$2:$BGY$2))</f>
        <v>0</v>
      </c>
      <c r="AC248" s="312">
        <f>SUM(DB[[#This Row],[Act-Orders-Collect]:[Act-Orders-HD]])</f>
        <v>2821</v>
      </c>
      <c r="AD248" s="858">
        <f>IFERROR(INDEX('Operations Forecast_new'!$7:$7,MATCH(DB[[#This Row],[Datum]],'Operations Forecast_new'!$2:$2,0)),0)</f>
        <v>995</v>
      </c>
      <c r="AE248" s="312">
        <f t="shared" si="81"/>
        <v>1826</v>
      </c>
      <c r="AF248" s="858">
        <f>IFERROR(INDEX('Operations Forecast_new'!$13:$13,MATCH(DB[[#This Row],[Datum]],'Operations Forecast_new'!$2:$2,0)),0)</f>
        <v>983</v>
      </c>
      <c r="AG248" s="858">
        <f>IFERROR(INDEX('Operations Forecast_new'!$19:$19,MATCH(DB[[#This Row],[Datum]],'Operations Forecast_new'!$2:$2,0)),0)</f>
        <v>843</v>
      </c>
      <c r="AH248" s="312">
        <f t="shared" si="71"/>
        <v>148840.56</v>
      </c>
      <c r="AI248" s="858">
        <f>IFERROR(INDEX('Operations Forecast_new'!$9:$9,MATCH(DB[[#This Row],[Datum]],'Operations Forecast_new'!$2:$2,0)),0)</f>
        <v>51222.6</v>
      </c>
      <c r="AJ248" s="312">
        <f t="shared" si="82"/>
        <v>97617.959999999992</v>
      </c>
      <c r="AK248" s="858">
        <f>IFERROR(INDEX('Operations Forecast_new'!$15:$15,MATCH(DB[[#This Row],[Datum]],'Operations Forecast_new'!$2:$2,0)),0)</f>
        <v>52551.18</v>
      </c>
      <c r="AL248" s="858">
        <f>IFERROR(INDEX('Operations Forecast_new'!$21:$21,MATCH(DB[[#This Row],[Datum]],'Operations Forecast_new'!$2:$2,0)),0)</f>
        <v>45066.78</v>
      </c>
      <c r="AM248" s="178">
        <f>IFERROR(INDEX('Operations Forecast_new'!$8:$8,MATCH(DB[[#This Row],[Datum]],'Operations Forecast_new'!$2:$2,0)),0)</f>
        <v>52</v>
      </c>
      <c r="AN248" s="859">
        <f>IFERROR(INDEX('Operations Forecast_new'!$20:$20,MATCH(DB[[#This Row],[Datum]],'Operations Forecast_new'!$2:$2,0)),0)</f>
        <v>54</v>
      </c>
      <c r="AO248" s="44">
        <f t="shared" si="83"/>
        <v>51.48</v>
      </c>
      <c r="AP248" s="404">
        <f t="shared" si="84"/>
        <v>53.459999999999994</v>
      </c>
      <c r="AQ248" s="44">
        <f t="shared" si="72"/>
        <v>130570.00000000007</v>
      </c>
      <c r="AR248" s="44" cm="1">
        <f t="array" ref="AR248">IFERROR(INDEX('ST Forecast'!$E$2:$RK$36,25,M248)+(INDEX('ST Forecast'!$E$2:$RK$36,29,M248)),"")</f>
        <v>61452.259735573884</v>
      </c>
      <c r="AS248" s="44" cm="1">
        <f t="array" ref="AS248">IFERROR(INDEX('ST Forecast'!$E$2:$RK$36,26,M248)+INDEX('ST Forecast'!$E$2:$RK$36,30,M248),"")</f>
        <v>57165.086786232438</v>
      </c>
      <c r="AT248" s="44" cm="1">
        <f t="array" ref="AT248">IFERROR(INDEX('ST Forecast'!$E$2:$RK$36,27,M248)+INDEX('ST Forecast'!$E$2:$RK$36,31,M248),"")</f>
        <v>5051.2669477664949</v>
      </c>
      <c r="AU248" s="44" cm="1">
        <f t="array" ref="AU248">IFERROR(INDEX('ST Forecast'!$E$2:$RK$36,28,M248),"")</f>
        <v>6901.3865304272622</v>
      </c>
      <c r="AV248" s="44" cm="1">
        <f t="array" ref="AV248">IFERROR(INDEX('ST Forecast'!$E$2:$RK$36,29,M248),"")</f>
        <v>0</v>
      </c>
      <c r="AW248" s="44">
        <f>DB[[#This Row],[Inbound FC]]-DB[[#This Row],[Inbound Act - Ultrafresh2]]</f>
        <v>130570.00000000007</v>
      </c>
      <c r="AX248" s="178" t="e">
        <f>#REF!</f>
        <v>#REF!</v>
      </c>
      <c r="AY248" s="178" t="e">
        <f>#REF!</f>
        <v>#REF!</v>
      </c>
      <c r="AZ248" s="178" t="e">
        <f>#REF!</f>
        <v>#REF!</v>
      </c>
      <c r="BA248" s="178">
        <f>MONTH(DB[[#This Row],[Datum]])</f>
        <v>9</v>
      </c>
    </row>
    <row r="249" spans="1:53" x14ac:dyDescent="0.3">
      <c r="A249" s="44">
        <f t="shared" si="73"/>
        <v>35</v>
      </c>
      <c r="B249" t="str">
        <f t="shared" si="74"/>
        <v>Wk 35</v>
      </c>
      <c r="C249" t="s">
        <v>119</v>
      </c>
      <c r="D249" s="313">
        <v>44808</v>
      </c>
      <c r="E249" s="44">
        <f>DB[[#This Row],[Sales-FC-Orders-Collect]]+DB[[#This Row],[Sales-FC-Orders-HD]]</f>
        <v>0</v>
      </c>
      <c r="F249" s="402" cm="1">
        <f t="array" ref="F249">INDEX('LT Collect Forecast'!$K$1:$Q$55,MATCH(B249,'LT Collect Forecast'!$A:$A,0)+1,MATCH(C249,'LT Collect Forecast'!$K$2:$Q$2,0))</f>
        <v>0</v>
      </c>
      <c r="G249" s="44" cm="1">
        <f t="array" ref="G249">INDEX('LT HD Forecast'!$K$1:$Q$55,MATCH(B249,'LT HD Forecast'!$A:$A,0)+1,MATCH(C249,'LT HD Forecast'!$K$2:$Q$2,0))</f>
        <v>0</v>
      </c>
      <c r="H249" s="44" cm="1">
        <f t="array" ref="H249">IFERROR(INDEX('ST Forecast'!$E$2:$RK$36,6,M249),"")</f>
        <v>0</v>
      </c>
      <c r="I249" s="44" cm="1">
        <f t="array" ref="I249">IFERROR(INDEX('ST Forecast'!$E$2:$RK$36,7,M249),"")</f>
        <v>0</v>
      </c>
      <c r="J249" s="44">
        <f>SUM(DB[[#This Row],[Sales-FC-Picks-Collect]:[Sales-FC-Picks-HD]])</f>
        <v>0</v>
      </c>
      <c r="K249" s="44">
        <f t="shared" si="69"/>
        <v>0</v>
      </c>
      <c r="L249" s="44">
        <f t="shared" si="70"/>
        <v>0</v>
      </c>
      <c r="M249" s="403">
        <f>IFERROR(IF(B249=B248,M248+1,MATCH(B249,'ST Forecast'!$E$2:$RK$2,0)+1),"")</f>
        <v>280</v>
      </c>
      <c r="N249">
        <f>SUM(DB[[#This Row],[Ops-FC-Orders-Collect]:[Ops-FC-Orders-HD]])</f>
        <v>0</v>
      </c>
      <c r="O249" s="44" cm="1">
        <f t="array" ref="O249">IFERROR(INDEX('ST Forecast'!$E$2:$RK$36,13,M249),"")</f>
        <v>0</v>
      </c>
      <c r="P249" s="44">
        <f t="shared" si="75"/>
        <v>0</v>
      </c>
      <c r="Q249" s="44" cm="1">
        <f t="array" ref="Q249">IFERROR(INDEX('ST Forecast'!$E$2:$RK$36,14,M249),"")</f>
        <v>0</v>
      </c>
      <c r="R249" s="44" cm="1">
        <f t="array" ref="R249">IFERROR(INDEX('ST Forecast'!$E$2:$RK$36,15,M249),"")</f>
        <v>0</v>
      </c>
      <c r="S249" s="312">
        <f>SUM(DB[[#This Row],[Ops-FC-Picks-Collect]:[Ops-FC-Picks-HD]])</f>
        <v>0</v>
      </c>
      <c r="T249" s="44">
        <f t="shared" si="76"/>
        <v>0</v>
      </c>
      <c r="U249" s="44">
        <f t="shared" si="77"/>
        <v>0</v>
      </c>
      <c r="V249" s="44">
        <f t="shared" si="78"/>
        <v>0</v>
      </c>
      <c r="W249" s="404">
        <f t="shared" si="79"/>
        <v>0</v>
      </c>
      <c r="X249" s="44">
        <f>SUM(DB[[#This Row],[Capped-Orders-Collect]:[Capped-Orders-HD]])</f>
        <v>90</v>
      </c>
      <c r="Y249">
        <f>INDEX('Operations Forecast'!$A$2:$BGY$47,3,MATCH(DB!D249,'Operations Forecast'!$A$2:$BGY$2))</f>
        <v>0</v>
      </c>
      <c r="Z249">
        <f t="shared" si="80"/>
        <v>90</v>
      </c>
      <c r="AA249">
        <f>INDEX('Operations Forecast'!$A$2:$BGY$47,10,MATCH(DB!D249,'Operations Forecast'!$A$2:$BGY$2))</f>
        <v>90</v>
      </c>
      <c r="AB249">
        <f>INDEX('Operations Forecast'!$A$2:$BGY$47,21,MATCH(DB!D249,'Operations Forecast'!$A$2:$BGY$2))</f>
        <v>0</v>
      </c>
      <c r="AC249" s="312">
        <f>SUM(DB[[#This Row],[Act-Orders-Collect]:[Act-Orders-HD]])</f>
        <v>0</v>
      </c>
      <c r="AD249" s="858">
        <f>IFERROR(INDEX('Operations Forecast_new'!$7:$7,MATCH(DB[[#This Row],[Datum]],'Operations Forecast_new'!$2:$2,0)),0)</f>
        <v>0</v>
      </c>
      <c r="AE249" s="312">
        <f t="shared" si="81"/>
        <v>0</v>
      </c>
      <c r="AF249" s="858">
        <f>IFERROR(INDEX('Operations Forecast_new'!$13:$13,MATCH(DB[[#This Row],[Datum]],'Operations Forecast_new'!$2:$2,0)),0)</f>
        <v>0</v>
      </c>
      <c r="AG249" s="858">
        <f>IFERROR(INDEX('Operations Forecast_new'!$19:$19,MATCH(DB[[#This Row],[Datum]],'Operations Forecast_new'!$2:$2,0)),0)</f>
        <v>0</v>
      </c>
      <c r="AH249" s="312">
        <f t="shared" si="71"/>
        <v>0</v>
      </c>
      <c r="AI249" s="858">
        <f>IFERROR(INDEX('Operations Forecast_new'!$9:$9,MATCH(DB[[#This Row],[Datum]],'Operations Forecast_new'!$2:$2,0)),0)</f>
        <v>0</v>
      </c>
      <c r="AJ249" s="312">
        <f t="shared" si="82"/>
        <v>0</v>
      </c>
      <c r="AK249" s="858">
        <f>IFERROR(INDEX('Operations Forecast_new'!$15:$15,MATCH(DB[[#This Row],[Datum]],'Operations Forecast_new'!$2:$2,0)),0)</f>
        <v>0</v>
      </c>
      <c r="AL249" s="858">
        <f>IFERROR(INDEX('Operations Forecast_new'!$21:$21,MATCH(DB[[#This Row],[Datum]],'Operations Forecast_new'!$2:$2,0)),0)</f>
        <v>0</v>
      </c>
      <c r="AM249" s="178">
        <f>IFERROR(INDEX('Operations Forecast_new'!$8:$8,MATCH(DB[[#This Row],[Datum]],'Operations Forecast_new'!$2:$2,0)),0)</f>
        <v>0</v>
      </c>
      <c r="AN249" s="859">
        <f>IFERROR(INDEX('Operations Forecast_new'!$20:$20,MATCH(DB[[#This Row],[Datum]],'Operations Forecast_new'!$2:$2,0)),0)</f>
        <v>0</v>
      </c>
      <c r="AO249" s="44" t="str">
        <f t="shared" si="83"/>
        <v>-</v>
      </c>
      <c r="AP249" s="404" t="str">
        <f t="shared" si="84"/>
        <v>-</v>
      </c>
      <c r="AQ249" s="44">
        <f t="shared" si="72"/>
        <v>0</v>
      </c>
      <c r="AR249" s="44" cm="1">
        <f t="array" ref="AR249">IFERROR(INDEX('ST Forecast'!$E$2:$RK$36,25,M249)+(INDEX('ST Forecast'!$E$2:$RK$36,29,M249)),"")</f>
        <v>0</v>
      </c>
      <c r="AS249" s="44" cm="1">
        <f t="array" ref="AS249">IFERROR(INDEX('ST Forecast'!$E$2:$RK$36,26,M249)+INDEX('ST Forecast'!$E$2:$RK$36,30,M249),"")</f>
        <v>0</v>
      </c>
      <c r="AT249" s="44" cm="1">
        <f t="array" ref="AT249">IFERROR(INDEX('ST Forecast'!$E$2:$RK$36,27,M249)+INDEX('ST Forecast'!$E$2:$RK$36,31,M249),"")</f>
        <v>0</v>
      </c>
      <c r="AU249" s="44" cm="1">
        <f t="array" ref="AU249">IFERROR(INDEX('ST Forecast'!$E$2:$RK$36,28,M249),"")</f>
        <v>0</v>
      </c>
      <c r="AV249" s="44" cm="1">
        <f t="array" ref="AV249">IFERROR(INDEX('ST Forecast'!$E$2:$RK$36,29,M249),"")</f>
        <v>0</v>
      </c>
      <c r="AW249" s="44">
        <f>DB[[#This Row],[Inbound FC]]-DB[[#This Row],[Inbound Act - Ultrafresh2]]</f>
        <v>0</v>
      </c>
      <c r="AX249" s="178" t="e">
        <f>#REF!</f>
        <v>#REF!</v>
      </c>
      <c r="AY249" s="178" t="e">
        <f>#REF!</f>
        <v>#REF!</v>
      </c>
      <c r="AZ249" s="178" t="e">
        <f>#REF!</f>
        <v>#REF!</v>
      </c>
      <c r="BA249" s="178">
        <f>MONTH(DB[[#This Row],[Datum]])</f>
        <v>9</v>
      </c>
    </row>
    <row r="250" spans="1:53" x14ac:dyDescent="0.3">
      <c r="A250" s="44">
        <f t="shared" si="73"/>
        <v>36</v>
      </c>
      <c r="B250" t="str">
        <f t="shared" si="74"/>
        <v>Wk 36</v>
      </c>
      <c r="C250" t="s">
        <v>113</v>
      </c>
      <c r="D250" s="313">
        <v>44809</v>
      </c>
      <c r="E250" s="44">
        <f>DB[[#This Row],[Sales-FC-Orders-Collect]]+DB[[#This Row],[Sales-FC-Orders-HD]]</f>
        <v>2450</v>
      </c>
      <c r="F250" s="402">
        <f>INDEX('LT Collect Forecast'!$K$1:$Q$55,MATCH(B250,'LT Collect Forecast'!$A:$A,0),MATCH(C250,'LT Collect Forecast'!$K$2:$Q$2,0))</f>
        <v>750</v>
      </c>
      <c r="G250" s="44">
        <f>INDEX('LT HD Forecast'!$K$1:$Q$55,MATCH(B250,'LT HD Forecast'!$A:$A,0),MATCH(C250,'LT HD Forecast'!$K$2:$Q$2,0))</f>
        <v>1700</v>
      </c>
      <c r="H250" s="44" cm="1">
        <f t="array" ref="H250">IFERROR(INDEX('ST Forecast'!$E$2:$RK$36,6,M250),"")</f>
        <v>51.220922874916837</v>
      </c>
      <c r="I250" s="44" cm="1">
        <f t="array" ref="I250">IFERROR(INDEX('ST Forecast'!$E$2:$RK$36,7,M250),"")</f>
        <v>51.97984880853906</v>
      </c>
      <c r="J250" s="44">
        <f>SUM(DB[[#This Row],[Sales-FC-Picks-Collect]:[Sales-FC-Picks-HD]])</f>
        <v>126781.43513070402</v>
      </c>
      <c r="K250" s="44">
        <f t="shared" si="69"/>
        <v>38415.69215618763</v>
      </c>
      <c r="L250" s="44">
        <f t="shared" si="70"/>
        <v>88365.742974516397</v>
      </c>
      <c r="M250" s="403">
        <f>IFERROR(IF(B250=B249,M249+1,MATCH(B250,'ST Forecast'!$E$2:$RK$2,0)+1),"")</f>
        <v>282</v>
      </c>
      <c r="N250">
        <f>SUM(DB[[#This Row],[Ops-FC-Orders-Collect]:[Ops-FC-Orders-HD]])</f>
        <v>2450</v>
      </c>
      <c r="O250" s="44" cm="1">
        <f t="array" ref="O250">IFERROR(INDEX('ST Forecast'!$E$2:$RK$36,13,M250),"")</f>
        <v>750</v>
      </c>
      <c r="P250" s="44">
        <f t="shared" si="75"/>
        <v>1700</v>
      </c>
      <c r="Q250" s="44" cm="1">
        <f t="array" ref="Q250">IFERROR(INDEX('ST Forecast'!$E$2:$RK$36,14,M250),"")</f>
        <v>750</v>
      </c>
      <c r="R250" s="44" cm="1">
        <f t="array" ref="R250">IFERROR(INDEX('ST Forecast'!$E$2:$RK$36,15,M250),"")</f>
        <v>950</v>
      </c>
      <c r="S250" s="312">
        <f>SUM(DB[[#This Row],[Ops-FC-Picks-Collect]:[Ops-FC-Picks-HD]])</f>
        <v>124245.80642808994</v>
      </c>
      <c r="T250" s="44">
        <f t="shared" si="76"/>
        <v>37647.378313063877</v>
      </c>
      <c r="U250" s="44">
        <f t="shared" si="77"/>
        <v>86598.428115026065</v>
      </c>
      <c r="V250" s="44">
        <f t="shared" si="78"/>
        <v>38205.188874276209</v>
      </c>
      <c r="W250" s="404">
        <f t="shared" si="79"/>
        <v>48393.239240749863</v>
      </c>
      <c r="X250" s="44">
        <f>SUM(DB[[#This Row],[Capped-Orders-Collect]:[Capped-Orders-HD]])</f>
        <v>90</v>
      </c>
      <c r="Y250">
        <f>INDEX('Operations Forecast'!$A$2:$BGY$47,3,MATCH(DB!D250,'Operations Forecast'!$A$2:$BGY$2))</f>
        <v>0</v>
      </c>
      <c r="Z250">
        <f t="shared" si="80"/>
        <v>90</v>
      </c>
      <c r="AA250">
        <f>INDEX('Operations Forecast'!$A$2:$BGY$47,10,MATCH(DB!D250,'Operations Forecast'!$A$2:$BGY$2))</f>
        <v>90</v>
      </c>
      <c r="AB250">
        <f>INDEX('Operations Forecast'!$A$2:$BGY$47,21,MATCH(DB!D250,'Operations Forecast'!$A$2:$BGY$2))</f>
        <v>0</v>
      </c>
      <c r="AC250" s="312">
        <f>SUM(DB[[#This Row],[Act-Orders-Collect]:[Act-Orders-HD]])</f>
        <v>2444</v>
      </c>
      <c r="AD250" s="858">
        <f>IFERROR(INDEX('Operations Forecast_new'!$7:$7,MATCH(DB[[#This Row],[Datum]],'Operations Forecast_new'!$2:$2,0)),0)</f>
        <v>765</v>
      </c>
      <c r="AE250" s="312">
        <f t="shared" si="81"/>
        <v>1679</v>
      </c>
      <c r="AF250" s="858">
        <f>IFERROR(INDEX('Operations Forecast_new'!$13:$13,MATCH(DB[[#This Row],[Datum]],'Operations Forecast_new'!$2:$2,0)),0)</f>
        <v>790</v>
      </c>
      <c r="AG250" s="858">
        <f>IFERROR(INDEX('Operations Forecast_new'!$19:$19,MATCH(DB[[#This Row],[Datum]],'Operations Forecast_new'!$2:$2,0)),0)</f>
        <v>889</v>
      </c>
      <c r="AH250" s="312">
        <f t="shared" si="71"/>
        <v>127599.318</v>
      </c>
      <c r="AI250" s="858">
        <f>IFERROR(INDEX('Operations Forecast_new'!$9:$9,MATCH(DB[[#This Row],[Datum]],'Operations Forecast_new'!$2:$2,0)),0)</f>
        <v>39003.525000000001</v>
      </c>
      <c r="AJ250" s="312">
        <f t="shared" si="82"/>
        <v>88595.793000000005</v>
      </c>
      <c r="AK250" s="858">
        <f>IFERROR(INDEX('Operations Forecast_new'!$15:$15,MATCH(DB[[#This Row],[Datum]],'Operations Forecast_new'!$2:$2,0)),0)</f>
        <v>41685.93</v>
      </c>
      <c r="AL250" s="858">
        <f>IFERROR(INDEX('Operations Forecast_new'!$21:$21,MATCH(DB[[#This Row],[Datum]],'Operations Forecast_new'!$2:$2,0)),0)</f>
        <v>46909.862999999998</v>
      </c>
      <c r="AM250" s="178">
        <f>IFERROR(INDEX('Operations Forecast_new'!$8:$8,MATCH(DB[[#This Row],[Datum]],'Operations Forecast_new'!$2:$2,0)),0)</f>
        <v>51.5</v>
      </c>
      <c r="AN250" s="859">
        <f>IFERROR(INDEX('Operations Forecast_new'!$20:$20,MATCH(DB[[#This Row],[Datum]],'Operations Forecast_new'!$2:$2,0)),0)</f>
        <v>53.3</v>
      </c>
      <c r="AO250" s="44">
        <f t="shared" si="83"/>
        <v>50.984999999999999</v>
      </c>
      <c r="AP250" s="404">
        <f t="shared" si="84"/>
        <v>52.767000000000003</v>
      </c>
      <c r="AQ250" s="44">
        <f t="shared" si="72"/>
        <v>217510</v>
      </c>
      <c r="AR250" s="44" cm="1">
        <f t="array" ref="AR250">IFERROR(INDEX('ST Forecast'!$E$2:$RK$36,25,M250)+(INDEX('ST Forecast'!$E$2:$RK$36,29,M250)),"")</f>
        <v>108371.78</v>
      </c>
      <c r="AS250" s="44" cm="1">
        <f t="array" ref="AS250">IFERROR(INDEX('ST Forecast'!$E$2:$RK$36,26,M250)+INDEX('ST Forecast'!$E$2:$RK$36,30,M250),"")</f>
        <v>57056.475102507611</v>
      </c>
      <c r="AT250" s="44" cm="1">
        <f t="array" ref="AT250">IFERROR(INDEX('ST Forecast'!$E$2:$RK$36,27,M250)+INDEX('ST Forecast'!$E$2:$RK$36,31,M250),"")</f>
        <v>43172.14</v>
      </c>
      <c r="AU250" s="44" cm="1">
        <f t="array" ref="AU250">IFERROR(INDEX('ST Forecast'!$E$2:$RK$36,28,M250),"")</f>
        <v>8909.6048974923888</v>
      </c>
      <c r="AV250" s="44" cm="1">
        <f t="array" ref="AV250">IFERROR(INDEX('ST Forecast'!$E$2:$RK$36,29,M250),"")</f>
        <v>0</v>
      </c>
      <c r="AW250" s="44">
        <f>DB[[#This Row],[Inbound FC]]-DB[[#This Row],[Inbound Act - Ultrafresh2]]</f>
        <v>217510</v>
      </c>
      <c r="AX250" s="178" t="e">
        <f>#REF!</f>
        <v>#REF!</v>
      </c>
      <c r="AY250" s="178" t="e">
        <f>#REF!</f>
        <v>#REF!</v>
      </c>
      <c r="AZ250" s="178" t="e">
        <f>#REF!</f>
        <v>#REF!</v>
      </c>
      <c r="BA250" s="178">
        <f>MONTH(DB[[#This Row],[Datum]])</f>
        <v>9</v>
      </c>
    </row>
    <row r="251" spans="1:53" x14ac:dyDescent="0.3">
      <c r="A251" s="44">
        <f t="shared" si="73"/>
        <v>36</v>
      </c>
      <c r="B251" t="str">
        <f t="shared" si="74"/>
        <v>Wk 36</v>
      </c>
      <c r="C251" t="s">
        <v>114</v>
      </c>
      <c r="D251" s="313">
        <v>44810</v>
      </c>
      <c r="E251" s="44">
        <f>DB[[#This Row],[Sales-FC-Orders-Collect]]+DB[[#This Row],[Sales-FC-Orders-HD]]</f>
        <v>2825</v>
      </c>
      <c r="F251" s="402">
        <f>INDEX('LT Collect Forecast'!$K$1:$Q$55,MATCH(B251,'LT Collect Forecast'!$A:$A,0),MATCH(C251,'LT Collect Forecast'!$K$2:$Q$2,0))</f>
        <v>675</v>
      </c>
      <c r="G251" s="44">
        <f>INDEX('LT HD Forecast'!$K$1:$Q$55,MATCH(B251,'LT HD Forecast'!$A:$A,0),MATCH(C251,'LT HD Forecast'!$K$2:$Q$2,0))</f>
        <v>2150</v>
      </c>
      <c r="H251" s="44" cm="1">
        <f t="array" ref="H251">IFERROR(INDEX('ST Forecast'!$E$2:$RK$36,6,M251),"")</f>
        <v>44.824313440474896</v>
      </c>
      <c r="I251" s="44" cm="1">
        <f t="array" ref="I251">IFERROR(INDEX('ST Forecast'!$E$2:$RK$36,7,M251),"")</f>
        <v>49.027344768282127</v>
      </c>
      <c r="J251" s="44">
        <f>SUM(DB[[#This Row],[Sales-FC-Picks-Collect]:[Sales-FC-Picks-HD]])</f>
        <v>135665.20282412713</v>
      </c>
      <c r="K251" s="44">
        <f t="shared" si="69"/>
        <v>30256.411572320554</v>
      </c>
      <c r="L251" s="44">
        <f t="shared" si="70"/>
        <v>105408.79125180657</v>
      </c>
      <c r="M251" s="403">
        <f>IFERROR(IF(B251=B250,M250+1,MATCH(B251,'ST Forecast'!$E$2:$RK$2,0)+1),"")</f>
        <v>283</v>
      </c>
      <c r="N251">
        <f>SUM(DB[[#This Row],[Ops-FC-Orders-Collect]:[Ops-FC-Orders-HD]])</f>
        <v>2825</v>
      </c>
      <c r="O251" s="44" cm="1">
        <f t="array" ref="O251">IFERROR(INDEX('ST Forecast'!$E$2:$RK$36,13,M251),"")</f>
        <v>675</v>
      </c>
      <c r="P251" s="44">
        <f t="shared" si="75"/>
        <v>2150</v>
      </c>
      <c r="Q251" s="44" cm="1">
        <f t="array" ref="Q251">IFERROR(INDEX('ST Forecast'!$E$2:$RK$36,14,M251),"")</f>
        <v>1100</v>
      </c>
      <c r="R251" s="44" cm="1">
        <f t="array" ref="R251">IFERROR(INDEX('ST Forecast'!$E$2:$RK$36,15,M251),"")</f>
        <v>1050</v>
      </c>
      <c r="S251" s="312">
        <f>SUM(DB[[#This Row],[Ops-FC-Picks-Collect]:[Ops-FC-Picks-HD]])</f>
        <v>132951.8987676446</v>
      </c>
      <c r="T251" s="44">
        <f t="shared" si="76"/>
        <v>29651.283340874143</v>
      </c>
      <c r="U251" s="44">
        <f t="shared" si="77"/>
        <v>103300.61542677044</v>
      </c>
      <c r="V251" s="44">
        <f t="shared" si="78"/>
        <v>52851.477660208133</v>
      </c>
      <c r="W251" s="404">
        <f t="shared" si="79"/>
        <v>50449.137766562308</v>
      </c>
      <c r="X251" s="44">
        <f>SUM(DB[[#This Row],[Capped-Orders-Collect]:[Capped-Orders-HD]])</f>
        <v>90</v>
      </c>
      <c r="Y251">
        <f>INDEX('Operations Forecast'!$A$2:$BGY$47,3,MATCH(DB!D251,'Operations Forecast'!$A$2:$BGY$2))</f>
        <v>0</v>
      </c>
      <c r="Z251">
        <f t="shared" si="80"/>
        <v>90</v>
      </c>
      <c r="AA251">
        <f>INDEX('Operations Forecast'!$A$2:$BGY$47,10,MATCH(DB!D251,'Operations Forecast'!$A$2:$BGY$2))</f>
        <v>90</v>
      </c>
      <c r="AB251">
        <f>INDEX('Operations Forecast'!$A$2:$BGY$47,21,MATCH(DB!D251,'Operations Forecast'!$A$2:$BGY$2))</f>
        <v>0</v>
      </c>
      <c r="AC251" s="312">
        <f>SUM(DB[[#This Row],[Act-Orders-Collect]:[Act-Orders-HD]])</f>
        <v>2749</v>
      </c>
      <c r="AD251" s="858">
        <f>IFERROR(INDEX('Operations Forecast_new'!$7:$7,MATCH(DB[[#This Row],[Datum]],'Operations Forecast_new'!$2:$2,0)),0)</f>
        <v>761</v>
      </c>
      <c r="AE251" s="312">
        <f t="shared" si="81"/>
        <v>1988</v>
      </c>
      <c r="AF251" s="858">
        <f>IFERROR(INDEX('Operations Forecast_new'!$13:$13,MATCH(DB[[#This Row],[Datum]],'Operations Forecast_new'!$2:$2,0)),0)</f>
        <v>1080</v>
      </c>
      <c r="AG251" s="858">
        <f>IFERROR(INDEX('Operations Forecast_new'!$19:$19,MATCH(DB[[#This Row],[Datum]],'Operations Forecast_new'!$2:$2,0)),0)</f>
        <v>908</v>
      </c>
      <c r="AH251" s="312">
        <f t="shared" si="71"/>
        <v>139307.454</v>
      </c>
      <c r="AI251" s="858">
        <f>IFERROR(INDEX('Operations Forecast_new'!$9:$9,MATCH(DB[[#This Row],[Datum]],'Operations Forecast_new'!$2:$2,0)),0)</f>
        <v>39326.958000000006</v>
      </c>
      <c r="AJ251" s="312">
        <f t="shared" si="82"/>
        <v>99980.495999999985</v>
      </c>
      <c r="AK251" s="858">
        <f>IFERROR(INDEX('Operations Forecast_new'!$15:$15,MATCH(DB[[#This Row],[Datum]],'Operations Forecast_new'!$2:$2,0)),0)</f>
        <v>54315.360000000001</v>
      </c>
      <c r="AL251" s="858">
        <f>IFERROR(INDEX('Operations Forecast_new'!$21:$21,MATCH(DB[[#This Row],[Datum]],'Operations Forecast_new'!$2:$2,0)),0)</f>
        <v>45665.135999999991</v>
      </c>
      <c r="AM251" s="178">
        <f>IFERROR(INDEX('Operations Forecast_new'!$8:$8,MATCH(DB[[#This Row],[Datum]],'Operations Forecast_new'!$2:$2,0)),0)</f>
        <v>52.2</v>
      </c>
      <c r="AN251" s="859">
        <f>IFERROR(INDEX('Operations Forecast_new'!$20:$20,MATCH(DB[[#This Row],[Datum]],'Operations Forecast_new'!$2:$2,0)),0)</f>
        <v>50.8</v>
      </c>
      <c r="AO251" s="44">
        <f t="shared" si="83"/>
        <v>51.678000000000004</v>
      </c>
      <c r="AP251" s="404">
        <f t="shared" si="84"/>
        <v>50.291999999999994</v>
      </c>
      <c r="AQ251" s="44">
        <f t="shared" si="72"/>
        <v>153778.48543610392</v>
      </c>
      <c r="AR251" s="44" cm="1">
        <f t="array" ref="AR251">IFERROR(INDEX('ST Forecast'!$E$2:$RK$36,25,M251)+(INDEX('ST Forecast'!$E$2:$RK$36,29,M251)),"")</f>
        <v>71969.567999999999</v>
      </c>
      <c r="AS251" s="44" cm="1">
        <f t="array" ref="AS251">IFERROR(INDEX('ST Forecast'!$E$2:$RK$36,26,M251)+INDEX('ST Forecast'!$E$2:$RK$36,30,M251),"")</f>
        <v>65541.41246213761</v>
      </c>
      <c r="AT251" s="44" cm="1">
        <f t="array" ref="AT251">IFERROR(INDEX('ST Forecast'!$E$2:$RK$36,27,M251)+INDEX('ST Forecast'!$E$2:$RK$36,31,M251),"")</f>
        <v>6894.9174361039322</v>
      </c>
      <c r="AU251" s="44" cm="1">
        <f t="array" ref="AU251">IFERROR(INDEX('ST Forecast'!$E$2:$RK$36,28,M251),"")</f>
        <v>9372.5875378623841</v>
      </c>
      <c r="AV251" s="44" cm="1">
        <f t="array" ref="AV251">IFERROR(INDEX('ST Forecast'!$E$2:$RK$36,29,M251),"")</f>
        <v>0</v>
      </c>
      <c r="AW251" s="44">
        <f>DB[[#This Row],[Inbound FC]]-DB[[#This Row],[Inbound Act - Ultrafresh2]]</f>
        <v>153778.48543610392</v>
      </c>
      <c r="AX251" s="178" t="e">
        <f>#REF!</f>
        <v>#REF!</v>
      </c>
      <c r="AY251" s="178" t="e">
        <f>#REF!</f>
        <v>#REF!</v>
      </c>
      <c r="AZ251" s="178" t="e">
        <f>#REF!</f>
        <v>#REF!</v>
      </c>
      <c r="BA251" s="178">
        <f>MONTH(DB[[#This Row],[Datum]])</f>
        <v>9</v>
      </c>
    </row>
    <row r="252" spans="1:53" x14ac:dyDescent="0.3">
      <c r="A252" s="44">
        <f t="shared" si="73"/>
        <v>36</v>
      </c>
      <c r="B252" t="str">
        <f t="shared" si="74"/>
        <v>Wk 36</v>
      </c>
      <c r="C252" t="s">
        <v>115</v>
      </c>
      <c r="D252" s="313">
        <v>44811</v>
      </c>
      <c r="E252" s="44">
        <f>DB[[#This Row],[Sales-FC-Orders-Collect]]+DB[[#This Row],[Sales-FC-Orders-HD]]</f>
        <v>2700</v>
      </c>
      <c r="F252" s="402">
        <f>INDEX('LT Collect Forecast'!$K$1:$Q$55,MATCH(B252,'LT Collect Forecast'!$A:$A,0),MATCH(C252,'LT Collect Forecast'!$K$2:$Q$2,0))</f>
        <v>700</v>
      </c>
      <c r="G252" s="44">
        <f>INDEX('LT HD Forecast'!$K$1:$Q$55,MATCH(B252,'LT HD Forecast'!$A:$A,0),MATCH(C252,'LT HD Forecast'!$K$2:$Q$2,0))</f>
        <v>2000</v>
      </c>
      <c r="H252" s="44" cm="1">
        <f t="array" ref="H252">IFERROR(INDEX('ST Forecast'!$E$2:$RK$36,6,M252),"")</f>
        <v>45.171220975847596</v>
      </c>
      <c r="I252" s="44" cm="1">
        <f t="array" ref="I252">IFERROR(INDEX('ST Forecast'!$E$2:$RK$36,7,M252),"")</f>
        <v>50.828996328432993</v>
      </c>
      <c r="J252" s="44">
        <f>SUM(DB[[#This Row],[Sales-FC-Picks-Collect]:[Sales-FC-Picks-HD]])</f>
        <v>133277.84733995929</v>
      </c>
      <c r="K252" s="44">
        <f t="shared" si="69"/>
        <v>31619.854683093319</v>
      </c>
      <c r="L252" s="44">
        <f t="shared" si="70"/>
        <v>101657.99265686599</v>
      </c>
      <c r="M252" s="403">
        <f>IFERROR(IF(B252=B251,M251+1,MATCH(B252,'ST Forecast'!$E$2:$RK$2,0)+1),"")</f>
        <v>284</v>
      </c>
      <c r="N252">
        <f>SUM(DB[[#This Row],[Ops-FC-Orders-Collect]:[Ops-FC-Orders-HD]])</f>
        <v>2750</v>
      </c>
      <c r="O252" s="44" cm="1">
        <f t="array" ref="O252">IFERROR(INDEX('ST Forecast'!$E$2:$RK$36,13,M252),"")</f>
        <v>700</v>
      </c>
      <c r="P252" s="44">
        <f t="shared" si="75"/>
        <v>2050</v>
      </c>
      <c r="Q252" s="44" cm="1">
        <f t="array" ref="Q252">IFERROR(INDEX('ST Forecast'!$E$2:$RK$36,14,M252),"")</f>
        <v>1100</v>
      </c>
      <c r="R252" s="44" cm="1">
        <f t="array" ref="R252">IFERROR(INDEX('ST Forecast'!$E$2:$RK$36,15,M252),"")</f>
        <v>950</v>
      </c>
      <c r="S252" s="312">
        <f>SUM(DB[[#This Row],[Ops-FC-Picks-Collect]:[Ops-FC-Picks-HD]])</f>
        <v>133102.91121325333</v>
      </c>
      <c r="T252" s="44">
        <f t="shared" si="76"/>
        <v>30987.457589431451</v>
      </c>
      <c r="U252" s="44">
        <f t="shared" si="77"/>
        <v>102115.45362382189</v>
      </c>
      <c r="V252" s="44">
        <f t="shared" si="78"/>
        <v>54793.658042050767</v>
      </c>
      <c r="W252" s="404">
        <f t="shared" si="79"/>
        <v>47321.795581771119</v>
      </c>
      <c r="X252" s="44">
        <f>SUM(DB[[#This Row],[Capped-Orders-Collect]:[Capped-Orders-HD]])</f>
        <v>90</v>
      </c>
      <c r="Y252">
        <f>INDEX('Operations Forecast'!$A$2:$BGY$47,3,MATCH(DB!D252,'Operations Forecast'!$A$2:$BGY$2))</f>
        <v>0</v>
      </c>
      <c r="Z252">
        <f t="shared" si="80"/>
        <v>90</v>
      </c>
      <c r="AA252">
        <f>INDEX('Operations Forecast'!$A$2:$BGY$47,10,MATCH(DB!D252,'Operations Forecast'!$A$2:$BGY$2))</f>
        <v>90</v>
      </c>
      <c r="AB252">
        <f>INDEX('Operations Forecast'!$A$2:$BGY$47,21,MATCH(DB!D252,'Operations Forecast'!$A$2:$BGY$2))</f>
        <v>0</v>
      </c>
      <c r="AC252" s="312">
        <f>SUM(DB[[#This Row],[Act-Orders-Collect]:[Act-Orders-HD]])</f>
        <v>2805</v>
      </c>
      <c r="AD252" s="858">
        <f>IFERROR(INDEX('Operations Forecast_new'!$7:$7,MATCH(DB[[#This Row],[Datum]],'Operations Forecast_new'!$2:$2,0)),0)</f>
        <v>780</v>
      </c>
      <c r="AE252" s="312">
        <f t="shared" si="81"/>
        <v>2025</v>
      </c>
      <c r="AF252" s="858">
        <f>IFERROR(INDEX('Operations Forecast_new'!$13:$13,MATCH(DB[[#This Row],[Datum]],'Operations Forecast_new'!$2:$2,0)),0)</f>
        <v>1060</v>
      </c>
      <c r="AG252" s="858">
        <f>IFERROR(INDEX('Operations Forecast_new'!$19:$19,MATCH(DB[[#This Row],[Datum]],'Operations Forecast_new'!$2:$2,0)),0)</f>
        <v>965</v>
      </c>
      <c r="AH252" s="312">
        <f t="shared" si="71"/>
        <v>141434.37</v>
      </c>
      <c r="AI252" s="858">
        <f>IFERROR(INDEX('Operations Forecast_new'!$9:$9,MATCH(DB[[#This Row],[Datum]],'Operations Forecast_new'!$2:$2,0)),0)</f>
        <v>35984.519999999997</v>
      </c>
      <c r="AJ252" s="312">
        <f t="shared" si="82"/>
        <v>105449.85</v>
      </c>
      <c r="AK252" s="858">
        <f>IFERROR(INDEX('Operations Forecast_new'!$15:$15,MATCH(DB[[#This Row],[Datum]],'Operations Forecast_new'!$2:$2,0)),0)</f>
        <v>55198.44</v>
      </c>
      <c r="AL252" s="858">
        <f>IFERROR(INDEX('Operations Forecast_new'!$21:$21,MATCH(DB[[#This Row],[Datum]],'Operations Forecast_new'!$2:$2,0)),0)</f>
        <v>50251.409999999996</v>
      </c>
      <c r="AM252" s="178">
        <f>IFERROR(INDEX('Operations Forecast_new'!$8:$8,MATCH(DB[[#This Row],[Datum]],'Operations Forecast_new'!$2:$2,0)),0)</f>
        <v>46.6</v>
      </c>
      <c r="AN252" s="859">
        <f>IFERROR(INDEX('Operations Forecast_new'!$20:$20,MATCH(DB[[#This Row],[Datum]],'Operations Forecast_new'!$2:$2,0)),0)</f>
        <v>52.6</v>
      </c>
      <c r="AO252" s="44">
        <f t="shared" si="83"/>
        <v>46.133999999999993</v>
      </c>
      <c r="AP252" s="404">
        <f t="shared" si="84"/>
        <v>52.074000000000005</v>
      </c>
      <c r="AQ252" s="44">
        <f t="shared" si="72"/>
        <v>156910.10347144652</v>
      </c>
      <c r="AR252" s="44" cm="1">
        <f t="array" ref="AR252">IFERROR(INDEX('ST Forecast'!$E$2:$RK$36,25,M252)+(INDEX('ST Forecast'!$E$2:$RK$36,29,M252)),"")</f>
        <v>72902.399999999994</v>
      </c>
      <c r="AS252" s="44" cm="1">
        <f t="array" ref="AS252">IFERROR(INDEX('ST Forecast'!$E$2:$RK$36,26,M252)+INDEX('ST Forecast'!$E$2:$RK$36,30,M252),"")</f>
        <v>63061.574617945676</v>
      </c>
      <c r="AT252" s="44" cm="1">
        <f t="array" ref="AT252">IFERROR(INDEX('ST Forecast'!$E$2:$RK$36,27,M252)+INDEX('ST Forecast'!$E$2:$RK$36,31,M252),"")</f>
        <v>11105.303471446543</v>
      </c>
      <c r="AU252" s="44" cm="1">
        <f t="array" ref="AU252">IFERROR(INDEX('ST Forecast'!$E$2:$RK$36,28,M252),"")</f>
        <v>9840.8253820543141</v>
      </c>
      <c r="AV252" s="44" cm="1">
        <f t="array" ref="AV252">IFERROR(INDEX('ST Forecast'!$E$2:$RK$36,29,M252),"")</f>
        <v>0</v>
      </c>
      <c r="AW252" s="44">
        <f>DB[[#This Row],[Inbound FC]]-DB[[#This Row],[Inbound Act - Ultrafresh2]]</f>
        <v>156910.10347144652</v>
      </c>
      <c r="AX252" s="178" t="e">
        <f>#REF!</f>
        <v>#REF!</v>
      </c>
      <c r="AY252" s="178" t="e">
        <f>#REF!</f>
        <v>#REF!</v>
      </c>
      <c r="AZ252" s="178" t="e">
        <f>#REF!</f>
        <v>#REF!</v>
      </c>
      <c r="BA252" s="178">
        <f>MONTH(DB[[#This Row],[Datum]])</f>
        <v>9</v>
      </c>
    </row>
    <row r="253" spans="1:53" x14ac:dyDescent="0.3">
      <c r="A253" s="44">
        <f t="shared" si="73"/>
        <v>36</v>
      </c>
      <c r="B253" t="str">
        <f t="shared" si="74"/>
        <v>Wk 36</v>
      </c>
      <c r="C253" t="s">
        <v>116</v>
      </c>
      <c r="D253" s="313">
        <v>44812</v>
      </c>
      <c r="E253" s="44">
        <f>DB[[#This Row],[Sales-FC-Orders-Collect]]+DB[[#This Row],[Sales-FC-Orders-HD]]</f>
        <v>2650</v>
      </c>
      <c r="F253" s="402" cm="1">
        <f t="array" ref="F253">INDEX('LT Collect Forecast'!$K$1:$Q$55,MATCH(B253,'LT Collect Forecast'!$A:$A,0)+1,MATCH(C253,'LT Collect Forecast'!$K$2:$Q$2,0))</f>
        <v>650</v>
      </c>
      <c r="G253" s="44" cm="1">
        <f t="array" ref="G253">INDEX('LT HD Forecast'!$K$1:$Q$55,MATCH(B253,'LT HD Forecast'!$A:$A,0)+1,MATCH(C253,'LT HD Forecast'!$K$2:$Q$2,0))</f>
        <v>2000</v>
      </c>
      <c r="H253" s="44" cm="1">
        <f t="array" ref="H253">IFERROR(INDEX('ST Forecast'!$E$2:$RK$36,6,M253),"")</f>
        <v>43.349411722876283</v>
      </c>
      <c r="I253" s="44" cm="1">
        <f t="array" ref="I253">IFERROR(INDEX('ST Forecast'!$E$2:$RK$36,7,M253),"")</f>
        <v>48.594146852246588</v>
      </c>
      <c r="J253" s="44">
        <f>SUM(DB[[#This Row],[Sales-FC-Picks-Collect]:[Sales-FC-Picks-HD]])</f>
        <v>125365.41132436277</v>
      </c>
      <c r="K253" s="44">
        <f t="shared" si="69"/>
        <v>28177.117619869583</v>
      </c>
      <c r="L253" s="44">
        <f t="shared" si="70"/>
        <v>97188.293704493175</v>
      </c>
      <c r="M253" s="403">
        <f>IFERROR(IF(B253=B252,M252+1,MATCH(B253,'ST Forecast'!$E$2:$RK$2,0)+1),"")</f>
        <v>285</v>
      </c>
      <c r="N253">
        <f>SUM(DB[[#This Row],[Ops-FC-Orders-Collect]:[Ops-FC-Orders-HD]])</f>
        <v>2750</v>
      </c>
      <c r="O253" s="44" cm="1">
        <f t="array" ref="O253">IFERROR(INDEX('ST Forecast'!$E$2:$RK$36,13,M253),"")</f>
        <v>650</v>
      </c>
      <c r="P253" s="44">
        <f t="shared" si="75"/>
        <v>2100</v>
      </c>
      <c r="Q253" s="44" cm="1">
        <f t="array" ref="Q253">IFERROR(INDEX('ST Forecast'!$E$2:$RK$36,14,M253),"")</f>
        <v>1100</v>
      </c>
      <c r="R253" s="44" cm="1">
        <f t="array" ref="R253">IFERROR(INDEX('ST Forecast'!$E$2:$RK$36,15,M253),"")</f>
        <v>1000</v>
      </c>
      <c r="S253" s="312">
        <f>SUM(DB[[#This Row],[Ops-FC-Picks-Collect]:[Ops-FC-Picks-HD]])</f>
        <v>127620.32948939566</v>
      </c>
      <c r="T253" s="44">
        <f t="shared" si="76"/>
        <v>27613.575267472192</v>
      </c>
      <c r="U253" s="44">
        <f t="shared" si="77"/>
        <v>100006.75422192347</v>
      </c>
      <c r="V253" s="44">
        <f t="shared" si="78"/>
        <v>52384.490306721826</v>
      </c>
      <c r="W253" s="404">
        <f t="shared" si="79"/>
        <v>47622.263915201656</v>
      </c>
      <c r="X253" s="44">
        <f>SUM(DB[[#This Row],[Capped-Orders-Collect]:[Capped-Orders-HD]])</f>
        <v>90</v>
      </c>
      <c r="Y253">
        <f>INDEX('Operations Forecast'!$A$2:$BGY$47,3,MATCH(DB!D253,'Operations Forecast'!$A$2:$BGY$2))</f>
        <v>0</v>
      </c>
      <c r="Z253">
        <f t="shared" si="80"/>
        <v>90</v>
      </c>
      <c r="AA253">
        <f>INDEX('Operations Forecast'!$A$2:$BGY$47,10,MATCH(DB!D253,'Operations Forecast'!$A$2:$BGY$2))</f>
        <v>90</v>
      </c>
      <c r="AB253">
        <f>INDEX('Operations Forecast'!$A$2:$BGY$47,21,MATCH(DB!D253,'Operations Forecast'!$A$2:$BGY$2))</f>
        <v>0</v>
      </c>
      <c r="AC253" s="312">
        <f>SUM(DB[[#This Row],[Act-Orders-Collect]:[Act-Orders-HD]])</f>
        <v>2649</v>
      </c>
      <c r="AD253" s="858">
        <f>IFERROR(INDEX('Operations Forecast_new'!$7:$7,MATCH(DB[[#This Row],[Datum]],'Operations Forecast_new'!$2:$2,0)),0)</f>
        <v>660</v>
      </c>
      <c r="AE253" s="312">
        <f t="shared" si="81"/>
        <v>1989</v>
      </c>
      <c r="AF253" s="858">
        <f>IFERROR(INDEX('Operations Forecast_new'!$13:$13,MATCH(DB[[#This Row],[Datum]],'Operations Forecast_new'!$2:$2,0)),0)</f>
        <v>1037</v>
      </c>
      <c r="AG253" s="858">
        <f>IFERROR(INDEX('Operations Forecast_new'!$19:$19,MATCH(DB[[#This Row],[Datum]],'Operations Forecast_new'!$2:$2,0)),0)</f>
        <v>952</v>
      </c>
      <c r="AH253" s="312">
        <f t="shared" si="71"/>
        <v>127794.05100000001</v>
      </c>
      <c r="AI253" s="858">
        <f>IFERROR(INDEX('Operations Forecast_new'!$9:$9,MATCH(DB[[#This Row],[Datum]],'Operations Forecast_new'!$2:$2,0)),0)</f>
        <v>29141.64</v>
      </c>
      <c r="AJ253" s="312">
        <f t="shared" si="82"/>
        <v>98652.411000000007</v>
      </c>
      <c r="AK253" s="858">
        <f>IFERROR(INDEX('Operations Forecast_new'!$15:$15,MATCH(DB[[#This Row],[Datum]],'Operations Forecast_new'!$2:$2,0)),0)</f>
        <v>51434.163</v>
      </c>
      <c r="AL253" s="858">
        <f>IFERROR(INDEX('Operations Forecast_new'!$21:$21,MATCH(DB[[#This Row],[Datum]],'Operations Forecast_new'!$2:$2,0)),0)</f>
        <v>47218.248000000007</v>
      </c>
      <c r="AM253" s="178">
        <f>IFERROR(INDEX('Operations Forecast_new'!$8:$8,MATCH(DB[[#This Row],[Datum]],'Operations Forecast_new'!$2:$2,0)),0)</f>
        <v>44.6</v>
      </c>
      <c r="AN253" s="859">
        <f>IFERROR(INDEX('Operations Forecast_new'!$20:$20,MATCH(DB[[#This Row],[Datum]],'Operations Forecast_new'!$2:$2,0)),0)</f>
        <v>50.1</v>
      </c>
      <c r="AO253" s="44">
        <f t="shared" si="83"/>
        <v>44.153999999999996</v>
      </c>
      <c r="AP253" s="404">
        <f t="shared" si="84"/>
        <v>49.599000000000004</v>
      </c>
      <c r="AQ253" s="44">
        <f t="shared" si="72"/>
        <v>147590.41013384031</v>
      </c>
      <c r="AR253" s="44" cm="1">
        <f t="array" ref="AR253">IFERROR(INDEX('ST Forecast'!$E$2:$RK$36,25,M253)+(INDEX('ST Forecast'!$E$2:$RK$36,29,M253)),"")</f>
        <v>62486.74</v>
      </c>
      <c r="AS253" s="44" cm="1">
        <f t="array" ref="AS253">IFERROR(INDEX('ST Forecast'!$E$2:$RK$36,26,M253)+INDEX('ST Forecast'!$E$2:$RK$36,30,M253),"")</f>
        <v>66053.021297667874</v>
      </c>
      <c r="AT253" s="44" cm="1">
        <f t="array" ref="AT253">IFERROR(INDEX('ST Forecast'!$E$2:$RK$36,27,M253)+INDEX('ST Forecast'!$E$2:$RK$36,31,M253),"")</f>
        <v>8666.4021338403272</v>
      </c>
      <c r="AU253" s="44" cm="1">
        <f t="array" ref="AU253">IFERROR(INDEX('ST Forecast'!$E$2:$RK$36,28,M253),"")</f>
        <v>10384.246702332117</v>
      </c>
      <c r="AV253" s="44" cm="1">
        <f t="array" ref="AV253">IFERROR(INDEX('ST Forecast'!$E$2:$RK$36,29,M253),"")</f>
        <v>0</v>
      </c>
      <c r="AW253" s="44">
        <f>DB[[#This Row],[Inbound FC]]-DB[[#This Row],[Inbound Act - Ultrafresh2]]</f>
        <v>147590.41013384031</v>
      </c>
      <c r="AX253" s="178" t="e">
        <f>#REF!</f>
        <v>#REF!</v>
      </c>
      <c r="AY253" s="178" t="e">
        <f>#REF!</f>
        <v>#REF!</v>
      </c>
      <c r="AZ253" s="178" t="e">
        <f>#REF!</f>
        <v>#REF!</v>
      </c>
      <c r="BA253" s="178">
        <f>MONTH(DB[[#This Row],[Datum]])</f>
        <v>9</v>
      </c>
    </row>
    <row r="254" spans="1:53" x14ac:dyDescent="0.3">
      <c r="A254" s="44">
        <f t="shared" si="73"/>
        <v>36</v>
      </c>
      <c r="B254" t="str">
        <f t="shared" si="74"/>
        <v>Wk 36</v>
      </c>
      <c r="C254" t="s">
        <v>117</v>
      </c>
      <c r="D254" s="313">
        <v>44813</v>
      </c>
      <c r="E254" s="44">
        <f>DB[[#This Row],[Sales-FC-Orders-Collect]]+DB[[#This Row],[Sales-FC-Orders-HD]]</f>
        <v>3000</v>
      </c>
      <c r="F254" s="402" cm="1">
        <f t="array" ref="F254">INDEX('LT Collect Forecast'!$K$1:$Q$55,MATCH(B254,'LT Collect Forecast'!$A:$A,0)+1,MATCH(C254,'LT Collect Forecast'!$K$2:$Q$2,0))</f>
        <v>1150</v>
      </c>
      <c r="G254" s="44" cm="1">
        <f t="array" ref="G254">INDEX('LT HD Forecast'!$K$1:$Q$55,MATCH(B254,'LT HD Forecast'!$A:$A,0)+1,MATCH(C254,'LT HD Forecast'!$K$2:$Q$2,0))</f>
        <v>1850</v>
      </c>
      <c r="H254" s="44" cm="1">
        <f t="array" ref="H254">IFERROR(INDEX('ST Forecast'!$E$2:$RK$36,6,M254),"")</f>
        <v>50.702334205488057</v>
      </c>
      <c r="I254" s="44" cm="1">
        <f t="array" ref="I254">IFERROR(INDEX('ST Forecast'!$E$2:$RK$36,7,M254),"")</f>
        <v>50.708263415745421</v>
      </c>
      <c r="J254" s="44">
        <f>SUM(DB[[#This Row],[Sales-FC-Picks-Collect]:[Sales-FC-Picks-HD]])</f>
        <v>152117.97165544028</v>
      </c>
      <c r="K254" s="44">
        <f t="shared" si="69"/>
        <v>58307.684336311264</v>
      </c>
      <c r="L254" s="44">
        <f t="shared" si="70"/>
        <v>93810.287319129027</v>
      </c>
      <c r="M254" s="403">
        <f>IFERROR(IF(B254=B253,M253+1,MATCH(B254,'ST Forecast'!$E$2:$RK$2,0)+1),"")</f>
        <v>286</v>
      </c>
      <c r="N254">
        <f>SUM(DB[[#This Row],[Ops-FC-Orders-Collect]:[Ops-FC-Orders-HD]])</f>
        <v>3250</v>
      </c>
      <c r="O254" s="44" cm="1">
        <f t="array" ref="O254">IFERROR(INDEX('ST Forecast'!$E$2:$RK$36,13,M254),"")</f>
        <v>1150</v>
      </c>
      <c r="P254" s="44">
        <f t="shared" si="75"/>
        <v>2100</v>
      </c>
      <c r="Q254" s="44" cm="1">
        <f t="array" ref="Q254">IFERROR(INDEX('ST Forecast'!$E$2:$RK$36,14,M254),"")</f>
        <v>1150</v>
      </c>
      <c r="R254" s="44" cm="1">
        <f t="array" ref="R254">IFERROR(INDEX('ST Forecast'!$E$2:$RK$36,15,M254),"")</f>
        <v>950</v>
      </c>
      <c r="S254" s="312">
        <f>SUM(DB[[#This Row],[Ops-FC-Picks-Collect]:[Ops-FC-Picks-HD]])</f>
        <v>161499.1367591891</v>
      </c>
      <c r="T254" s="44">
        <f t="shared" si="76"/>
        <v>57141.530649585038</v>
      </c>
      <c r="U254" s="44">
        <f t="shared" si="77"/>
        <v>104357.60610960406</v>
      </c>
      <c r="V254" s="44">
        <f t="shared" si="78"/>
        <v>57148.212869545088</v>
      </c>
      <c r="W254" s="404">
        <f t="shared" si="79"/>
        <v>47209.393240058984</v>
      </c>
      <c r="X254" s="44">
        <f>SUM(DB[[#This Row],[Capped-Orders-Collect]:[Capped-Orders-HD]])</f>
        <v>90</v>
      </c>
      <c r="Y254">
        <f>INDEX('Operations Forecast'!$A$2:$BGY$47,3,MATCH(DB!D254,'Operations Forecast'!$A$2:$BGY$2))</f>
        <v>0</v>
      </c>
      <c r="Z254">
        <f t="shared" si="80"/>
        <v>90</v>
      </c>
      <c r="AA254">
        <f>INDEX('Operations Forecast'!$A$2:$BGY$47,10,MATCH(DB!D254,'Operations Forecast'!$A$2:$BGY$2))</f>
        <v>90</v>
      </c>
      <c r="AB254">
        <f>INDEX('Operations Forecast'!$A$2:$BGY$47,21,MATCH(DB!D254,'Operations Forecast'!$A$2:$BGY$2))</f>
        <v>0</v>
      </c>
      <c r="AC254" s="312">
        <f>SUM(DB[[#This Row],[Act-Orders-Collect]:[Act-Orders-HD]])</f>
        <v>3015</v>
      </c>
      <c r="AD254" s="858">
        <f>IFERROR(INDEX('Operations Forecast_new'!$7:$7,MATCH(DB[[#This Row],[Datum]],'Operations Forecast_new'!$2:$2,0)),0)</f>
        <v>930</v>
      </c>
      <c r="AE254" s="312">
        <f t="shared" si="81"/>
        <v>2085</v>
      </c>
      <c r="AF254" s="858">
        <f>IFERROR(INDEX('Operations Forecast_new'!$13:$13,MATCH(DB[[#This Row],[Datum]],'Operations Forecast_new'!$2:$2,0)),0)</f>
        <v>1120</v>
      </c>
      <c r="AG254" s="858">
        <f>IFERROR(INDEX('Operations Forecast_new'!$19:$19,MATCH(DB[[#This Row],[Datum]],'Operations Forecast_new'!$2:$2,0)),0)</f>
        <v>965</v>
      </c>
      <c r="AH254" s="312">
        <f t="shared" si="71"/>
        <v>155212.19999999998</v>
      </c>
      <c r="AI254" s="858">
        <f>IFERROR(INDEX('Operations Forecast_new'!$9:$9,MATCH(DB[[#This Row],[Datum]],'Operations Forecast_new'!$2:$2,0)),0)</f>
        <v>47876.4</v>
      </c>
      <c r="AJ254" s="312">
        <f t="shared" si="82"/>
        <v>107335.79999999999</v>
      </c>
      <c r="AK254" s="858">
        <f>IFERROR(INDEX('Operations Forecast_new'!$15:$15,MATCH(DB[[#This Row],[Datum]],'Operations Forecast_new'!$2:$2,0)),0)</f>
        <v>57657.599999999999</v>
      </c>
      <c r="AL254" s="858">
        <f>IFERROR(INDEX('Operations Forecast_new'!$21:$21,MATCH(DB[[#This Row],[Datum]],'Operations Forecast_new'!$2:$2,0)),0)</f>
        <v>49678.2</v>
      </c>
      <c r="AM254" s="178">
        <f>IFERROR(INDEX('Operations Forecast_new'!$8:$8,MATCH(DB[[#This Row],[Datum]],'Operations Forecast_new'!$2:$2,0)),0)</f>
        <v>52</v>
      </c>
      <c r="AN254" s="859">
        <f>IFERROR(INDEX('Operations Forecast_new'!$20:$20,MATCH(DB[[#This Row],[Datum]],'Operations Forecast_new'!$2:$2,0)),0)</f>
        <v>52</v>
      </c>
      <c r="AO254" s="44">
        <f t="shared" si="83"/>
        <v>51.480000000000004</v>
      </c>
      <c r="AP254" s="404">
        <f t="shared" si="84"/>
        <v>51.48</v>
      </c>
      <c r="AQ254" s="44">
        <f t="shared" si="72"/>
        <v>124469.93843401594</v>
      </c>
      <c r="AR254" s="44" cm="1">
        <f t="array" ref="AR254">IFERROR(INDEX('ST Forecast'!$E$2:$RK$36,25,M254)+(INDEX('ST Forecast'!$E$2:$RK$36,29,M254)),"")</f>
        <v>50550.654000000002</v>
      </c>
      <c r="AS254" s="44" cm="1">
        <f t="array" ref="AS254">IFERROR(INDEX('ST Forecast'!$E$2:$RK$36,26,M254)+INDEX('ST Forecast'!$E$2:$RK$36,30,M254),"")</f>
        <v>59702.333662326768</v>
      </c>
      <c r="AT254" s="44" cm="1">
        <f t="array" ref="AT254">IFERROR(INDEX('ST Forecast'!$E$2:$RK$36,27,M254)+INDEX('ST Forecast'!$E$2:$RK$36,31,M254),"")</f>
        <v>5439.3344340159192</v>
      </c>
      <c r="AU254" s="44" cm="1">
        <f t="array" ref="AU254">IFERROR(INDEX('ST Forecast'!$E$2:$RK$36,28,M254),"")</f>
        <v>8777.6163376732457</v>
      </c>
      <c r="AV254" s="44" cm="1">
        <f t="array" ref="AV254">IFERROR(INDEX('ST Forecast'!$E$2:$RK$36,29,M254),"")</f>
        <v>0</v>
      </c>
      <c r="AW254" s="44">
        <f>DB[[#This Row],[Inbound FC]]-DB[[#This Row],[Inbound Act - Ultrafresh2]]</f>
        <v>124469.93843401594</v>
      </c>
      <c r="AX254" s="178" t="e">
        <f>#REF!</f>
        <v>#REF!</v>
      </c>
      <c r="AY254" s="178" t="e">
        <f>#REF!</f>
        <v>#REF!</v>
      </c>
      <c r="AZ254" s="178" t="e">
        <f>#REF!</f>
        <v>#REF!</v>
      </c>
      <c r="BA254" s="178">
        <f>MONTH(DB[[#This Row],[Datum]])</f>
        <v>9</v>
      </c>
    </row>
    <row r="255" spans="1:53" x14ac:dyDescent="0.3">
      <c r="A255" s="44">
        <f t="shared" si="73"/>
        <v>36</v>
      </c>
      <c r="B255" t="str">
        <f t="shared" si="74"/>
        <v>Wk 36</v>
      </c>
      <c r="C255" t="s">
        <v>118</v>
      </c>
      <c r="D255" s="313">
        <v>44814</v>
      </c>
      <c r="E255" s="44">
        <f>DB[[#This Row],[Sales-FC-Orders-Collect]]+DB[[#This Row],[Sales-FC-Orders-HD]]</f>
        <v>2800</v>
      </c>
      <c r="F255" s="402" cm="1">
        <f t="array" ref="F255">INDEX('LT Collect Forecast'!$K$1:$Q$55,MATCH(B255,'LT Collect Forecast'!$A:$A,0)+1,MATCH(C255,'LT Collect Forecast'!$K$2:$Q$2,0))</f>
        <v>1050</v>
      </c>
      <c r="G255" s="44" cm="1">
        <f t="array" ref="G255">INDEX('LT HD Forecast'!$K$1:$Q$55,MATCH(B255,'LT HD Forecast'!$A:$A,0)+1,MATCH(C255,'LT HD Forecast'!$K$2:$Q$2,0))</f>
        <v>1750</v>
      </c>
      <c r="H255" s="44" cm="1">
        <f t="array" ref="H255">IFERROR(INDEX('ST Forecast'!$E$2:$RK$36,6,M255),"")</f>
        <v>50.827329793489994</v>
      </c>
      <c r="I255" s="44" cm="1">
        <f t="array" ref="I255">IFERROR(INDEX('ST Forecast'!$E$2:$RK$36,7,M255),"")</f>
        <v>51.53556352820857</v>
      </c>
      <c r="J255" s="44">
        <f>SUM(DB[[#This Row],[Sales-FC-Picks-Collect]:[Sales-FC-Picks-HD]])</f>
        <v>143555.93245752947</v>
      </c>
      <c r="K255" s="44">
        <f t="shared" si="69"/>
        <v>53368.696283164492</v>
      </c>
      <c r="L255" s="44">
        <f t="shared" si="70"/>
        <v>90187.236174364996</v>
      </c>
      <c r="M255" s="403">
        <f>IFERROR(IF(B255=B254,M254+1,MATCH(B255,'ST Forecast'!$E$2:$RK$2,0)+1),"")</f>
        <v>287</v>
      </c>
      <c r="N255">
        <f>SUM(DB[[#This Row],[Ops-FC-Orders-Collect]:[Ops-FC-Orders-HD]])</f>
        <v>2950</v>
      </c>
      <c r="O255" s="44" cm="1">
        <f t="array" ref="O255">IFERROR(INDEX('ST Forecast'!$E$2:$RK$36,13,M255),"")</f>
        <v>1050</v>
      </c>
      <c r="P255" s="44">
        <f t="shared" si="75"/>
        <v>1900</v>
      </c>
      <c r="Q255" s="44" cm="1">
        <f t="array" ref="Q255">IFERROR(INDEX('ST Forecast'!$E$2:$RK$36,14,M255),"")</f>
        <v>1050</v>
      </c>
      <c r="R255" s="44" cm="1">
        <f t="array" ref="R255">IFERROR(INDEX('ST Forecast'!$E$2:$RK$36,15,M255),"")</f>
        <v>850</v>
      </c>
      <c r="S255" s="312">
        <f>SUM(DB[[#This Row],[Ops-FC-Picks-Collect]:[Ops-FC-Picks-HD]])</f>
        <v>148260.54164702556</v>
      </c>
      <c r="T255" s="44">
        <f t="shared" si="76"/>
        <v>52301.322357501202</v>
      </c>
      <c r="U255" s="44">
        <f t="shared" si="77"/>
        <v>95959.219289524364</v>
      </c>
      <c r="V255" s="44">
        <f t="shared" si="78"/>
        <v>53030.09487052662</v>
      </c>
      <c r="W255" s="404">
        <f t="shared" si="79"/>
        <v>42929.124418997737</v>
      </c>
      <c r="X255" s="44">
        <f>SUM(DB[[#This Row],[Capped-Orders-Collect]:[Capped-Orders-HD]])</f>
        <v>90</v>
      </c>
      <c r="Y255">
        <f>INDEX('Operations Forecast'!$A$2:$BGY$47,3,MATCH(DB!D255,'Operations Forecast'!$A$2:$BGY$2))</f>
        <v>0</v>
      </c>
      <c r="Z255">
        <f t="shared" si="80"/>
        <v>90</v>
      </c>
      <c r="AA255">
        <f>INDEX('Operations Forecast'!$A$2:$BGY$47,10,MATCH(DB!D255,'Operations Forecast'!$A$2:$BGY$2))</f>
        <v>90</v>
      </c>
      <c r="AB255">
        <f>INDEX('Operations Forecast'!$A$2:$BGY$47,21,MATCH(DB!D255,'Operations Forecast'!$A$2:$BGY$2))</f>
        <v>0</v>
      </c>
      <c r="AC255" s="312">
        <f>SUM(DB[[#This Row],[Act-Orders-Collect]:[Act-Orders-HD]])</f>
        <v>3010</v>
      </c>
      <c r="AD255" s="858">
        <f>IFERROR(INDEX('Operations Forecast_new'!$7:$7,MATCH(DB[[#This Row],[Datum]],'Operations Forecast_new'!$2:$2,0)),0)</f>
        <v>1001</v>
      </c>
      <c r="AE255" s="312">
        <f t="shared" si="81"/>
        <v>2009</v>
      </c>
      <c r="AF255" s="858">
        <f>IFERROR(INDEX('Operations Forecast_new'!$13:$13,MATCH(DB[[#This Row],[Datum]],'Operations Forecast_new'!$2:$2,0)),0)</f>
        <v>1070</v>
      </c>
      <c r="AG255" s="858">
        <f>IFERROR(INDEX('Operations Forecast_new'!$19:$19,MATCH(DB[[#This Row],[Datum]],'Operations Forecast_new'!$2:$2,0)),0)</f>
        <v>939</v>
      </c>
      <c r="AH255" s="312">
        <f t="shared" si="71"/>
        <v>146609.00099999999</v>
      </c>
      <c r="AI255" s="858">
        <f>IFERROR(INDEX('Operations Forecast_new'!$9:$9,MATCH(DB[[#This Row],[Datum]],'Operations Forecast_new'!$2:$2,0)),0)</f>
        <v>49351.301999999996</v>
      </c>
      <c r="AJ255" s="312">
        <f t="shared" si="82"/>
        <v>97257.698999999993</v>
      </c>
      <c r="AK255" s="858">
        <f>IFERROR(INDEX('Operations Forecast_new'!$15:$15,MATCH(DB[[#This Row],[Datum]],'Operations Forecast_new'!$2:$2,0)),0)</f>
        <v>51799.77</v>
      </c>
      <c r="AL255" s="858">
        <f>IFERROR(INDEX('Operations Forecast_new'!$21:$21,MATCH(DB[[#This Row],[Datum]],'Operations Forecast_new'!$2:$2,0)),0)</f>
        <v>45457.928999999996</v>
      </c>
      <c r="AM255" s="178">
        <f>IFERROR(INDEX('Operations Forecast_new'!$8:$8,MATCH(DB[[#This Row],[Datum]],'Operations Forecast_new'!$2:$2,0)),0)</f>
        <v>49.8</v>
      </c>
      <c r="AN255" s="859">
        <f>IFERROR(INDEX('Operations Forecast_new'!$20:$20,MATCH(DB[[#This Row],[Datum]],'Operations Forecast_new'!$2:$2,0)),0)</f>
        <v>48.9</v>
      </c>
      <c r="AO255" s="44">
        <f t="shared" si="83"/>
        <v>49.301999999999992</v>
      </c>
      <c r="AP255" s="404">
        <f t="shared" si="84"/>
        <v>48.410999999999994</v>
      </c>
      <c r="AQ255" s="44">
        <f t="shared" si="72"/>
        <v>119289.00000000007</v>
      </c>
      <c r="AR255" s="44" cm="1">
        <f t="array" ref="AR255">IFERROR(INDEX('ST Forecast'!$E$2:$RK$36,25,M255)+(INDEX('ST Forecast'!$E$2:$RK$36,29,M255)),"")</f>
        <v>56142.90121465017</v>
      </c>
      <c r="AS255" s="44" cm="1">
        <f t="array" ref="AS255">IFERROR(INDEX('ST Forecast'!$E$2:$RK$36,26,M255)+INDEX('ST Forecast'!$E$2:$RK$36,30,M255),"")</f>
        <v>52226.131865228468</v>
      </c>
      <c r="AT255" s="44" cm="1">
        <f t="array" ref="AT255">IFERROR(INDEX('ST Forecast'!$E$2:$RK$36,27,M255)+INDEX('ST Forecast'!$E$2:$RK$36,31,M255),"")</f>
        <v>4614.8470776757094</v>
      </c>
      <c r="AU255" s="44" cm="1">
        <f t="array" ref="AU255">IFERROR(INDEX('ST Forecast'!$E$2:$RK$36,28,M255),"")</f>
        <v>6305.1198424457207</v>
      </c>
      <c r="AV255" s="44" cm="1">
        <f t="array" ref="AV255">IFERROR(INDEX('ST Forecast'!$E$2:$RK$36,29,M255),"")</f>
        <v>0</v>
      </c>
      <c r="AW255" s="44">
        <f>DB[[#This Row],[Inbound FC]]-DB[[#This Row],[Inbound Act - Ultrafresh2]]</f>
        <v>119289.00000000007</v>
      </c>
      <c r="AX255" s="178" t="e">
        <f>#REF!</f>
        <v>#REF!</v>
      </c>
      <c r="AY255" s="178" t="e">
        <f>#REF!</f>
        <v>#REF!</v>
      </c>
      <c r="AZ255" s="178" t="e">
        <f>#REF!</f>
        <v>#REF!</v>
      </c>
      <c r="BA255" s="178">
        <f>MONTH(DB[[#This Row],[Datum]])</f>
        <v>9</v>
      </c>
    </row>
    <row r="256" spans="1:53" x14ac:dyDescent="0.3">
      <c r="A256" s="44">
        <f t="shared" si="73"/>
        <v>36</v>
      </c>
      <c r="B256" t="str">
        <f t="shared" si="74"/>
        <v>Wk 36</v>
      </c>
      <c r="C256" t="s">
        <v>119</v>
      </c>
      <c r="D256" s="313">
        <v>44815</v>
      </c>
      <c r="E256" s="44">
        <f>DB[[#This Row],[Sales-FC-Orders-Collect]]+DB[[#This Row],[Sales-FC-Orders-HD]]</f>
        <v>0</v>
      </c>
      <c r="F256" s="402" cm="1">
        <f t="array" ref="F256">INDEX('LT Collect Forecast'!$K$1:$Q$55,MATCH(B256,'LT Collect Forecast'!$A:$A,0)+1,MATCH(C256,'LT Collect Forecast'!$K$2:$Q$2,0))</f>
        <v>0</v>
      </c>
      <c r="G256" s="44" cm="1">
        <f t="array" ref="G256">INDEX('LT HD Forecast'!$K$1:$Q$55,MATCH(B256,'LT HD Forecast'!$A:$A,0)+1,MATCH(C256,'LT HD Forecast'!$K$2:$Q$2,0))</f>
        <v>0</v>
      </c>
      <c r="H256" s="44" cm="1">
        <f t="array" ref="H256">IFERROR(INDEX('ST Forecast'!$E$2:$RK$36,6,M256),"")</f>
        <v>0</v>
      </c>
      <c r="I256" s="44" cm="1">
        <f t="array" ref="I256">IFERROR(INDEX('ST Forecast'!$E$2:$RK$36,7,M256),"")</f>
        <v>0</v>
      </c>
      <c r="J256" s="44">
        <f>SUM(DB[[#This Row],[Sales-FC-Picks-Collect]:[Sales-FC-Picks-HD]])</f>
        <v>0</v>
      </c>
      <c r="K256" s="44">
        <f t="shared" si="69"/>
        <v>0</v>
      </c>
      <c r="L256" s="44">
        <f t="shared" si="70"/>
        <v>0</v>
      </c>
      <c r="M256" s="403">
        <f>IFERROR(IF(B256=B255,M255+1,MATCH(B256,'ST Forecast'!$E$2:$RK$2,0)+1),"")</f>
        <v>288</v>
      </c>
      <c r="N256">
        <f>SUM(DB[[#This Row],[Ops-FC-Orders-Collect]:[Ops-FC-Orders-HD]])</f>
        <v>0</v>
      </c>
      <c r="O256" s="44" cm="1">
        <f t="array" ref="O256">IFERROR(INDEX('ST Forecast'!$E$2:$RK$36,13,M256),"")</f>
        <v>0</v>
      </c>
      <c r="P256" s="44">
        <f t="shared" si="75"/>
        <v>0</v>
      </c>
      <c r="Q256" s="44" cm="1">
        <f t="array" ref="Q256">IFERROR(INDEX('ST Forecast'!$E$2:$RK$36,14,M256),"")</f>
        <v>0</v>
      </c>
      <c r="R256" s="44" cm="1">
        <f t="array" ref="R256">IFERROR(INDEX('ST Forecast'!$E$2:$RK$36,15,M256),"")</f>
        <v>0</v>
      </c>
      <c r="S256" s="312">
        <f>SUM(DB[[#This Row],[Ops-FC-Picks-Collect]:[Ops-FC-Picks-HD]])</f>
        <v>0</v>
      </c>
      <c r="T256" s="44">
        <f t="shared" si="76"/>
        <v>0</v>
      </c>
      <c r="U256" s="44">
        <f t="shared" si="77"/>
        <v>0</v>
      </c>
      <c r="V256" s="44">
        <f t="shared" si="78"/>
        <v>0</v>
      </c>
      <c r="W256" s="404">
        <f t="shared" si="79"/>
        <v>0</v>
      </c>
      <c r="X256" s="44">
        <f>SUM(DB[[#This Row],[Capped-Orders-Collect]:[Capped-Orders-HD]])</f>
        <v>90</v>
      </c>
      <c r="Y256">
        <f>INDEX('Operations Forecast'!$A$2:$BGY$47,3,MATCH(DB!D256,'Operations Forecast'!$A$2:$BGY$2))</f>
        <v>0</v>
      </c>
      <c r="Z256">
        <f t="shared" si="80"/>
        <v>90</v>
      </c>
      <c r="AA256">
        <f>INDEX('Operations Forecast'!$A$2:$BGY$47,10,MATCH(DB!D256,'Operations Forecast'!$A$2:$BGY$2))</f>
        <v>90</v>
      </c>
      <c r="AB256">
        <f>INDEX('Operations Forecast'!$A$2:$BGY$47,21,MATCH(DB!D256,'Operations Forecast'!$A$2:$BGY$2))</f>
        <v>0</v>
      </c>
      <c r="AC256" s="312">
        <f>SUM(DB[[#This Row],[Act-Orders-Collect]:[Act-Orders-HD]])</f>
        <v>0</v>
      </c>
      <c r="AD256" s="858">
        <f>IFERROR(INDEX('Operations Forecast_new'!$7:$7,MATCH(DB[[#This Row],[Datum]],'Operations Forecast_new'!$2:$2,0)),0)</f>
        <v>0</v>
      </c>
      <c r="AE256" s="312">
        <f t="shared" si="81"/>
        <v>0</v>
      </c>
      <c r="AF256" s="858">
        <f>IFERROR(INDEX('Operations Forecast_new'!$13:$13,MATCH(DB[[#This Row],[Datum]],'Operations Forecast_new'!$2:$2,0)),0)</f>
        <v>0</v>
      </c>
      <c r="AG256" s="858">
        <f>IFERROR(INDEX('Operations Forecast_new'!$19:$19,MATCH(DB[[#This Row],[Datum]],'Operations Forecast_new'!$2:$2,0)),0)</f>
        <v>0</v>
      </c>
      <c r="AH256" s="312">
        <f t="shared" si="71"/>
        <v>0</v>
      </c>
      <c r="AI256" s="858">
        <f>IFERROR(INDEX('Operations Forecast_new'!$9:$9,MATCH(DB[[#This Row],[Datum]],'Operations Forecast_new'!$2:$2,0)),0)</f>
        <v>0</v>
      </c>
      <c r="AJ256" s="312">
        <f t="shared" si="82"/>
        <v>0</v>
      </c>
      <c r="AK256" s="858">
        <f>IFERROR(INDEX('Operations Forecast_new'!$15:$15,MATCH(DB[[#This Row],[Datum]],'Operations Forecast_new'!$2:$2,0)),0)</f>
        <v>0</v>
      </c>
      <c r="AL256" s="858">
        <f>IFERROR(INDEX('Operations Forecast_new'!$21:$21,MATCH(DB[[#This Row],[Datum]],'Operations Forecast_new'!$2:$2,0)),0)</f>
        <v>0</v>
      </c>
      <c r="AM256" s="178">
        <f>IFERROR(INDEX('Operations Forecast_new'!$8:$8,MATCH(DB[[#This Row],[Datum]],'Operations Forecast_new'!$2:$2,0)),0)</f>
        <v>0</v>
      </c>
      <c r="AN256" s="859">
        <f>IFERROR(INDEX('Operations Forecast_new'!$20:$20,MATCH(DB[[#This Row],[Datum]],'Operations Forecast_new'!$2:$2,0)),0)</f>
        <v>0</v>
      </c>
      <c r="AO256" s="44" t="str">
        <f t="shared" si="83"/>
        <v>-</v>
      </c>
      <c r="AP256" s="404" t="str">
        <f t="shared" si="84"/>
        <v>-</v>
      </c>
      <c r="AQ256" s="44">
        <f t="shared" si="72"/>
        <v>0</v>
      </c>
      <c r="AR256" s="44" cm="1">
        <f t="array" ref="AR256">IFERROR(INDEX('ST Forecast'!$E$2:$RK$36,25,M256)+(INDEX('ST Forecast'!$E$2:$RK$36,29,M256)),"")</f>
        <v>0</v>
      </c>
      <c r="AS256" s="44" cm="1">
        <f t="array" ref="AS256">IFERROR(INDEX('ST Forecast'!$E$2:$RK$36,26,M256)+INDEX('ST Forecast'!$E$2:$RK$36,30,M256),"")</f>
        <v>0</v>
      </c>
      <c r="AT256" s="44" cm="1">
        <f t="array" ref="AT256">IFERROR(INDEX('ST Forecast'!$E$2:$RK$36,27,M256)+INDEX('ST Forecast'!$E$2:$RK$36,31,M256),"")</f>
        <v>0</v>
      </c>
      <c r="AU256" s="44" cm="1">
        <f t="array" ref="AU256">IFERROR(INDEX('ST Forecast'!$E$2:$RK$36,28,M256),"")</f>
        <v>0</v>
      </c>
      <c r="AV256" s="44" cm="1">
        <f t="array" ref="AV256">IFERROR(INDEX('ST Forecast'!$E$2:$RK$36,29,M256),"")</f>
        <v>0</v>
      </c>
      <c r="AW256" s="44">
        <f>DB[[#This Row],[Inbound FC]]-DB[[#This Row],[Inbound Act - Ultrafresh2]]</f>
        <v>0</v>
      </c>
      <c r="AX256" s="178" t="e">
        <f>#REF!</f>
        <v>#REF!</v>
      </c>
      <c r="AY256" s="178" t="e">
        <f>#REF!</f>
        <v>#REF!</v>
      </c>
      <c r="AZ256" s="178" t="e">
        <f>#REF!</f>
        <v>#REF!</v>
      </c>
      <c r="BA256" s="178">
        <f>MONTH(DB[[#This Row],[Datum]])</f>
        <v>9</v>
      </c>
    </row>
    <row r="257" spans="1:53" x14ac:dyDescent="0.3">
      <c r="A257" s="44">
        <f t="shared" si="73"/>
        <v>37</v>
      </c>
      <c r="B257" t="str">
        <f t="shared" si="74"/>
        <v>Wk 37</v>
      </c>
      <c r="C257" t="s">
        <v>113</v>
      </c>
      <c r="D257" s="313">
        <v>44816</v>
      </c>
      <c r="E257" s="44">
        <f>DB[[#This Row],[Sales-FC-Orders-Collect]]+DB[[#This Row],[Sales-FC-Orders-HD]]</f>
        <v>2500</v>
      </c>
      <c r="F257" s="402">
        <f>INDEX('LT Collect Forecast'!$K$1:$Q$55,MATCH(B257,'LT Collect Forecast'!$A:$A,0),MATCH(C257,'LT Collect Forecast'!$K$2:$Q$2,0))</f>
        <v>750</v>
      </c>
      <c r="G257" s="44">
        <f>INDEX('LT HD Forecast'!$K$1:$Q$55,MATCH(B257,'LT HD Forecast'!$A:$A,0),MATCH(C257,'LT HD Forecast'!$K$2:$Q$2,0))</f>
        <v>1750</v>
      </c>
      <c r="H257" s="44" cm="1">
        <f t="array" ref="H257">IFERROR(INDEX('ST Forecast'!$E$2:$RK$36,6,M257),"")</f>
        <v>50.468576614269494</v>
      </c>
      <c r="I257" s="44" cm="1">
        <f t="array" ref="I257">IFERROR(INDEX('ST Forecast'!$E$2:$RK$36,7,M257),"")</f>
        <v>51.445051379526539</v>
      </c>
      <c r="J257" s="44">
        <f>SUM(DB[[#This Row],[Sales-FC-Picks-Collect]:[Sales-FC-Picks-HD]])</f>
        <v>127880.27237487357</v>
      </c>
      <c r="K257" s="44">
        <f t="shared" si="69"/>
        <v>37851.432460702119</v>
      </c>
      <c r="L257" s="44">
        <f t="shared" si="70"/>
        <v>90028.839914171447</v>
      </c>
      <c r="M257" s="403">
        <f>IFERROR(IF(B257=B256,M256+1,MATCH(B257,'ST Forecast'!$E$2:$RK$2,0)+1),"")</f>
        <v>290</v>
      </c>
      <c r="N257">
        <f>SUM(DB[[#This Row],[Ops-FC-Orders-Collect]:[Ops-FC-Orders-HD]])</f>
        <v>2500</v>
      </c>
      <c r="O257" s="44" cm="1">
        <f t="array" ref="O257">IFERROR(INDEX('ST Forecast'!$E$2:$RK$36,13,M257),"")</f>
        <v>750</v>
      </c>
      <c r="P257" s="44">
        <f t="shared" si="75"/>
        <v>1750</v>
      </c>
      <c r="Q257" s="44" cm="1">
        <f t="array" ref="Q257">IFERROR(INDEX('ST Forecast'!$E$2:$RK$36,14,M257),"")</f>
        <v>800</v>
      </c>
      <c r="R257" s="44" cm="1">
        <f t="array" ref="R257">IFERROR(INDEX('ST Forecast'!$E$2:$RK$36,15,M257),"")</f>
        <v>950</v>
      </c>
      <c r="S257" s="312">
        <f>SUM(DB[[#This Row],[Ops-FC-Picks-Collect]:[Ops-FC-Picks-HD]])</f>
        <v>125322.66692737609</v>
      </c>
      <c r="T257" s="44">
        <f t="shared" si="76"/>
        <v>37094.403811488075</v>
      </c>
      <c r="U257" s="44">
        <f t="shared" si="77"/>
        <v>88228.263115888025</v>
      </c>
      <c r="V257" s="44">
        <f t="shared" si="78"/>
        <v>40332.92028154881</v>
      </c>
      <c r="W257" s="404">
        <f t="shared" si="79"/>
        <v>47895.342834339208</v>
      </c>
      <c r="X257" s="44">
        <f>SUM(DB[[#This Row],[Capped-Orders-Collect]:[Capped-Orders-HD]])</f>
        <v>90</v>
      </c>
      <c r="Y257">
        <f>INDEX('Operations Forecast'!$A$2:$BGY$47,3,MATCH(DB!D257,'Operations Forecast'!$A$2:$BGY$2))</f>
        <v>0</v>
      </c>
      <c r="Z257">
        <f t="shared" si="80"/>
        <v>90</v>
      </c>
      <c r="AA257">
        <f>INDEX('Operations Forecast'!$A$2:$BGY$47,10,MATCH(DB!D257,'Operations Forecast'!$A$2:$BGY$2))</f>
        <v>90</v>
      </c>
      <c r="AB257">
        <f>INDEX('Operations Forecast'!$A$2:$BGY$47,21,MATCH(DB!D257,'Operations Forecast'!$A$2:$BGY$2))</f>
        <v>0</v>
      </c>
      <c r="AC257" s="312">
        <f>SUM(DB[[#This Row],[Act-Orders-Collect]:[Act-Orders-HD]])</f>
        <v>2533</v>
      </c>
      <c r="AD257" s="858">
        <f>IFERROR(INDEX('Operations Forecast_new'!$7:$7,MATCH(DB[[#This Row],[Datum]],'Operations Forecast_new'!$2:$2,0)),0)</f>
        <v>730</v>
      </c>
      <c r="AE257" s="312">
        <f t="shared" si="81"/>
        <v>1803</v>
      </c>
      <c r="AF257" s="858">
        <f>IFERROR(INDEX('Operations Forecast_new'!$13:$13,MATCH(DB[[#This Row],[Datum]],'Operations Forecast_new'!$2:$2,0)),0)</f>
        <v>814</v>
      </c>
      <c r="AG257" s="858">
        <f>IFERROR(INDEX('Operations Forecast_new'!$19:$19,MATCH(DB[[#This Row],[Datum]],'Operations Forecast_new'!$2:$2,0)),0)</f>
        <v>989</v>
      </c>
      <c r="AH257" s="312">
        <f t="shared" si="71"/>
        <v>119458.25099999999</v>
      </c>
      <c r="AI257" s="858">
        <f>IFERROR(INDEX('Operations Forecast_new'!$9:$9,MATCH(DB[[#This Row],[Datum]],'Operations Forecast_new'!$2:$2,0)),0)</f>
        <v>33244.199999999997</v>
      </c>
      <c r="AJ257" s="312">
        <f t="shared" si="82"/>
        <v>86214.050999999992</v>
      </c>
      <c r="AK257" s="858">
        <f>IFERROR(INDEX('Operations Forecast_new'!$15:$15,MATCH(DB[[#This Row],[Datum]],'Operations Forecast_new'!$2:$2,0)),0)</f>
        <v>38923.037999999993</v>
      </c>
      <c r="AL257" s="858">
        <f>IFERROR(INDEX('Operations Forecast_new'!$21:$21,MATCH(DB[[#This Row],[Datum]],'Operations Forecast_new'!$2:$2,0)),0)</f>
        <v>47291.012999999999</v>
      </c>
      <c r="AM257" s="178">
        <f>IFERROR(INDEX('Operations Forecast_new'!$8:$8,MATCH(DB[[#This Row],[Datum]],'Operations Forecast_new'!$2:$2,0)),0)</f>
        <v>46</v>
      </c>
      <c r="AN257" s="859">
        <f>IFERROR(INDEX('Operations Forecast_new'!$20:$20,MATCH(DB[[#This Row],[Datum]],'Operations Forecast_new'!$2:$2,0)),0)</f>
        <v>48.3</v>
      </c>
      <c r="AO257" s="44">
        <f t="shared" si="83"/>
        <v>45.54</v>
      </c>
      <c r="AP257" s="404">
        <f t="shared" si="84"/>
        <v>47.816999999999993</v>
      </c>
      <c r="AQ257" s="44">
        <f t="shared" si="72"/>
        <v>370823.04</v>
      </c>
      <c r="AR257" s="44" cm="1">
        <f t="array" ref="AR257">IFERROR(INDEX('ST Forecast'!$E$2:$RK$36,25,M257)+(INDEX('ST Forecast'!$E$2:$RK$36,29,M257)),"")</f>
        <v>158526</v>
      </c>
      <c r="AS257" s="44" cm="1">
        <f t="array" ref="AS257">IFERROR(INDEX('ST Forecast'!$E$2:$RK$36,26,M257)+INDEX('ST Forecast'!$E$2:$RK$36,30,M257),"")</f>
        <v>57669.013209862533</v>
      </c>
      <c r="AT257" s="44" cm="1">
        <f t="array" ref="AT257">IFERROR(INDEX('ST Forecast'!$E$2:$RK$36,27,M257)+INDEX('ST Forecast'!$E$2:$RK$36,31,M257),"")</f>
        <v>145638.48000000001</v>
      </c>
      <c r="AU257" s="44" cm="1">
        <f t="array" ref="AU257">IFERROR(INDEX('ST Forecast'!$E$2:$RK$36,28,M257),"")</f>
        <v>8989.546790137465</v>
      </c>
      <c r="AV257" s="44" cm="1">
        <f t="array" ref="AV257">IFERROR(INDEX('ST Forecast'!$E$2:$RK$36,29,M257),"")</f>
        <v>0</v>
      </c>
      <c r="AW257" s="44">
        <f>DB[[#This Row],[Inbound FC]]-DB[[#This Row],[Inbound Act - Ultrafresh2]]</f>
        <v>370823.04</v>
      </c>
      <c r="AX257" s="178" t="e">
        <f>#REF!</f>
        <v>#REF!</v>
      </c>
      <c r="AY257" s="178" t="e">
        <f>#REF!</f>
        <v>#REF!</v>
      </c>
      <c r="AZ257" s="178" t="e">
        <f>#REF!</f>
        <v>#REF!</v>
      </c>
      <c r="BA257" s="178">
        <f>MONTH(DB[[#This Row],[Datum]])</f>
        <v>9</v>
      </c>
    </row>
    <row r="258" spans="1:53" x14ac:dyDescent="0.3">
      <c r="A258" s="44">
        <f t="shared" si="73"/>
        <v>37</v>
      </c>
      <c r="B258" t="str">
        <f t="shared" si="74"/>
        <v>Wk 37</v>
      </c>
      <c r="C258" t="s">
        <v>114</v>
      </c>
      <c r="D258" s="313">
        <v>44817</v>
      </c>
      <c r="E258" s="44">
        <f>DB[[#This Row],[Sales-FC-Orders-Collect]]+DB[[#This Row],[Sales-FC-Orders-HD]]</f>
        <v>2750</v>
      </c>
      <c r="F258" s="402">
        <f>INDEX('LT Collect Forecast'!$K$1:$Q$55,MATCH(B258,'LT Collect Forecast'!$A:$A,0),MATCH(C258,'LT Collect Forecast'!$K$2:$Q$2,0))</f>
        <v>700</v>
      </c>
      <c r="G258" s="44">
        <f>INDEX('LT HD Forecast'!$K$1:$Q$55,MATCH(B258,'LT HD Forecast'!$A:$A,0),MATCH(C258,'LT HD Forecast'!$K$2:$Q$2,0))</f>
        <v>2050</v>
      </c>
      <c r="H258" s="44" cm="1">
        <f t="array" ref="H258">IFERROR(INDEX('ST Forecast'!$E$2:$RK$36,6,M258),"")</f>
        <v>44</v>
      </c>
      <c r="I258" s="44" cm="1">
        <f t="array" ref="I258">IFERROR(INDEX('ST Forecast'!$E$2:$RK$36,7,M258),"")</f>
        <v>48.953008769527344</v>
      </c>
      <c r="J258" s="44">
        <f>SUM(DB[[#This Row],[Sales-FC-Picks-Collect]:[Sales-FC-Picks-HD]])</f>
        <v>131153.66797753103</v>
      </c>
      <c r="K258" s="44">
        <f t="shared" ref="K258:K321" si="85">F258*H258</f>
        <v>30800</v>
      </c>
      <c r="L258" s="44">
        <f t="shared" ref="L258:L321" si="86">G258*I258</f>
        <v>100353.66797753105</v>
      </c>
      <c r="M258" s="403">
        <f>IFERROR(IF(B258=B257,M257+1,MATCH(B258,'ST Forecast'!$E$2:$RK$2,0)+1),"")</f>
        <v>291</v>
      </c>
      <c r="N258">
        <f>SUM(DB[[#This Row],[Ops-FC-Orders-Collect]:[Ops-FC-Orders-HD]])</f>
        <v>2750</v>
      </c>
      <c r="O258" s="44" cm="1">
        <f t="array" ref="O258">IFERROR(INDEX('ST Forecast'!$E$2:$RK$36,13,M258),"")</f>
        <v>700</v>
      </c>
      <c r="P258" s="44">
        <f t="shared" si="75"/>
        <v>2050</v>
      </c>
      <c r="Q258" s="44" cm="1">
        <f t="array" ref="Q258">IFERROR(INDEX('ST Forecast'!$E$2:$RK$36,14,M258),"")</f>
        <v>1100</v>
      </c>
      <c r="R258" s="44" cm="1">
        <f t="array" ref="R258">IFERROR(INDEX('ST Forecast'!$E$2:$RK$36,15,M258),"")</f>
        <v>950</v>
      </c>
      <c r="S258" s="312">
        <f>SUM(DB[[#This Row],[Ops-FC-Picks-Collect]:[Ops-FC-Picks-HD]])</f>
        <v>128530.59461798043</v>
      </c>
      <c r="T258" s="44">
        <f t="shared" si="76"/>
        <v>30184</v>
      </c>
      <c r="U258" s="44">
        <f t="shared" si="77"/>
        <v>98346.59461798043</v>
      </c>
      <c r="V258" s="44">
        <f t="shared" si="78"/>
        <v>52771.343453550471</v>
      </c>
      <c r="W258" s="404">
        <f t="shared" si="79"/>
        <v>45575.251164429959</v>
      </c>
      <c r="X258" s="44">
        <f>SUM(DB[[#This Row],[Capped-Orders-Collect]:[Capped-Orders-HD]])</f>
        <v>90</v>
      </c>
      <c r="Y258">
        <f>INDEX('Operations Forecast'!$A$2:$BGY$47,3,MATCH(DB!D258,'Operations Forecast'!$A$2:$BGY$2))</f>
        <v>0</v>
      </c>
      <c r="Z258">
        <f t="shared" si="80"/>
        <v>90</v>
      </c>
      <c r="AA258">
        <f>INDEX('Operations Forecast'!$A$2:$BGY$47,10,MATCH(DB!D258,'Operations Forecast'!$A$2:$BGY$2))</f>
        <v>90</v>
      </c>
      <c r="AB258">
        <f>INDEX('Operations Forecast'!$A$2:$BGY$47,21,MATCH(DB!D258,'Operations Forecast'!$A$2:$BGY$2))</f>
        <v>0</v>
      </c>
      <c r="AC258" s="312">
        <f>SUM(DB[[#This Row],[Act-Orders-Collect]:[Act-Orders-HD]])</f>
        <v>2488</v>
      </c>
      <c r="AD258" s="858">
        <f>IFERROR(INDEX('Operations Forecast_new'!$7:$7,MATCH(DB[[#This Row],[Datum]],'Operations Forecast_new'!$2:$2,0)),0)</f>
        <v>590</v>
      </c>
      <c r="AE258" s="312">
        <f t="shared" si="81"/>
        <v>1898</v>
      </c>
      <c r="AF258" s="858">
        <f>IFERROR(INDEX('Operations Forecast_new'!$13:$13,MATCH(DB[[#This Row],[Datum]],'Operations Forecast_new'!$2:$2,0)),0)</f>
        <v>966</v>
      </c>
      <c r="AG258" s="858">
        <f>IFERROR(INDEX('Operations Forecast_new'!$19:$19,MATCH(DB[[#This Row],[Datum]],'Operations Forecast_new'!$2:$2,0)),0)</f>
        <v>932</v>
      </c>
      <c r="AH258" s="312">
        <f t="shared" si="71"/>
        <v>107005.734</v>
      </c>
      <c r="AI258" s="858">
        <f>IFERROR(INDEX('Operations Forecast_new'!$9:$9,MATCH(DB[[#This Row],[Datum]],'Operations Forecast_new'!$2:$2,0)),0)</f>
        <v>23013.54</v>
      </c>
      <c r="AJ258" s="312">
        <f t="shared" si="82"/>
        <v>83992.194000000003</v>
      </c>
      <c r="AK258" s="858">
        <f>IFERROR(INDEX('Operations Forecast_new'!$15:$15,MATCH(DB[[#This Row],[Datum]],'Operations Forecast_new'!$2:$2,0)),0)</f>
        <v>42748.398000000001</v>
      </c>
      <c r="AL258" s="858">
        <f>IFERROR(INDEX('Operations Forecast_new'!$21:$21,MATCH(DB[[#This Row],[Datum]],'Operations Forecast_new'!$2:$2,0)),0)</f>
        <v>41243.796000000002</v>
      </c>
      <c r="AM258" s="178">
        <f>IFERROR(INDEX('Operations Forecast_new'!$8:$8,MATCH(DB[[#This Row],[Datum]],'Operations Forecast_new'!$2:$2,0)),0)</f>
        <v>39.4</v>
      </c>
      <c r="AN258" s="859">
        <f>IFERROR(INDEX('Operations Forecast_new'!$20:$20,MATCH(DB[[#This Row],[Datum]],'Operations Forecast_new'!$2:$2,0)),0)</f>
        <v>44.7</v>
      </c>
      <c r="AO258" s="44">
        <f t="shared" si="83"/>
        <v>39.006</v>
      </c>
      <c r="AP258" s="404">
        <f t="shared" si="84"/>
        <v>44.253</v>
      </c>
      <c r="AQ258" s="44">
        <f t="shared" si="72"/>
        <v>146846.66080413782</v>
      </c>
      <c r="AR258" s="44" cm="1">
        <f t="array" ref="AR258">IFERROR(INDEX('ST Forecast'!$E$2:$RK$36,25,M258)+(INDEX('ST Forecast'!$E$2:$RK$36,29,M258)),"")</f>
        <v>68807.664000000004</v>
      </c>
      <c r="AS258" s="44" cm="1">
        <f t="array" ref="AS258">IFERROR(INDEX('ST Forecast'!$E$2:$RK$36,26,M258)+INDEX('ST Forecast'!$E$2:$RK$36,30,M258),"")</f>
        <v>62486.186811350286</v>
      </c>
      <c r="AT258" s="44" cm="1">
        <f t="array" ref="AT258">IFERROR(INDEX('ST Forecast'!$E$2:$RK$36,27,M258)+INDEX('ST Forecast'!$E$2:$RK$36,31,M258),"")</f>
        <v>6591.9968041378388</v>
      </c>
      <c r="AU258" s="44" cm="1">
        <f t="array" ref="AU258">IFERROR(INDEX('ST Forecast'!$E$2:$RK$36,28,M258),"")</f>
        <v>8960.8131886497104</v>
      </c>
      <c r="AV258" s="44" cm="1">
        <f t="array" ref="AV258">IFERROR(INDEX('ST Forecast'!$E$2:$RK$36,29,M258),"")</f>
        <v>0</v>
      </c>
      <c r="AW258" s="44">
        <f>DB[[#This Row],[Inbound FC]]-DB[[#This Row],[Inbound Act - Ultrafresh2]]</f>
        <v>146846.66080413782</v>
      </c>
      <c r="AX258" s="178" t="e">
        <f>#REF!</f>
        <v>#REF!</v>
      </c>
      <c r="AY258" s="178" t="e">
        <f>#REF!</f>
        <v>#REF!</v>
      </c>
      <c r="AZ258" s="178" t="e">
        <f>#REF!</f>
        <v>#REF!</v>
      </c>
      <c r="BA258" s="178">
        <f>MONTH(DB[[#This Row],[Datum]])</f>
        <v>9</v>
      </c>
    </row>
    <row r="259" spans="1:53" x14ac:dyDescent="0.3">
      <c r="A259" s="44">
        <f t="shared" si="73"/>
        <v>37</v>
      </c>
      <c r="B259" t="str">
        <f t="shared" si="74"/>
        <v>Wk 37</v>
      </c>
      <c r="C259" t="s">
        <v>115</v>
      </c>
      <c r="D259" s="313">
        <v>44818</v>
      </c>
      <c r="E259" s="44">
        <f>DB[[#This Row],[Sales-FC-Orders-Collect]]+DB[[#This Row],[Sales-FC-Orders-HD]]</f>
        <v>2750</v>
      </c>
      <c r="F259" s="402">
        <f>INDEX('LT Collect Forecast'!$K$1:$Q$55,MATCH(B259,'LT Collect Forecast'!$A:$A,0),MATCH(C259,'LT Collect Forecast'!$K$2:$Q$2,0))</f>
        <v>700</v>
      </c>
      <c r="G259" s="44">
        <f>INDEX('LT HD Forecast'!$K$1:$Q$55,MATCH(B259,'LT HD Forecast'!$A:$A,0),MATCH(C259,'LT HD Forecast'!$K$2:$Q$2,0))</f>
        <v>2050</v>
      </c>
      <c r="H259" s="44" cm="1">
        <f t="array" ref="H259">IFERROR(INDEX('ST Forecast'!$E$2:$RK$36,6,M259),"")</f>
        <v>44.903279810756096</v>
      </c>
      <c r="I259" s="44" cm="1">
        <f t="array" ref="I259">IFERROR(INDEX('ST Forecast'!$E$2:$RK$36,7,M259),"")</f>
        <v>50.718304017505183</v>
      </c>
      <c r="J259" s="44">
        <f>SUM(DB[[#This Row],[Sales-FC-Picks-Collect]:[Sales-FC-Picks-HD]])</f>
        <v>135404.81910341489</v>
      </c>
      <c r="K259" s="44">
        <f t="shared" si="85"/>
        <v>31432.295867529268</v>
      </c>
      <c r="L259" s="44">
        <f t="shared" si="86"/>
        <v>103972.52323588563</v>
      </c>
      <c r="M259" s="403">
        <f>IFERROR(IF(B259=B258,M258+1,MATCH(B259,'ST Forecast'!$E$2:$RK$2,0)+1),"")</f>
        <v>292</v>
      </c>
      <c r="N259">
        <f>SUM(DB[[#This Row],[Ops-FC-Orders-Collect]:[Ops-FC-Orders-HD]])</f>
        <v>2750</v>
      </c>
      <c r="O259" s="44" cm="1">
        <f t="array" ref="O259">IFERROR(INDEX('ST Forecast'!$E$2:$RK$36,13,M259),"")</f>
        <v>700</v>
      </c>
      <c r="P259" s="44">
        <f t="shared" si="75"/>
        <v>2050</v>
      </c>
      <c r="Q259" s="44" cm="1">
        <f t="array" ref="Q259">IFERROR(INDEX('ST Forecast'!$E$2:$RK$36,14,M259),"")</f>
        <v>1100</v>
      </c>
      <c r="R259" s="44" cm="1">
        <f t="array" ref="R259">IFERROR(INDEX('ST Forecast'!$E$2:$RK$36,15,M259),"")</f>
        <v>950</v>
      </c>
      <c r="S259" s="312">
        <f>SUM(DB[[#This Row],[Ops-FC-Picks-Collect]:[Ops-FC-Picks-HD]])</f>
        <v>132696.7227213466</v>
      </c>
      <c r="T259" s="44">
        <f t="shared" si="76"/>
        <v>30803.649950178682</v>
      </c>
      <c r="U259" s="44">
        <f t="shared" si="77"/>
        <v>101893.07277116791</v>
      </c>
      <c r="V259" s="44">
        <f t="shared" si="78"/>
        <v>54674.331730870588</v>
      </c>
      <c r="W259" s="404">
        <f t="shared" si="79"/>
        <v>47218.741040297326</v>
      </c>
      <c r="X259" s="44">
        <f>SUM(DB[[#This Row],[Capped-Orders-Collect]:[Capped-Orders-HD]])</f>
        <v>90</v>
      </c>
      <c r="Y259">
        <f>INDEX('Operations Forecast'!$A$2:$BGY$47,3,MATCH(DB!D259,'Operations Forecast'!$A$2:$BGY$2))</f>
        <v>0</v>
      </c>
      <c r="Z259">
        <f t="shared" si="80"/>
        <v>90</v>
      </c>
      <c r="AA259">
        <f>INDEX('Operations Forecast'!$A$2:$BGY$47,10,MATCH(DB!D259,'Operations Forecast'!$A$2:$BGY$2))</f>
        <v>90</v>
      </c>
      <c r="AB259">
        <f>INDEX('Operations Forecast'!$A$2:$BGY$47,21,MATCH(DB!D259,'Operations Forecast'!$A$2:$BGY$2))</f>
        <v>0</v>
      </c>
      <c r="AC259" s="312">
        <f>SUM(DB[[#This Row],[Act-Orders-Collect]:[Act-Orders-HD]])</f>
        <v>2497</v>
      </c>
      <c r="AD259" s="858">
        <f>IFERROR(INDEX('Operations Forecast_new'!$7:$7,MATCH(DB[[#This Row],[Datum]],'Operations Forecast_new'!$2:$2,0)),0)</f>
        <v>615</v>
      </c>
      <c r="AE259" s="312">
        <f t="shared" si="81"/>
        <v>1882</v>
      </c>
      <c r="AF259" s="858">
        <f>IFERROR(INDEX('Operations Forecast_new'!$13:$13,MATCH(DB[[#This Row],[Datum]],'Operations Forecast_new'!$2:$2,0)),0)</f>
        <v>1023</v>
      </c>
      <c r="AG259" s="858">
        <f>IFERROR(INDEX('Operations Forecast_new'!$19:$19,MATCH(DB[[#This Row],[Datum]],'Operations Forecast_new'!$2:$2,0)),0)</f>
        <v>859</v>
      </c>
      <c r="AH259" s="312">
        <f t="shared" ref="AH259:AH322" si="87">AI259+AJ259</f>
        <v>110185.71299999999</v>
      </c>
      <c r="AI259" s="858">
        <f>IFERROR(INDEX('Operations Forecast_new'!$9:$9,MATCH(DB[[#This Row],[Datum]],'Operations Forecast_new'!$2:$2,0)),0)</f>
        <v>24293.114999999998</v>
      </c>
      <c r="AJ259" s="312">
        <f t="shared" si="82"/>
        <v>85892.597999999998</v>
      </c>
      <c r="AK259" s="858">
        <f>IFERROR(INDEX('Operations Forecast_new'!$15:$15,MATCH(DB[[#This Row],[Datum]],'Operations Forecast_new'!$2:$2,0)),0)</f>
        <v>46688.697</v>
      </c>
      <c r="AL259" s="858">
        <f>IFERROR(INDEX('Operations Forecast_new'!$21:$21,MATCH(DB[[#This Row],[Datum]],'Operations Forecast_new'!$2:$2,0)),0)</f>
        <v>39203.900999999998</v>
      </c>
      <c r="AM259" s="178">
        <f>IFERROR(INDEX('Operations Forecast_new'!$8:$8,MATCH(DB[[#This Row],[Datum]],'Operations Forecast_new'!$2:$2,0)),0)</f>
        <v>39.9</v>
      </c>
      <c r="AN259" s="859">
        <f>IFERROR(INDEX('Operations Forecast_new'!$20:$20,MATCH(DB[[#This Row],[Datum]],'Operations Forecast_new'!$2:$2,0)),0)</f>
        <v>46.1</v>
      </c>
      <c r="AO259" s="44">
        <f t="shared" si="83"/>
        <v>39.500999999999998</v>
      </c>
      <c r="AP259" s="404">
        <f t="shared" si="84"/>
        <v>45.638999999999996</v>
      </c>
      <c r="AQ259" s="44">
        <f t="shared" ref="AQ259:AQ322" si="88">SUM(AR259:AU259)</f>
        <v>153746.08602847334</v>
      </c>
      <c r="AR259" s="44" cm="1">
        <f t="array" ref="AR259">IFERROR(INDEX('ST Forecast'!$E$2:$RK$36,25,M259)+(INDEX('ST Forecast'!$E$2:$RK$36,29,M259)),"")</f>
        <v>67241.759999999995</v>
      </c>
      <c r="AS259" s="44" cm="1">
        <f t="array" ref="AS259">IFERROR(INDEX('ST Forecast'!$E$2:$RK$36,26,M259)+INDEX('ST Forecast'!$E$2:$RK$36,30,M259),"")</f>
        <v>62165.043478431369</v>
      </c>
      <c r="AT259" s="44" cm="1">
        <f t="array" ref="AT259">IFERROR(INDEX('ST Forecast'!$E$2:$RK$36,27,M259)+INDEX('ST Forecast'!$E$2:$RK$36,31,M259),"")</f>
        <v>15262.566028473346</v>
      </c>
      <c r="AU259" s="44" cm="1">
        <f t="array" ref="AU259">IFERROR(INDEX('ST Forecast'!$E$2:$RK$36,28,M259),"")</f>
        <v>9076.7165215686255</v>
      </c>
      <c r="AV259" s="44" cm="1">
        <f t="array" ref="AV259">IFERROR(INDEX('ST Forecast'!$E$2:$RK$36,29,M259),"")</f>
        <v>0</v>
      </c>
      <c r="AW259" s="44">
        <f>DB[[#This Row],[Inbound FC]]-DB[[#This Row],[Inbound Act - Ultrafresh2]]</f>
        <v>153746.08602847334</v>
      </c>
      <c r="AX259" s="178" t="e">
        <f>#REF!</f>
        <v>#REF!</v>
      </c>
      <c r="AY259" s="178" t="e">
        <f>#REF!</f>
        <v>#REF!</v>
      </c>
      <c r="AZ259" s="178" t="e">
        <f>#REF!</f>
        <v>#REF!</v>
      </c>
      <c r="BA259" s="178">
        <f>MONTH(DB[[#This Row],[Datum]])</f>
        <v>9</v>
      </c>
    </row>
    <row r="260" spans="1:53" x14ac:dyDescent="0.3">
      <c r="A260" s="44">
        <f t="shared" si="73"/>
        <v>37</v>
      </c>
      <c r="B260" t="str">
        <f t="shared" si="74"/>
        <v>Wk 37</v>
      </c>
      <c r="C260" t="s">
        <v>116</v>
      </c>
      <c r="D260" s="313">
        <v>44819</v>
      </c>
      <c r="E260" s="44">
        <f>DB[[#This Row],[Sales-FC-Orders-Collect]]+DB[[#This Row],[Sales-FC-Orders-HD]]</f>
        <v>2650</v>
      </c>
      <c r="F260" s="402" cm="1">
        <f t="array" ref="F260">INDEX('LT Collect Forecast'!$K$1:$Q$55,MATCH(B260,'LT Collect Forecast'!$A:$A,0)+1,MATCH(C260,'LT Collect Forecast'!$K$2:$Q$2,0))</f>
        <v>650</v>
      </c>
      <c r="G260" s="44" cm="1">
        <f t="array" ref="G260">INDEX('LT HD Forecast'!$K$1:$Q$55,MATCH(B260,'LT HD Forecast'!$A:$A,0)+1,MATCH(C260,'LT HD Forecast'!$K$2:$Q$2,0))</f>
        <v>2000</v>
      </c>
      <c r="H260" s="44" cm="1">
        <f t="array" ref="H260">IFERROR(INDEX('ST Forecast'!$E$2:$RK$36,6,M260),"")</f>
        <v>44</v>
      </c>
      <c r="I260" s="44" cm="1">
        <f t="array" ref="I260">IFERROR(INDEX('ST Forecast'!$E$2:$RK$36,7,M260),"")</f>
        <v>48.16590761607474</v>
      </c>
      <c r="J260" s="44">
        <f>SUM(DB[[#This Row],[Sales-FC-Picks-Collect]:[Sales-FC-Picks-HD]])</f>
        <v>124931.81523214949</v>
      </c>
      <c r="K260" s="44">
        <f t="shared" si="85"/>
        <v>28600</v>
      </c>
      <c r="L260" s="44">
        <f t="shared" si="86"/>
        <v>96331.815232149485</v>
      </c>
      <c r="M260" s="403">
        <f>IFERROR(IF(B260=B259,M259+1,MATCH(B260,'ST Forecast'!$E$2:$RK$2,0)+1),"")</f>
        <v>293</v>
      </c>
      <c r="N260">
        <f>SUM(DB[[#This Row],[Ops-FC-Orders-Collect]:[Ops-FC-Orders-HD]])</f>
        <v>2700</v>
      </c>
      <c r="O260" s="44" cm="1">
        <f t="array" ref="O260">IFERROR(INDEX('ST Forecast'!$E$2:$RK$36,13,M260),"")</f>
        <v>650</v>
      </c>
      <c r="P260" s="44">
        <f t="shared" si="75"/>
        <v>2050</v>
      </c>
      <c r="Q260" s="44" cm="1">
        <f t="array" ref="Q260">IFERROR(INDEX('ST Forecast'!$E$2:$RK$36,14,M260),"")</f>
        <v>1100</v>
      </c>
      <c r="R260" s="44" cm="1">
        <f t="array" ref="R260">IFERROR(INDEX('ST Forecast'!$E$2:$RK$36,15,M260),"")</f>
        <v>950</v>
      </c>
      <c r="S260" s="312">
        <f>SUM(DB[[#This Row],[Ops-FC-Picks-Collect]:[Ops-FC-Picks-HD]])</f>
        <v>124793.30840069414</v>
      </c>
      <c r="T260" s="44">
        <f t="shared" si="76"/>
        <v>28028</v>
      </c>
      <c r="U260" s="44">
        <f t="shared" si="77"/>
        <v>96765.308400694135</v>
      </c>
      <c r="V260" s="44">
        <f t="shared" si="78"/>
        <v>51922.848410128565</v>
      </c>
      <c r="W260" s="404">
        <f t="shared" si="79"/>
        <v>44842.459990565578</v>
      </c>
      <c r="X260" s="44">
        <f>SUM(DB[[#This Row],[Capped-Orders-Collect]:[Capped-Orders-HD]])</f>
        <v>90</v>
      </c>
      <c r="Y260">
        <f>INDEX('Operations Forecast'!$A$2:$BGY$47,3,MATCH(DB!D260,'Operations Forecast'!$A$2:$BGY$2))</f>
        <v>0</v>
      </c>
      <c r="Z260">
        <f t="shared" si="80"/>
        <v>90</v>
      </c>
      <c r="AA260">
        <f>INDEX('Operations Forecast'!$A$2:$BGY$47,10,MATCH(DB!D260,'Operations Forecast'!$A$2:$BGY$2))</f>
        <v>90</v>
      </c>
      <c r="AB260">
        <f>INDEX('Operations Forecast'!$A$2:$BGY$47,21,MATCH(DB!D260,'Operations Forecast'!$A$2:$BGY$2))</f>
        <v>0</v>
      </c>
      <c r="AC260" s="312">
        <f>SUM(DB[[#This Row],[Act-Orders-Collect]:[Act-Orders-HD]])</f>
        <v>2318</v>
      </c>
      <c r="AD260" s="858">
        <f>IFERROR(INDEX('Operations Forecast_new'!$7:$7,MATCH(DB[[#This Row],[Datum]],'Operations Forecast_new'!$2:$2,0)),0)</f>
        <v>565</v>
      </c>
      <c r="AE260" s="312">
        <f t="shared" si="81"/>
        <v>1753</v>
      </c>
      <c r="AF260" s="858">
        <f>IFERROR(INDEX('Operations Forecast_new'!$13:$13,MATCH(DB[[#This Row],[Datum]],'Operations Forecast_new'!$2:$2,0)),0)</f>
        <v>816</v>
      </c>
      <c r="AG260" s="858">
        <f>IFERROR(INDEX('Operations Forecast_new'!$19:$19,MATCH(DB[[#This Row],[Datum]],'Operations Forecast_new'!$2:$2,0)),0)</f>
        <v>937</v>
      </c>
      <c r="AH260" s="312">
        <f t="shared" si="87"/>
        <v>105009.59700000001</v>
      </c>
      <c r="AI260" s="858">
        <f>IFERROR(INDEX('Operations Forecast_new'!$9:$9,MATCH(DB[[#This Row],[Datum]],'Operations Forecast_new'!$2:$2,0)),0)</f>
        <v>23268.959999999999</v>
      </c>
      <c r="AJ260" s="312">
        <f t="shared" si="82"/>
        <v>81740.637000000002</v>
      </c>
      <c r="AK260" s="858">
        <f>IFERROR(INDEX('Operations Forecast_new'!$15:$15,MATCH(DB[[#This Row],[Datum]],'Operations Forecast_new'!$2:$2,0)),0)</f>
        <v>38049.263999999996</v>
      </c>
      <c r="AL260" s="858">
        <f>IFERROR(INDEX('Operations Forecast_new'!$21:$21,MATCH(DB[[#This Row],[Datum]],'Operations Forecast_new'!$2:$2,0)),0)</f>
        <v>43691.373000000007</v>
      </c>
      <c r="AM260" s="178">
        <f>IFERROR(INDEX('Operations Forecast_new'!$8:$8,MATCH(DB[[#This Row],[Datum]],'Operations Forecast_new'!$2:$2,0)),0)</f>
        <v>41.6</v>
      </c>
      <c r="AN260" s="859">
        <f>IFERROR(INDEX('Operations Forecast_new'!$20:$20,MATCH(DB[[#This Row],[Datum]],'Operations Forecast_new'!$2:$2,0)),0)</f>
        <v>47.1</v>
      </c>
      <c r="AO260" s="44">
        <f t="shared" si="83"/>
        <v>41.183999999999997</v>
      </c>
      <c r="AP260" s="404">
        <f t="shared" si="84"/>
        <v>46.629000000000005</v>
      </c>
      <c r="AQ260" s="44">
        <f t="shared" si="88"/>
        <v>137554.48761557334</v>
      </c>
      <c r="AR260" s="44" cm="1">
        <f t="array" ref="AR260">IFERROR(INDEX('ST Forecast'!$E$2:$RK$36,25,M260)+(INDEX('ST Forecast'!$E$2:$RK$36,29,M260)),"")</f>
        <v>56898.03</v>
      </c>
      <c r="AS260" s="44" cm="1">
        <f t="array" ref="AS260">IFERROR(INDEX('ST Forecast'!$E$2:$RK$36,26,M260)+INDEX('ST Forecast'!$E$2:$RK$36,30,M260),"")</f>
        <v>60145.349035416897</v>
      </c>
      <c r="AT260" s="44" cm="1">
        <f t="array" ref="AT260">IFERROR(INDEX('ST Forecast'!$E$2:$RK$36,27,M260)+INDEX('ST Forecast'!$E$2:$RK$36,31,M260),"")</f>
        <v>11055.611615573336</v>
      </c>
      <c r="AU260" s="44" cm="1">
        <f t="array" ref="AU260">IFERROR(INDEX('ST Forecast'!$E$2:$RK$36,28,M260),"")</f>
        <v>9455.4969645831079</v>
      </c>
      <c r="AV260" s="44" cm="1">
        <f t="array" ref="AV260">IFERROR(INDEX('ST Forecast'!$E$2:$RK$36,29,M260),"")</f>
        <v>0</v>
      </c>
      <c r="AW260" s="44">
        <f>DB[[#This Row],[Inbound FC]]-DB[[#This Row],[Inbound Act - Ultrafresh2]]</f>
        <v>137554.48761557334</v>
      </c>
      <c r="AX260" s="178" t="e">
        <f>#REF!</f>
        <v>#REF!</v>
      </c>
      <c r="AY260" s="178" t="e">
        <f>#REF!</f>
        <v>#REF!</v>
      </c>
      <c r="AZ260" s="178" t="e">
        <f>#REF!</f>
        <v>#REF!</v>
      </c>
      <c r="BA260" s="178">
        <f>MONTH(DB[[#This Row],[Datum]])</f>
        <v>9</v>
      </c>
    </row>
    <row r="261" spans="1:53" x14ac:dyDescent="0.3">
      <c r="A261" s="44">
        <f t="shared" si="73"/>
        <v>37</v>
      </c>
      <c r="B261" t="str">
        <f t="shared" si="74"/>
        <v>Wk 37</v>
      </c>
      <c r="C261" t="s">
        <v>117</v>
      </c>
      <c r="D261" s="313">
        <v>44820</v>
      </c>
      <c r="E261" s="44">
        <f>DB[[#This Row],[Sales-FC-Orders-Collect]]+DB[[#This Row],[Sales-FC-Orders-HD]]</f>
        <v>3050</v>
      </c>
      <c r="F261" s="402" cm="1">
        <f t="array" ref="F261">INDEX('LT Collect Forecast'!$K$1:$Q$55,MATCH(B261,'LT Collect Forecast'!$A:$A,0)+1,MATCH(C261,'LT Collect Forecast'!$K$2:$Q$2,0))</f>
        <v>1000</v>
      </c>
      <c r="G261" s="44" cm="1">
        <f t="array" ref="G261">INDEX('LT HD Forecast'!$K$1:$Q$55,MATCH(B261,'LT HD Forecast'!$A:$A,0)+1,MATCH(C261,'LT HD Forecast'!$K$2:$Q$2,0))</f>
        <v>2050</v>
      </c>
      <c r="H261" s="44" cm="1">
        <f t="array" ref="H261">IFERROR(INDEX('ST Forecast'!$E$2:$RK$36,6,M261),"")</f>
        <v>51.228737112652702</v>
      </c>
      <c r="I261" s="44" cm="1">
        <f t="array" ref="I261">IFERROR(INDEX('ST Forecast'!$E$2:$RK$36,7,M261),"")</f>
        <v>50.598027561223432</v>
      </c>
      <c r="J261" s="44">
        <f>SUM(DB[[#This Row],[Sales-FC-Picks-Collect]:[Sales-FC-Picks-HD]])</f>
        <v>154954.69361316075</v>
      </c>
      <c r="K261" s="44">
        <f t="shared" si="85"/>
        <v>51228.7371126527</v>
      </c>
      <c r="L261" s="44">
        <f t="shared" si="86"/>
        <v>103725.95650050804</v>
      </c>
      <c r="M261" s="403">
        <f>IFERROR(IF(B261=B260,M260+1,MATCH(B261,'ST Forecast'!$E$2:$RK$2,0)+1),"")</f>
        <v>294</v>
      </c>
      <c r="N261">
        <f>SUM(DB[[#This Row],[Ops-FC-Orders-Collect]:[Ops-FC-Orders-HD]])</f>
        <v>3200</v>
      </c>
      <c r="O261" s="44" cm="1">
        <f t="array" ref="O261">IFERROR(INDEX('ST Forecast'!$E$2:$RK$36,13,M261),"")</f>
        <v>1050</v>
      </c>
      <c r="P261" s="44">
        <f t="shared" si="75"/>
        <v>2150</v>
      </c>
      <c r="Q261" s="44" cm="1">
        <f t="array" ref="Q261">IFERROR(INDEX('ST Forecast'!$E$2:$RK$36,14,M261),"")</f>
        <v>1150</v>
      </c>
      <c r="R261" s="44" cm="1">
        <f t="array" ref="R261">IFERROR(INDEX('ST Forecast'!$E$2:$RK$36,15,M261),"")</f>
        <v>1000</v>
      </c>
      <c r="S261" s="312">
        <f>SUM(DB[[#This Row],[Ops-FC-Picks-Collect]:[Ops-FC-Picks-HD]])</f>
        <v>159324.41456041741</v>
      </c>
      <c r="T261" s="44">
        <f t="shared" si="76"/>
        <v>52714.370488919631</v>
      </c>
      <c r="U261" s="44">
        <f t="shared" si="77"/>
        <v>106610.04407149777</v>
      </c>
      <c r="V261" s="44">
        <f t="shared" si="78"/>
        <v>57023.977061498808</v>
      </c>
      <c r="W261" s="404">
        <f t="shared" si="79"/>
        <v>49586.067009998966</v>
      </c>
      <c r="X261" s="44">
        <f>SUM(DB[[#This Row],[Capped-Orders-Collect]:[Capped-Orders-HD]])</f>
        <v>90</v>
      </c>
      <c r="Y261">
        <f>INDEX('Operations Forecast'!$A$2:$BGY$47,3,MATCH(DB!D261,'Operations Forecast'!$A$2:$BGY$2))</f>
        <v>0</v>
      </c>
      <c r="Z261">
        <f t="shared" si="80"/>
        <v>90</v>
      </c>
      <c r="AA261">
        <f>INDEX('Operations Forecast'!$A$2:$BGY$47,10,MATCH(DB!D261,'Operations Forecast'!$A$2:$BGY$2))</f>
        <v>90</v>
      </c>
      <c r="AB261">
        <f>INDEX('Operations Forecast'!$A$2:$BGY$47,21,MATCH(DB!D261,'Operations Forecast'!$A$2:$BGY$2))</f>
        <v>0</v>
      </c>
      <c r="AC261" s="312">
        <f>SUM(DB[[#This Row],[Act-Orders-Collect]:[Act-Orders-HD]])</f>
        <v>2940</v>
      </c>
      <c r="AD261" s="858">
        <f>IFERROR(INDEX('Operations Forecast_new'!$7:$7,MATCH(DB[[#This Row],[Datum]],'Operations Forecast_new'!$2:$2,0)),0)</f>
        <v>950</v>
      </c>
      <c r="AE261" s="312">
        <f t="shared" si="81"/>
        <v>1990</v>
      </c>
      <c r="AF261" s="858">
        <f>IFERROR(INDEX('Operations Forecast_new'!$13:$13,MATCH(DB[[#This Row],[Datum]],'Operations Forecast_new'!$2:$2,0)),0)</f>
        <v>1060</v>
      </c>
      <c r="AG261" s="858">
        <f>IFERROR(INDEX('Operations Forecast_new'!$19:$19,MATCH(DB[[#This Row],[Datum]],'Operations Forecast_new'!$2:$2,0)),0)</f>
        <v>930</v>
      </c>
      <c r="AH261" s="312">
        <f t="shared" si="87"/>
        <v>142149.15</v>
      </c>
      <c r="AI261" s="858">
        <f>IFERROR(INDEX('Operations Forecast_new'!$9:$9,MATCH(DB[[#This Row],[Datum]],'Operations Forecast_new'!$2:$2,0)),0)</f>
        <v>45614.25</v>
      </c>
      <c r="AJ261" s="312">
        <f t="shared" si="82"/>
        <v>96534.9</v>
      </c>
      <c r="AK261" s="858">
        <f>IFERROR(INDEX('Operations Forecast_new'!$15:$15,MATCH(DB[[#This Row],[Datum]],'Operations Forecast_new'!$2:$2,0)),0)</f>
        <v>51420.6</v>
      </c>
      <c r="AL261" s="858">
        <f>IFERROR(INDEX('Operations Forecast_new'!$21:$21,MATCH(DB[[#This Row],[Datum]],'Operations Forecast_new'!$2:$2,0)),0)</f>
        <v>45114.3</v>
      </c>
      <c r="AM261" s="178">
        <f>IFERROR(INDEX('Operations Forecast_new'!$8:$8,MATCH(DB[[#This Row],[Datum]],'Operations Forecast_new'!$2:$2,0)),0)</f>
        <v>48.5</v>
      </c>
      <c r="AN261" s="859">
        <f>IFERROR(INDEX('Operations Forecast_new'!$20:$20,MATCH(DB[[#This Row],[Datum]],'Operations Forecast_new'!$2:$2,0)),0)</f>
        <v>49</v>
      </c>
      <c r="AO261" s="44">
        <f t="shared" si="83"/>
        <v>48.015000000000001</v>
      </c>
      <c r="AP261" s="404">
        <f t="shared" si="84"/>
        <v>48.51</v>
      </c>
      <c r="AQ261" s="44">
        <f t="shared" si="88"/>
        <v>132524.41075298778</v>
      </c>
      <c r="AR261" s="44" cm="1">
        <f t="array" ref="AR261">IFERROR(INDEX('ST Forecast'!$E$2:$RK$36,25,M261)+(INDEX('ST Forecast'!$E$2:$RK$36,29,M261)),"")</f>
        <v>53821.796000000002</v>
      </c>
      <c r="AS261" s="44" cm="1">
        <f t="array" ref="AS261">IFERROR(INDEX('ST Forecast'!$E$2:$RK$36,26,M261)+INDEX('ST Forecast'!$E$2:$RK$36,30,M261),"")</f>
        <v>63565.68251515962</v>
      </c>
      <c r="AT261" s="44" cm="1">
        <f t="array" ref="AT261">IFERROR(INDEX('ST Forecast'!$E$2:$RK$36,27,M261)+INDEX('ST Forecast'!$E$2:$RK$36,31,M261),"")</f>
        <v>5791.3147529877706</v>
      </c>
      <c r="AU261" s="44" cm="1">
        <f t="array" ref="AU261">IFERROR(INDEX('ST Forecast'!$E$2:$RK$36,28,M261),"")</f>
        <v>9345.6174848403843</v>
      </c>
      <c r="AV261" s="44" cm="1">
        <f t="array" ref="AV261">IFERROR(INDEX('ST Forecast'!$E$2:$RK$36,29,M261),"")</f>
        <v>0</v>
      </c>
      <c r="AW261" s="44">
        <f>DB[[#This Row],[Inbound FC]]-DB[[#This Row],[Inbound Act - Ultrafresh2]]</f>
        <v>132524.41075298778</v>
      </c>
      <c r="AX261" s="178" t="e">
        <f>#REF!</f>
        <v>#REF!</v>
      </c>
      <c r="AY261" s="178" t="e">
        <f>#REF!</f>
        <v>#REF!</v>
      </c>
      <c r="AZ261" s="178" t="e">
        <f>#REF!</f>
        <v>#REF!</v>
      </c>
      <c r="BA261" s="178">
        <f>MONTH(DB[[#This Row],[Datum]])</f>
        <v>9</v>
      </c>
    </row>
    <row r="262" spans="1:53" x14ac:dyDescent="0.3">
      <c r="A262" s="44">
        <f t="shared" si="73"/>
        <v>37</v>
      </c>
      <c r="B262" t="str">
        <f t="shared" si="74"/>
        <v>Wk 37</v>
      </c>
      <c r="C262" t="s">
        <v>118</v>
      </c>
      <c r="D262" s="313">
        <v>44821</v>
      </c>
      <c r="E262" s="44">
        <f>DB[[#This Row],[Sales-FC-Orders-Collect]]+DB[[#This Row],[Sales-FC-Orders-HD]]</f>
        <v>2850</v>
      </c>
      <c r="F262" s="402" cm="1">
        <f t="array" ref="F262">INDEX('LT Collect Forecast'!$K$1:$Q$55,MATCH(B262,'LT Collect Forecast'!$A:$A,0)+1,MATCH(C262,'LT Collect Forecast'!$K$2:$Q$2,0))</f>
        <v>1000</v>
      </c>
      <c r="G262" s="44" cm="1">
        <f t="array" ref="G262">INDEX('LT HD Forecast'!$K$1:$Q$55,MATCH(B262,'LT HD Forecast'!$A:$A,0)+1,MATCH(C262,'LT HD Forecast'!$K$2:$Q$2,0))</f>
        <v>1850</v>
      </c>
      <c r="H262" s="44" cm="1">
        <f t="array" ref="H262">IFERROR(INDEX('ST Forecast'!$E$2:$RK$36,6,M262),"")</f>
        <v>50.413999999999994</v>
      </c>
      <c r="I262" s="44" cm="1">
        <f t="array" ref="I262">IFERROR(INDEX('ST Forecast'!$E$2:$RK$36,7,M262),"")</f>
        <v>48.612435829141447</v>
      </c>
      <c r="J262" s="44">
        <f>SUM(DB[[#This Row],[Sales-FC-Picks-Collect]:[Sales-FC-Picks-HD]])</f>
        <v>140347.00628391167</v>
      </c>
      <c r="K262" s="44">
        <f t="shared" si="85"/>
        <v>50413.999999999993</v>
      </c>
      <c r="L262" s="44">
        <f t="shared" si="86"/>
        <v>89933.006283911673</v>
      </c>
      <c r="M262" s="403">
        <f>IFERROR(IF(B262=B261,M261+1,MATCH(B262,'ST Forecast'!$E$2:$RK$2,0)+1),"")</f>
        <v>295</v>
      </c>
      <c r="N262">
        <f>SUM(DB[[#This Row],[Ops-FC-Orders-Collect]:[Ops-FC-Orders-HD]])</f>
        <v>2900</v>
      </c>
      <c r="O262" s="44" cm="1">
        <f t="array" ref="O262">IFERROR(INDEX('ST Forecast'!$E$2:$RK$36,13,M262),"")</f>
        <v>1000</v>
      </c>
      <c r="P262" s="44">
        <f t="shared" si="75"/>
        <v>1900</v>
      </c>
      <c r="Q262" s="44" cm="1">
        <f t="array" ref="Q262">IFERROR(INDEX('ST Forecast'!$E$2:$RK$36,14,M262),"")</f>
        <v>1050</v>
      </c>
      <c r="R262" s="44" cm="1">
        <f t="array" ref="R262">IFERROR(INDEX('ST Forecast'!$E$2:$RK$36,15,M262),"")</f>
        <v>850</v>
      </c>
      <c r="S262" s="312">
        <f>SUM(DB[[#This Row],[Ops-FC-Picks-Collect]:[Ops-FC-Picks-HD]])</f>
        <v>139922.07551386137</v>
      </c>
      <c r="T262" s="44">
        <f t="shared" si="76"/>
        <v>49405.719999999994</v>
      </c>
      <c r="U262" s="44">
        <f t="shared" si="77"/>
        <v>90516.355513861374</v>
      </c>
      <c r="V262" s="44">
        <f t="shared" si="78"/>
        <v>50022.19646818655</v>
      </c>
      <c r="W262" s="404">
        <f t="shared" si="79"/>
        <v>40494.159045674824</v>
      </c>
      <c r="X262" s="44">
        <f>SUM(DB[[#This Row],[Capped-Orders-Collect]:[Capped-Orders-HD]])</f>
        <v>90</v>
      </c>
      <c r="Y262">
        <f>INDEX('Operations Forecast'!$A$2:$BGY$47,3,MATCH(DB!D262,'Operations Forecast'!$A$2:$BGY$2))</f>
        <v>0</v>
      </c>
      <c r="Z262">
        <f t="shared" si="80"/>
        <v>90</v>
      </c>
      <c r="AA262">
        <f>INDEX('Operations Forecast'!$A$2:$BGY$47,10,MATCH(DB!D262,'Operations Forecast'!$A$2:$BGY$2))</f>
        <v>90</v>
      </c>
      <c r="AB262">
        <f>INDEX('Operations Forecast'!$A$2:$BGY$47,21,MATCH(DB!D262,'Operations Forecast'!$A$2:$BGY$2))</f>
        <v>0</v>
      </c>
      <c r="AC262" s="312">
        <f>SUM(DB[[#This Row],[Act-Orders-Collect]:[Act-Orders-HD]])</f>
        <v>2638</v>
      </c>
      <c r="AD262" s="858">
        <f>IFERROR(INDEX('Operations Forecast_new'!$7:$7,MATCH(DB[[#This Row],[Datum]],'Operations Forecast_new'!$2:$2,0)),0)</f>
        <v>881</v>
      </c>
      <c r="AE262" s="312">
        <f t="shared" si="81"/>
        <v>1757</v>
      </c>
      <c r="AF262" s="858">
        <f>IFERROR(INDEX('Operations Forecast_new'!$13:$13,MATCH(DB[[#This Row],[Datum]],'Operations Forecast_new'!$2:$2,0)),0)</f>
        <v>984</v>
      </c>
      <c r="AG262" s="858">
        <f>IFERROR(INDEX('Operations Forecast_new'!$19:$19,MATCH(DB[[#This Row],[Datum]],'Operations Forecast_new'!$2:$2,0)),0)</f>
        <v>773</v>
      </c>
      <c r="AH262" s="312">
        <f t="shared" si="87"/>
        <v>127360.827</v>
      </c>
      <c r="AI262" s="858">
        <f>IFERROR(INDEX('Operations Forecast_new'!$9:$9,MATCH(DB[[#This Row],[Datum]],'Operations Forecast_new'!$2:$2,0)),0)</f>
        <v>42824.528999999995</v>
      </c>
      <c r="AJ262" s="312">
        <f t="shared" si="82"/>
        <v>84536.29800000001</v>
      </c>
      <c r="AK262" s="858">
        <f>IFERROR(INDEX('Operations Forecast_new'!$15:$15,MATCH(DB[[#This Row],[Datum]],'Operations Forecast_new'!$2:$2,0)),0)</f>
        <v>47344.175999999999</v>
      </c>
      <c r="AL262" s="858">
        <f>IFERROR(INDEX('Operations Forecast_new'!$21:$21,MATCH(DB[[#This Row],[Datum]],'Operations Forecast_new'!$2:$2,0)),0)</f>
        <v>37192.122000000003</v>
      </c>
      <c r="AM262" s="178">
        <f>IFERROR(INDEX('Operations Forecast_new'!$8:$8,MATCH(DB[[#This Row],[Datum]],'Operations Forecast_new'!$2:$2,0)),0)</f>
        <v>49.1</v>
      </c>
      <c r="AN262" s="859">
        <f>IFERROR(INDEX('Operations Forecast_new'!$20:$20,MATCH(DB[[#This Row],[Datum]],'Operations Forecast_new'!$2:$2,0)),0)</f>
        <v>48.6</v>
      </c>
      <c r="AO262" s="44">
        <f t="shared" si="83"/>
        <v>48.608999999999995</v>
      </c>
      <c r="AP262" s="404">
        <f t="shared" si="84"/>
        <v>48.114000000000004</v>
      </c>
      <c r="AQ262" s="44">
        <f t="shared" si="88"/>
        <v>118853.00000000007</v>
      </c>
      <c r="AR262" s="44" cm="1">
        <f t="array" ref="AR262">IFERROR(INDEX('ST Forecast'!$E$2:$RK$36,25,M262)+(INDEX('ST Forecast'!$E$2:$RK$36,29,M262)),"")</f>
        <v>55937.699520197311</v>
      </c>
      <c r="AS262" s="44" cm="1">
        <f t="array" ref="AS262">IFERROR(INDEX('ST Forecast'!$E$2:$RK$36,26,M262)+INDEX('ST Forecast'!$E$2:$RK$36,30,M262),"")</f>
        <v>52035.245920227339</v>
      </c>
      <c r="AT262" s="44" cm="1">
        <f t="array" ref="AT262">IFERROR(INDEX('ST Forecast'!$E$2:$RK$36,27,M262)+INDEX('ST Forecast'!$E$2:$RK$36,31,M262),"")</f>
        <v>4597.9798617055312</v>
      </c>
      <c r="AU262" s="44" cm="1">
        <f t="array" ref="AU262">IFERROR(INDEX('ST Forecast'!$E$2:$RK$36,28,M262),"")</f>
        <v>6282.074697869889</v>
      </c>
      <c r="AV262" s="44" cm="1">
        <f t="array" ref="AV262">IFERROR(INDEX('ST Forecast'!$E$2:$RK$36,29,M262),"")</f>
        <v>0</v>
      </c>
      <c r="AW262" s="44">
        <f>DB[[#This Row],[Inbound FC]]-DB[[#This Row],[Inbound Act - Ultrafresh2]]</f>
        <v>118853.00000000007</v>
      </c>
      <c r="AX262" s="178" t="e">
        <f>#REF!</f>
        <v>#REF!</v>
      </c>
      <c r="AY262" s="178" t="e">
        <f>#REF!</f>
        <v>#REF!</v>
      </c>
      <c r="AZ262" s="178" t="e">
        <f>#REF!</f>
        <v>#REF!</v>
      </c>
      <c r="BA262" s="178">
        <f>MONTH(DB[[#This Row],[Datum]])</f>
        <v>9</v>
      </c>
    </row>
    <row r="263" spans="1:53" x14ac:dyDescent="0.3">
      <c r="A263" s="44">
        <f t="shared" ref="A263:A326" si="89">(WEEKNUM(D263,2))-1</f>
        <v>37</v>
      </c>
      <c r="B263" t="str">
        <f t="shared" si="74"/>
        <v>Wk 37</v>
      </c>
      <c r="C263" t="s">
        <v>119</v>
      </c>
      <c r="D263" s="313">
        <v>44822</v>
      </c>
      <c r="E263" s="44">
        <f>DB[[#This Row],[Sales-FC-Orders-Collect]]+DB[[#This Row],[Sales-FC-Orders-HD]]</f>
        <v>0</v>
      </c>
      <c r="F263" s="402" cm="1">
        <f t="array" ref="F263">INDEX('LT Collect Forecast'!$K$1:$Q$55,MATCH(B263,'LT Collect Forecast'!$A:$A,0)+1,MATCH(C263,'LT Collect Forecast'!$K$2:$Q$2,0))</f>
        <v>0</v>
      </c>
      <c r="G263" s="44" cm="1">
        <f t="array" ref="G263">INDEX('LT HD Forecast'!$K$1:$Q$55,MATCH(B263,'LT HD Forecast'!$A:$A,0)+1,MATCH(C263,'LT HD Forecast'!$K$2:$Q$2,0))</f>
        <v>0</v>
      </c>
      <c r="H263" s="44" cm="1">
        <f t="array" ref="H263">IFERROR(INDEX('ST Forecast'!$E$2:$RK$36,6,M263),"")</f>
        <v>0</v>
      </c>
      <c r="I263" s="44" cm="1">
        <f t="array" ref="I263">IFERROR(INDEX('ST Forecast'!$E$2:$RK$36,7,M263),"")</f>
        <v>0</v>
      </c>
      <c r="J263" s="44">
        <f>SUM(DB[[#This Row],[Sales-FC-Picks-Collect]:[Sales-FC-Picks-HD]])</f>
        <v>0</v>
      </c>
      <c r="K263" s="44">
        <f t="shared" si="85"/>
        <v>0</v>
      </c>
      <c r="L263" s="44">
        <f t="shared" si="86"/>
        <v>0</v>
      </c>
      <c r="M263" s="403">
        <f>IFERROR(IF(B263=B262,M262+1,MATCH(B263,'ST Forecast'!$E$2:$RK$2,0)+1),"")</f>
        <v>296</v>
      </c>
      <c r="N263">
        <f>SUM(DB[[#This Row],[Ops-FC-Orders-Collect]:[Ops-FC-Orders-HD]])</f>
        <v>0</v>
      </c>
      <c r="O263" s="44" cm="1">
        <f t="array" ref="O263">IFERROR(INDEX('ST Forecast'!$E$2:$RK$36,13,M263),"")</f>
        <v>0</v>
      </c>
      <c r="P263" s="44">
        <f t="shared" si="75"/>
        <v>0</v>
      </c>
      <c r="Q263" s="44" cm="1">
        <f t="array" ref="Q263">IFERROR(INDEX('ST Forecast'!$E$2:$RK$36,14,M263),"")</f>
        <v>0</v>
      </c>
      <c r="R263" s="44" cm="1">
        <f t="array" ref="R263">IFERROR(INDEX('ST Forecast'!$E$2:$RK$36,15,M263),"")</f>
        <v>0</v>
      </c>
      <c r="S263" s="312">
        <f>SUM(DB[[#This Row],[Ops-FC-Picks-Collect]:[Ops-FC-Picks-HD]])</f>
        <v>0</v>
      </c>
      <c r="T263" s="44">
        <f t="shared" si="76"/>
        <v>0</v>
      </c>
      <c r="U263" s="44">
        <f t="shared" si="77"/>
        <v>0</v>
      </c>
      <c r="V263" s="44">
        <f t="shared" si="78"/>
        <v>0</v>
      </c>
      <c r="W263" s="404">
        <f t="shared" si="79"/>
        <v>0</v>
      </c>
      <c r="X263" s="44">
        <f>SUM(DB[[#This Row],[Capped-Orders-Collect]:[Capped-Orders-HD]])</f>
        <v>90</v>
      </c>
      <c r="Y263">
        <f>INDEX('Operations Forecast'!$A$2:$BGY$47,3,MATCH(DB!D263,'Operations Forecast'!$A$2:$BGY$2))</f>
        <v>0</v>
      </c>
      <c r="Z263">
        <f t="shared" si="80"/>
        <v>90</v>
      </c>
      <c r="AA263">
        <f>INDEX('Operations Forecast'!$A$2:$BGY$47,10,MATCH(DB!D263,'Operations Forecast'!$A$2:$BGY$2))</f>
        <v>90</v>
      </c>
      <c r="AB263">
        <f>INDEX('Operations Forecast'!$A$2:$BGY$47,21,MATCH(DB!D263,'Operations Forecast'!$A$2:$BGY$2))</f>
        <v>0</v>
      </c>
      <c r="AC263" s="312">
        <f>SUM(DB[[#This Row],[Act-Orders-Collect]:[Act-Orders-HD]])</f>
        <v>0</v>
      </c>
      <c r="AD263" s="858">
        <f>IFERROR(INDEX('Operations Forecast_new'!$7:$7,MATCH(DB[[#This Row],[Datum]],'Operations Forecast_new'!$2:$2,0)),0)</f>
        <v>0</v>
      </c>
      <c r="AE263" s="312">
        <f t="shared" si="81"/>
        <v>0</v>
      </c>
      <c r="AF263" s="858">
        <f>IFERROR(INDEX('Operations Forecast_new'!$13:$13,MATCH(DB[[#This Row],[Datum]],'Operations Forecast_new'!$2:$2,0)),0)</f>
        <v>0</v>
      </c>
      <c r="AG263" s="858">
        <f>IFERROR(INDEX('Operations Forecast_new'!$19:$19,MATCH(DB[[#This Row],[Datum]],'Operations Forecast_new'!$2:$2,0)),0)</f>
        <v>0</v>
      </c>
      <c r="AH263" s="312">
        <f t="shared" si="87"/>
        <v>0</v>
      </c>
      <c r="AI263" s="858">
        <f>IFERROR(INDEX('Operations Forecast_new'!$9:$9,MATCH(DB[[#This Row],[Datum]],'Operations Forecast_new'!$2:$2,0)),0)</f>
        <v>0</v>
      </c>
      <c r="AJ263" s="312">
        <f t="shared" si="82"/>
        <v>0</v>
      </c>
      <c r="AK263" s="858">
        <f>IFERROR(INDEX('Operations Forecast_new'!$15:$15,MATCH(DB[[#This Row],[Datum]],'Operations Forecast_new'!$2:$2,0)),0)</f>
        <v>0</v>
      </c>
      <c r="AL263" s="858">
        <f>IFERROR(INDEX('Operations Forecast_new'!$21:$21,MATCH(DB[[#This Row],[Datum]],'Operations Forecast_new'!$2:$2,0)),0)</f>
        <v>0</v>
      </c>
      <c r="AM263" s="178">
        <f>IFERROR(INDEX('Operations Forecast_new'!$8:$8,MATCH(DB[[#This Row],[Datum]],'Operations Forecast_new'!$2:$2,0)),0)</f>
        <v>0</v>
      </c>
      <c r="AN263" s="859">
        <f>IFERROR(INDEX('Operations Forecast_new'!$20:$20,MATCH(DB[[#This Row],[Datum]],'Operations Forecast_new'!$2:$2,0)),0)</f>
        <v>0</v>
      </c>
      <c r="AO263" s="44" t="str">
        <f t="shared" si="83"/>
        <v>-</v>
      </c>
      <c r="AP263" s="404" t="str">
        <f t="shared" si="84"/>
        <v>-</v>
      </c>
      <c r="AQ263" s="44">
        <f t="shared" si="88"/>
        <v>0</v>
      </c>
      <c r="AR263" s="44" cm="1">
        <f t="array" ref="AR263">IFERROR(INDEX('ST Forecast'!$E$2:$RK$36,25,M263)+(INDEX('ST Forecast'!$E$2:$RK$36,29,M263)),"")</f>
        <v>0</v>
      </c>
      <c r="AS263" s="44" cm="1">
        <f t="array" ref="AS263">IFERROR(INDEX('ST Forecast'!$E$2:$RK$36,26,M263)+INDEX('ST Forecast'!$E$2:$RK$36,30,M263),"")</f>
        <v>0</v>
      </c>
      <c r="AT263" s="44" cm="1">
        <f t="array" ref="AT263">IFERROR(INDEX('ST Forecast'!$E$2:$RK$36,27,M263)+INDEX('ST Forecast'!$E$2:$RK$36,31,M263),"")</f>
        <v>0</v>
      </c>
      <c r="AU263" s="44" cm="1">
        <f t="array" ref="AU263">IFERROR(INDEX('ST Forecast'!$E$2:$RK$36,28,M263),"")</f>
        <v>0</v>
      </c>
      <c r="AV263" s="44" cm="1">
        <f t="array" ref="AV263">IFERROR(INDEX('ST Forecast'!$E$2:$RK$36,29,M263),"")</f>
        <v>0</v>
      </c>
      <c r="AW263" s="44">
        <f>DB[[#This Row],[Inbound FC]]-DB[[#This Row],[Inbound Act - Ultrafresh2]]</f>
        <v>0</v>
      </c>
      <c r="AX263" s="178" t="e">
        <f>#REF!</f>
        <v>#REF!</v>
      </c>
      <c r="AY263" s="178" t="e">
        <f>#REF!</f>
        <v>#REF!</v>
      </c>
      <c r="AZ263" s="178" t="e">
        <f>#REF!</f>
        <v>#REF!</v>
      </c>
      <c r="BA263" s="178">
        <f>MONTH(DB[[#This Row],[Datum]])</f>
        <v>9</v>
      </c>
    </row>
    <row r="264" spans="1:53" x14ac:dyDescent="0.3">
      <c r="A264" s="44">
        <f t="shared" si="89"/>
        <v>38</v>
      </c>
      <c r="B264" t="str">
        <f t="shared" si="74"/>
        <v>Wk 38</v>
      </c>
      <c r="C264" t="s">
        <v>113</v>
      </c>
      <c r="D264" s="313">
        <v>44823</v>
      </c>
      <c r="E264" s="44">
        <f>DB[[#This Row],[Sales-FC-Orders-Collect]]+DB[[#This Row],[Sales-FC-Orders-HD]]</f>
        <v>2500</v>
      </c>
      <c r="F264" s="402">
        <f>INDEX('LT Collect Forecast'!$K$1:$Q$55,MATCH(B264,'LT Collect Forecast'!$A:$A,0),MATCH(C264,'LT Collect Forecast'!$K$2:$Q$2,0))</f>
        <v>750</v>
      </c>
      <c r="G264" s="44">
        <f>INDEX('LT HD Forecast'!$K$1:$Q$55,MATCH(B264,'LT HD Forecast'!$A:$A,0),MATCH(C264,'LT HD Forecast'!$K$2:$Q$2,0))</f>
        <v>1750</v>
      </c>
      <c r="H264" s="44" cm="1">
        <f t="array" ref="H264">IFERROR(INDEX('ST Forecast'!$E$2:$RK$36,6,M264),"")</f>
        <v>46.814432989690722</v>
      </c>
      <c r="I264" s="44" cm="1">
        <f t="array" ref="I264">IFERROR(INDEX('ST Forecast'!$E$2:$RK$36,7,M264),"")</f>
        <v>47.277443095244735</v>
      </c>
      <c r="J264" s="44">
        <f>SUM(DB[[#This Row],[Sales-FC-Picks-Collect]:[Sales-FC-Picks-HD]])</f>
        <v>117846.35015894633</v>
      </c>
      <c r="K264" s="44">
        <f t="shared" si="85"/>
        <v>35110.824742268043</v>
      </c>
      <c r="L264" s="44">
        <f t="shared" si="86"/>
        <v>82735.525416678283</v>
      </c>
      <c r="M264" s="403">
        <f>IFERROR(IF(B264=B263,M263+1,MATCH(B264,'ST Forecast'!$E$2:$RK$2,0)+1),"")</f>
        <v>298</v>
      </c>
      <c r="N264">
        <f>SUM(DB[[#This Row],[Ops-FC-Orders-Collect]:[Ops-FC-Orders-HD]])</f>
        <v>2500</v>
      </c>
      <c r="O264" s="44" cm="1">
        <f t="array" ref="O264">IFERROR(INDEX('ST Forecast'!$E$2:$RK$36,13,M264),"")</f>
        <v>750</v>
      </c>
      <c r="P264" s="44">
        <f t="shared" si="75"/>
        <v>1750</v>
      </c>
      <c r="Q264" s="44" cm="1">
        <f t="array" ref="Q264">IFERROR(INDEX('ST Forecast'!$E$2:$RK$36,14,M264),"")</f>
        <v>800</v>
      </c>
      <c r="R264" s="44" cm="1">
        <f t="array" ref="R264">IFERROR(INDEX('ST Forecast'!$E$2:$RK$36,15,M264),"")</f>
        <v>950</v>
      </c>
      <c r="S264" s="312">
        <f>SUM(DB[[#This Row],[Ops-FC-Picks-Collect]:[Ops-FC-Picks-HD]])</f>
        <v>115489.42315576738</v>
      </c>
      <c r="T264" s="44">
        <f t="shared" si="76"/>
        <v>34408.608247422679</v>
      </c>
      <c r="U264" s="44">
        <f t="shared" si="77"/>
        <v>81080.814908344706</v>
      </c>
      <c r="V264" s="44">
        <f t="shared" si="78"/>
        <v>37065.515386671868</v>
      </c>
      <c r="W264" s="404">
        <f t="shared" si="79"/>
        <v>44015.299521672845</v>
      </c>
      <c r="X264" s="44">
        <f>SUM(DB[[#This Row],[Capped-Orders-Collect]:[Capped-Orders-HD]])</f>
        <v>90</v>
      </c>
      <c r="Y264">
        <f>INDEX('Operations Forecast'!$A$2:$BGY$47,3,MATCH(DB!D264,'Operations Forecast'!$A$2:$BGY$2))</f>
        <v>0</v>
      </c>
      <c r="Z264">
        <f t="shared" si="80"/>
        <v>90</v>
      </c>
      <c r="AA264">
        <f>INDEX('Operations Forecast'!$A$2:$BGY$47,10,MATCH(DB!D264,'Operations Forecast'!$A$2:$BGY$2))</f>
        <v>90</v>
      </c>
      <c r="AB264">
        <f>INDEX('Operations Forecast'!$A$2:$BGY$47,21,MATCH(DB!D264,'Operations Forecast'!$A$2:$BGY$2))</f>
        <v>0</v>
      </c>
      <c r="AC264" s="312">
        <f>SUM(DB[[#This Row],[Act-Orders-Collect]:[Act-Orders-HD]])</f>
        <v>2476</v>
      </c>
      <c r="AD264" s="858">
        <f>IFERROR(INDEX('Operations Forecast_new'!$7:$7,MATCH(DB[[#This Row],[Datum]],'Operations Forecast_new'!$2:$2,0)),0)</f>
        <v>734</v>
      </c>
      <c r="AE264" s="312">
        <f t="shared" si="81"/>
        <v>1742</v>
      </c>
      <c r="AF264" s="858">
        <f>IFERROR(INDEX('Operations Forecast_new'!$13:$13,MATCH(DB[[#This Row],[Datum]],'Operations Forecast_new'!$2:$2,0)),0)</f>
        <v>718</v>
      </c>
      <c r="AG264" s="858">
        <f>IFERROR(INDEX('Operations Forecast_new'!$19:$19,MATCH(DB[[#This Row],[Datum]],'Operations Forecast_new'!$2:$2,0)),0)</f>
        <v>1024</v>
      </c>
      <c r="AH264" s="312">
        <f t="shared" si="87"/>
        <v>115451.424</v>
      </c>
      <c r="AI264" s="858">
        <f>IFERROR(INDEX('Operations Forecast_new'!$9:$9,MATCH(DB[[#This Row],[Datum]],'Operations Forecast_new'!$2:$2,0)),0)</f>
        <v>31464.377999999997</v>
      </c>
      <c r="AJ264" s="312">
        <f t="shared" si="82"/>
        <v>83987.046000000002</v>
      </c>
      <c r="AK264" s="858">
        <f>IFERROR(INDEX('Operations Forecast_new'!$15:$15,MATCH(DB[[#This Row],[Datum]],'Operations Forecast_new'!$2:$2,0)),0)</f>
        <v>34616.934000000001</v>
      </c>
      <c r="AL264" s="858">
        <f>IFERROR(INDEX('Operations Forecast_new'!$21:$21,MATCH(DB[[#This Row],[Datum]],'Operations Forecast_new'!$2:$2,0)),0)</f>
        <v>49370.112000000001</v>
      </c>
      <c r="AM264" s="178">
        <f>IFERROR(INDEX('Operations Forecast_new'!$8:$8,MATCH(DB[[#This Row],[Datum]],'Operations Forecast_new'!$2:$2,0)),0)</f>
        <v>43.3</v>
      </c>
      <c r="AN264" s="859">
        <f>IFERROR(INDEX('Operations Forecast_new'!$20:$20,MATCH(DB[[#This Row],[Datum]],'Operations Forecast_new'!$2:$2,0)),0)</f>
        <v>48.7</v>
      </c>
      <c r="AO264" s="44">
        <f t="shared" si="83"/>
        <v>42.866999999999997</v>
      </c>
      <c r="AP264" s="404">
        <f t="shared" si="84"/>
        <v>48.213000000000001</v>
      </c>
      <c r="AQ264" s="44">
        <f t="shared" si="88"/>
        <v>211610</v>
      </c>
      <c r="AR264" s="44" cm="1">
        <f t="array" ref="AR264">IFERROR(INDEX('ST Forecast'!$E$2:$RK$36,25,M264)+(INDEX('ST Forecast'!$E$2:$RK$36,29,M264)),"")</f>
        <v>94690</v>
      </c>
      <c r="AS264" s="44" cm="1">
        <f t="array" ref="AS264">IFERROR(INDEX('ST Forecast'!$E$2:$RK$36,26,M264)+INDEX('ST Forecast'!$E$2:$RK$36,30,M264),"")</f>
        <v>58527</v>
      </c>
      <c r="AT264" s="44" cm="1">
        <f t="array" ref="AT264">IFERROR(INDEX('ST Forecast'!$E$2:$RK$36,27,M264)+INDEX('ST Forecast'!$E$2:$RK$36,31,M264),"")</f>
        <v>49776</v>
      </c>
      <c r="AU264" s="44" cm="1">
        <f t="array" ref="AU264">IFERROR(INDEX('ST Forecast'!$E$2:$RK$36,28,M264),"")</f>
        <v>8617</v>
      </c>
      <c r="AV264" s="44" cm="1">
        <f t="array" ref="AV264">IFERROR(INDEX('ST Forecast'!$E$2:$RK$36,29,M264),"")</f>
        <v>0</v>
      </c>
      <c r="AW264" s="44">
        <f>DB[[#This Row],[Inbound FC]]-DB[[#This Row],[Inbound Act - Ultrafresh2]]</f>
        <v>211610</v>
      </c>
      <c r="AX264" s="178" t="e">
        <f>#REF!</f>
        <v>#REF!</v>
      </c>
      <c r="AY264" s="178" t="e">
        <f>#REF!</f>
        <v>#REF!</v>
      </c>
      <c r="AZ264" s="178" t="e">
        <f>#REF!</f>
        <v>#REF!</v>
      </c>
      <c r="BA264" s="178">
        <f>MONTH(DB[[#This Row],[Datum]])</f>
        <v>9</v>
      </c>
    </row>
    <row r="265" spans="1:53" x14ac:dyDescent="0.3">
      <c r="A265" s="44">
        <f t="shared" si="89"/>
        <v>38</v>
      </c>
      <c r="B265" t="str">
        <f t="shared" si="74"/>
        <v>Wk 38</v>
      </c>
      <c r="C265" t="s">
        <v>114</v>
      </c>
      <c r="D265" s="313">
        <v>44824</v>
      </c>
      <c r="E265" s="44">
        <f>DB[[#This Row],[Sales-FC-Orders-Collect]]+DB[[#This Row],[Sales-FC-Orders-HD]]</f>
        <v>2500</v>
      </c>
      <c r="F265" s="402">
        <f>INDEX('LT Collect Forecast'!$K$1:$Q$55,MATCH(B265,'LT Collect Forecast'!$A:$A,0),MATCH(C265,'LT Collect Forecast'!$K$2:$Q$2,0))</f>
        <v>600</v>
      </c>
      <c r="G265" s="44">
        <f>INDEX('LT HD Forecast'!$K$1:$Q$55,MATCH(B265,'LT HD Forecast'!$A:$A,0),MATCH(C265,'LT HD Forecast'!$K$2:$Q$2,0))</f>
        <v>1900</v>
      </c>
      <c r="H265" s="44" cm="1">
        <f t="array" ref="H265">IFERROR(INDEX('ST Forecast'!$E$2:$RK$36,6,M265),"")</f>
        <v>39.4</v>
      </c>
      <c r="I265" s="44" cm="1">
        <f t="array" ref="I265">IFERROR(INDEX('ST Forecast'!$E$2:$RK$36,7,M265),"")</f>
        <v>44.42071451364184</v>
      </c>
      <c r="J265" s="44">
        <f>SUM(DB[[#This Row],[Sales-FC-Picks-Collect]:[Sales-FC-Picks-HD]])</f>
        <v>108039.35757591949</v>
      </c>
      <c r="K265" s="44">
        <f t="shared" si="85"/>
        <v>23640</v>
      </c>
      <c r="L265" s="44">
        <f t="shared" si="86"/>
        <v>84399.357575919494</v>
      </c>
      <c r="M265" s="403">
        <f>IFERROR(IF(B265=B264,M264+1,MATCH(B265,'ST Forecast'!$E$2:$RK$2,0)+1),"")</f>
        <v>299</v>
      </c>
      <c r="N265">
        <f>SUM(DB[[#This Row],[Ops-FC-Orders-Collect]:[Ops-FC-Orders-HD]])</f>
        <v>2500</v>
      </c>
      <c r="O265" s="44" cm="1">
        <f t="array" ref="O265">IFERROR(INDEX('ST Forecast'!$E$2:$RK$36,13,M265),"")</f>
        <v>600</v>
      </c>
      <c r="P265" s="44">
        <f t="shared" si="75"/>
        <v>1900</v>
      </c>
      <c r="Q265" s="44" cm="1">
        <f t="array" ref="Q265">IFERROR(INDEX('ST Forecast'!$E$2:$RK$36,14,M265),"")</f>
        <v>1100</v>
      </c>
      <c r="R265" s="44" cm="1">
        <f t="array" ref="R265">IFERROR(INDEX('ST Forecast'!$E$2:$RK$36,15,M265),"")</f>
        <v>800</v>
      </c>
      <c r="S265" s="312">
        <f>SUM(DB[[#This Row],[Ops-FC-Picks-Collect]:[Ops-FC-Picks-HD]])</f>
        <v>105878.5704244011</v>
      </c>
      <c r="T265" s="44">
        <f t="shared" si="76"/>
        <v>23167.200000000001</v>
      </c>
      <c r="U265" s="44">
        <f t="shared" si="77"/>
        <v>82711.370424401102</v>
      </c>
      <c r="V265" s="44">
        <f t="shared" si="78"/>
        <v>47885.530245705908</v>
      </c>
      <c r="W265" s="404">
        <f t="shared" si="79"/>
        <v>34825.840178695202</v>
      </c>
      <c r="X265" s="44">
        <f>SUM(DB[[#This Row],[Capped-Orders-Collect]:[Capped-Orders-HD]])</f>
        <v>90</v>
      </c>
      <c r="Y265">
        <f>INDEX('Operations Forecast'!$A$2:$BGY$47,3,MATCH(DB!D265,'Operations Forecast'!$A$2:$BGY$2))</f>
        <v>0</v>
      </c>
      <c r="Z265">
        <f t="shared" si="80"/>
        <v>90</v>
      </c>
      <c r="AA265">
        <f>INDEX('Operations Forecast'!$A$2:$BGY$47,10,MATCH(DB!D265,'Operations Forecast'!$A$2:$BGY$2))</f>
        <v>90</v>
      </c>
      <c r="AB265">
        <f>INDEX('Operations Forecast'!$A$2:$BGY$47,21,MATCH(DB!D265,'Operations Forecast'!$A$2:$BGY$2))</f>
        <v>0</v>
      </c>
      <c r="AC265" s="312">
        <f>SUM(DB[[#This Row],[Act-Orders-Collect]:[Act-Orders-HD]])</f>
        <v>2440</v>
      </c>
      <c r="AD265" s="858">
        <f>IFERROR(INDEX('Operations Forecast_new'!$7:$7,MATCH(DB[[#This Row],[Datum]],'Operations Forecast_new'!$2:$2,0)),0)</f>
        <v>566</v>
      </c>
      <c r="AE265" s="312">
        <f t="shared" si="81"/>
        <v>1874</v>
      </c>
      <c r="AF265" s="858">
        <f>IFERROR(INDEX('Operations Forecast_new'!$13:$13,MATCH(DB[[#This Row],[Datum]],'Operations Forecast_new'!$2:$2,0)),0)</f>
        <v>1105</v>
      </c>
      <c r="AG265" s="858">
        <f>IFERROR(INDEX('Operations Forecast_new'!$19:$19,MATCH(DB[[#This Row],[Datum]],'Operations Forecast_new'!$2:$2,0)),0)</f>
        <v>769</v>
      </c>
      <c r="AH265" s="312">
        <f t="shared" si="87"/>
        <v>111263.12999999998</v>
      </c>
      <c r="AI265" s="858">
        <f>IFERROR(INDEX('Operations Forecast_new'!$9:$9,MATCH(DB[[#This Row],[Datum]],'Operations Forecast_new'!$2:$2,0)),0)</f>
        <v>22581.701999999997</v>
      </c>
      <c r="AJ265" s="312">
        <f t="shared" si="82"/>
        <v>88681.427999999985</v>
      </c>
      <c r="AK265" s="858">
        <f>IFERROR(INDEX('Operations Forecast_new'!$15:$15,MATCH(DB[[#This Row],[Datum]],'Operations Forecast_new'!$2:$2,0)),0)</f>
        <v>52290.81</v>
      </c>
      <c r="AL265" s="858">
        <f>IFERROR(INDEX('Operations Forecast_new'!$21:$21,MATCH(DB[[#This Row],[Datum]],'Operations Forecast_new'!$2:$2,0)),0)</f>
        <v>36390.617999999995</v>
      </c>
      <c r="AM265" s="178">
        <f>IFERROR(INDEX('Operations Forecast_new'!$8:$8,MATCH(DB[[#This Row],[Datum]],'Operations Forecast_new'!$2:$2,0)),0)</f>
        <v>40.299999999999997</v>
      </c>
      <c r="AN265" s="859">
        <f>IFERROR(INDEX('Operations Forecast_new'!$20:$20,MATCH(DB[[#This Row],[Datum]],'Operations Forecast_new'!$2:$2,0)),0)</f>
        <v>47.8</v>
      </c>
      <c r="AO265" s="44">
        <f t="shared" si="83"/>
        <v>39.896999999999998</v>
      </c>
      <c r="AP265" s="404">
        <f t="shared" si="84"/>
        <v>47.321999999999996</v>
      </c>
      <c r="AQ265" s="44">
        <f t="shared" si="88"/>
        <v>140431</v>
      </c>
      <c r="AR265" s="44" cm="1">
        <f t="array" ref="AR265">IFERROR(INDEX('ST Forecast'!$E$2:$RK$36,25,M265)+(INDEX('ST Forecast'!$E$2:$RK$36,29,M265)),"")</f>
        <v>67428</v>
      </c>
      <c r="AS265" s="44" cm="1">
        <f t="array" ref="AS265">IFERROR(INDEX('ST Forecast'!$E$2:$RK$36,26,M265)+INDEX('ST Forecast'!$E$2:$RK$36,30,M265),"")</f>
        <v>58524</v>
      </c>
      <c r="AT265" s="44" cm="1">
        <f t="array" ref="AT265">IFERROR(INDEX('ST Forecast'!$E$2:$RK$36,27,M265)+INDEX('ST Forecast'!$E$2:$RK$36,31,M265),"")</f>
        <v>6137</v>
      </c>
      <c r="AU265" s="44" cm="1">
        <f t="array" ref="AU265">IFERROR(INDEX('ST Forecast'!$E$2:$RK$36,28,M265),"")</f>
        <v>8342</v>
      </c>
      <c r="AV265" s="44" cm="1">
        <f t="array" ref="AV265">IFERROR(INDEX('ST Forecast'!$E$2:$RK$36,29,M265),"")</f>
        <v>0</v>
      </c>
      <c r="AW265" s="44">
        <f>DB[[#This Row],[Inbound FC]]-DB[[#This Row],[Inbound Act - Ultrafresh2]]</f>
        <v>140431</v>
      </c>
      <c r="AX265" s="178" t="e">
        <f>#REF!</f>
        <v>#REF!</v>
      </c>
      <c r="AY265" s="178" t="e">
        <f>#REF!</f>
        <v>#REF!</v>
      </c>
      <c r="AZ265" s="178" t="e">
        <f>#REF!</f>
        <v>#REF!</v>
      </c>
      <c r="BA265" s="178">
        <f>MONTH(DB[[#This Row],[Datum]])</f>
        <v>9</v>
      </c>
    </row>
    <row r="266" spans="1:53" x14ac:dyDescent="0.3">
      <c r="A266" s="44">
        <f t="shared" si="89"/>
        <v>38</v>
      </c>
      <c r="B266" t="str">
        <f t="shared" si="74"/>
        <v>Wk 38</v>
      </c>
      <c r="C266" t="s">
        <v>115</v>
      </c>
      <c r="D266" s="313">
        <v>44825</v>
      </c>
      <c r="E266" s="44">
        <f>DB[[#This Row],[Sales-FC-Orders-Collect]]+DB[[#This Row],[Sales-FC-Orders-HD]]</f>
        <v>2550</v>
      </c>
      <c r="F266" s="402">
        <f>INDEX('LT Collect Forecast'!$K$1:$Q$55,MATCH(B266,'LT Collect Forecast'!$A:$A,0),MATCH(C266,'LT Collect Forecast'!$K$2:$Q$2,0))</f>
        <v>650</v>
      </c>
      <c r="G266" s="44">
        <f>INDEX('LT HD Forecast'!$K$1:$Q$55,MATCH(B266,'LT HD Forecast'!$A:$A,0),MATCH(C266,'LT HD Forecast'!$K$2:$Q$2,0))</f>
        <v>1900</v>
      </c>
      <c r="H266" s="44" cm="1">
        <f t="array" ref="H266">IFERROR(INDEX('ST Forecast'!$E$2:$RK$36,6,M266),"")</f>
        <v>40.1</v>
      </c>
      <c r="I266" s="44" cm="1">
        <f t="array" ref="I266">IFERROR(INDEX('ST Forecast'!$E$2:$RK$36,7,M266),"")</f>
        <v>45.708314019620254</v>
      </c>
      <c r="J266" s="44">
        <f>SUM(DB[[#This Row],[Sales-FC-Picks-Collect]:[Sales-FC-Picks-HD]])</f>
        <v>112910.79663727849</v>
      </c>
      <c r="K266" s="44">
        <f t="shared" si="85"/>
        <v>26065</v>
      </c>
      <c r="L266" s="44">
        <f t="shared" si="86"/>
        <v>86845.796637278487</v>
      </c>
      <c r="M266" s="403">
        <f>IFERROR(IF(B266=B265,M265+1,MATCH(B266,'ST Forecast'!$E$2:$RK$2,0)+1),"")</f>
        <v>300</v>
      </c>
      <c r="N266">
        <f>SUM(DB[[#This Row],[Ops-FC-Orders-Collect]:[Ops-FC-Orders-HD]])</f>
        <v>2550</v>
      </c>
      <c r="O266" s="44" cm="1">
        <f t="array" ref="O266">IFERROR(INDEX('ST Forecast'!$E$2:$RK$36,13,M266),"")</f>
        <v>650</v>
      </c>
      <c r="P266" s="44">
        <f t="shared" si="75"/>
        <v>1900</v>
      </c>
      <c r="Q266" s="44" cm="1">
        <f t="array" ref="Q266">IFERROR(INDEX('ST Forecast'!$E$2:$RK$36,14,M266),"")</f>
        <v>1050</v>
      </c>
      <c r="R266" s="44" cm="1">
        <f t="array" ref="R266">IFERROR(INDEX('ST Forecast'!$E$2:$RK$36,15,M266),"")</f>
        <v>850</v>
      </c>
      <c r="S266" s="312">
        <f>SUM(DB[[#This Row],[Ops-FC-Picks-Collect]:[Ops-FC-Picks-HD]])</f>
        <v>110652.5807045329</v>
      </c>
      <c r="T266" s="44">
        <f t="shared" si="76"/>
        <v>25543.7</v>
      </c>
      <c r="U266" s="44">
        <f t="shared" si="77"/>
        <v>85108.880704532901</v>
      </c>
      <c r="V266" s="44">
        <f t="shared" si="78"/>
        <v>47033.855126189243</v>
      </c>
      <c r="W266" s="404">
        <f t="shared" si="79"/>
        <v>38075.025578343666</v>
      </c>
      <c r="X266" s="44">
        <f>SUM(DB[[#This Row],[Capped-Orders-Collect]:[Capped-Orders-HD]])</f>
        <v>90</v>
      </c>
      <c r="Y266">
        <f>INDEX('Operations Forecast'!$A$2:$BGY$47,3,MATCH(DB!D266,'Operations Forecast'!$A$2:$BGY$2))</f>
        <v>0</v>
      </c>
      <c r="Z266">
        <f t="shared" si="80"/>
        <v>90</v>
      </c>
      <c r="AA266">
        <f>INDEX('Operations Forecast'!$A$2:$BGY$47,10,MATCH(DB!D266,'Operations Forecast'!$A$2:$BGY$2))</f>
        <v>90</v>
      </c>
      <c r="AB266">
        <f>INDEX('Operations Forecast'!$A$2:$BGY$47,21,MATCH(DB!D266,'Operations Forecast'!$A$2:$BGY$2))</f>
        <v>0</v>
      </c>
      <c r="AC266" s="312">
        <f>SUM(DB[[#This Row],[Act-Orders-Collect]:[Act-Orders-HD]])</f>
        <v>2458</v>
      </c>
      <c r="AD266" s="858">
        <f>IFERROR(INDEX('Operations Forecast_new'!$7:$7,MATCH(DB[[#This Row],[Datum]],'Operations Forecast_new'!$2:$2,0)),0)</f>
        <v>584</v>
      </c>
      <c r="AE266" s="312">
        <f t="shared" si="81"/>
        <v>1874</v>
      </c>
      <c r="AF266" s="858">
        <f>IFERROR(INDEX('Operations Forecast_new'!$13:$13,MATCH(DB[[#This Row],[Datum]],'Operations Forecast_new'!$2:$2,0)),0)</f>
        <v>1059</v>
      </c>
      <c r="AG266" s="858">
        <f>IFERROR(INDEX('Operations Forecast_new'!$19:$19,MATCH(DB[[#This Row],[Datum]],'Operations Forecast_new'!$2:$2,0)),0)</f>
        <v>815</v>
      </c>
      <c r="AH266" s="312">
        <f t="shared" si="87"/>
        <v>111335.796</v>
      </c>
      <c r="AI266" s="858">
        <f>IFERROR(INDEX('Operations Forecast_new'!$9:$9,MATCH(DB[[#This Row],[Datum]],'Operations Forecast_new'!$2:$2,0)),0)</f>
        <v>21912.263999999999</v>
      </c>
      <c r="AJ266" s="312">
        <f t="shared" si="82"/>
        <v>89423.532000000007</v>
      </c>
      <c r="AK266" s="858">
        <f>IFERROR(INDEX('Operations Forecast_new'!$15:$15,MATCH(DB[[#This Row],[Datum]],'Operations Forecast_new'!$2:$2,0)),0)</f>
        <v>50533.362000000001</v>
      </c>
      <c r="AL266" s="858">
        <f>IFERROR(INDEX('Operations Forecast_new'!$21:$21,MATCH(DB[[#This Row],[Datum]],'Operations Forecast_new'!$2:$2,0)),0)</f>
        <v>38890.17</v>
      </c>
      <c r="AM266" s="178">
        <f>IFERROR(INDEX('Operations Forecast_new'!$8:$8,MATCH(DB[[#This Row],[Datum]],'Operations Forecast_new'!$2:$2,0)),0)</f>
        <v>37.9</v>
      </c>
      <c r="AN266" s="859">
        <f>IFERROR(INDEX('Operations Forecast_new'!$20:$20,MATCH(DB[[#This Row],[Datum]],'Operations Forecast_new'!$2:$2,0)),0)</f>
        <v>48.2</v>
      </c>
      <c r="AO266" s="44">
        <f t="shared" si="83"/>
        <v>37.521000000000001</v>
      </c>
      <c r="AP266" s="404">
        <f t="shared" si="84"/>
        <v>47.718000000000004</v>
      </c>
      <c r="AQ266" s="44">
        <f t="shared" si="88"/>
        <v>139684</v>
      </c>
      <c r="AR266" s="44" cm="1">
        <f t="array" ref="AR266">IFERROR(INDEX('ST Forecast'!$E$2:$RK$36,25,M266)+(INDEX('ST Forecast'!$E$2:$RK$36,29,M266)),"")</f>
        <v>66269</v>
      </c>
      <c r="AS266" s="44" cm="1">
        <f t="array" ref="AS266">IFERROR(INDEX('ST Forecast'!$E$2:$RK$36,26,M266)+INDEX('ST Forecast'!$E$2:$RK$36,30,M266),"")</f>
        <v>52379</v>
      </c>
      <c r="AT266" s="44" cm="1">
        <f t="array" ref="AT266">IFERROR(INDEX('ST Forecast'!$E$2:$RK$36,27,M266)+INDEX('ST Forecast'!$E$2:$RK$36,31,M266),"")</f>
        <v>12448</v>
      </c>
      <c r="AU266" s="44" cm="1">
        <f t="array" ref="AU266">IFERROR(INDEX('ST Forecast'!$E$2:$RK$36,28,M266),"")</f>
        <v>8588</v>
      </c>
      <c r="AV266" s="44" cm="1">
        <f t="array" ref="AV266">IFERROR(INDEX('ST Forecast'!$E$2:$RK$36,29,M266),"")</f>
        <v>0</v>
      </c>
      <c r="AW266" s="44">
        <f>DB[[#This Row],[Inbound FC]]-DB[[#This Row],[Inbound Act - Ultrafresh2]]</f>
        <v>139684</v>
      </c>
      <c r="AX266" s="178" t="e">
        <f>#REF!</f>
        <v>#REF!</v>
      </c>
      <c r="AY266" s="178" t="e">
        <f>#REF!</f>
        <v>#REF!</v>
      </c>
      <c r="AZ266" s="178" t="e">
        <f>#REF!</f>
        <v>#REF!</v>
      </c>
      <c r="BA266" s="178">
        <f>MONTH(DB[[#This Row],[Datum]])</f>
        <v>9</v>
      </c>
    </row>
    <row r="267" spans="1:53" x14ac:dyDescent="0.3">
      <c r="A267" s="44">
        <f t="shared" si="89"/>
        <v>38</v>
      </c>
      <c r="B267" t="str">
        <f t="shared" si="74"/>
        <v>Wk 38</v>
      </c>
      <c r="C267" t="s">
        <v>116</v>
      </c>
      <c r="D267" s="313">
        <v>44826</v>
      </c>
      <c r="E267" s="44">
        <f>DB[[#This Row],[Sales-FC-Orders-Collect]]+DB[[#This Row],[Sales-FC-Orders-HD]]</f>
        <v>2700</v>
      </c>
      <c r="F267" s="402" cm="1">
        <f t="array" ref="F267">INDEX('LT Collect Forecast'!$K$1:$Q$55,MATCH(B267,'LT Collect Forecast'!$A:$A,0)+1,MATCH(C267,'LT Collect Forecast'!$K$2:$Q$2,0))</f>
        <v>700</v>
      </c>
      <c r="G267" s="44" cm="1">
        <f t="array" ref="G267">INDEX('LT HD Forecast'!$K$1:$Q$55,MATCH(B267,'LT HD Forecast'!$A:$A,0)+1,MATCH(C267,'LT HD Forecast'!$K$2:$Q$2,0))</f>
        <v>2000</v>
      </c>
      <c r="H267" s="44" cm="1">
        <f t="array" ref="H267">IFERROR(INDEX('ST Forecast'!$E$2:$RK$36,6,M267),"")</f>
        <v>43.450322526418688</v>
      </c>
      <c r="I267" s="44" cm="1">
        <f t="array" ref="I267">IFERROR(INDEX('ST Forecast'!$E$2:$RK$36,7,M267),"")</f>
        <v>48.002928947453825</v>
      </c>
      <c r="J267" s="44">
        <f>SUM(DB[[#This Row],[Sales-FC-Picks-Collect]:[Sales-FC-Picks-HD]])</f>
        <v>126421.08366340073</v>
      </c>
      <c r="K267" s="44">
        <f t="shared" si="85"/>
        <v>30415.225768493081</v>
      </c>
      <c r="L267" s="44">
        <f t="shared" si="86"/>
        <v>96005.857894907647</v>
      </c>
      <c r="M267" s="403">
        <f>IFERROR(IF(B267=B266,M266+1,MATCH(B267,'ST Forecast'!$E$2:$RK$2,0)+1),"")</f>
        <v>301</v>
      </c>
      <c r="N267">
        <f>SUM(DB[[#This Row],[Ops-FC-Orders-Collect]:[Ops-FC-Orders-HD]])</f>
        <v>2700</v>
      </c>
      <c r="O267" s="44" cm="1">
        <f t="array" ref="O267">IFERROR(INDEX('ST Forecast'!$E$2:$RK$36,13,M267),"")</f>
        <v>700</v>
      </c>
      <c r="P267" s="44">
        <f t="shared" si="75"/>
        <v>2000</v>
      </c>
      <c r="Q267" s="44" cm="1">
        <f t="array" ref="Q267">IFERROR(INDEX('ST Forecast'!$E$2:$RK$36,14,M267),"")</f>
        <v>1100</v>
      </c>
      <c r="R267" s="44" cm="1">
        <f t="array" ref="R267">IFERROR(INDEX('ST Forecast'!$E$2:$RK$36,15,M267),"")</f>
        <v>900</v>
      </c>
      <c r="S267" s="312">
        <f>SUM(DB[[#This Row],[Ops-FC-Picks-Collect]:[Ops-FC-Picks-HD]])</f>
        <v>123892.66199013272</v>
      </c>
      <c r="T267" s="44">
        <f t="shared" si="76"/>
        <v>29806.921253123219</v>
      </c>
      <c r="U267" s="44">
        <f t="shared" si="77"/>
        <v>94085.740737009502</v>
      </c>
      <c r="V267" s="44">
        <f t="shared" si="78"/>
        <v>51747.157405355225</v>
      </c>
      <c r="W267" s="404">
        <f t="shared" si="79"/>
        <v>42338.58333165427</v>
      </c>
      <c r="X267" s="44">
        <f>SUM(DB[[#This Row],[Capped-Orders-Collect]:[Capped-Orders-HD]])</f>
        <v>90</v>
      </c>
      <c r="Y267">
        <f>INDEX('Operations Forecast'!$A$2:$BGY$47,3,MATCH(DB!D267,'Operations Forecast'!$A$2:$BGY$2))</f>
        <v>0</v>
      </c>
      <c r="Z267">
        <f t="shared" si="80"/>
        <v>90</v>
      </c>
      <c r="AA267">
        <f>INDEX('Operations Forecast'!$A$2:$BGY$47,10,MATCH(DB!D267,'Operations Forecast'!$A$2:$BGY$2))</f>
        <v>90</v>
      </c>
      <c r="AB267">
        <f>INDEX('Operations Forecast'!$A$2:$BGY$47,21,MATCH(DB!D267,'Operations Forecast'!$A$2:$BGY$2))</f>
        <v>0</v>
      </c>
      <c r="AC267" s="312">
        <f>SUM(DB[[#This Row],[Act-Orders-Collect]:[Act-Orders-HD]])</f>
        <v>2324</v>
      </c>
      <c r="AD267" s="858">
        <f>IFERROR(INDEX('Operations Forecast_new'!$7:$7,MATCH(DB[[#This Row],[Datum]],'Operations Forecast_new'!$2:$2,0)),0)</f>
        <v>531</v>
      </c>
      <c r="AE267" s="312">
        <f t="shared" si="81"/>
        <v>1793</v>
      </c>
      <c r="AF267" s="858">
        <f>IFERROR(INDEX('Operations Forecast_new'!$13:$13,MATCH(DB[[#This Row],[Datum]],'Operations Forecast_new'!$2:$2,0)),0)</f>
        <v>821</v>
      </c>
      <c r="AG267" s="858">
        <f>IFERROR(INDEX('Operations Forecast_new'!$19:$19,MATCH(DB[[#This Row],[Datum]],'Operations Forecast_new'!$2:$2,0)),0)</f>
        <v>972</v>
      </c>
      <c r="AH267" s="312">
        <f t="shared" si="87"/>
        <v>108176.01300000001</v>
      </c>
      <c r="AI267" s="858">
        <f>IFERROR(INDEX('Operations Forecast_new'!$9:$9,MATCH(DB[[#This Row],[Datum]],'Operations Forecast_new'!$2:$2,0)),0)</f>
        <v>22972.653000000002</v>
      </c>
      <c r="AJ267" s="312">
        <f t="shared" si="82"/>
        <v>85203.36</v>
      </c>
      <c r="AK267" s="858">
        <f>IFERROR(INDEX('Operations Forecast_new'!$15:$15,MATCH(DB[[#This Row],[Datum]],'Operations Forecast_new'!$2:$2,0)),0)</f>
        <v>39013.919999999998</v>
      </c>
      <c r="AL267" s="858">
        <f>IFERROR(INDEX('Operations Forecast_new'!$21:$21,MATCH(DB[[#This Row],[Datum]],'Operations Forecast_new'!$2:$2,0)),0)</f>
        <v>46189.440000000002</v>
      </c>
      <c r="AM267" s="178">
        <f>IFERROR(INDEX('Operations Forecast_new'!$8:$8,MATCH(DB[[#This Row],[Datum]],'Operations Forecast_new'!$2:$2,0)),0)</f>
        <v>43.7</v>
      </c>
      <c r="AN267" s="859">
        <f>IFERROR(INDEX('Operations Forecast_new'!$20:$20,MATCH(DB[[#This Row],[Datum]],'Operations Forecast_new'!$2:$2,0)),0)</f>
        <v>48</v>
      </c>
      <c r="AO267" s="44">
        <f t="shared" si="83"/>
        <v>43.263000000000005</v>
      </c>
      <c r="AP267" s="404">
        <f t="shared" si="84"/>
        <v>47.52</v>
      </c>
      <c r="AQ267" s="44">
        <f t="shared" si="88"/>
        <v>130909</v>
      </c>
      <c r="AR267" s="44" cm="1">
        <f t="array" ref="AR267">IFERROR(INDEX('ST Forecast'!$E$2:$RK$36,25,M267)+(INDEX('ST Forecast'!$E$2:$RK$36,29,M267)),"")</f>
        <v>56179</v>
      </c>
      <c r="AS267" s="44" cm="1">
        <f t="array" ref="AS267">IFERROR(INDEX('ST Forecast'!$E$2:$RK$36,26,M267)+INDEX('ST Forecast'!$E$2:$RK$36,30,M267),"")</f>
        <v>53518</v>
      </c>
      <c r="AT267" s="44" cm="1">
        <f t="array" ref="AT267">IFERROR(INDEX('ST Forecast'!$E$2:$RK$36,27,M267)+INDEX('ST Forecast'!$E$2:$RK$36,31,M267),"")</f>
        <v>12350</v>
      </c>
      <c r="AU267" s="44" cm="1">
        <f t="array" ref="AU267">IFERROR(INDEX('ST Forecast'!$E$2:$RK$36,28,M267),"")</f>
        <v>8862</v>
      </c>
      <c r="AV267" s="44" cm="1">
        <f t="array" ref="AV267">IFERROR(INDEX('ST Forecast'!$E$2:$RK$36,29,M267),"")</f>
        <v>0</v>
      </c>
      <c r="AW267" s="44">
        <f>DB[[#This Row],[Inbound FC]]-DB[[#This Row],[Inbound Act - Ultrafresh2]]</f>
        <v>130909</v>
      </c>
      <c r="AX267" s="178" t="e">
        <f>#REF!</f>
        <v>#REF!</v>
      </c>
      <c r="AY267" s="178" t="e">
        <f>#REF!</f>
        <v>#REF!</v>
      </c>
      <c r="AZ267" s="178" t="e">
        <f>#REF!</f>
        <v>#REF!</v>
      </c>
      <c r="BA267" s="178">
        <f>MONTH(DB[[#This Row],[Datum]])</f>
        <v>9</v>
      </c>
    </row>
    <row r="268" spans="1:53" x14ac:dyDescent="0.3">
      <c r="A268" s="44">
        <f t="shared" si="89"/>
        <v>38</v>
      </c>
      <c r="B268" t="str">
        <f t="shared" si="74"/>
        <v>Wk 38</v>
      </c>
      <c r="C268" t="s">
        <v>117</v>
      </c>
      <c r="D268" s="313">
        <v>44827</v>
      </c>
      <c r="E268" s="44">
        <f>DB[[#This Row],[Sales-FC-Orders-Collect]]+DB[[#This Row],[Sales-FC-Orders-HD]]</f>
        <v>3000</v>
      </c>
      <c r="F268" s="402" cm="1">
        <f t="array" ref="F268">INDEX('LT Collect Forecast'!$K$1:$Q$55,MATCH(B268,'LT Collect Forecast'!$A:$A,0)+1,MATCH(C268,'LT Collect Forecast'!$K$2:$Q$2,0))</f>
        <v>950</v>
      </c>
      <c r="G268" s="44" cm="1">
        <f t="array" ref="G268">INDEX('LT HD Forecast'!$K$1:$Q$55,MATCH(B268,'LT HD Forecast'!$A:$A,0)+1,MATCH(C268,'LT HD Forecast'!$K$2:$Q$2,0))</f>
        <v>2050</v>
      </c>
      <c r="H268" s="44" cm="1">
        <f t="array" ref="H268">IFERROR(INDEX('ST Forecast'!$E$2:$RK$36,6,M268),"")</f>
        <v>51.928930730548288</v>
      </c>
      <c r="I268" s="44" cm="1">
        <f t="array" ref="I268">IFERROR(INDEX('ST Forecast'!$E$2:$RK$36,7,M268),"")</f>
        <v>51.347304250892577</v>
      </c>
      <c r="J268" s="44">
        <f>SUM(DB[[#This Row],[Sales-FC-Picks-Collect]:[Sales-FC-Picks-HD]])</f>
        <v>154594.45790835065</v>
      </c>
      <c r="K268" s="44">
        <f t="shared" si="85"/>
        <v>49332.484194020872</v>
      </c>
      <c r="L268" s="44">
        <f t="shared" si="86"/>
        <v>105261.97371432978</v>
      </c>
      <c r="M268" s="403">
        <f>IFERROR(IF(B268=B267,M267+1,MATCH(B268,'ST Forecast'!$E$2:$RK$2,0)+1),"")</f>
        <v>302</v>
      </c>
      <c r="N268">
        <f>SUM(DB[[#This Row],[Ops-FC-Orders-Collect]:[Ops-FC-Orders-HD]])</f>
        <v>3000</v>
      </c>
      <c r="O268" s="44" cm="1">
        <f t="array" ref="O268">IFERROR(INDEX('ST Forecast'!$E$2:$RK$36,13,M268),"")</f>
        <v>950</v>
      </c>
      <c r="P268" s="44">
        <f t="shared" si="75"/>
        <v>2050</v>
      </c>
      <c r="Q268" s="44" cm="1">
        <f t="array" ref="Q268">IFERROR(INDEX('ST Forecast'!$E$2:$RK$36,14,M268),"")</f>
        <v>1100</v>
      </c>
      <c r="R268" s="44" cm="1">
        <f t="array" ref="R268">IFERROR(INDEX('ST Forecast'!$E$2:$RK$36,15,M268),"")</f>
        <v>950</v>
      </c>
      <c r="S268" s="312">
        <f>SUM(DB[[#This Row],[Ops-FC-Picks-Collect]:[Ops-FC-Picks-HD]])</f>
        <v>151502.56875018362</v>
      </c>
      <c r="T268" s="44">
        <f t="shared" si="76"/>
        <v>48345.834510140456</v>
      </c>
      <c r="U268" s="44">
        <f t="shared" si="77"/>
        <v>103156.73424004318</v>
      </c>
      <c r="V268" s="44">
        <f t="shared" si="78"/>
        <v>55352.393982462199</v>
      </c>
      <c r="W268" s="404">
        <f t="shared" si="79"/>
        <v>47804.340257580989</v>
      </c>
      <c r="X268" s="44">
        <f>SUM(DB[[#This Row],[Capped-Orders-Collect]:[Capped-Orders-HD]])</f>
        <v>90</v>
      </c>
      <c r="Y268">
        <f>INDEX('Operations Forecast'!$A$2:$BGY$47,3,MATCH(DB!D268,'Operations Forecast'!$A$2:$BGY$2))</f>
        <v>0</v>
      </c>
      <c r="Z268">
        <f t="shared" si="80"/>
        <v>90</v>
      </c>
      <c r="AA268">
        <f>INDEX('Operations Forecast'!$A$2:$BGY$47,10,MATCH(DB!D268,'Operations Forecast'!$A$2:$BGY$2))</f>
        <v>90</v>
      </c>
      <c r="AB268">
        <f>INDEX('Operations Forecast'!$A$2:$BGY$47,21,MATCH(DB!D268,'Operations Forecast'!$A$2:$BGY$2))</f>
        <v>0</v>
      </c>
      <c r="AC268" s="312">
        <f>SUM(DB[[#This Row],[Act-Orders-Collect]:[Act-Orders-HD]])</f>
        <v>2953</v>
      </c>
      <c r="AD268" s="858">
        <f>IFERROR(INDEX('Operations Forecast_new'!$7:$7,MATCH(DB[[#This Row],[Datum]],'Operations Forecast_new'!$2:$2,0)),0)</f>
        <v>936</v>
      </c>
      <c r="AE268" s="312">
        <f t="shared" si="81"/>
        <v>2017</v>
      </c>
      <c r="AF268" s="858">
        <f>IFERROR(INDEX('Operations Forecast_new'!$13:$13,MATCH(DB[[#This Row],[Datum]],'Operations Forecast_new'!$2:$2,0)),0)</f>
        <v>1085</v>
      </c>
      <c r="AG268" s="858">
        <f>IFERROR(INDEX('Operations Forecast_new'!$19:$19,MATCH(DB[[#This Row],[Datum]],'Operations Forecast_new'!$2:$2,0)),0)</f>
        <v>932</v>
      </c>
      <c r="AH268" s="312">
        <f t="shared" si="87"/>
        <v>145767.59999999998</v>
      </c>
      <c r="AI268" s="858">
        <f>IFERROR(INDEX('Operations Forecast_new'!$9:$9,MATCH(DB[[#This Row],[Datum]],'Operations Forecast_new'!$2:$2,0)),0)</f>
        <v>45127.368000000002</v>
      </c>
      <c r="AJ268" s="312">
        <f t="shared" si="82"/>
        <v>100640.23199999999</v>
      </c>
      <c r="AK268" s="858">
        <f>IFERROR(INDEX('Operations Forecast_new'!$15:$15,MATCH(DB[[#This Row],[Datum]],'Operations Forecast_new'!$2:$2,0)),0)</f>
        <v>54137.159999999996</v>
      </c>
      <c r="AL268" s="858">
        <f>IFERROR(INDEX('Operations Forecast_new'!$21:$21,MATCH(DB[[#This Row],[Datum]],'Operations Forecast_new'!$2:$2,0)),0)</f>
        <v>46503.071999999993</v>
      </c>
      <c r="AM268" s="178">
        <f>IFERROR(INDEX('Operations Forecast_new'!$8:$8,MATCH(DB[[#This Row],[Datum]],'Operations Forecast_new'!$2:$2,0)),0)</f>
        <v>48.7</v>
      </c>
      <c r="AN268" s="859">
        <f>IFERROR(INDEX('Operations Forecast_new'!$20:$20,MATCH(DB[[#This Row],[Datum]],'Operations Forecast_new'!$2:$2,0)),0)</f>
        <v>50.4</v>
      </c>
      <c r="AO268" s="44">
        <f t="shared" si="83"/>
        <v>48.213000000000001</v>
      </c>
      <c r="AP268" s="404">
        <f t="shared" si="84"/>
        <v>49.895999999999994</v>
      </c>
      <c r="AQ268" s="44">
        <f t="shared" si="88"/>
        <v>120947</v>
      </c>
      <c r="AR268" s="44" cm="1">
        <f t="array" ref="AR268">IFERROR(INDEX('ST Forecast'!$E$2:$RK$36,25,M268)+(INDEX('ST Forecast'!$E$2:$RK$36,29,M268)),"")</f>
        <v>49120</v>
      </c>
      <c r="AS268" s="44" cm="1">
        <f t="array" ref="AS268">IFERROR(INDEX('ST Forecast'!$E$2:$RK$36,26,M268)+INDEX('ST Forecast'!$E$2:$RK$36,30,M268),"")</f>
        <v>58013</v>
      </c>
      <c r="AT268" s="44" cm="1">
        <f t="array" ref="AT268">IFERROR(INDEX('ST Forecast'!$E$2:$RK$36,27,M268)+INDEX('ST Forecast'!$E$2:$RK$36,31,M268),"")</f>
        <v>5285</v>
      </c>
      <c r="AU268" s="44" cm="1">
        <f t="array" ref="AU268">IFERROR(INDEX('ST Forecast'!$E$2:$RK$36,28,M268),"")</f>
        <v>8529</v>
      </c>
      <c r="AV268" s="44" cm="1">
        <f t="array" ref="AV268">IFERROR(INDEX('ST Forecast'!$E$2:$RK$36,29,M268),"")</f>
        <v>0</v>
      </c>
      <c r="AW268" s="44">
        <f>DB[[#This Row],[Inbound FC]]-DB[[#This Row],[Inbound Act - Ultrafresh2]]</f>
        <v>120947</v>
      </c>
      <c r="AX268" s="178" t="e">
        <f>#REF!</f>
        <v>#REF!</v>
      </c>
      <c r="AY268" s="178" t="e">
        <f>#REF!</f>
        <v>#REF!</v>
      </c>
      <c r="AZ268" s="178" t="e">
        <f>#REF!</f>
        <v>#REF!</v>
      </c>
      <c r="BA268" s="178">
        <f>MONTH(DB[[#This Row],[Datum]])</f>
        <v>9</v>
      </c>
    </row>
    <row r="269" spans="1:53" x14ac:dyDescent="0.3">
      <c r="A269" s="44">
        <f t="shared" si="89"/>
        <v>38</v>
      </c>
      <c r="B269" t="str">
        <f t="shared" ref="B269:B332" si="90">"Wk "&amp;A269</f>
        <v>Wk 38</v>
      </c>
      <c r="C269" t="s">
        <v>118</v>
      </c>
      <c r="D269" s="313">
        <v>44828</v>
      </c>
      <c r="E269" s="44">
        <f>DB[[#This Row],[Sales-FC-Orders-Collect]]+DB[[#This Row],[Sales-FC-Orders-HD]]</f>
        <v>2900</v>
      </c>
      <c r="F269" s="402" cm="1">
        <f t="array" ref="F269">INDEX('LT Collect Forecast'!$K$1:$Q$55,MATCH(B269,'LT Collect Forecast'!$A:$A,0)+1,MATCH(C269,'LT Collect Forecast'!$K$2:$Q$2,0))</f>
        <v>1000</v>
      </c>
      <c r="G269" s="44" cm="1">
        <f t="array" ref="G269">INDEX('LT HD Forecast'!$K$1:$Q$55,MATCH(B269,'LT HD Forecast'!$A:$A,0)+1,MATCH(C269,'LT HD Forecast'!$K$2:$Q$2,0))</f>
        <v>1900</v>
      </c>
      <c r="H269" s="44" cm="1">
        <f t="array" ref="H269">IFERROR(INDEX('ST Forecast'!$E$2:$RK$36,6,M269),"")</f>
        <v>51.907341179703934</v>
      </c>
      <c r="I269" s="44" cm="1">
        <f t="array" ref="I269">IFERROR(INDEX('ST Forecast'!$E$2:$RK$36,7,M269),"")</f>
        <v>50.405812671299266</v>
      </c>
      <c r="J269" s="44">
        <f>SUM(DB[[#This Row],[Sales-FC-Picks-Collect]:[Sales-FC-Picks-HD]])</f>
        <v>147678.38525517253</v>
      </c>
      <c r="K269" s="44">
        <f t="shared" si="85"/>
        <v>51907.341179703937</v>
      </c>
      <c r="L269" s="44">
        <f t="shared" si="86"/>
        <v>95771.044075468599</v>
      </c>
      <c r="M269" s="403">
        <f>IFERROR(IF(B269=B268,M268+1,MATCH(B269,'ST Forecast'!$E$2:$RK$2,0)+1),"")</f>
        <v>303</v>
      </c>
      <c r="N269">
        <f>SUM(DB[[#This Row],[Ops-FC-Orders-Collect]:[Ops-FC-Orders-HD]])</f>
        <v>2900</v>
      </c>
      <c r="O269" s="44" cm="1">
        <f t="array" ref="O269">IFERROR(INDEX('ST Forecast'!$E$2:$RK$36,13,M269),"")</f>
        <v>1000</v>
      </c>
      <c r="P269" s="44">
        <f t="shared" ref="P269:P332" si="91">IFERROR(Q269+R269,"")</f>
        <v>1900</v>
      </c>
      <c r="Q269" s="44" cm="1">
        <f t="array" ref="Q269">IFERROR(INDEX('ST Forecast'!$E$2:$RK$36,14,M269),"")</f>
        <v>1050</v>
      </c>
      <c r="R269" s="44" cm="1">
        <f t="array" ref="R269">IFERROR(INDEX('ST Forecast'!$E$2:$RK$36,15,M269),"")</f>
        <v>850</v>
      </c>
      <c r="S269" s="312">
        <f>SUM(DB[[#This Row],[Ops-FC-Picks-Collect]:[Ops-FC-Picks-HD]])</f>
        <v>144724.8175500691</v>
      </c>
      <c r="T269" s="44">
        <f t="shared" ref="T269:T332" si="92">IFERROR(O269*H269*$B$1,"")</f>
        <v>50869.19435610986</v>
      </c>
      <c r="U269" s="44">
        <f t="shared" ref="U269:U332" si="93">IFERROR(V269+W269,"")</f>
        <v>93855.62319395924</v>
      </c>
      <c r="V269" s="44">
        <f t="shared" ref="V269:V332" si="94">IFERROR(Q269*I269*$B$1,"")</f>
        <v>51867.581238766943</v>
      </c>
      <c r="W269" s="404">
        <f t="shared" ref="W269:W332" si="95">IFERROR(R269*I269*$B$1,"")</f>
        <v>41988.04195519229</v>
      </c>
      <c r="X269" s="44">
        <f>SUM(DB[[#This Row],[Capped-Orders-Collect]:[Capped-Orders-HD]])</f>
        <v>90</v>
      </c>
      <c r="Y269">
        <f>INDEX('Operations Forecast'!$A$2:$BGY$47,3,MATCH(DB!D269,'Operations Forecast'!$A$2:$BGY$2))</f>
        <v>0</v>
      </c>
      <c r="Z269">
        <f t="shared" ref="Z269:Z332" si="96">SUM(AA269:AB269)</f>
        <v>90</v>
      </c>
      <c r="AA269">
        <f>INDEX('Operations Forecast'!$A$2:$BGY$47,10,MATCH(DB!D269,'Operations Forecast'!$A$2:$BGY$2))</f>
        <v>90</v>
      </c>
      <c r="AB269">
        <f>INDEX('Operations Forecast'!$A$2:$BGY$47,21,MATCH(DB!D269,'Operations Forecast'!$A$2:$BGY$2))</f>
        <v>0</v>
      </c>
      <c r="AC269" s="312">
        <f>SUM(DB[[#This Row],[Act-Orders-Collect]:[Act-Orders-HD]])</f>
        <v>2723</v>
      </c>
      <c r="AD269" s="858">
        <f>IFERROR(INDEX('Operations Forecast_new'!$7:$7,MATCH(DB[[#This Row],[Datum]],'Operations Forecast_new'!$2:$2,0)),0)</f>
        <v>919</v>
      </c>
      <c r="AE269" s="312">
        <f t="shared" ref="AE269:AE332" si="97">AF269+AG269</f>
        <v>1804</v>
      </c>
      <c r="AF269" s="858">
        <f>IFERROR(INDEX('Operations Forecast_new'!$13:$13,MATCH(DB[[#This Row],[Datum]],'Operations Forecast_new'!$2:$2,0)),0)</f>
        <v>1024</v>
      </c>
      <c r="AG269" s="858">
        <f>IFERROR(INDEX('Operations Forecast_new'!$19:$19,MATCH(DB[[#This Row],[Datum]],'Operations Forecast_new'!$2:$2,0)),0)</f>
        <v>780</v>
      </c>
      <c r="AH269" s="312">
        <f t="shared" si="87"/>
        <v>133224.99299999999</v>
      </c>
      <c r="AI269" s="858">
        <f>IFERROR(INDEX('Operations Forecast_new'!$9:$9,MATCH(DB[[#This Row],[Datum]],'Operations Forecast_new'!$2:$2,0)),0)</f>
        <v>43034.012999999999</v>
      </c>
      <c r="AJ269" s="312">
        <f t="shared" ref="AJ269:AJ332" si="98">AK269+AL269</f>
        <v>90190.98</v>
      </c>
      <c r="AK269" s="858">
        <f>IFERROR(INDEX('Operations Forecast_new'!$15:$15,MATCH(DB[[#This Row],[Datum]],'Operations Forecast_new'!$2:$2,0)),0)</f>
        <v>51194.879999999997</v>
      </c>
      <c r="AL269" s="858">
        <f>IFERROR(INDEX('Operations Forecast_new'!$21:$21,MATCH(DB[[#This Row],[Datum]],'Operations Forecast_new'!$2:$2,0)),0)</f>
        <v>38996.1</v>
      </c>
      <c r="AM269" s="178">
        <f>IFERROR(INDEX('Operations Forecast_new'!$8:$8,MATCH(DB[[#This Row],[Datum]],'Operations Forecast_new'!$2:$2,0)),0)</f>
        <v>47.3</v>
      </c>
      <c r="AN269" s="859">
        <f>IFERROR(INDEX('Operations Forecast_new'!$20:$20,MATCH(DB[[#This Row],[Datum]],'Operations Forecast_new'!$2:$2,0)),0)</f>
        <v>50.5</v>
      </c>
      <c r="AO269" s="44">
        <f t="shared" ref="AO269:AO332" si="99">IFERROR(AI269/AD269,"-")</f>
        <v>46.826999999999998</v>
      </c>
      <c r="AP269" s="404">
        <f t="shared" ref="AP269:AP332" si="100">IFERROR(AJ269/AE269,"-")</f>
        <v>49.994999999999997</v>
      </c>
      <c r="AQ269" s="44">
        <f t="shared" si="88"/>
        <v>121799</v>
      </c>
      <c r="AR269" s="44" cm="1">
        <f t="array" ref="AR269">IFERROR(INDEX('ST Forecast'!$E$2:$RK$36,25,M269)+(INDEX('ST Forecast'!$E$2:$RK$36,29,M269)),"")</f>
        <v>57324</v>
      </c>
      <c r="AS269" s="44" cm="1">
        <f t="array" ref="AS269">IFERROR(INDEX('ST Forecast'!$E$2:$RK$36,26,M269)+INDEX('ST Forecast'!$E$2:$RK$36,30,M269),"")</f>
        <v>53325</v>
      </c>
      <c r="AT269" s="44" cm="1">
        <f t="array" ref="AT269">IFERROR(INDEX('ST Forecast'!$E$2:$RK$36,27,M269)+INDEX('ST Forecast'!$E$2:$RK$36,31,M269),"")</f>
        <v>4712</v>
      </c>
      <c r="AU269" s="44" cm="1">
        <f t="array" ref="AU269">IFERROR(INDEX('ST Forecast'!$E$2:$RK$36,28,M269),"")</f>
        <v>6438</v>
      </c>
      <c r="AV269" s="44" cm="1">
        <f t="array" ref="AV269">IFERROR(INDEX('ST Forecast'!$E$2:$RK$36,29,M269),"")</f>
        <v>0</v>
      </c>
      <c r="AW269" s="44">
        <f>DB[[#This Row],[Inbound FC]]-DB[[#This Row],[Inbound Act - Ultrafresh2]]</f>
        <v>121799</v>
      </c>
      <c r="AX269" s="178" t="e">
        <f>#REF!</f>
        <v>#REF!</v>
      </c>
      <c r="AY269" s="178" t="e">
        <f>#REF!</f>
        <v>#REF!</v>
      </c>
      <c r="AZ269" s="178" t="e">
        <f>#REF!</f>
        <v>#REF!</v>
      </c>
      <c r="BA269" s="178">
        <f>MONTH(DB[[#This Row],[Datum]])</f>
        <v>9</v>
      </c>
    </row>
    <row r="270" spans="1:53" x14ac:dyDescent="0.3">
      <c r="A270" s="44">
        <f t="shared" si="89"/>
        <v>38</v>
      </c>
      <c r="B270" t="str">
        <f t="shared" si="90"/>
        <v>Wk 38</v>
      </c>
      <c r="C270" t="s">
        <v>119</v>
      </c>
      <c r="D270" s="313">
        <v>44829</v>
      </c>
      <c r="E270" s="44">
        <f>DB[[#This Row],[Sales-FC-Orders-Collect]]+DB[[#This Row],[Sales-FC-Orders-HD]]</f>
        <v>0</v>
      </c>
      <c r="F270" s="402" cm="1">
        <f t="array" ref="F270">INDEX('LT Collect Forecast'!$K$1:$Q$55,MATCH(B270,'LT Collect Forecast'!$A:$A,0)+1,MATCH(C270,'LT Collect Forecast'!$K$2:$Q$2,0))</f>
        <v>0</v>
      </c>
      <c r="G270" s="44" cm="1">
        <f t="array" ref="G270">INDEX('LT HD Forecast'!$K$1:$Q$55,MATCH(B270,'LT HD Forecast'!$A:$A,0)+1,MATCH(C270,'LT HD Forecast'!$K$2:$Q$2,0))</f>
        <v>0</v>
      </c>
      <c r="H270" s="44" cm="1">
        <f t="array" ref="H270">IFERROR(INDEX('ST Forecast'!$E$2:$RK$36,6,M270),"")</f>
        <v>0</v>
      </c>
      <c r="I270" s="44" cm="1">
        <f t="array" ref="I270">IFERROR(INDEX('ST Forecast'!$E$2:$RK$36,7,M270),"")</f>
        <v>0</v>
      </c>
      <c r="J270" s="44">
        <f>SUM(DB[[#This Row],[Sales-FC-Picks-Collect]:[Sales-FC-Picks-HD]])</f>
        <v>0</v>
      </c>
      <c r="K270" s="44">
        <f t="shared" si="85"/>
        <v>0</v>
      </c>
      <c r="L270" s="44">
        <f t="shared" si="86"/>
        <v>0</v>
      </c>
      <c r="M270" s="403">
        <f>IFERROR(IF(B270=B269,M269+1,MATCH(B270,'ST Forecast'!$E$2:$RK$2,0)+1),"")</f>
        <v>304</v>
      </c>
      <c r="N270">
        <f>SUM(DB[[#This Row],[Ops-FC-Orders-Collect]:[Ops-FC-Orders-HD]])</f>
        <v>0</v>
      </c>
      <c r="O270" s="44" cm="1">
        <f t="array" ref="O270">IFERROR(INDEX('ST Forecast'!$E$2:$RK$36,13,M270),"")</f>
        <v>0</v>
      </c>
      <c r="P270" s="44">
        <f t="shared" si="91"/>
        <v>0</v>
      </c>
      <c r="Q270" s="44" cm="1">
        <f t="array" ref="Q270">IFERROR(INDEX('ST Forecast'!$E$2:$RK$36,14,M270),"")</f>
        <v>0</v>
      </c>
      <c r="R270" s="44" cm="1">
        <f t="array" ref="R270">IFERROR(INDEX('ST Forecast'!$E$2:$RK$36,15,M270),"")</f>
        <v>0</v>
      </c>
      <c r="S270" s="312">
        <f>SUM(DB[[#This Row],[Ops-FC-Picks-Collect]:[Ops-FC-Picks-HD]])</f>
        <v>0</v>
      </c>
      <c r="T270" s="44">
        <f t="shared" si="92"/>
        <v>0</v>
      </c>
      <c r="U270" s="44">
        <f t="shared" si="93"/>
        <v>0</v>
      </c>
      <c r="V270" s="44">
        <f t="shared" si="94"/>
        <v>0</v>
      </c>
      <c r="W270" s="404">
        <f t="shared" si="95"/>
        <v>0</v>
      </c>
      <c r="X270" s="44">
        <f>SUM(DB[[#This Row],[Capped-Orders-Collect]:[Capped-Orders-HD]])</f>
        <v>90</v>
      </c>
      <c r="Y270">
        <f>INDEX('Operations Forecast'!$A$2:$BGY$47,3,MATCH(DB!D270,'Operations Forecast'!$A$2:$BGY$2))</f>
        <v>0</v>
      </c>
      <c r="Z270">
        <f t="shared" si="96"/>
        <v>90</v>
      </c>
      <c r="AA270">
        <f>INDEX('Operations Forecast'!$A$2:$BGY$47,10,MATCH(DB!D270,'Operations Forecast'!$A$2:$BGY$2))</f>
        <v>90</v>
      </c>
      <c r="AB270">
        <f>INDEX('Operations Forecast'!$A$2:$BGY$47,21,MATCH(DB!D270,'Operations Forecast'!$A$2:$BGY$2))</f>
        <v>0</v>
      </c>
      <c r="AC270" s="312">
        <f>SUM(DB[[#This Row],[Act-Orders-Collect]:[Act-Orders-HD]])</f>
        <v>0</v>
      </c>
      <c r="AD270" s="858">
        <f>IFERROR(INDEX('Operations Forecast_new'!$7:$7,MATCH(DB[[#This Row],[Datum]],'Operations Forecast_new'!$2:$2,0)),0)</f>
        <v>0</v>
      </c>
      <c r="AE270" s="312">
        <f t="shared" si="97"/>
        <v>0</v>
      </c>
      <c r="AF270" s="858">
        <f>IFERROR(INDEX('Operations Forecast_new'!$13:$13,MATCH(DB[[#This Row],[Datum]],'Operations Forecast_new'!$2:$2,0)),0)</f>
        <v>0</v>
      </c>
      <c r="AG270" s="858">
        <f>IFERROR(INDEX('Operations Forecast_new'!$19:$19,MATCH(DB[[#This Row],[Datum]],'Operations Forecast_new'!$2:$2,0)),0)</f>
        <v>0</v>
      </c>
      <c r="AH270" s="312">
        <f t="shared" si="87"/>
        <v>0</v>
      </c>
      <c r="AI270" s="858">
        <f>IFERROR(INDEX('Operations Forecast_new'!$9:$9,MATCH(DB[[#This Row],[Datum]],'Operations Forecast_new'!$2:$2,0)),0)</f>
        <v>0</v>
      </c>
      <c r="AJ270" s="312">
        <f t="shared" si="98"/>
        <v>0</v>
      </c>
      <c r="AK270" s="858">
        <f>IFERROR(INDEX('Operations Forecast_new'!$15:$15,MATCH(DB[[#This Row],[Datum]],'Operations Forecast_new'!$2:$2,0)),0)</f>
        <v>0</v>
      </c>
      <c r="AL270" s="858">
        <f>IFERROR(INDEX('Operations Forecast_new'!$21:$21,MATCH(DB[[#This Row],[Datum]],'Operations Forecast_new'!$2:$2,0)),0)</f>
        <v>0</v>
      </c>
      <c r="AM270" s="178">
        <f>IFERROR(INDEX('Operations Forecast_new'!$8:$8,MATCH(DB[[#This Row],[Datum]],'Operations Forecast_new'!$2:$2,0)),0)</f>
        <v>0</v>
      </c>
      <c r="AN270" s="859">
        <f>IFERROR(INDEX('Operations Forecast_new'!$20:$20,MATCH(DB[[#This Row],[Datum]],'Operations Forecast_new'!$2:$2,0)),0)</f>
        <v>0</v>
      </c>
      <c r="AO270" s="44" t="str">
        <f t="shared" si="99"/>
        <v>-</v>
      </c>
      <c r="AP270" s="404" t="str">
        <f t="shared" si="100"/>
        <v>-</v>
      </c>
      <c r="AQ270" s="44">
        <f t="shared" si="88"/>
        <v>0</v>
      </c>
      <c r="AR270" s="44" cm="1">
        <f t="array" ref="AR270">IFERROR(INDEX('ST Forecast'!$E$2:$RK$36,25,M270)+(INDEX('ST Forecast'!$E$2:$RK$36,29,M270)),"")</f>
        <v>0</v>
      </c>
      <c r="AS270" s="44" cm="1">
        <f t="array" ref="AS270">IFERROR(INDEX('ST Forecast'!$E$2:$RK$36,26,M270)+INDEX('ST Forecast'!$E$2:$RK$36,30,M270),"")</f>
        <v>0</v>
      </c>
      <c r="AT270" s="44" cm="1">
        <f t="array" ref="AT270">IFERROR(INDEX('ST Forecast'!$E$2:$RK$36,27,M270)+INDEX('ST Forecast'!$E$2:$RK$36,31,M270),"")</f>
        <v>0</v>
      </c>
      <c r="AU270" s="44" cm="1">
        <f t="array" ref="AU270">IFERROR(INDEX('ST Forecast'!$E$2:$RK$36,28,M270),"")</f>
        <v>0</v>
      </c>
      <c r="AV270" s="44" cm="1">
        <f t="array" ref="AV270">IFERROR(INDEX('ST Forecast'!$E$2:$RK$36,29,M270),"")</f>
        <v>0</v>
      </c>
      <c r="AW270" s="44">
        <f>DB[[#This Row],[Inbound FC]]-DB[[#This Row],[Inbound Act - Ultrafresh2]]</f>
        <v>0</v>
      </c>
      <c r="AX270" s="178" t="e">
        <f>#REF!</f>
        <v>#REF!</v>
      </c>
      <c r="AY270" s="178" t="e">
        <f>#REF!</f>
        <v>#REF!</v>
      </c>
      <c r="AZ270" s="178" t="e">
        <f>#REF!</f>
        <v>#REF!</v>
      </c>
      <c r="BA270" s="178">
        <f>MONTH(DB[[#This Row],[Datum]])</f>
        <v>9</v>
      </c>
    </row>
    <row r="271" spans="1:53" x14ac:dyDescent="0.3">
      <c r="A271" s="44">
        <f t="shared" si="89"/>
        <v>39</v>
      </c>
      <c r="B271" t="str">
        <f t="shared" si="90"/>
        <v>Wk 39</v>
      </c>
      <c r="C271" t="s">
        <v>113</v>
      </c>
      <c r="D271" s="313">
        <v>44830</v>
      </c>
      <c r="E271" s="44">
        <f>DB[[#This Row],[Sales-FC-Orders-Collect]]+DB[[#This Row],[Sales-FC-Orders-HD]]</f>
        <v>2450</v>
      </c>
      <c r="F271" s="402">
        <f>INDEX('LT Collect Forecast'!$K$1:$Q$55,MATCH(B271,'LT Collect Forecast'!$A:$A,0),MATCH(C271,'LT Collect Forecast'!$K$2:$Q$2,0))</f>
        <v>700</v>
      </c>
      <c r="G271" s="44">
        <f>INDEX('LT HD Forecast'!$K$1:$Q$55,MATCH(B271,'LT HD Forecast'!$A:$A,0),MATCH(C271,'LT HD Forecast'!$K$2:$Q$2,0))</f>
        <v>1750</v>
      </c>
      <c r="H271" s="44" cm="1">
        <f t="array" ref="H271">IFERROR(INDEX('ST Forecast'!$E$2:$RK$36,6,M271),"")</f>
        <v>48.906415180855291</v>
      </c>
      <c r="I271" s="44" cm="1">
        <f t="array" ref="I271">IFERROR(INDEX('ST Forecast'!$E$2:$RK$36,7,M271),"")</f>
        <v>45.377777066001549</v>
      </c>
      <c r="J271" s="44">
        <f>SUM(DB[[#This Row],[Sales-FC-Picks-Collect]:[Sales-FC-Picks-HD]])</f>
        <v>113645.60049210142</v>
      </c>
      <c r="K271" s="44">
        <f t="shared" si="85"/>
        <v>34234.490626598701</v>
      </c>
      <c r="L271" s="44">
        <f t="shared" si="86"/>
        <v>79411.109865502716</v>
      </c>
      <c r="M271" s="403">
        <f>IFERROR(IF(B271=B270,M270+1,MATCH(B271,'ST Forecast'!$E$2:$RK$2,0)+1),"")</f>
        <v>306</v>
      </c>
      <c r="N271">
        <f>SUM(DB[[#This Row],[Ops-FC-Orders-Collect]:[Ops-FC-Orders-HD]])</f>
        <v>2450</v>
      </c>
      <c r="O271" s="44" cm="1">
        <f t="array" ref="O271">IFERROR(INDEX('ST Forecast'!$E$2:$RK$36,13,M271),"")</f>
        <v>700</v>
      </c>
      <c r="P271" s="44">
        <f t="shared" si="91"/>
        <v>1750</v>
      </c>
      <c r="Q271" s="44" cm="1">
        <f t="array" ref="Q271">IFERROR(INDEX('ST Forecast'!$E$2:$RK$36,14,M271),"")</f>
        <v>800</v>
      </c>
      <c r="R271" s="44" cm="1">
        <f t="array" ref="R271">IFERROR(INDEX('ST Forecast'!$E$2:$RK$36,15,M271),"")</f>
        <v>950</v>
      </c>
      <c r="S271" s="312">
        <f>SUM(DB[[#This Row],[Ops-FC-Picks-Collect]:[Ops-FC-Picks-HD]])</f>
        <v>111372.68848225937</v>
      </c>
      <c r="T271" s="44">
        <f t="shared" si="92"/>
        <v>33549.80081406673</v>
      </c>
      <c r="U271" s="44">
        <f t="shared" si="93"/>
        <v>77822.887668192649</v>
      </c>
      <c r="V271" s="44">
        <f t="shared" si="94"/>
        <v>35576.177219745208</v>
      </c>
      <c r="W271" s="404">
        <f t="shared" si="95"/>
        <v>42246.71044844744</v>
      </c>
      <c r="X271" s="44">
        <f>SUM(DB[[#This Row],[Capped-Orders-Collect]:[Capped-Orders-HD]])</f>
        <v>90</v>
      </c>
      <c r="Y271">
        <f>INDEX('Operations Forecast'!$A$2:$BGY$47,3,MATCH(DB!D271,'Operations Forecast'!$A$2:$BGY$2))</f>
        <v>0</v>
      </c>
      <c r="Z271">
        <f t="shared" si="96"/>
        <v>90</v>
      </c>
      <c r="AA271">
        <f>INDEX('Operations Forecast'!$A$2:$BGY$47,10,MATCH(DB!D271,'Operations Forecast'!$A$2:$BGY$2))</f>
        <v>90</v>
      </c>
      <c r="AB271">
        <f>INDEX('Operations Forecast'!$A$2:$BGY$47,21,MATCH(DB!D271,'Operations Forecast'!$A$2:$BGY$2))</f>
        <v>0</v>
      </c>
      <c r="AC271" s="312">
        <f>SUM(DB[[#This Row],[Act-Orders-Collect]:[Act-Orders-HD]])</f>
        <v>2470</v>
      </c>
      <c r="AD271" s="858">
        <f>IFERROR(INDEX('Operations Forecast_new'!$7:$7,MATCH(DB[[#This Row],[Datum]],'Operations Forecast_new'!$2:$2,0)),0)</f>
        <v>728</v>
      </c>
      <c r="AE271" s="312">
        <f t="shared" si="97"/>
        <v>1742</v>
      </c>
      <c r="AF271" s="858">
        <f>IFERROR(INDEX('Operations Forecast_new'!$13:$13,MATCH(DB[[#This Row],[Datum]],'Operations Forecast_new'!$2:$2,0)),0)</f>
        <v>718</v>
      </c>
      <c r="AG271" s="858">
        <f>IFERROR(INDEX('Operations Forecast_new'!$19:$19,MATCH(DB[[#This Row],[Datum]],'Operations Forecast_new'!$2:$2,0)),0)</f>
        <v>1024</v>
      </c>
      <c r="AH271" s="312">
        <f t="shared" si="87"/>
        <v>116476.07399999999</v>
      </c>
      <c r="AI271" s="858">
        <f>IFERROR(INDEX('Operations Forecast_new'!$9:$9,MATCH(DB[[#This Row],[Datum]],'Operations Forecast_new'!$2:$2,0)),0)</f>
        <v>32144.111999999997</v>
      </c>
      <c r="AJ271" s="312">
        <f t="shared" si="98"/>
        <v>84331.962</v>
      </c>
      <c r="AK271" s="858">
        <f>IFERROR(INDEX('Operations Forecast_new'!$15:$15,MATCH(DB[[#This Row],[Datum]],'Operations Forecast_new'!$2:$2,0)),0)</f>
        <v>34759.097999999998</v>
      </c>
      <c r="AL271" s="858">
        <f>IFERROR(INDEX('Operations Forecast_new'!$21:$21,MATCH(DB[[#This Row],[Datum]],'Operations Forecast_new'!$2:$2,0)),0)</f>
        <v>49572.864000000001</v>
      </c>
      <c r="AM271" s="178">
        <f>IFERROR(INDEX('Operations Forecast_new'!$8:$8,MATCH(DB[[#This Row],[Datum]],'Operations Forecast_new'!$2:$2,0)),0)</f>
        <v>44.6</v>
      </c>
      <c r="AN271" s="859">
        <f>IFERROR(INDEX('Operations Forecast_new'!$20:$20,MATCH(DB[[#This Row],[Datum]],'Operations Forecast_new'!$2:$2,0)),0)</f>
        <v>48.9</v>
      </c>
      <c r="AO271" s="44">
        <f t="shared" si="99"/>
        <v>44.153999999999996</v>
      </c>
      <c r="AP271" s="404">
        <f t="shared" si="100"/>
        <v>48.411000000000001</v>
      </c>
      <c r="AQ271" s="44">
        <f t="shared" si="88"/>
        <v>214743</v>
      </c>
      <c r="AR271" s="44" cm="1">
        <f t="array" ref="AR271">IFERROR(INDEX('ST Forecast'!$E$2:$RK$36,25,M271)+(INDEX('ST Forecast'!$E$2:$RK$36,29,M271)),"")</f>
        <v>96356.700000000012</v>
      </c>
      <c r="AS271" s="44" cm="1">
        <f t="array" ref="AS271">IFERROR(INDEX('ST Forecast'!$E$2:$RK$36,26,M271)+INDEX('ST Forecast'!$E$2:$RK$36,30,M271),"")</f>
        <v>59557.442447877584</v>
      </c>
      <c r="AT271" s="44" cm="1">
        <f t="array" ref="AT271">IFERROR(INDEX('ST Forecast'!$E$2:$RK$36,27,M271)+INDEX('ST Forecast'!$E$2:$RK$36,31,M271),"")</f>
        <v>50060.639999999999</v>
      </c>
      <c r="AU271" s="44" cm="1">
        <f t="array" ref="AU271">IFERROR(INDEX('ST Forecast'!$E$2:$RK$36,28,M271),"")</f>
        <v>8768.2175521224217</v>
      </c>
      <c r="AV271" s="44" cm="1">
        <f t="array" ref="AV271">IFERROR(INDEX('ST Forecast'!$E$2:$RK$36,29,M271),"")</f>
        <v>0</v>
      </c>
      <c r="AW271" s="44">
        <f>DB[[#This Row],[Inbound FC]]-DB[[#This Row],[Inbound Act - Ultrafresh2]]</f>
        <v>214743</v>
      </c>
      <c r="AX271" s="178" t="e">
        <f>#REF!</f>
        <v>#REF!</v>
      </c>
      <c r="AY271" s="178" t="e">
        <f>#REF!</f>
        <v>#REF!</v>
      </c>
      <c r="AZ271" s="178" t="e">
        <f>#REF!</f>
        <v>#REF!</v>
      </c>
      <c r="BA271" s="178">
        <f>MONTH(DB[[#This Row],[Datum]])</f>
        <v>9</v>
      </c>
    </row>
    <row r="272" spans="1:53" x14ac:dyDescent="0.3">
      <c r="A272" s="44">
        <f t="shared" si="89"/>
        <v>39</v>
      </c>
      <c r="B272" t="str">
        <f t="shared" si="90"/>
        <v>Wk 39</v>
      </c>
      <c r="C272" t="s">
        <v>114</v>
      </c>
      <c r="D272" s="313">
        <v>44831</v>
      </c>
      <c r="E272" s="44">
        <f>DB[[#This Row],[Sales-FC-Orders-Collect]]+DB[[#This Row],[Sales-FC-Orders-HD]]</f>
        <v>2550</v>
      </c>
      <c r="F272" s="402">
        <f>INDEX('LT Collect Forecast'!$K$1:$Q$55,MATCH(B272,'LT Collect Forecast'!$A:$A,0),MATCH(C272,'LT Collect Forecast'!$K$2:$Q$2,0))</f>
        <v>550</v>
      </c>
      <c r="G272" s="44">
        <f>INDEX('LT HD Forecast'!$K$1:$Q$55,MATCH(B272,'LT HD Forecast'!$A:$A,0),MATCH(C272,'LT HD Forecast'!$K$2:$Q$2,0))</f>
        <v>2000</v>
      </c>
      <c r="H272" s="44" cm="1">
        <f t="array" ref="H272">IFERROR(INDEX('ST Forecast'!$E$2:$RK$36,6,M272),"")</f>
        <v>43.599032038943051</v>
      </c>
      <c r="I272" s="44" cm="1">
        <f t="array" ref="I272">IFERROR(INDEX('ST Forecast'!$E$2:$RK$36,7,M272),"")</f>
        <v>48.145570792635581</v>
      </c>
      <c r="J272" s="44">
        <f>SUM(DB[[#This Row],[Sales-FC-Picks-Collect]:[Sales-FC-Picks-HD]])</f>
        <v>120270.60920668984</v>
      </c>
      <c r="K272" s="44">
        <f t="shared" si="85"/>
        <v>23979.467621418677</v>
      </c>
      <c r="L272" s="44">
        <f t="shared" si="86"/>
        <v>96291.141585271165</v>
      </c>
      <c r="M272" s="403">
        <f>IFERROR(IF(B272=B271,M271+1,MATCH(B272,'ST Forecast'!$E$2:$RK$2,0)+1),"")</f>
        <v>307</v>
      </c>
      <c r="N272">
        <f>SUM(DB[[#This Row],[Ops-FC-Orders-Collect]:[Ops-FC-Orders-HD]])</f>
        <v>2550</v>
      </c>
      <c r="O272" s="44" cm="1">
        <f t="array" ref="O272">IFERROR(INDEX('ST Forecast'!$E$2:$RK$36,13,M272),"")</f>
        <v>550</v>
      </c>
      <c r="P272" s="44">
        <f t="shared" si="91"/>
        <v>2000</v>
      </c>
      <c r="Q272" s="44" cm="1">
        <f t="array" ref="Q272">IFERROR(INDEX('ST Forecast'!$E$2:$RK$36,14,M272),"")</f>
        <v>1050</v>
      </c>
      <c r="R272" s="44" cm="1">
        <f t="array" ref="R272">IFERROR(INDEX('ST Forecast'!$E$2:$RK$36,15,M272),"")</f>
        <v>950</v>
      </c>
      <c r="S272" s="312">
        <f>SUM(DB[[#This Row],[Ops-FC-Picks-Collect]:[Ops-FC-Picks-HD]])</f>
        <v>117865.19702255604</v>
      </c>
      <c r="T272" s="44">
        <f t="shared" si="92"/>
        <v>23499.878268990302</v>
      </c>
      <c r="U272" s="44">
        <f t="shared" si="93"/>
        <v>94365.318753565734</v>
      </c>
      <c r="V272" s="44">
        <f t="shared" si="94"/>
        <v>49541.792345622009</v>
      </c>
      <c r="W272" s="404">
        <f t="shared" si="95"/>
        <v>44823.526407943726</v>
      </c>
      <c r="X272" s="44">
        <f>SUM(DB[[#This Row],[Capped-Orders-Collect]:[Capped-Orders-HD]])</f>
        <v>90</v>
      </c>
      <c r="Y272">
        <f>INDEX('Operations Forecast'!$A$2:$BGY$47,3,MATCH(DB!D272,'Operations Forecast'!$A$2:$BGY$2))</f>
        <v>0</v>
      </c>
      <c r="Z272">
        <f t="shared" si="96"/>
        <v>90</v>
      </c>
      <c r="AA272">
        <f>INDEX('Operations Forecast'!$A$2:$BGY$47,10,MATCH(DB!D272,'Operations Forecast'!$A$2:$BGY$2))</f>
        <v>90</v>
      </c>
      <c r="AB272">
        <f>INDEX('Operations Forecast'!$A$2:$BGY$47,21,MATCH(DB!D272,'Operations Forecast'!$A$2:$BGY$2))</f>
        <v>0</v>
      </c>
      <c r="AC272" s="312">
        <f>SUM(DB[[#This Row],[Act-Orders-Collect]:[Act-Orders-HD]])</f>
        <v>2712</v>
      </c>
      <c r="AD272" s="858">
        <f>IFERROR(INDEX('Operations Forecast_new'!$7:$7,MATCH(DB[[#This Row],[Datum]],'Operations Forecast_new'!$2:$2,0)),0)</f>
        <v>619</v>
      </c>
      <c r="AE272" s="312">
        <f t="shared" si="97"/>
        <v>2093</v>
      </c>
      <c r="AF272" s="858">
        <f>IFERROR(INDEX('Operations Forecast_new'!$13:$13,MATCH(DB[[#This Row],[Datum]],'Operations Forecast_new'!$2:$2,0)),0)</f>
        <v>1120</v>
      </c>
      <c r="AG272" s="858">
        <f>IFERROR(INDEX('Operations Forecast_new'!$19:$19,MATCH(DB[[#This Row],[Datum]],'Operations Forecast_new'!$2:$2,0)),0)</f>
        <v>973</v>
      </c>
      <c r="AH272" s="312">
        <f t="shared" si="87"/>
        <v>118464.88500000001</v>
      </c>
      <c r="AI272" s="858">
        <f>IFERROR(INDEX('Operations Forecast_new'!$9:$9,MATCH(DB[[#This Row],[Datum]],'Operations Forecast_new'!$2:$2,0)),0)</f>
        <v>22735.251</v>
      </c>
      <c r="AJ272" s="312">
        <f t="shared" si="98"/>
        <v>95729.634000000005</v>
      </c>
      <c r="AK272" s="858">
        <f>IFERROR(INDEX('Operations Forecast_new'!$15:$15,MATCH(DB[[#This Row],[Datum]],'Operations Forecast_new'!$2:$2,0)),0)</f>
        <v>51226.559999999998</v>
      </c>
      <c r="AL272" s="858">
        <f>IFERROR(INDEX('Operations Forecast_new'!$21:$21,MATCH(DB[[#This Row],[Datum]],'Operations Forecast_new'!$2:$2,0)),0)</f>
        <v>44503.074000000008</v>
      </c>
      <c r="AM272" s="178">
        <f>IFERROR(INDEX('Operations Forecast_new'!$8:$8,MATCH(DB[[#This Row],[Datum]],'Operations Forecast_new'!$2:$2,0)),0)</f>
        <v>37.1</v>
      </c>
      <c r="AN272" s="859">
        <f>IFERROR(INDEX('Operations Forecast_new'!$20:$20,MATCH(DB[[#This Row],[Datum]],'Operations Forecast_new'!$2:$2,0)),0)</f>
        <v>46.2</v>
      </c>
      <c r="AO272" s="44">
        <f t="shared" si="99"/>
        <v>36.728999999999999</v>
      </c>
      <c r="AP272" s="404">
        <f t="shared" si="100"/>
        <v>45.738</v>
      </c>
      <c r="AQ272" s="44">
        <f t="shared" si="88"/>
        <v>142901.15428915853</v>
      </c>
      <c r="AR272" s="44" cm="1">
        <f t="array" ref="AR272">IFERROR(INDEX('ST Forecast'!$E$2:$RK$36,25,M272)+(INDEX('ST Forecast'!$E$2:$RK$36,29,M272)),"")</f>
        <v>68614.080000000002</v>
      </c>
      <c r="AS272" s="44" cm="1">
        <f t="array" ref="AS272">IFERROR(INDEX('ST Forecast'!$E$2:$RK$36,26,M272)+INDEX('ST Forecast'!$E$2:$RK$36,30,M272),"")</f>
        <v>59553.473369115265</v>
      </c>
      <c r="AT272" s="44" cm="1">
        <f t="array" ref="AT272">IFERROR(INDEX('ST Forecast'!$E$2:$RK$36,27,M272)+INDEX('ST Forecast'!$E$2:$RK$36,31,M272),"")</f>
        <v>6244.7782891585312</v>
      </c>
      <c r="AU272" s="44" cm="1">
        <f t="array" ref="AU272">IFERROR(INDEX('ST Forecast'!$E$2:$RK$36,28,M272),"")</f>
        <v>8488.822630884737</v>
      </c>
      <c r="AV272" s="44" cm="1">
        <f t="array" ref="AV272">IFERROR(INDEX('ST Forecast'!$E$2:$RK$36,29,M272),"")</f>
        <v>0</v>
      </c>
      <c r="AW272" s="44">
        <f>DB[[#This Row],[Inbound FC]]-DB[[#This Row],[Inbound Act - Ultrafresh2]]</f>
        <v>142901.15428915853</v>
      </c>
      <c r="AX272" s="178" t="e">
        <f>#REF!</f>
        <v>#REF!</v>
      </c>
      <c r="AY272" s="178" t="e">
        <f>#REF!</f>
        <v>#REF!</v>
      </c>
      <c r="AZ272" s="178" t="e">
        <f>#REF!</f>
        <v>#REF!</v>
      </c>
      <c r="BA272" s="178">
        <f>MONTH(DB[[#This Row],[Datum]])</f>
        <v>9</v>
      </c>
    </row>
    <row r="273" spans="1:53" x14ac:dyDescent="0.3">
      <c r="A273" s="44">
        <f t="shared" si="89"/>
        <v>39</v>
      </c>
      <c r="B273" t="str">
        <f t="shared" si="90"/>
        <v>Wk 39</v>
      </c>
      <c r="C273" t="s">
        <v>115</v>
      </c>
      <c r="D273" s="313">
        <v>44832</v>
      </c>
      <c r="E273" s="44">
        <f>DB[[#This Row],[Sales-FC-Orders-Collect]]+DB[[#This Row],[Sales-FC-Orders-HD]]</f>
        <v>2600</v>
      </c>
      <c r="F273" s="402">
        <f>INDEX('LT Collect Forecast'!$K$1:$Q$55,MATCH(B273,'LT Collect Forecast'!$A:$A,0),MATCH(C273,'LT Collect Forecast'!$K$2:$Q$2,0))</f>
        <v>600</v>
      </c>
      <c r="G273" s="44">
        <f>INDEX('LT HD Forecast'!$K$1:$Q$55,MATCH(B273,'LT HD Forecast'!$A:$A,0),MATCH(C273,'LT HD Forecast'!$K$2:$Q$2,0))</f>
        <v>2000</v>
      </c>
      <c r="H273" s="44" cm="1">
        <f t="array" ref="H273">IFERROR(INDEX('ST Forecast'!$E$2:$RK$36,6,M273),"")</f>
        <v>41.522412441421395</v>
      </c>
      <c r="I273" s="44" cm="1">
        <f t="array" ref="I273">IFERROR(INDEX('ST Forecast'!$E$2:$RK$36,7,M273),"")</f>
        <v>48.883093678339996</v>
      </c>
      <c r="J273" s="44">
        <f>SUM(DB[[#This Row],[Sales-FC-Picks-Collect]:[Sales-FC-Picks-HD]])</f>
        <v>122679.63482153283</v>
      </c>
      <c r="K273" s="44">
        <f t="shared" si="85"/>
        <v>24913.447464852838</v>
      </c>
      <c r="L273" s="44">
        <f t="shared" si="86"/>
        <v>97766.187356679991</v>
      </c>
      <c r="M273" s="403">
        <f>IFERROR(IF(B273=B272,M272+1,MATCH(B273,'ST Forecast'!$E$2:$RK$2,0)+1),"")</f>
        <v>308</v>
      </c>
      <c r="N273">
        <f>SUM(DB[[#This Row],[Ops-FC-Orders-Collect]:[Ops-FC-Orders-HD]])</f>
        <v>2600</v>
      </c>
      <c r="O273" s="44" cm="1">
        <f t="array" ref="O273">IFERROR(INDEX('ST Forecast'!$E$2:$RK$36,13,M273),"")</f>
        <v>600</v>
      </c>
      <c r="P273" s="44">
        <f t="shared" si="91"/>
        <v>2000</v>
      </c>
      <c r="Q273" s="44" cm="1">
        <f t="array" ref="Q273">IFERROR(INDEX('ST Forecast'!$E$2:$RK$36,14,M273),"")</f>
        <v>1050</v>
      </c>
      <c r="R273" s="44" cm="1">
        <f t="array" ref="R273">IFERROR(INDEX('ST Forecast'!$E$2:$RK$36,15,M273),"")</f>
        <v>950</v>
      </c>
      <c r="S273" s="312">
        <f>SUM(DB[[#This Row],[Ops-FC-Picks-Collect]:[Ops-FC-Picks-HD]])</f>
        <v>120226.04212510216</v>
      </c>
      <c r="T273" s="44">
        <f t="shared" si="92"/>
        <v>24415.178515555781</v>
      </c>
      <c r="U273" s="44">
        <f t="shared" si="93"/>
        <v>95810.863609546388</v>
      </c>
      <c r="V273" s="44">
        <f t="shared" si="94"/>
        <v>50300.703395011849</v>
      </c>
      <c r="W273" s="404">
        <f t="shared" si="95"/>
        <v>45510.160214534539</v>
      </c>
      <c r="X273" s="44">
        <f>SUM(DB[[#This Row],[Capped-Orders-Collect]:[Capped-Orders-HD]])</f>
        <v>90</v>
      </c>
      <c r="Y273">
        <f>INDEX('Operations Forecast'!$A$2:$BGY$47,3,MATCH(DB!D273,'Operations Forecast'!$A$2:$BGY$2))</f>
        <v>0</v>
      </c>
      <c r="Z273">
        <f t="shared" si="96"/>
        <v>90</v>
      </c>
      <c r="AA273">
        <f>INDEX('Operations Forecast'!$A$2:$BGY$47,10,MATCH(DB!D273,'Operations Forecast'!$A$2:$BGY$2))</f>
        <v>90</v>
      </c>
      <c r="AB273">
        <f>INDEX('Operations Forecast'!$A$2:$BGY$47,21,MATCH(DB!D273,'Operations Forecast'!$A$2:$BGY$2))</f>
        <v>0</v>
      </c>
      <c r="AC273" s="312">
        <f>SUM(DB[[#This Row],[Act-Orders-Collect]:[Act-Orders-HD]])</f>
        <v>2725</v>
      </c>
      <c r="AD273" s="858">
        <f>IFERROR(INDEX('Operations Forecast_new'!$7:$7,MATCH(DB[[#This Row],[Datum]],'Operations Forecast_new'!$2:$2,0)),0)</f>
        <v>704</v>
      </c>
      <c r="AE273" s="312">
        <f t="shared" si="97"/>
        <v>2021</v>
      </c>
      <c r="AF273" s="858">
        <f>IFERROR(INDEX('Operations Forecast_new'!$13:$13,MATCH(DB[[#This Row],[Datum]],'Operations Forecast_new'!$2:$2,0)),0)</f>
        <v>1059</v>
      </c>
      <c r="AG273" s="858">
        <f>IFERROR(INDEX('Operations Forecast_new'!$19:$19,MATCH(DB[[#This Row],[Datum]],'Operations Forecast_new'!$2:$2,0)),0)</f>
        <v>962</v>
      </c>
      <c r="AH273" s="312">
        <f t="shared" si="87"/>
        <v>120251.83499999999</v>
      </c>
      <c r="AI273" s="858">
        <f>IFERROR(INDEX('Operations Forecast_new'!$9:$9,MATCH(DB[[#This Row],[Datum]],'Operations Forecast_new'!$2:$2,0)),0)</f>
        <v>26414.784</v>
      </c>
      <c r="AJ273" s="312">
        <f t="shared" si="98"/>
        <v>93837.050999999992</v>
      </c>
      <c r="AK273" s="858">
        <f>IFERROR(INDEX('Operations Forecast_new'!$15:$15,MATCH(DB[[#This Row],[Datum]],'Operations Forecast_new'!$2:$2,0)),0)</f>
        <v>49170.428999999996</v>
      </c>
      <c r="AL273" s="858">
        <f>IFERROR(INDEX('Operations Forecast_new'!$21:$21,MATCH(DB[[#This Row],[Datum]],'Operations Forecast_new'!$2:$2,0)),0)</f>
        <v>44666.621999999996</v>
      </c>
      <c r="AM273" s="178">
        <f>IFERROR(INDEX('Operations Forecast_new'!$8:$8,MATCH(DB[[#This Row],[Datum]],'Operations Forecast_new'!$2:$2,0)),0)</f>
        <v>37.9</v>
      </c>
      <c r="AN273" s="859">
        <f>IFERROR(INDEX('Operations Forecast_new'!$20:$20,MATCH(DB[[#This Row],[Datum]],'Operations Forecast_new'!$2:$2,0)),0)</f>
        <v>46.9</v>
      </c>
      <c r="AO273" s="44">
        <f t="shared" si="99"/>
        <v>37.521000000000001</v>
      </c>
      <c r="AP273" s="404">
        <f t="shared" si="100"/>
        <v>46.430999999999997</v>
      </c>
      <c r="AQ273" s="44">
        <f t="shared" si="88"/>
        <v>140284.63593095864</v>
      </c>
      <c r="AR273" s="44" cm="1">
        <f t="array" ref="AR273">IFERROR(INDEX('ST Forecast'!$E$2:$RK$36,25,M273)+(INDEX('ST Forecast'!$E$2:$RK$36,29,M273)),"")</f>
        <v>67435</v>
      </c>
      <c r="AS273" s="44" cm="1">
        <f t="array" ref="AS273">IFERROR(INDEX('ST Forecast'!$E$2:$RK$36,26,M273)+INDEX('ST Forecast'!$E$2:$RK$36,30,M273),"")</f>
        <v>53301.510776417796</v>
      </c>
      <c r="AT273" s="44" cm="1">
        <f t="array" ref="AT273">IFERROR(INDEX('ST Forecast'!$E$2:$RK$36,27,M273)+INDEX('ST Forecast'!$E$2:$RK$36,31,M273),"")</f>
        <v>10809.435930958622</v>
      </c>
      <c r="AU273" s="44" cm="1">
        <f t="array" ref="AU273">IFERROR(INDEX('ST Forecast'!$E$2:$RK$36,28,M273),"")</f>
        <v>8738.6892235822052</v>
      </c>
      <c r="AV273" s="44" cm="1">
        <f t="array" ref="AV273">IFERROR(INDEX('ST Forecast'!$E$2:$RK$36,29,M273),"")</f>
        <v>0</v>
      </c>
      <c r="AW273" s="44">
        <f>DB[[#This Row],[Inbound FC]]-DB[[#This Row],[Inbound Act - Ultrafresh2]]</f>
        <v>140284.63593095864</v>
      </c>
      <c r="AX273" s="178" t="e">
        <f>#REF!</f>
        <v>#REF!</v>
      </c>
      <c r="AY273" s="178" t="e">
        <f>#REF!</f>
        <v>#REF!</v>
      </c>
      <c r="AZ273" s="178" t="e">
        <f>#REF!</f>
        <v>#REF!</v>
      </c>
      <c r="BA273" s="178">
        <f>MONTH(DB[[#This Row],[Datum]])</f>
        <v>9</v>
      </c>
    </row>
    <row r="274" spans="1:53" x14ac:dyDescent="0.3">
      <c r="A274" s="44">
        <f t="shared" si="89"/>
        <v>39</v>
      </c>
      <c r="B274" t="str">
        <f t="shared" si="90"/>
        <v>Wk 39</v>
      </c>
      <c r="C274" t="s">
        <v>116</v>
      </c>
      <c r="D274" s="313">
        <v>44833</v>
      </c>
      <c r="E274" s="44">
        <f>DB[[#This Row],[Sales-FC-Orders-Collect]]+DB[[#This Row],[Sales-FC-Orders-HD]]</f>
        <v>2550</v>
      </c>
      <c r="F274" s="402" cm="1">
        <f t="array" ref="F274">INDEX('LT Collect Forecast'!$K$1:$Q$55,MATCH(B274,'LT Collect Forecast'!$A:$A,0)+1,MATCH(C274,'LT Collect Forecast'!$K$2:$Q$2,0))</f>
        <v>650</v>
      </c>
      <c r="G274" s="44" cm="1">
        <f t="array" ref="G274">INDEX('LT HD Forecast'!$K$1:$Q$55,MATCH(B274,'LT HD Forecast'!$A:$A,0)+1,MATCH(C274,'LT HD Forecast'!$K$2:$Q$2,0))</f>
        <v>1900</v>
      </c>
      <c r="H274" s="44" cm="1">
        <f t="array" ref="H274">IFERROR(INDEX('ST Forecast'!$E$2:$RK$36,6,M274),"")</f>
        <v>43.928866968859573</v>
      </c>
      <c r="I274" s="44" cm="1">
        <f t="array" ref="I274">IFERROR(INDEX('ST Forecast'!$E$2:$RK$36,7,M274),"")</f>
        <v>49.436800179699858</v>
      </c>
      <c r="J274" s="44">
        <f>SUM(DB[[#This Row],[Sales-FC-Picks-Collect]:[Sales-FC-Picks-HD]])</f>
        <v>122483.68387118846</v>
      </c>
      <c r="K274" s="44">
        <f t="shared" si="85"/>
        <v>28553.763529758722</v>
      </c>
      <c r="L274" s="44">
        <f t="shared" si="86"/>
        <v>93929.920341429737</v>
      </c>
      <c r="M274" s="403">
        <f>IFERROR(IF(B274=B273,M273+1,MATCH(B274,'ST Forecast'!$E$2:$RK$2,0)+1),"")</f>
        <v>309</v>
      </c>
      <c r="N274">
        <f>SUM(DB[[#This Row],[Ops-FC-Orders-Collect]:[Ops-FC-Orders-HD]])</f>
        <v>2550</v>
      </c>
      <c r="O274" s="44" cm="1">
        <f t="array" ref="O274">IFERROR(INDEX('ST Forecast'!$E$2:$RK$36,13,M274),"")</f>
        <v>650</v>
      </c>
      <c r="P274" s="44">
        <f t="shared" si="91"/>
        <v>1900</v>
      </c>
      <c r="Q274" s="44" cm="1">
        <f t="array" ref="Q274">IFERROR(INDEX('ST Forecast'!$E$2:$RK$36,14,M274),"")</f>
        <v>1000</v>
      </c>
      <c r="R274" s="44" cm="1">
        <f t="array" ref="R274">IFERROR(INDEX('ST Forecast'!$E$2:$RK$36,15,M274),"")</f>
        <v>900</v>
      </c>
      <c r="S274" s="312">
        <f>SUM(DB[[#This Row],[Ops-FC-Picks-Collect]:[Ops-FC-Picks-HD]])</f>
        <v>120034.01019376468</v>
      </c>
      <c r="T274" s="44">
        <f t="shared" si="92"/>
        <v>27982.688259163548</v>
      </c>
      <c r="U274" s="44">
        <f t="shared" si="93"/>
        <v>92051.321934601132</v>
      </c>
      <c r="V274" s="44">
        <f t="shared" si="94"/>
        <v>48448.064176105858</v>
      </c>
      <c r="W274" s="404">
        <f t="shared" si="95"/>
        <v>43603.257758495274</v>
      </c>
      <c r="X274" s="44">
        <f>SUM(DB[[#This Row],[Capped-Orders-Collect]:[Capped-Orders-HD]])</f>
        <v>90</v>
      </c>
      <c r="Y274">
        <f>INDEX('Operations Forecast'!$A$2:$BGY$47,3,MATCH(DB!D274,'Operations Forecast'!$A$2:$BGY$2))</f>
        <v>0</v>
      </c>
      <c r="Z274">
        <f t="shared" si="96"/>
        <v>90</v>
      </c>
      <c r="AA274">
        <f>INDEX('Operations Forecast'!$A$2:$BGY$47,10,MATCH(DB!D274,'Operations Forecast'!$A$2:$BGY$2))</f>
        <v>90</v>
      </c>
      <c r="AB274">
        <f>INDEX('Operations Forecast'!$A$2:$BGY$47,21,MATCH(DB!D274,'Operations Forecast'!$A$2:$BGY$2))</f>
        <v>0</v>
      </c>
      <c r="AC274" s="312">
        <f>SUM(DB[[#This Row],[Act-Orders-Collect]:[Act-Orders-HD]])</f>
        <v>2482</v>
      </c>
      <c r="AD274" s="858">
        <f>IFERROR(INDEX('Operations Forecast_new'!$7:$7,MATCH(DB[[#This Row],[Datum]],'Operations Forecast_new'!$2:$2,0)),0)</f>
        <v>585</v>
      </c>
      <c r="AE274" s="312">
        <f t="shared" si="97"/>
        <v>1897</v>
      </c>
      <c r="AF274" s="858">
        <f>IFERROR(INDEX('Operations Forecast_new'!$13:$13,MATCH(DB[[#This Row],[Datum]],'Operations Forecast_new'!$2:$2,0)),0)</f>
        <v>850</v>
      </c>
      <c r="AG274" s="858">
        <f>IFERROR(INDEX('Operations Forecast_new'!$19:$19,MATCH(DB[[#This Row],[Datum]],'Operations Forecast_new'!$2:$2,0)),0)</f>
        <v>1047</v>
      </c>
      <c r="AH274" s="312">
        <f t="shared" si="87"/>
        <v>116303.91300000002</v>
      </c>
      <c r="AI274" s="858">
        <f>IFERROR(INDEX('Operations Forecast_new'!$9:$9,MATCH(DB[[#This Row],[Datum]],'Operations Forecast_new'!$2:$2,0)),0)</f>
        <v>24092.639999999999</v>
      </c>
      <c r="AJ274" s="312">
        <f t="shared" si="98"/>
        <v>92211.273000000016</v>
      </c>
      <c r="AK274" s="858">
        <f>IFERROR(INDEX('Operations Forecast_new'!$15:$15,MATCH(DB[[#This Row],[Datum]],'Operations Forecast_new'!$2:$2,0)),0)</f>
        <v>41317.65</v>
      </c>
      <c r="AL274" s="858">
        <f>IFERROR(INDEX('Operations Forecast_new'!$21:$21,MATCH(DB[[#This Row],[Datum]],'Operations Forecast_new'!$2:$2,0)),0)</f>
        <v>50893.623000000007</v>
      </c>
      <c r="AM274" s="178">
        <f>IFERROR(INDEX('Operations Forecast_new'!$8:$8,MATCH(DB[[#This Row],[Datum]],'Operations Forecast_new'!$2:$2,0)),0)</f>
        <v>41.6</v>
      </c>
      <c r="AN274" s="859">
        <f>IFERROR(INDEX('Operations Forecast_new'!$20:$20,MATCH(DB[[#This Row],[Datum]],'Operations Forecast_new'!$2:$2,0)),0)</f>
        <v>49.1</v>
      </c>
      <c r="AO274" s="44">
        <f t="shared" si="99"/>
        <v>41.183999999999997</v>
      </c>
      <c r="AP274" s="404">
        <f t="shared" si="100"/>
        <v>48.609000000000009</v>
      </c>
      <c r="AQ274" s="44">
        <f t="shared" si="88"/>
        <v>130519.40823903793</v>
      </c>
      <c r="AR274" s="44" cm="1">
        <f t="array" ref="AR274">IFERROR(INDEX('ST Forecast'!$E$2:$RK$36,25,M274)+(INDEX('ST Forecast'!$E$2:$RK$36,29,M274)),"")</f>
        <v>57168.147000000004</v>
      </c>
      <c r="AS274" s="44" cm="1">
        <f t="array" ref="AS274">IFERROR(INDEX('ST Forecast'!$E$2:$RK$36,26,M274)+INDEX('ST Forecast'!$E$2:$RK$36,30,M274),"")</f>
        <v>54460.070674371993</v>
      </c>
      <c r="AT274" s="44" cm="1">
        <f t="array" ref="AT274">IFERROR(INDEX('ST Forecast'!$E$2:$RK$36,27,M274)+INDEX('ST Forecast'!$E$2:$RK$36,31,M274),"")</f>
        <v>9873.164239037942</v>
      </c>
      <c r="AU274" s="44" cm="1">
        <f t="array" ref="AU274">IFERROR(INDEX('ST Forecast'!$E$2:$RK$36,28,M274),"")</f>
        <v>9018.0263256280068</v>
      </c>
      <c r="AV274" s="44" cm="1">
        <f t="array" ref="AV274">IFERROR(INDEX('ST Forecast'!$E$2:$RK$36,29,M274),"")</f>
        <v>0</v>
      </c>
      <c r="AW274" s="44">
        <f>DB[[#This Row],[Inbound FC]]-DB[[#This Row],[Inbound Act - Ultrafresh2]]</f>
        <v>130519.40823903793</v>
      </c>
      <c r="AX274" s="178" t="e">
        <f>#REF!</f>
        <v>#REF!</v>
      </c>
      <c r="AY274" s="178" t="e">
        <f>#REF!</f>
        <v>#REF!</v>
      </c>
      <c r="AZ274" s="178" t="e">
        <f>#REF!</f>
        <v>#REF!</v>
      </c>
      <c r="BA274" s="178">
        <f>MONTH(DB[[#This Row],[Datum]])</f>
        <v>9</v>
      </c>
    </row>
    <row r="275" spans="1:53" x14ac:dyDescent="0.3">
      <c r="A275" s="44">
        <f t="shared" si="89"/>
        <v>39</v>
      </c>
      <c r="B275" t="str">
        <f t="shared" si="90"/>
        <v>Wk 39</v>
      </c>
      <c r="C275" t="s">
        <v>117</v>
      </c>
      <c r="D275" s="313">
        <v>44834</v>
      </c>
      <c r="E275" s="44">
        <f>DB[[#This Row],[Sales-FC-Orders-Collect]]+DB[[#This Row],[Sales-FC-Orders-HD]]</f>
        <v>3000</v>
      </c>
      <c r="F275" s="402" cm="1">
        <f t="array" ref="F275">INDEX('LT Collect Forecast'!$K$1:$Q$55,MATCH(B275,'LT Collect Forecast'!$A:$A,0)+1,MATCH(C275,'LT Collect Forecast'!$K$2:$Q$2,0))</f>
        <v>975</v>
      </c>
      <c r="G275" s="44" cm="1">
        <f t="array" ref="G275">INDEX('LT HD Forecast'!$K$1:$Q$55,MATCH(B275,'LT HD Forecast'!$A:$A,0)+1,MATCH(C275,'LT HD Forecast'!$K$2:$Q$2,0))</f>
        <v>2025</v>
      </c>
      <c r="H275" s="44" cm="1">
        <f t="array" ref="H275">IFERROR(INDEX('ST Forecast'!$E$2:$RK$36,6,M275),"")</f>
        <v>48.735159116864565</v>
      </c>
      <c r="I275" s="44" cm="1">
        <f t="array" ref="I275">IFERROR(INDEX('ST Forecast'!$E$2:$RK$36,7,M275),"")</f>
        <v>50.691192061806063</v>
      </c>
      <c r="J275" s="44">
        <f>SUM(DB[[#This Row],[Sales-FC-Picks-Collect]:[Sales-FC-Picks-HD]])</f>
        <v>150166.44406410021</v>
      </c>
      <c r="K275" s="44">
        <f t="shared" si="85"/>
        <v>47516.780138942951</v>
      </c>
      <c r="L275" s="44">
        <f t="shared" si="86"/>
        <v>102649.66392515728</v>
      </c>
      <c r="M275" s="403">
        <f>IFERROR(IF(B275=B274,M274+1,MATCH(B275,'ST Forecast'!$E$2:$RK$2,0)+1),"")</f>
        <v>310</v>
      </c>
      <c r="N275">
        <f>SUM(DB[[#This Row],[Ops-FC-Orders-Collect]:[Ops-FC-Orders-HD]])</f>
        <v>2975</v>
      </c>
      <c r="O275" s="44" cm="1">
        <f t="array" ref="O275">IFERROR(INDEX('ST Forecast'!$E$2:$RK$36,13,M275),"")</f>
        <v>975</v>
      </c>
      <c r="P275" s="44">
        <f t="shared" si="91"/>
        <v>2000</v>
      </c>
      <c r="Q275" s="44" cm="1">
        <f t="array" ref="Q275">IFERROR(INDEX('ST Forecast'!$E$2:$RK$36,14,M275),"")</f>
        <v>1000</v>
      </c>
      <c r="R275" s="44" cm="1">
        <f t="array" ref="R275">IFERROR(INDEX('ST Forecast'!$E$2:$RK$36,15,M275),"")</f>
        <v>1000</v>
      </c>
      <c r="S275" s="312">
        <f>SUM(DB[[#This Row],[Ops-FC-Picks-Collect]:[Ops-FC-Picks-HD]])</f>
        <v>145921.18097730397</v>
      </c>
      <c r="T275" s="44">
        <f t="shared" si="92"/>
        <v>46566.44453616409</v>
      </c>
      <c r="U275" s="44">
        <f t="shared" si="93"/>
        <v>99354.736441139874</v>
      </c>
      <c r="V275" s="44">
        <f t="shared" si="94"/>
        <v>49677.368220569937</v>
      </c>
      <c r="W275" s="404">
        <f t="shared" si="95"/>
        <v>49677.368220569937</v>
      </c>
      <c r="X275" s="44">
        <f>SUM(DB[[#This Row],[Capped-Orders-Collect]:[Capped-Orders-HD]])</f>
        <v>90</v>
      </c>
      <c r="Y275">
        <f>INDEX('Operations Forecast'!$A$2:$BGY$47,3,MATCH(DB!D275,'Operations Forecast'!$A$2:$BGY$2))</f>
        <v>0</v>
      </c>
      <c r="Z275">
        <f t="shared" si="96"/>
        <v>90</v>
      </c>
      <c r="AA275">
        <f>INDEX('Operations Forecast'!$A$2:$BGY$47,10,MATCH(DB!D275,'Operations Forecast'!$A$2:$BGY$2))</f>
        <v>90</v>
      </c>
      <c r="AB275">
        <f>INDEX('Operations Forecast'!$A$2:$BGY$47,21,MATCH(DB!D275,'Operations Forecast'!$A$2:$BGY$2))</f>
        <v>0</v>
      </c>
      <c r="AC275" s="312">
        <f>SUM(DB[[#This Row],[Act-Orders-Collect]:[Act-Orders-HD]])</f>
        <v>2913</v>
      </c>
      <c r="AD275" s="858">
        <f>IFERROR(INDEX('Operations Forecast_new'!$7:$7,MATCH(DB[[#This Row],[Datum]],'Operations Forecast_new'!$2:$2,0)),0)</f>
        <v>890</v>
      </c>
      <c r="AE275" s="312">
        <f t="shared" si="97"/>
        <v>2023</v>
      </c>
      <c r="AF275" s="858">
        <f>IFERROR(INDEX('Operations Forecast_new'!$13:$13,MATCH(DB[[#This Row],[Datum]],'Operations Forecast_new'!$2:$2,0)),0)</f>
        <v>1109</v>
      </c>
      <c r="AG275" s="858">
        <f>IFERROR(INDEX('Operations Forecast_new'!$19:$19,MATCH(DB[[#This Row],[Datum]],'Operations Forecast_new'!$2:$2,0)),0)</f>
        <v>914</v>
      </c>
      <c r="AH275" s="312">
        <f t="shared" si="87"/>
        <v>150338.03399999999</v>
      </c>
      <c r="AI275" s="858">
        <f>IFERROR(INDEX('Operations Forecast_new'!$9:$9,MATCH(DB[[#This Row],[Datum]],'Operations Forecast_new'!$2:$2,0)),0)</f>
        <v>43790.67</v>
      </c>
      <c r="AJ275" s="312">
        <f t="shared" si="98"/>
        <v>106547.364</v>
      </c>
      <c r="AK275" s="858">
        <f>IFERROR(INDEX('Operations Forecast_new'!$15:$15,MATCH(DB[[#This Row],[Datum]],'Operations Forecast_new'!$2:$2,0)),0)</f>
        <v>58408.812000000005</v>
      </c>
      <c r="AL275" s="858">
        <f>IFERROR(INDEX('Operations Forecast_new'!$21:$21,MATCH(DB[[#This Row],[Datum]],'Operations Forecast_new'!$2:$2,0)),0)</f>
        <v>48138.552000000003</v>
      </c>
      <c r="AM275" s="178">
        <f>IFERROR(INDEX('Operations Forecast_new'!$8:$8,MATCH(DB[[#This Row],[Datum]],'Operations Forecast_new'!$2:$2,0)),0)</f>
        <v>49.7</v>
      </c>
      <c r="AN275" s="859">
        <f>IFERROR(INDEX('Operations Forecast_new'!$20:$20,MATCH(DB[[#This Row],[Datum]],'Operations Forecast_new'!$2:$2,0)),0)</f>
        <v>53.2</v>
      </c>
      <c r="AO275" s="44">
        <f t="shared" si="99"/>
        <v>49.202999999999996</v>
      </c>
      <c r="AP275" s="404">
        <f t="shared" si="100"/>
        <v>52.667999999999999</v>
      </c>
      <c r="AQ275" s="44">
        <f t="shared" si="88"/>
        <v>123076.37576644155</v>
      </c>
      <c r="AR275" s="44" cm="1">
        <f t="array" ref="AR275">IFERROR(INDEX('ST Forecast'!$E$2:$RK$36,25,M275)+(INDEX('ST Forecast'!$E$2:$RK$36,29,M275)),"")</f>
        <v>49984.69</v>
      </c>
      <c r="AS275" s="44" cm="1">
        <f t="array" ref="AS275">IFERROR(INDEX('ST Forecast'!$E$2:$RK$36,26,M275)+INDEX('ST Forecast'!$E$2:$RK$36,30,M275),"")</f>
        <v>59033.907659987293</v>
      </c>
      <c r="AT275" s="44" cm="1">
        <f t="array" ref="AT275">IFERROR(INDEX('ST Forecast'!$E$2:$RK$36,27,M275)+INDEX('ST Forecast'!$E$2:$RK$36,31,M275),"")</f>
        <v>5378.435766441542</v>
      </c>
      <c r="AU275" s="44" cm="1">
        <f t="array" ref="AU275">IFERROR(INDEX('ST Forecast'!$E$2:$RK$36,28,M275),"")</f>
        <v>8679.3423400127031</v>
      </c>
      <c r="AV275" s="44" cm="1">
        <f t="array" ref="AV275">IFERROR(INDEX('ST Forecast'!$E$2:$RK$36,29,M275),"")</f>
        <v>0</v>
      </c>
      <c r="AW275" s="44">
        <f>DB[[#This Row],[Inbound FC]]-DB[[#This Row],[Inbound Act - Ultrafresh2]]</f>
        <v>123076.37576644155</v>
      </c>
      <c r="AX275" s="178" t="e">
        <f>#REF!</f>
        <v>#REF!</v>
      </c>
      <c r="AY275" s="178" t="e">
        <f>#REF!</f>
        <v>#REF!</v>
      </c>
      <c r="AZ275" s="178" t="e">
        <f>#REF!</f>
        <v>#REF!</v>
      </c>
      <c r="BA275" s="178">
        <f>MONTH(DB[[#This Row],[Datum]])</f>
        <v>9</v>
      </c>
    </row>
    <row r="276" spans="1:53" x14ac:dyDescent="0.3">
      <c r="A276" s="44">
        <f t="shared" si="89"/>
        <v>39</v>
      </c>
      <c r="B276" t="str">
        <f t="shared" si="90"/>
        <v>Wk 39</v>
      </c>
      <c r="C276" t="s">
        <v>118</v>
      </c>
      <c r="D276" s="313">
        <v>44835</v>
      </c>
      <c r="E276" s="44">
        <f>DB[[#This Row],[Sales-FC-Orders-Collect]]+DB[[#This Row],[Sales-FC-Orders-HD]]</f>
        <v>2775</v>
      </c>
      <c r="F276" s="402" cm="1">
        <f t="array" ref="F276">INDEX('LT Collect Forecast'!$K$1:$Q$55,MATCH(B276,'LT Collect Forecast'!$A:$A,0)+1,MATCH(C276,'LT Collect Forecast'!$K$2:$Q$2,0))</f>
        <v>925</v>
      </c>
      <c r="G276" s="44" cm="1">
        <f t="array" ref="G276">INDEX('LT HD Forecast'!$K$1:$Q$55,MATCH(B276,'LT HD Forecast'!$A:$A,0)+1,MATCH(C276,'LT HD Forecast'!$K$2:$Q$2,0))</f>
        <v>1850</v>
      </c>
      <c r="H276" s="44" cm="1">
        <f t="array" ref="H276">IFERROR(INDEX('ST Forecast'!$E$2:$RK$36,6,M276),"")</f>
        <v>47.333394610470691</v>
      </c>
      <c r="I276" s="44" cm="1">
        <f t="array" ref="I276">IFERROR(INDEX('ST Forecast'!$E$2:$RK$36,7,M276),"")</f>
        <v>50.133553129503504</v>
      </c>
      <c r="J276" s="44">
        <f>SUM(DB[[#This Row],[Sales-FC-Picks-Collect]:[Sales-FC-Picks-HD]])</f>
        <v>136530.46330426689</v>
      </c>
      <c r="K276" s="44">
        <f t="shared" si="85"/>
        <v>43783.390014685392</v>
      </c>
      <c r="L276" s="44">
        <f t="shared" si="86"/>
        <v>92747.073289581487</v>
      </c>
      <c r="M276" s="403">
        <f>IFERROR(IF(B276=B275,M275+1,MATCH(B276,'ST Forecast'!$E$2:$RK$2,0)+1),"")</f>
        <v>311</v>
      </c>
      <c r="N276">
        <f>SUM(DB[[#This Row],[Ops-FC-Orders-Collect]:[Ops-FC-Orders-HD]])</f>
        <v>2825</v>
      </c>
      <c r="O276" s="44" cm="1">
        <f t="array" ref="O276">IFERROR(INDEX('ST Forecast'!$E$2:$RK$36,13,M276),"")</f>
        <v>925</v>
      </c>
      <c r="P276" s="44">
        <f t="shared" si="91"/>
        <v>1900</v>
      </c>
      <c r="Q276" s="44" cm="1">
        <f t="array" ref="Q276">IFERROR(INDEX('ST Forecast'!$E$2:$RK$36,14,M276),"")</f>
        <v>1050</v>
      </c>
      <c r="R276" s="44" cm="1">
        <f t="array" ref="R276">IFERROR(INDEX('ST Forecast'!$E$2:$RK$36,15,M276),"")</f>
        <v>850</v>
      </c>
      <c r="S276" s="312">
        <f>SUM(DB[[#This Row],[Ops-FC-Picks-Collect]:[Ops-FC-Picks-HD]])</f>
        <v>136256.3981415272</v>
      </c>
      <c r="T276" s="44">
        <f t="shared" si="92"/>
        <v>42907.722214391681</v>
      </c>
      <c r="U276" s="44">
        <f t="shared" si="93"/>
        <v>93348.675927135526</v>
      </c>
      <c r="V276" s="44">
        <f t="shared" si="94"/>
        <v>51587.42617025911</v>
      </c>
      <c r="W276" s="404">
        <f t="shared" si="95"/>
        <v>41761.249756876416</v>
      </c>
      <c r="X276" s="44">
        <f>SUM(DB[[#This Row],[Capped-Orders-Collect]:[Capped-Orders-HD]])</f>
        <v>90</v>
      </c>
      <c r="Y276">
        <f>INDEX('Operations Forecast'!$A$2:$BGY$47,3,MATCH(DB!D276,'Operations Forecast'!$A$2:$BGY$2))</f>
        <v>0</v>
      </c>
      <c r="Z276">
        <f t="shared" si="96"/>
        <v>90</v>
      </c>
      <c r="AA276">
        <f>INDEX('Operations Forecast'!$A$2:$BGY$47,10,MATCH(DB!D276,'Operations Forecast'!$A$2:$BGY$2))</f>
        <v>90</v>
      </c>
      <c r="AB276">
        <f>INDEX('Operations Forecast'!$A$2:$BGY$47,21,MATCH(DB!D276,'Operations Forecast'!$A$2:$BGY$2))</f>
        <v>0</v>
      </c>
      <c r="AC276" s="312">
        <f>SUM(DB[[#This Row],[Act-Orders-Collect]:[Act-Orders-HD]])</f>
        <v>2950</v>
      </c>
      <c r="AD276" s="858">
        <f>IFERROR(INDEX('Operations Forecast_new'!$7:$7,MATCH(DB[[#This Row],[Datum]],'Operations Forecast_new'!$2:$2,0)),0)</f>
        <v>996</v>
      </c>
      <c r="AE276" s="312">
        <f t="shared" si="97"/>
        <v>1954</v>
      </c>
      <c r="AF276" s="858">
        <f>IFERROR(INDEX('Operations Forecast_new'!$13:$13,MATCH(DB[[#This Row],[Datum]],'Operations Forecast_new'!$2:$2,0)),0)</f>
        <v>1122</v>
      </c>
      <c r="AG276" s="858">
        <f>IFERROR(INDEX('Operations Forecast_new'!$19:$19,MATCH(DB[[#This Row],[Datum]],'Operations Forecast_new'!$2:$2,0)),0)</f>
        <v>832</v>
      </c>
      <c r="AH276" s="312">
        <f t="shared" si="87"/>
        <v>151551.378</v>
      </c>
      <c r="AI276" s="858">
        <f>IFERROR(INDEX('Operations Forecast_new'!$9:$9,MATCH(DB[[#This Row],[Datum]],'Operations Forecast_new'!$2:$2,0)),0)</f>
        <v>49992.228000000003</v>
      </c>
      <c r="AJ276" s="312">
        <f t="shared" si="98"/>
        <v>101559.15</v>
      </c>
      <c r="AK276" s="858">
        <f>IFERROR(INDEX('Operations Forecast_new'!$15:$15,MATCH(DB[[#This Row],[Datum]],'Operations Forecast_new'!$2:$2,0)),0)</f>
        <v>58315.95</v>
      </c>
      <c r="AL276" s="858">
        <f>IFERROR(INDEX('Operations Forecast_new'!$21:$21,MATCH(DB[[#This Row],[Datum]],'Operations Forecast_new'!$2:$2,0)),0)</f>
        <v>43243.199999999997</v>
      </c>
      <c r="AM276" s="178">
        <f>IFERROR(INDEX('Operations Forecast_new'!$8:$8,MATCH(DB[[#This Row],[Datum]],'Operations Forecast_new'!$2:$2,0)),0)</f>
        <v>50.7</v>
      </c>
      <c r="AN276" s="859">
        <f>IFERROR(INDEX('Operations Forecast_new'!$20:$20,MATCH(DB[[#This Row],[Datum]],'Operations Forecast_new'!$2:$2,0)),0)</f>
        <v>52.5</v>
      </c>
      <c r="AO276" s="44">
        <f t="shared" si="99"/>
        <v>50.193000000000005</v>
      </c>
      <c r="AP276" s="404">
        <f t="shared" si="100"/>
        <v>51.974999999999994</v>
      </c>
      <c r="AQ276" s="44">
        <f t="shared" si="88"/>
        <v>123942.00000000007</v>
      </c>
      <c r="AR276" s="44" cm="1">
        <f t="array" ref="AR276">IFERROR(INDEX('ST Forecast'!$E$2:$RK$36,25,M276)+(INDEX('ST Forecast'!$E$2:$RK$36,29,M276)),"")</f>
        <v>58332.817463019819</v>
      </c>
      <c r="AS276" s="44" cm="1">
        <f t="array" ref="AS276">IFERROR(INDEX('ST Forecast'!$E$2:$RK$36,26,M276)+INDEX('ST Forecast'!$E$2:$RK$36,30,M276),"")</f>
        <v>54263.270172774915</v>
      </c>
      <c r="AT276" s="44" cm="1">
        <f t="array" ref="AT276">IFERROR(INDEX('ST Forecast'!$E$2:$RK$36,27,M276)+INDEX('ST Forecast'!$E$2:$RK$36,31,M276),"")</f>
        <v>4794.8543159996543</v>
      </c>
      <c r="AU276" s="44" cm="1">
        <f t="array" ref="AU276">IFERROR(INDEX('ST Forecast'!$E$2:$RK$36,28,M276),"")</f>
        <v>6551.0580482056812</v>
      </c>
      <c r="AV276" s="44" cm="1">
        <f t="array" ref="AV276">IFERROR(INDEX('ST Forecast'!$E$2:$RK$36,29,M276),"")</f>
        <v>0</v>
      </c>
      <c r="AW276" s="44">
        <f>DB[[#This Row],[Inbound FC]]-DB[[#This Row],[Inbound Act - Ultrafresh2]]</f>
        <v>123942.00000000007</v>
      </c>
      <c r="AX276" s="178" t="e">
        <f>#REF!</f>
        <v>#REF!</v>
      </c>
      <c r="AY276" s="178" t="e">
        <f>#REF!</f>
        <v>#REF!</v>
      </c>
      <c r="AZ276" s="178" t="e">
        <f>#REF!</f>
        <v>#REF!</v>
      </c>
      <c r="BA276" s="178">
        <f>MONTH(DB[[#This Row],[Datum]])</f>
        <v>10</v>
      </c>
    </row>
    <row r="277" spans="1:53" x14ac:dyDescent="0.3">
      <c r="A277" s="44">
        <f t="shared" si="89"/>
        <v>39</v>
      </c>
      <c r="B277" t="str">
        <f t="shared" si="90"/>
        <v>Wk 39</v>
      </c>
      <c r="C277" t="s">
        <v>119</v>
      </c>
      <c r="D277" s="313">
        <v>44836</v>
      </c>
      <c r="E277" s="44">
        <f>DB[[#This Row],[Sales-FC-Orders-Collect]]+DB[[#This Row],[Sales-FC-Orders-HD]]</f>
        <v>0</v>
      </c>
      <c r="F277" s="402" cm="1">
        <f t="array" ref="F277">INDEX('LT Collect Forecast'!$K$1:$Q$55,MATCH(B277,'LT Collect Forecast'!$A:$A,0)+1,MATCH(C277,'LT Collect Forecast'!$K$2:$Q$2,0))</f>
        <v>0</v>
      </c>
      <c r="G277" s="44" cm="1">
        <f t="array" ref="G277">INDEX('LT HD Forecast'!$K$1:$Q$55,MATCH(B277,'LT HD Forecast'!$A:$A,0)+1,MATCH(C277,'LT HD Forecast'!$K$2:$Q$2,0))</f>
        <v>0</v>
      </c>
      <c r="H277" s="44" cm="1">
        <f t="array" ref="H277">IFERROR(INDEX('ST Forecast'!$E$2:$RK$36,6,M277),"")</f>
        <v>0</v>
      </c>
      <c r="I277" s="44" cm="1">
        <f t="array" ref="I277">IFERROR(INDEX('ST Forecast'!$E$2:$RK$36,7,M277),"")</f>
        <v>0</v>
      </c>
      <c r="J277" s="44">
        <f>SUM(DB[[#This Row],[Sales-FC-Picks-Collect]:[Sales-FC-Picks-HD]])</f>
        <v>0</v>
      </c>
      <c r="K277" s="44">
        <f t="shared" si="85"/>
        <v>0</v>
      </c>
      <c r="L277" s="44">
        <f t="shared" si="86"/>
        <v>0</v>
      </c>
      <c r="M277" s="403">
        <f>IFERROR(IF(B277=B276,M276+1,MATCH(B277,'ST Forecast'!$E$2:$RK$2,0)+1),"")</f>
        <v>312</v>
      </c>
      <c r="N277">
        <f>SUM(DB[[#This Row],[Ops-FC-Orders-Collect]:[Ops-FC-Orders-HD]])</f>
        <v>0</v>
      </c>
      <c r="O277" s="44" cm="1">
        <f t="array" ref="O277">IFERROR(INDEX('ST Forecast'!$E$2:$RK$36,13,M277),"")</f>
        <v>0</v>
      </c>
      <c r="P277" s="44">
        <f t="shared" si="91"/>
        <v>0</v>
      </c>
      <c r="Q277" s="44" cm="1">
        <f t="array" ref="Q277">IFERROR(INDEX('ST Forecast'!$E$2:$RK$36,14,M277),"")</f>
        <v>0</v>
      </c>
      <c r="R277" s="44" cm="1">
        <f t="array" ref="R277">IFERROR(INDEX('ST Forecast'!$E$2:$RK$36,15,M277),"")</f>
        <v>0</v>
      </c>
      <c r="S277" s="312">
        <f>SUM(DB[[#This Row],[Ops-FC-Picks-Collect]:[Ops-FC-Picks-HD]])</f>
        <v>0</v>
      </c>
      <c r="T277" s="44">
        <f t="shared" si="92"/>
        <v>0</v>
      </c>
      <c r="U277" s="44">
        <f t="shared" si="93"/>
        <v>0</v>
      </c>
      <c r="V277" s="44">
        <f t="shared" si="94"/>
        <v>0</v>
      </c>
      <c r="W277" s="404">
        <f t="shared" si="95"/>
        <v>0</v>
      </c>
      <c r="X277" s="44">
        <f>SUM(DB[[#This Row],[Capped-Orders-Collect]:[Capped-Orders-HD]])</f>
        <v>90</v>
      </c>
      <c r="Y277">
        <f>INDEX('Operations Forecast'!$A$2:$BGY$47,3,MATCH(DB!D277,'Operations Forecast'!$A$2:$BGY$2))</f>
        <v>0</v>
      </c>
      <c r="Z277">
        <f t="shared" si="96"/>
        <v>90</v>
      </c>
      <c r="AA277">
        <f>INDEX('Operations Forecast'!$A$2:$BGY$47,10,MATCH(DB!D277,'Operations Forecast'!$A$2:$BGY$2))</f>
        <v>90</v>
      </c>
      <c r="AB277">
        <f>INDEX('Operations Forecast'!$A$2:$BGY$47,21,MATCH(DB!D277,'Operations Forecast'!$A$2:$BGY$2))</f>
        <v>0</v>
      </c>
      <c r="AC277" s="312">
        <f>SUM(DB[[#This Row],[Act-Orders-Collect]:[Act-Orders-HD]])</f>
        <v>0</v>
      </c>
      <c r="AD277" s="858">
        <f>IFERROR(INDEX('Operations Forecast_new'!$7:$7,MATCH(DB[[#This Row],[Datum]],'Operations Forecast_new'!$2:$2,0)),0)</f>
        <v>0</v>
      </c>
      <c r="AE277" s="312">
        <f t="shared" si="97"/>
        <v>0</v>
      </c>
      <c r="AF277" s="858">
        <f>IFERROR(INDEX('Operations Forecast_new'!$13:$13,MATCH(DB[[#This Row],[Datum]],'Operations Forecast_new'!$2:$2,0)),0)</f>
        <v>0</v>
      </c>
      <c r="AG277" s="858">
        <f>IFERROR(INDEX('Operations Forecast_new'!$19:$19,MATCH(DB[[#This Row],[Datum]],'Operations Forecast_new'!$2:$2,0)),0)</f>
        <v>0</v>
      </c>
      <c r="AH277" s="312">
        <f t="shared" si="87"/>
        <v>0</v>
      </c>
      <c r="AI277" s="858">
        <f>IFERROR(INDEX('Operations Forecast_new'!$9:$9,MATCH(DB[[#This Row],[Datum]],'Operations Forecast_new'!$2:$2,0)),0)</f>
        <v>0</v>
      </c>
      <c r="AJ277" s="312">
        <f t="shared" si="98"/>
        <v>0</v>
      </c>
      <c r="AK277" s="858">
        <f>IFERROR(INDEX('Operations Forecast_new'!$15:$15,MATCH(DB[[#This Row],[Datum]],'Operations Forecast_new'!$2:$2,0)),0)</f>
        <v>0</v>
      </c>
      <c r="AL277" s="858">
        <f>IFERROR(INDEX('Operations Forecast_new'!$21:$21,MATCH(DB[[#This Row],[Datum]],'Operations Forecast_new'!$2:$2,0)),0)</f>
        <v>0</v>
      </c>
      <c r="AM277" s="178">
        <f>IFERROR(INDEX('Operations Forecast_new'!$8:$8,MATCH(DB[[#This Row],[Datum]],'Operations Forecast_new'!$2:$2,0)),0)</f>
        <v>0</v>
      </c>
      <c r="AN277" s="859">
        <f>IFERROR(INDEX('Operations Forecast_new'!$20:$20,MATCH(DB[[#This Row],[Datum]],'Operations Forecast_new'!$2:$2,0)),0)</f>
        <v>0</v>
      </c>
      <c r="AO277" s="44" t="str">
        <f t="shared" si="99"/>
        <v>-</v>
      </c>
      <c r="AP277" s="404" t="str">
        <f t="shared" si="100"/>
        <v>-</v>
      </c>
      <c r="AQ277" s="44">
        <f t="shared" si="88"/>
        <v>0</v>
      </c>
      <c r="AR277" s="44" cm="1">
        <f t="array" ref="AR277">IFERROR(INDEX('ST Forecast'!$E$2:$RK$36,25,M277)+(INDEX('ST Forecast'!$E$2:$RK$36,29,M277)),"")</f>
        <v>0</v>
      </c>
      <c r="AS277" s="44" cm="1">
        <f t="array" ref="AS277">IFERROR(INDEX('ST Forecast'!$E$2:$RK$36,26,M277)+INDEX('ST Forecast'!$E$2:$RK$36,30,M277),"")</f>
        <v>0</v>
      </c>
      <c r="AT277" s="44" cm="1">
        <f t="array" ref="AT277">IFERROR(INDEX('ST Forecast'!$E$2:$RK$36,27,M277)+INDEX('ST Forecast'!$E$2:$RK$36,31,M277),"")</f>
        <v>0</v>
      </c>
      <c r="AU277" s="44" cm="1">
        <f t="array" ref="AU277">IFERROR(INDEX('ST Forecast'!$E$2:$RK$36,28,M277),"")</f>
        <v>0</v>
      </c>
      <c r="AV277" s="44" cm="1">
        <f t="array" ref="AV277">IFERROR(INDEX('ST Forecast'!$E$2:$RK$36,29,M277),"")</f>
        <v>0</v>
      </c>
      <c r="AW277" s="44">
        <f>DB[[#This Row],[Inbound FC]]-DB[[#This Row],[Inbound Act - Ultrafresh2]]</f>
        <v>0</v>
      </c>
      <c r="AX277" s="178" t="e">
        <f>#REF!</f>
        <v>#REF!</v>
      </c>
      <c r="AY277" s="178" t="e">
        <f>#REF!</f>
        <v>#REF!</v>
      </c>
      <c r="AZ277" s="178" t="e">
        <f>#REF!</f>
        <v>#REF!</v>
      </c>
      <c r="BA277" s="178">
        <f>MONTH(DB[[#This Row],[Datum]])</f>
        <v>10</v>
      </c>
    </row>
    <row r="278" spans="1:53" x14ac:dyDescent="0.3">
      <c r="A278" s="44">
        <f t="shared" si="89"/>
        <v>40</v>
      </c>
      <c r="B278" t="str">
        <f t="shared" si="90"/>
        <v>Wk 40</v>
      </c>
      <c r="C278" t="s">
        <v>113</v>
      </c>
      <c r="D278" s="313">
        <v>44837</v>
      </c>
      <c r="E278" s="44">
        <f>DB[[#This Row],[Sales-FC-Orders-Collect]]+DB[[#This Row],[Sales-FC-Orders-HD]]</f>
        <v>2500</v>
      </c>
      <c r="F278" s="402">
        <f>INDEX('LT Collect Forecast'!$K$1:$Q$55,MATCH(B278,'LT Collect Forecast'!$A:$A,0),MATCH(C278,'LT Collect Forecast'!$K$2:$Q$2,0))</f>
        <v>750</v>
      </c>
      <c r="G278" s="44">
        <f>INDEX('LT HD Forecast'!$K$1:$Q$55,MATCH(B278,'LT HD Forecast'!$A:$A,0),MATCH(C278,'LT HD Forecast'!$K$2:$Q$2,0))</f>
        <v>1750</v>
      </c>
      <c r="H278" s="44" cm="1">
        <f t="array" ref="H278">IFERROR(INDEX('ST Forecast'!$E$2:$RK$36,6,M278),"")</f>
        <v>44.673177326333089</v>
      </c>
      <c r="I278" s="44" cm="1">
        <f t="array" ref="I278">IFERROR(INDEX('ST Forecast'!$E$2:$RK$36,7,M278),"")</f>
        <v>49.353970183174624</v>
      </c>
      <c r="J278" s="44">
        <f>SUM(DB[[#This Row],[Sales-FC-Picks-Collect]:[Sales-FC-Picks-HD]])</f>
        <v>119874.33081530541</v>
      </c>
      <c r="K278" s="44">
        <f t="shared" si="85"/>
        <v>33504.882994749816</v>
      </c>
      <c r="L278" s="44">
        <f t="shared" si="86"/>
        <v>86369.447820555593</v>
      </c>
      <c r="M278" s="403">
        <f>IFERROR(IF(B278=B277,M277+1,MATCH(B278,'ST Forecast'!$E$2:$RK$2,0)+1),"")</f>
        <v>314</v>
      </c>
      <c r="N278">
        <f>SUM(DB[[#This Row],[Ops-FC-Orders-Collect]:[Ops-FC-Orders-HD]])</f>
        <v>2500</v>
      </c>
      <c r="O278" s="44" cm="1">
        <f t="array" ref="O278">IFERROR(INDEX('ST Forecast'!$E$2:$RK$36,13,M278),"")</f>
        <v>750</v>
      </c>
      <c r="P278" s="44">
        <f t="shared" si="91"/>
        <v>1750</v>
      </c>
      <c r="Q278" s="44" cm="1">
        <f t="array" ref="Q278">IFERROR(INDEX('ST Forecast'!$E$2:$RK$36,14,M278),"")</f>
        <v>750</v>
      </c>
      <c r="R278" s="44" cm="1">
        <f t="array" ref="R278">IFERROR(INDEX('ST Forecast'!$E$2:$RK$36,15,M278),"")</f>
        <v>1000</v>
      </c>
      <c r="S278" s="312">
        <f>SUM(DB[[#This Row],[Ops-FC-Picks-Collect]:[Ops-FC-Picks-HD]])</f>
        <v>117476.84419899929</v>
      </c>
      <c r="T278" s="44">
        <f t="shared" si="92"/>
        <v>32834.785334854816</v>
      </c>
      <c r="U278" s="44">
        <f t="shared" si="93"/>
        <v>84642.058864144477</v>
      </c>
      <c r="V278" s="44">
        <f t="shared" si="94"/>
        <v>36275.168084633347</v>
      </c>
      <c r="W278" s="404">
        <f t="shared" si="95"/>
        <v>48366.89077951113</v>
      </c>
      <c r="X278" s="44">
        <f>SUM(DB[[#This Row],[Capped-Orders-Collect]:[Capped-Orders-HD]])</f>
        <v>90</v>
      </c>
      <c r="Y278">
        <f>INDEX('Operations Forecast'!$A$2:$BGY$47,3,MATCH(DB!D278,'Operations Forecast'!$A$2:$BGY$2))</f>
        <v>0</v>
      </c>
      <c r="Z278">
        <f t="shared" si="96"/>
        <v>90</v>
      </c>
      <c r="AA278">
        <f>INDEX('Operations Forecast'!$A$2:$BGY$47,10,MATCH(DB!D278,'Operations Forecast'!$A$2:$BGY$2))</f>
        <v>90</v>
      </c>
      <c r="AB278">
        <f>INDEX('Operations Forecast'!$A$2:$BGY$47,21,MATCH(DB!D278,'Operations Forecast'!$A$2:$BGY$2))</f>
        <v>0</v>
      </c>
      <c r="AC278" s="312">
        <f>SUM(DB[[#This Row],[Act-Orders-Collect]:[Act-Orders-HD]])</f>
        <v>2640</v>
      </c>
      <c r="AD278" s="858">
        <f>IFERROR(INDEX('Operations Forecast_new'!$7:$7,MATCH(DB[[#This Row],[Datum]],'Operations Forecast_new'!$2:$2,0)),0)</f>
        <v>740</v>
      </c>
      <c r="AE278" s="312">
        <f t="shared" si="97"/>
        <v>1900</v>
      </c>
      <c r="AF278" s="858">
        <f>IFERROR(INDEX('Operations Forecast_new'!$13:$13,MATCH(DB[[#This Row],[Datum]],'Operations Forecast_new'!$2:$2,0)),0)</f>
        <v>850</v>
      </c>
      <c r="AG278" s="858">
        <f>IFERROR(INDEX('Operations Forecast_new'!$19:$19,MATCH(DB[[#This Row],[Datum]],'Operations Forecast_new'!$2:$2,0)),0)</f>
        <v>1050</v>
      </c>
      <c r="AH278" s="312">
        <f t="shared" si="87"/>
        <v>130719.59999999999</v>
      </c>
      <c r="AI278" s="858">
        <f>IFERROR(INDEX('Operations Forecast_new'!$9:$9,MATCH(DB[[#This Row],[Datum]],'Operations Forecast_new'!$2:$2,0)),0)</f>
        <v>35164.800000000003</v>
      </c>
      <c r="AJ278" s="312">
        <f t="shared" si="98"/>
        <v>95554.799999999988</v>
      </c>
      <c r="AK278" s="858">
        <f>IFERROR(INDEX('Operations Forecast_new'!$15:$15,MATCH(DB[[#This Row],[Datum]],'Operations Forecast_new'!$2:$2,0)),0)</f>
        <v>42748.2</v>
      </c>
      <c r="AL278" s="858">
        <f>IFERROR(INDEX('Operations Forecast_new'!$21:$21,MATCH(DB[[#This Row],[Datum]],'Operations Forecast_new'!$2:$2,0)),0)</f>
        <v>52806.6</v>
      </c>
      <c r="AM278" s="178">
        <f>IFERROR(INDEX('Operations Forecast_new'!$8:$8,MATCH(DB[[#This Row],[Datum]],'Operations Forecast_new'!$2:$2,0)),0)</f>
        <v>48</v>
      </c>
      <c r="AN278" s="859">
        <f>IFERROR(INDEX('Operations Forecast_new'!$20:$20,MATCH(DB[[#This Row],[Datum]],'Operations Forecast_new'!$2:$2,0)),0)</f>
        <v>50.8</v>
      </c>
      <c r="AO278" s="44">
        <f t="shared" si="99"/>
        <v>47.52</v>
      </c>
      <c r="AP278" s="404">
        <f t="shared" si="100"/>
        <v>50.291999999999994</v>
      </c>
      <c r="AQ278" s="44">
        <f t="shared" si="88"/>
        <v>230637</v>
      </c>
      <c r="AR278" s="44" cm="1">
        <f t="array" ref="AR278">IFERROR(INDEX('ST Forecast'!$E$2:$RK$36,25,M278)+(INDEX('ST Forecast'!$E$2:$RK$36,29,M278)),"")</f>
        <v>102945.95000000001</v>
      </c>
      <c r="AS278" s="44" cm="1">
        <f t="array" ref="AS278">IFERROR(INDEX('ST Forecast'!$E$2:$RK$36,26,M278)+INDEX('ST Forecast'!$E$2:$RK$36,30,M278),"")</f>
        <v>58685.467152611724</v>
      </c>
      <c r="AT278" s="44" cm="1">
        <f t="array" ref="AT278">IFERROR(INDEX('ST Forecast'!$E$2:$RK$36,27,M278)+INDEX('ST Forecast'!$E$2:$RK$36,31,M278),"")</f>
        <v>60365.74</v>
      </c>
      <c r="AU278" s="44" cm="1">
        <f t="array" ref="AU278">IFERROR(INDEX('ST Forecast'!$E$2:$RK$36,28,M278),"")</f>
        <v>8639.8428473882759</v>
      </c>
      <c r="AV278" s="44" cm="1">
        <f t="array" ref="AV278">IFERROR(INDEX('ST Forecast'!$E$2:$RK$36,29,M278),"")</f>
        <v>0</v>
      </c>
      <c r="AW278" s="44">
        <f>DB[[#This Row],[Inbound FC]]-DB[[#This Row],[Inbound Act - Ultrafresh2]]</f>
        <v>230637</v>
      </c>
      <c r="AX278" s="178" t="e">
        <f>#REF!</f>
        <v>#REF!</v>
      </c>
      <c r="AY278" s="178" t="e">
        <f>#REF!</f>
        <v>#REF!</v>
      </c>
      <c r="AZ278" s="178" t="e">
        <f>#REF!</f>
        <v>#REF!</v>
      </c>
      <c r="BA278" s="178">
        <f>MONTH(DB[[#This Row],[Datum]])</f>
        <v>10</v>
      </c>
    </row>
    <row r="279" spans="1:53" x14ac:dyDescent="0.3">
      <c r="A279" s="44">
        <f t="shared" si="89"/>
        <v>40</v>
      </c>
      <c r="B279" t="str">
        <f t="shared" si="90"/>
        <v>Wk 40</v>
      </c>
      <c r="C279" t="s">
        <v>114</v>
      </c>
      <c r="D279" s="313">
        <v>44838</v>
      </c>
      <c r="E279" s="44">
        <f>DB[[#This Row],[Sales-FC-Orders-Collect]]+DB[[#This Row],[Sales-FC-Orders-HD]]</f>
        <v>2625</v>
      </c>
      <c r="F279" s="402">
        <f>INDEX('LT Collect Forecast'!$K$1:$Q$55,MATCH(B279,'LT Collect Forecast'!$A:$A,0),MATCH(C279,'LT Collect Forecast'!$K$2:$Q$2,0))</f>
        <v>625</v>
      </c>
      <c r="G279" s="44">
        <f>INDEX('LT HD Forecast'!$K$1:$Q$55,MATCH(B279,'LT HD Forecast'!$A:$A,0),MATCH(C279,'LT HD Forecast'!$K$2:$Q$2,0))</f>
        <v>2000</v>
      </c>
      <c r="H279" s="44" cm="1">
        <f t="array" ref="H279">IFERROR(INDEX('ST Forecast'!$E$2:$RK$36,6,M279),"")</f>
        <v>39.249937232813259</v>
      </c>
      <c r="I279" s="44" cm="1">
        <f t="array" ref="I279">IFERROR(INDEX('ST Forecast'!$E$2:$RK$36,7,M279),"")</f>
        <v>47.22242820266333</v>
      </c>
      <c r="J279" s="44">
        <f>SUM(DB[[#This Row],[Sales-FC-Picks-Collect]:[Sales-FC-Picks-HD]])</f>
        <v>118976.06717583495</v>
      </c>
      <c r="K279" s="44">
        <f t="shared" si="85"/>
        <v>24531.210770508285</v>
      </c>
      <c r="L279" s="44">
        <f t="shared" si="86"/>
        <v>94444.85640532666</v>
      </c>
      <c r="M279" s="403">
        <f>IFERROR(IF(B279=B278,M278+1,MATCH(B279,'ST Forecast'!$E$2:$RK$2,0)+1),"")</f>
        <v>315</v>
      </c>
      <c r="N279">
        <f>SUM(DB[[#This Row],[Ops-FC-Orders-Collect]:[Ops-FC-Orders-HD]])</f>
        <v>2625</v>
      </c>
      <c r="O279" s="44" cm="1">
        <f t="array" ref="O279">IFERROR(INDEX('ST Forecast'!$E$2:$RK$36,13,M279),"")</f>
        <v>625</v>
      </c>
      <c r="P279" s="44">
        <f t="shared" si="91"/>
        <v>2000</v>
      </c>
      <c r="Q279" s="44" cm="1">
        <f t="array" ref="Q279">IFERROR(INDEX('ST Forecast'!$E$2:$RK$36,14,M279),"")</f>
        <v>1050</v>
      </c>
      <c r="R279" s="44" cm="1">
        <f t="array" ref="R279">IFERROR(INDEX('ST Forecast'!$E$2:$RK$36,15,M279),"")</f>
        <v>950</v>
      </c>
      <c r="S279" s="312">
        <f>SUM(DB[[#This Row],[Ops-FC-Picks-Collect]:[Ops-FC-Picks-HD]])</f>
        <v>116596.54583231825</v>
      </c>
      <c r="T279" s="44">
        <f t="shared" si="92"/>
        <v>24040.586555098118</v>
      </c>
      <c r="U279" s="44">
        <f t="shared" si="93"/>
        <v>92555.959277220129</v>
      </c>
      <c r="V279" s="44">
        <f t="shared" si="94"/>
        <v>48591.878620540563</v>
      </c>
      <c r="W279" s="404">
        <f t="shared" si="95"/>
        <v>43964.080656679558</v>
      </c>
      <c r="X279" s="44">
        <f>SUM(DB[[#This Row],[Capped-Orders-Collect]:[Capped-Orders-HD]])</f>
        <v>90</v>
      </c>
      <c r="Y279">
        <f>INDEX('Operations Forecast'!$A$2:$BGY$47,3,MATCH(DB!D279,'Operations Forecast'!$A$2:$BGY$2))</f>
        <v>0</v>
      </c>
      <c r="Z279">
        <f t="shared" si="96"/>
        <v>90</v>
      </c>
      <c r="AA279">
        <f>INDEX('Operations Forecast'!$A$2:$BGY$47,10,MATCH(DB!D279,'Operations Forecast'!$A$2:$BGY$2))</f>
        <v>90</v>
      </c>
      <c r="AB279">
        <f>INDEX('Operations Forecast'!$A$2:$BGY$47,21,MATCH(DB!D279,'Operations Forecast'!$A$2:$BGY$2))</f>
        <v>0</v>
      </c>
      <c r="AC279" s="312">
        <f>SUM(DB[[#This Row],[Act-Orders-Collect]:[Act-Orders-HD]])</f>
        <v>2573</v>
      </c>
      <c r="AD279" s="858">
        <f>IFERROR(INDEX('Operations Forecast_new'!$7:$7,MATCH(DB[[#This Row],[Datum]],'Operations Forecast_new'!$2:$2,0)),0)</f>
        <v>595</v>
      </c>
      <c r="AE279" s="312">
        <f t="shared" si="97"/>
        <v>1978</v>
      </c>
      <c r="AF279" s="858">
        <f>IFERROR(INDEX('Operations Forecast_new'!$13:$13,MATCH(DB[[#This Row],[Datum]],'Operations Forecast_new'!$2:$2,0)),0)</f>
        <v>1130</v>
      </c>
      <c r="AG279" s="858">
        <f>IFERROR(INDEX('Operations Forecast_new'!$19:$19,MATCH(DB[[#This Row],[Datum]],'Operations Forecast_new'!$2:$2,0)),0)</f>
        <v>848</v>
      </c>
      <c r="AH279" s="312">
        <f t="shared" si="87"/>
        <v>119673.97199999999</v>
      </c>
      <c r="AI279" s="858">
        <f>IFERROR(INDEX('Operations Forecast_new'!$9:$9,MATCH(DB[[#This Row],[Datum]],'Operations Forecast_new'!$2:$2,0)),0)</f>
        <v>24504.48</v>
      </c>
      <c r="AJ279" s="312">
        <f t="shared" si="98"/>
        <v>95169.491999999998</v>
      </c>
      <c r="AK279" s="858">
        <f>IFERROR(INDEX('Operations Forecast_new'!$15:$15,MATCH(DB[[#This Row],[Datum]],'Operations Forecast_new'!$2:$2,0)),0)</f>
        <v>54368.82</v>
      </c>
      <c r="AL279" s="858">
        <f>IFERROR(INDEX('Operations Forecast_new'!$21:$21,MATCH(DB[[#This Row],[Datum]],'Operations Forecast_new'!$2:$2,0)),0)</f>
        <v>40800.672000000006</v>
      </c>
      <c r="AM279" s="178">
        <f>IFERROR(INDEX('Operations Forecast_new'!$8:$8,MATCH(DB[[#This Row],[Datum]],'Operations Forecast_new'!$2:$2,0)),0)</f>
        <v>41.6</v>
      </c>
      <c r="AN279" s="859">
        <f>IFERROR(INDEX('Operations Forecast_new'!$20:$20,MATCH(DB[[#This Row],[Datum]],'Operations Forecast_new'!$2:$2,0)),0)</f>
        <v>48.6</v>
      </c>
      <c r="AO279" s="44">
        <f t="shared" si="99"/>
        <v>41.183999999999997</v>
      </c>
      <c r="AP279" s="404">
        <f t="shared" si="100"/>
        <v>48.113999999999997</v>
      </c>
      <c r="AQ279" s="44">
        <f t="shared" si="88"/>
        <v>143973.81060152181</v>
      </c>
      <c r="AR279" s="44" cm="1">
        <f t="array" ref="AR279">IFERROR(INDEX('ST Forecast'!$E$2:$RK$36,25,M279)+(INDEX('ST Forecast'!$E$2:$RK$36,29,M279)),"")</f>
        <v>67609.919999999998</v>
      </c>
      <c r="AS279" s="44" cm="1">
        <f t="array" ref="AS279">IFERROR(INDEX('ST Forecast'!$E$2:$RK$36,26,M279)+INDEX('ST Forecast'!$E$2:$RK$36,30,M279),"")</f>
        <v>58681.91441476754</v>
      </c>
      <c r="AT279" s="44" cm="1">
        <f t="array" ref="AT279">IFERROR(INDEX('ST Forecast'!$E$2:$RK$36,27,M279)+INDEX('ST Forecast'!$E$2:$RK$36,31,M279),"")</f>
        <v>9317.3866015218046</v>
      </c>
      <c r="AU279" s="44" cm="1">
        <f t="array" ref="AU279">IFERROR(INDEX('ST Forecast'!$E$2:$RK$36,28,M279),"")</f>
        <v>8364.5895852324575</v>
      </c>
      <c r="AV279" s="44" cm="1">
        <f t="array" ref="AV279">IFERROR(INDEX('ST Forecast'!$E$2:$RK$36,29,M279),"")</f>
        <v>0</v>
      </c>
      <c r="AW279" s="44">
        <f>DB[[#This Row],[Inbound FC]]-DB[[#This Row],[Inbound Act - Ultrafresh2]]</f>
        <v>143973.81060152181</v>
      </c>
      <c r="AX279" s="178" t="e">
        <f>#REF!</f>
        <v>#REF!</v>
      </c>
      <c r="AY279" s="178" t="e">
        <f>#REF!</f>
        <v>#REF!</v>
      </c>
      <c r="AZ279" s="178" t="e">
        <f>#REF!</f>
        <v>#REF!</v>
      </c>
      <c r="BA279" s="178">
        <f>MONTH(DB[[#This Row],[Datum]])</f>
        <v>10</v>
      </c>
    </row>
    <row r="280" spans="1:53" x14ac:dyDescent="0.3">
      <c r="A280" s="44">
        <f t="shared" si="89"/>
        <v>40</v>
      </c>
      <c r="B280" t="str">
        <f t="shared" si="90"/>
        <v>Wk 40</v>
      </c>
      <c r="C280" t="s">
        <v>115</v>
      </c>
      <c r="D280" s="313">
        <v>44839</v>
      </c>
      <c r="E280" s="44">
        <f>DB[[#This Row],[Sales-FC-Orders-Collect]]+DB[[#This Row],[Sales-FC-Orders-HD]]</f>
        <v>2775</v>
      </c>
      <c r="F280" s="402">
        <f>INDEX('LT Collect Forecast'!$K$1:$Q$55,MATCH(B280,'LT Collect Forecast'!$A:$A,0),MATCH(C280,'LT Collect Forecast'!$K$2:$Q$2,0))</f>
        <v>725</v>
      </c>
      <c r="G280" s="44">
        <f>INDEX('LT HD Forecast'!$K$1:$Q$55,MATCH(B280,'LT HD Forecast'!$A:$A,0),MATCH(C280,'LT HD Forecast'!$K$2:$Q$2,0))</f>
        <v>2050</v>
      </c>
      <c r="H280" s="44" cm="1">
        <f t="array" ref="H280">IFERROR(INDEX('ST Forecast'!$E$2:$RK$36,6,M280),"")</f>
        <v>37.884995323506921</v>
      </c>
      <c r="I280" s="44" cm="1">
        <f t="array" ref="I280">IFERROR(INDEX('ST Forecast'!$E$2:$RK$36,7,M280),"")</f>
        <v>47.880666269925108</v>
      </c>
      <c r="J280" s="44">
        <f>SUM(DB[[#This Row],[Sales-FC-Picks-Collect]:[Sales-FC-Picks-HD]])</f>
        <v>125621.987462889</v>
      </c>
      <c r="K280" s="44">
        <f t="shared" si="85"/>
        <v>27466.621609542519</v>
      </c>
      <c r="L280" s="44">
        <f t="shared" si="86"/>
        <v>98155.365853346477</v>
      </c>
      <c r="M280" s="403">
        <f>IFERROR(IF(B280=B279,M279+1,MATCH(B280,'ST Forecast'!$E$2:$RK$2,0)+1),"")</f>
        <v>316</v>
      </c>
      <c r="N280">
        <f>SUM(DB[[#This Row],[Ops-FC-Orders-Collect]:[Ops-FC-Orders-HD]])</f>
        <v>2775</v>
      </c>
      <c r="O280" s="44" cm="1">
        <f t="array" ref="O280">IFERROR(INDEX('ST Forecast'!$E$2:$RK$36,13,M280),"")</f>
        <v>725</v>
      </c>
      <c r="P280" s="44">
        <f t="shared" si="91"/>
        <v>2050</v>
      </c>
      <c r="Q280" s="44" cm="1">
        <f t="array" ref="Q280">IFERROR(INDEX('ST Forecast'!$E$2:$RK$36,14,M280),"")</f>
        <v>1050</v>
      </c>
      <c r="R280" s="44" cm="1">
        <f t="array" ref="R280">IFERROR(INDEX('ST Forecast'!$E$2:$RK$36,15,M280),"")</f>
        <v>1000</v>
      </c>
      <c r="S280" s="312">
        <f>SUM(DB[[#This Row],[Ops-FC-Picks-Collect]:[Ops-FC-Picks-HD]])</f>
        <v>123109.54771363121</v>
      </c>
      <c r="T280" s="44">
        <f t="shared" si="92"/>
        <v>26917.289177351668</v>
      </c>
      <c r="U280" s="44">
        <f t="shared" si="93"/>
        <v>96192.258536279551</v>
      </c>
      <c r="V280" s="44">
        <f t="shared" si="94"/>
        <v>49269.205591752936</v>
      </c>
      <c r="W280" s="404">
        <f t="shared" si="95"/>
        <v>46923.052944526607</v>
      </c>
      <c r="X280" s="44">
        <f>SUM(DB[[#This Row],[Capped-Orders-Collect]:[Capped-Orders-HD]])</f>
        <v>90</v>
      </c>
      <c r="Y280">
        <f>INDEX('Operations Forecast'!$A$2:$BGY$47,3,MATCH(DB!D280,'Operations Forecast'!$A$2:$BGY$2))</f>
        <v>0</v>
      </c>
      <c r="Z280">
        <f t="shared" si="96"/>
        <v>90</v>
      </c>
      <c r="AA280">
        <f>INDEX('Operations Forecast'!$A$2:$BGY$47,10,MATCH(DB!D280,'Operations Forecast'!$A$2:$BGY$2))</f>
        <v>90</v>
      </c>
      <c r="AB280">
        <f>INDEX('Operations Forecast'!$A$2:$BGY$47,21,MATCH(DB!D280,'Operations Forecast'!$A$2:$BGY$2))</f>
        <v>0</v>
      </c>
      <c r="AC280" s="312">
        <f>SUM(DB[[#This Row],[Act-Orders-Collect]:[Act-Orders-HD]])</f>
        <v>2620</v>
      </c>
      <c r="AD280" s="858">
        <f>IFERROR(INDEX('Operations Forecast_new'!$7:$7,MATCH(DB[[#This Row],[Datum]],'Operations Forecast_new'!$2:$2,0)),0)</f>
        <v>607</v>
      </c>
      <c r="AE280" s="312">
        <f t="shared" si="97"/>
        <v>2013</v>
      </c>
      <c r="AF280" s="858">
        <f>IFERROR(INDEX('Operations Forecast_new'!$13:$13,MATCH(DB[[#This Row],[Datum]],'Operations Forecast_new'!$2:$2,0)),0)</f>
        <v>1092</v>
      </c>
      <c r="AG280" s="858">
        <f>IFERROR(INDEX('Operations Forecast_new'!$19:$19,MATCH(DB[[#This Row],[Datum]],'Operations Forecast_new'!$2:$2,0)),0)</f>
        <v>921</v>
      </c>
      <c r="AH280" s="312">
        <f t="shared" si="87"/>
        <v>124683.27299999999</v>
      </c>
      <c r="AI280" s="858">
        <f>IFERROR(INDEX('Operations Forecast_new'!$9:$9,MATCH(DB[[#This Row],[Datum]],'Operations Forecast_new'!$2:$2,0)),0)</f>
        <v>25239.06</v>
      </c>
      <c r="AJ280" s="312">
        <f t="shared" si="98"/>
        <v>99444.212999999989</v>
      </c>
      <c r="AK280" s="858">
        <f>IFERROR(INDEX('Operations Forecast_new'!$15:$15,MATCH(DB[[#This Row],[Datum]],'Operations Forecast_new'!$2:$2,0)),0)</f>
        <v>53945.891999999993</v>
      </c>
      <c r="AL280" s="858">
        <f>IFERROR(INDEX('Operations Forecast_new'!$21:$21,MATCH(DB[[#This Row],[Datum]],'Operations Forecast_new'!$2:$2,0)),0)</f>
        <v>45498.321000000004</v>
      </c>
      <c r="AM280" s="178">
        <f>IFERROR(INDEX('Operations Forecast_new'!$8:$8,MATCH(DB[[#This Row],[Datum]],'Operations Forecast_new'!$2:$2,0)),0)</f>
        <v>42</v>
      </c>
      <c r="AN280" s="859">
        <f>IFERROR(INDEX('Operations Forecast_new'!$20:$20,MATCH(DB[[#This Row],[Datum]],'Operations Forecast_new'!$2:$2,0)),0)</f>
        <v>49.9</v>
      </c>
      <c r="AO280" s="44">
        <f t="shared" si="99"/>
        <v>41.580000000000005</v>
      </c>
      <c r="AP280" s="404">
        <f t="shared" si="100"/>
        <v>49.400999999999996</v>
      </c>
      <c r="AQ280" s="44">
        <f t="shared" si="88"/>
        <v>141802.46562379089</v>
      </c>
      <c r="AR280" s="44" cm="1">
        <f t="array" ref="AR280">IFERROR(INDEX('ST Forecast'!$E$2:$RK$36,25,M280)+(INDEX('ST Forecast'!$E$2:$RK$36,29,M280)),"")</f>
        <v>66448</v>
      </c>
      <c r="AS280" s="44" cm="1">
        <f t="array" ref="AS280">IFERROR(INDEX('ST Forecast'!$E$2:$RK$36,26,M280)+INDEX('ST Forecast'!$E$2:$RK$36,30,M280),"")</f>
        <v>52521.372997277525</v>
      </c>
      <c r="AT280" s="44" cm="1">
        <f t="array" ref="AT280">IFERROR(INDEX('ST Forecast'!$E$2:$RK$36,27,M280)+INDEX('ST Forecast'!$E$2:$RK$36,31,M280),"")</f>
        <v>14222.305623790886</v>
      </c>
      <c r="AU280" s="44" cm="1">
        <f t="array" ref="AU280">IFERROR(INDEX('ST Forecast'!$E$2:$RK$36,28,M280),"")</f>
        <v>8610.7870027224799</v>
      </c>
      <c r="AV280" s="44" cm="1">
        <f t="array" ref="AV280">IFERROR(INDEX('ST Forecast'!$E$2:$RK$36,29,M280),"")</f>
        <v>0</v>
      </c>
      <c r="AW280" s="44">
        <f>DB[[#This Row],[Inbound FC]]-DB[[#This Row],[Inbound Act - Ultrafresh2]]</f>
        <v>141802.46562379089</v>
      </c>
      <c r="AX280" s="178" t="e">
        <f>#REF!</f>
        <v>#REF!</v>
      </c>
      <c r="AY280" s="178" t="e">
        <f>#REF!</f>
        <v>#REF!</v>
      </c>
      <c r="AZ280" s="178" t="e">
        <f>#REF!</f>
        <v>#REF!</v>
      </c>
      <c r="BA280" s="178">
        <f>MONTH(DB[[#This Row],[Datum]])</f>
        <v>10</v>
      </c>
    </row>
    <row r="281" spans="1:53" x14ac:dyDescent="0.3">
      <c r="A281" s="44">
        <f t="shared" si="89"/>
        <v>40</v>
      </c>
      <c r="B281" t="str">
        <f t="shared" si="90"/>
        <v>Wk 40</v>
      </c>
      <c r="C281" t="s">
        <v>116</v>
      </c>
      <c r="D281" s="313">
        <v>44840</v>
      </c>
      <c r="E281" s="44">
        <f>DB[[#This Row],[Sales-FC-Orders-Collect]]+DB[[#This Row],[Sales-FC-Orders-HD]]</f>
        <v>2600</v>
      </c>
      <c r="F281" s="402" cm="1">
        <f t="array" ref="F281">INDEX('LT Collect Forecast'!$K$1:$Q$55,MATCH(B281,'LT Collect Forecast'!$A:$A,0)+1,MATCH(C281,'LT Collect Forecast'!$K$2:$Q$2,0))</f>
        <v>650</v>
      </c>
      <c r="G281" s="44" cm="1">
        <f t="array" ref="G281">INDEX('LT HD Forecast'!$K$1:$Q$55,MATCH(B281,'LT HD Forecast'!$A:$A,0)+1,MATCH(C281,'LT HD Forecast'!$K$2:$Q$2,0))</f>
        <v>1950</v>
      </c>
      <c r="H281" s="44" cm="1">
        <f t="array" ref="H281">IFERROR(INDEX('ST Forecast'!$E$2:$RK$36,6,M281),"")</f>
        <v>40.693676263215501</v>
      </c>
      <c r="I281" s="44" cm="1">
        <f t="array" ref="I281">IFERROR(INDEX('ST Forecast'!$E$2:$RK$36,7,M281),"")</f>
        <v>48.865742433718651</v>
      </c>
      <c r="J281" s="44">
        <f>SUM(DB[[#This Row],[Sales-FC-Picks-Collect]:[Sales-FC-Picks-HD]])</f>
        <v>121739.08731684144</v>
      </c>
      <c r="K281" s="44">
        <f t="shared" si="85"/>
        <v>26450.889571090076</v>
      </c>
      <c r="L281" s="44">
        <f t="shared" si="86"/>
        <v>95288.197745751371</v>
      </c>
      <c r="M281" s="403">
        <f>IFERROR(IF(B281=B280,M280+1,MATCH(B281,'ST Forecast'!$E$2:$RK$2,0)+1),"")</f>
        <v>317</v>
      </c>
      <c r="N281" s="44">
        <f>SUM(DB[[#This Row],[Ops-FC-Orders-Collect]:[Ops-FC-Orders-HD]])</f>
        <v>2600</v>
      </c>
      <c r="O281" s="44" cm="1">
        <f t="array" ref="O281">IFERROR(INDEX('ST Forecast'!$E$2:$RK$36,13,M281),"")</f>
        <v>650</v>
      </c>
      <c r="P281" s="44">
        <f t="shared" si="91"/>
        <v>1950</v>
      </c>
      <c r="Q281" s="44" cm="1">
        <f t="array" ref="Q281">IFERROR(INDEX('ST Forecast'!$E$2:$RK$36,14,M281),"")</f>
        <v>1000</v>
      </c>
      <c r="R281" s="44" cm="1">
        <f t="array" ref="R281">IFERROR(INDEX('ST Forecast'!$E$2:$RK$36,15,M281),"")</f>
        <v>950</v>
      </c>
      <c r="S281" s="312">
        <f>SUM(DB[[#This Row],[Ops-FC-Picks-Collect]:[Ops-FC-Picks-HD]])</f>
        <v>119304.30557050461</v>
      </c>
      <c r="T281" s="44">
        <f t="shared" si="92"/>
        <v>25921.871779668276</v>
      </c>
      <c r="U281" s="44">
        <f t="shared" si="93"/>
        <v>93382.433790836338</v>
      </c>
      <c r="V281" s="44">
        <f t="shared" si="94"/>
        <v>47888.427585044279</v>
      </c>
      <c r="W281" s="404">
        <f t="shared" si="95"/>
        <v>45494.006205792066</v>
      </c>
      <c r="X281" s="44">
        <f>SUM(DB[[#This Row],[Capped-Orders-Collect]:[Capped-Orders-HD]])</f>
        <v>90</v>
      </c>
      <c r="Y281">
        <f>INDEX('Operations Forecast'!$A$2:$BGY$47,3,MATCH(DB!D281,'Operations Forecast'!$A$2:$BGY$2))</f>
        <v>0</v>
      </c>
      <c r="Z281">
        <f t="shared" si="96"/>
        <v>90</v>
      </c>
      <c r="AA281">
        <f>INDEX('Operations Forecast'!$A$2:$BGY$47,10,MATCH(DB!D281,'Operations Forecast'!$A$2:$BGY$2))</f>
        <v>90</v>
      </c>
      <c r="AB281">
        <f>INDEX('Operations Forecast'!$A$2:$BGY$47,21,MATCH(DB!D281,'Operations Forecast'!$A$2:$BGY$2))</f>
        <v>0</v>
      </c>
      <c r="AC281" s="312">
        <f>SUM(DB[[#This Row],[Act-Orders-Collect]:[Act-Orders-HD]])</f>
        <v>2632</v>
      </c>
      <c r="AD281" s="858">
        <f>IFERROR(INDEX('Operations Forecast_new'!$7:$7,MATCH(DB[[#This Row],[Datum]],'Operations Forecast_new'!$2:$2,0)),0)</f>
        <v>557</v>
      </c>
      <c r="AE281" s="312">
        <f t="shared" si="97"/>
        <v>2075</v>
      </c>
      <c r="AF281" s="858">
        <f>IFERROR(INDEX('Operations Forecast_new'!$13:$13,MATCH(DB[[#This Row],[Datum]],'Operations Forecast_new'!$2:$2,0)),0)</f>
        <v>1056</v>
      </c>
      <c r="AG281" s="858">
        <f>IFERROR(INDEX('Operations Forecast_new'!$19:$19,MATCH(DB[[#This Row],[Datum]],'Operations Forecast_new'!$2:$2,0)),0)</f>
        <v>1019</v>
      </c>
      <c r="AH281" s="312">
        <f t="shared" si="87"/>
        <v>124550.31600000002</v>
      </c>
      <c r="AI281" s="858">
        <f>IFERROR(INDEX('Operations Forecast_new'!$9:$9,MATCH(DB[[#This Row],[Datum]],'Operations Forecast_new'!$2:$2,0)),0)</f>
        <v>24097.491000000002</v>
      </c>
      <c r="AJ281" s="312">
        <f t="shared" si="98"/>
        <v>100452.82500000001</v>
      </c>
      <c r="AK281" s="858">
        <f>IFERROR(INDEX('Operations Forecast_new'!$15:$15,MATCH(DB[[#This Row],[Datum]],'Operations Forecast_new'!$2:$2,0)),0)</f>
        <v>51122.016000000003</v>
      </c>
      <c r="AL281" s="858">
        <f>IFERROR(INDEX('Operations Forecast_new'!$21:$21,MATCH(DB[[#This Row],[Datum]],'Operations Forecast_new'!$2:$2,0)),0)</f>
        <v>49330.809000000001</v>
      </c>
      <c r="AM281" s="178">
        <f>IFERROR(INDEX('Operations Forecast_new'!$8:$8,MATCH(DB[[#This Row],[Datum]],'Operations Forecast_new'!$2:$2,0)),0)</f>
        <v>43.7</v>
      </c>
      <c r="AN281" s="859">
        <f>IFERROR(INDEX('Operations Forecast_new'!$20:$20,MATCH(DB[[#This Row],[Datum]],'Operations Forecast_new'!$2:$2,0)),0)</f>
        <v>48.9</v>
      </c>
      <c r="AO281" s="44">
        <f t="shared" si="99"/>
        <v>43.263000000000005</v>
      </c>
      <c r="AP281" s="404">
        <f t="shared" si="100"/>
        <v>48.411000000000008</v>
      </c>
      <c r="AQ281" s="44">
        <f t="shared" si="88"/>
        <v>127175.98768881564</v>
      </c>
      <c r="AR281" s="44" cm="1">
        <f t="array" ref="AR281">IFERROR(INDEX('ST Forecast'!$E$2:$RK$36,25,M281)+(INDEX('ST Forecast'!$E$2:$RK$36,29,M281)),"")</f>
        <v>56331.455999999998</v>
      </c>
      <c r="AS281" s="44" cm="1">
        <f t="array" ref="AS281">IFERROR(INDEX('ST Forecast'!$E$2:$RK$36,26,M281)+INDEX('ST Forecast'!$E$2:$RK$36,30,M281),"")</f>
        <v>53663.014037349785</v>
      </c>
      <c r="AT281" s="44" cm="1">
        <f t="array" ref="AT281">IFERROR(INDEX('ST Forecast'!$E$2:$RK$36,27,M281)+INDEX('ST Forecast'!$E$2:$RK$36,31,M281),"")</f>
        <v>8295.475688815648</v>
      </c>
      <c r="AU281" s="44" cm="1">
        <f t="array" ref="AU281">IFERROR(INDEX('ST Forecast'!$E$2:$RK$36,28,M281),"")</f>
        <v>8886.0419626502098</v>
      </c>
      <c r="AV281" s="44" cm="1">
        <f t="array" ref="AV281">IFERROR(INDEX('ST Forecast'!$E$2:$RK$36,29,M281),"")</f>
        <v>0</v>
      </c>
      <c r="AW281" s="44">
        <f>DB[[#This Row],[Inbound FC]]-DB[[#This Row],[Inbound Act - Ultrafresh2]]</f>
        <v>127175.98768881564</v>
      </c>
      <c r="AX281" s="178" t="e">
        <f>#REF!</f>
        <v>#REF!</v>
      </c>
      <c r="AY281" s="178" t="e">
        <f>#REF!</f>
        <v>#REF!</v>
      </c>
      <c r="AZ281" s="178" t="e">
        <f>#REF!</f>
        <v>#REF!</v>
      </c>
      <c r="BA281" s="178">
        <f>MONTH(DB[[#This Row],[Datum]])</f>
        <v>10</v>
      </c>
    </row>
    <row r="282" spans="1:53" x14ac:dyDescent="0.3">
      <c r="A282" s="44">
        <f t="shared" si="89"/>
        <v>40</v>
      </c>
      <c r="B282" t="str">
        <f t="shared" si="90"/>
        <v>Wk 40</v>
      </c>
      <c r="C282" t="s">
        <v>117</v>
      </c>
      <c r="D282" s="313">
        <v>44841</v>
      </c>
      <c r="E282" s="44">
        <f>DB[[#This Row],[Sales-FC-Orders-Collect]]+DB[[#This Row],[Sales-FC-Orders-HD]]</f>
        <v>3075</v>
      </c>
      <c r="F282" s="402" cm="1">
        <f t="array" ref="F282">INDEX('LT Collect Forecast'!$K$1:$Q$55,MATCH(B282,'LT Collect Forecast'!$A:$A,0)+1,MATCH(C282,'LT Collect Forecast'!$K$2:$Q$2,0))</f>
        <v>1025</v>
      </c>
      <c r="G282" s="44" cm="1">
        <f t="array" ref="G282">INDEX('LT HD Forecast'!$K$1:$Q$55,MATCH(B282,'LT HD Forecast'!$A:$A,0)+1,MATCH(C282,'LT HD Forecast'!$K$2:$Q$2,0))</f>
        <v>2050</v>
      </c>
      <c r="H282" s="44" cm="1">
        <f t="array" ref="H282">IFERROR(INDEX('ST Forecast'!$E$2:$RK$36,6,M282),"")</f>
        <v>51.592636472309863</v>
      </c>
      <c r="I282" s="44" cm="1">
        <f t="array" ref="I282">IFERROR(INDEX('ST Forecast'!$E$2:$RK$36,7,M282),"")</f>
        <v>51.646023910098968</v>
      </c>
      <c r="J282" s="44">
        <f>SUM(DB[[#This Row],[Sales-FC-Picks-Collect]:[Sales-FC-Picks-HD]])</f>
        <v>158756.80139982048</v>
      </c>
      <c r="K282" s="44">
        <f t="shared" si="85"/>
        <v>52882.452384117612</v>
      </c>
      <c r="L282" s="44">
        <f t="shared" si="86"/>
        <v>105874.34901570289</v>
      </c>
      <c r="M282" s="403">
        <f>IFERROR(IF(B282=B281,M281+1,MATCH(B282,'ST Forecast'!$E$2:$RK$2,0)+1),"")</f>
        <v>318</v>
      </c>
      <c r="N282" s="44">
        <f>SUM(DB[[#This Row],[Ops-FC-Orders-Collect]:[Ops-FC-Orders-HD]])</f>
        <v>3050</v>
      </c>
      <c r="O282" s="44" cm="1">
        <f t="array" ref="O282">IFERROR(INDEX('ST Forecast'!$E$2:$RK$36,13,M282),"")</f>
        <v>1025</v>
      </c>
      <c r="P282" s="44">
        <f t="shared" si="91"/>
        <v>2025</v>
      </c>
      <c r="Q282" s="44" cm="1">
        <f t="array" ref="Q282">IFERROR(INDEX('ST Forecast'!$E$2:$RK$36,14,M282),"")</f>
        <v>1050</v>
      </c>
      <c r="R282" s="44" cm="1">
        <f t="array" ref="R282">IFERROR(INDEX('ST Forecast'!$E$2:$RK$36,15,M282),"")</f>
        <v>975</v>
      </c>
      <c r="S282" s="312">
        <f>SUM(DB[[#This Row],[Ops-FC-Picks-Collect]:[Ops-FC-Picks-HD]])</f>
        <v>154316.33778602665</v>
      </c>
      <c r="T282" s="44">
        <f t="shared" si="92"/>
        <v>51824.80333643526</v>
      </c>
      <c r="U282" s="44">
        <f t="shared" si="93"/>
        <v>102491.53444959139</v>
      </c>
      <c r="V282" s="44">
        <f t="shared" si="94"/>
        <v>53143.758603491835</v>
      </c>
      <c r="W282" s="404">
        <f t="shared" si="95"/>
        <v>49347.775846099561</v>
      </c>
      <c r="X282" s="44">
        <f>SUM(DB[[#This Row],[Capped-Orders-Collect]:[Capped-Orders-HD]])</f>
        <v>90</v>
      </c>
      <c r="Y282">
        <f>INDEX('Operations Forecast'!$A$2:$BGY$47,3,MATCH(DB!D282,'Operations Forecast'!$A$2:$BGY$2))</f>
        <v>0</v>
      </c>
      <c r="Z282">
        <f t="shared" si="96"/>
        <v>90</v>
      </c>
      <c r="AA282">
        <f>INDEX('Operations Forecast'!$A$2:$BGY$47,10,MATCH(DB!D282,'Operations Forecast'!$A$2:$BGY$2))</f>
        <v>90</v>
      </c>
      <c r="AB282">
        <f>INDEX('Operations Forecast'!$A$2:$BGY$47,21,MATCH(DB!D282,'Operations Forecast'!$A$2:$BGY$2))</f>
        <v>0</v>
      </c>
      <c r="AC282" s="312">
        <f>SUM(DB[[#This Row],[Act-Orders-Collect]:[Act-Orders-HD]])</f>
        <v>3093</v>
      </c>
      <c r="AD282" s="858">
        <f>IFERROR(INDEX('Operations Forecast_new'!$7:$7,MATCH(DB[[#This Row],[Datum]],'Operations Forecast_new'!$2:$2,0)),0)</f>
        <v>966</v>
      </c>
      <c r="AE282" s="312">
        <f t="shared" si="97"/>
        <v>2127</v>
      </c>
      <c r="AF282" s="858">
        <f>IFERROR(INDEX('Operations Forecast_new'!$13:$13,MATCH(DB[[#This Row],[Datum]],'Operations Forecast_new'!$2:$2,0)),0)</f>
        <v>1111</v>
      </c>
      <c r="AG282" s="858">
        <f>IFERROR(INDEX('Operations Forecast_new'!$19:$19,MATCH(DB[[#This Row],[Datum]],'Operations Forecast_new'!$2:$2,0)),0)</f>
        <v>1016</v>
      </c>
      <c r="AH282" s="312">
        <f t="shared" si="87"/>
        <v>158672.25</v>
      </c>
      <c r="AI282" s="858">
        <f>IFERROR(INDEX('Operations Forecast_new'!$9:$9,MATCH(DB[[#This Row],[Datum]],'Operations Forecast_new'!$2:$2,0)),0)</f>
        <v>50016.581999999995</v>
      </c>
      <c r="AJ282" s="312">
        <f t="shared" si="98"/>
        <v>108655.66800000001</v>
      </c>
      <c r="AK282" s="858">
        <f>IFERROR(INDEX('Operations Forecast_new'!$15:$15,MATCH(DB[[#This Row],[Datum]],'Operations Forecast_new'!$2:$2,0)),0)</f>
        <v>56754.324000000001</v>
      </c>
      <c r="AL282" s="858">
        <f>IFERROR(INDEX('Operations Forecast_new'!$21:$21,MATCH(DB[[#This Row],[Datum]],'Operations Forecast_new'!$2:$2,0)),0)</f>
        <v>51901.343999999997</v>
      </c>
      <c r="AM282" s="178">
        <f>IFERROR(INDEX('Operations Forecast_new'!$8:$8,MATCH(DB[[#This Row],[Datum]],'Operations Forecast_new'!$2:$2,0)),0)</f>
        <v>52.3</v>
      </c>
      <c r="AN282" s="859">
        <f>IFERROR(INDEX('Operations Forecast_new'!$20:$20,MATCH(DB[[#This Row],[Datum]],'Operations Forecast_new'!$2:$2,0)),0)</f>
        <v>51.6</v>
      </c>
      <c r="AO282" s="44">
        <f t="shared" si="99"/>
        <v>51.776999999999994</v>
      </c>
      <c r="AP282" s="404">
        <f t="shared" si="100"/>
        <v>51.084000000000003</v>
      </c>
      <c r="AQ282" s="44">
        <f t="shared" si="88"/>
        <v>122292.9410986015</v>
      </c>
      <c r="AR282" s="44" cm="1">
        <f t="array" ref="AR282">IFERROR(INDEX('ST Forecast'!$E$2:$RK$36,25,M282)+(INDEX('ST Forecast'!$E$2:$RK$36,29,M282)),"")</f>
        <v>49253.078000000001</v>
      </c>
      <c r="AS282" s="44" cm="1">
        <f t="array" ref="AS282">IFERROR(INDEX('ST Forecast'!$E$2:$RK$36,26,M282)+INDEX('ST Forecast'!$E$2:$RK$36,30,M282),"")</f>
        <v>58169.844778914347</v>
      </c>
      <c r="AT282" s="44" cm="1">
        <f t="array" ref="AT282">IFERROR(INDEX('ST Forecast'!$E$2:$RK$36,27,M282)+INDEX('ST Forecast'!$E$2:$RK$36,31,M282),"")</f>
        <v>6317.7130986014927</v>
      </c>
      <c r="AU282" s="44" cm="1">
        <f t="array" ref="AU282">IFERROR(INDEX('ST Forecast'!$E$2:$RK$36,28,M282),"")</f>
        <v>8552.3052210856604</v>
      </c>
      <c r="AV282" s="44" cm="1">
        <f t="array" ref="AV282">IFERROR(INDEX('ST Forecast'!$E$2:$RK$36,29,M282),"")</f>
        <v>0</v>
      </c>
      <c r="AW282" s="44">
        <f>DB[[#This Row],[Inbound FC]]-DB[[#This Row],[Inbound Act - Ultrafresh2]]</f>
        <v>122292.9410986015</v>
      </c>
      <c r="AX282" s="178" t="e">
        <f>#REF!</f>
        <v>#REF!</v>
      </c>
      <c r="AY282" s="178" t="e">
        <f>#REF!</f>
        <v>#REF!</v>
      </c>
      <c r="AZ282" s="178" t="e">
        <f>#REF!</f>
        <v>#REF!</v>
      </c>
      <c r="BA282" s="178">
        <f>MONTH(DB[[#This Row],[Datum]])</f>
        <v>10</v>
      </c>
    </row>
    <row r="283" spans="1:53" x14ac:dyDescent="0.3">
      <c r="A283" s="44">
        <f t="shared" si="89"/>
        <v>40</v>
      </c>
      <c r="B283" t="str">
        <f t="shared" si="90"/>
        <v>Wk 40</v>
      </c>
      <c r="C283" t="s">
        <v>118</v>
      </c>
      <c r="D283" s="313">
        <v>44842</v>
      </c>
      <c r="E283" s="44">
        <f>DB[[#This Row],[Sales-FC-Orders-Collect]]+DB[[#This Row],[Sales-FC-Orders-HD]]</f>
        <v>2925</v>
      </c>
      <c r="F283" s="402" cm="1">
        <f t="array" ref="F283">INDEX('LT Collect Forecast'!$K$1:$Q$55,MATCH(B283,'LT Collect Forecast'!$A:$A,0)+1,MATCH(C283,'LT Collect Forecast'!$K$2:$Q$2,0))</f>
        <v>925</v>
      </c>
      <c r="G283" s="44" cm="1">
        <f t="array" ref="G283">INDEX('LT HD Forecast'!$K$1:$Q$55,MATCH(B283,'LT HD Forecast'!$A:$A,0)+1,MATCH(C283,'LT HD Forecast'!$K$2:$Q$2,0))</f>
        <v>2000</v>
      </c>
      <c r="H283" s="44" cm="1">
        <f t="array" ref="H283">IFERROR(INDEX('ST Forecast'!$E$2:$RK$36,6,M283),"")</f>
        <v>50.678639147456515</v>
      </c>
      <c r="I283" s="44" cm="1">
        <f t="array" ref="I283">IFERROR(INDEX('ST Forecast'!$E$2:$RK$36,7,M283),"")</f>
        <v>51.56287019022848</v>
      </c>
      <c r="J283" s="44">
        <f>SUM(DB[[#This Row],[Sales-FC-Picks-Collect]:[Sales-FC-Picks-HD]])</f>
        <v>150003.48159185424</v>
      </c>
      <c r="K283" s="44">
        <f t="shared" si="85"/>
        <v>46877.741211397275</v>
      </c>
      <c r="L283" s="44">
        <f t="shared" si="86"/>
        <v>103125.74038045696</v>
      </c>
      <c r="M283" s="403">
        <f>IFERROR(IF(B283=B282,M282+1,MATCH(B283,'ST Forecast'!$E$2:$RK$2,0)+1),"")</f>
        <v>319</v>
      </c>
      <c r="N283" s="44">
        <f>SUM(DB[[#This Row],[Ops-FC-Orders-Collect]:[Ops-FC-Orders-HD]])</f>
        <v>2775</v>
      </c>
      <c r="O283" s="44" cm="1">
        <f t="array" ref="O283">IFERROR(INDEX('ST Forecast'!$E$2:$RK$36,13,M283),"")</f>
        <v>925</v>
      </c>
      <c r="P283" s="44">
        <f t="shared" si="91"/>
        <v>1850</v>
      </c>
      <c r="Q283" s="44" cm="1">
        <f t="array" ref="Q283">IFERROR(INDEX('ST Forecast'!$E$2:$RK$36,14,M283),"")</f>
        <v>1050</v>
      </c>
      <c r="R283" s="44" cm="1">
        <f t="array" ref="R283">IFERROR(INDEX('ST Forecast'!$E$2:$RK$36,15,M283),"")</f>
        <v>800</v>
      </c>
      <c r="S283" s="312">
        <f>SUM(DB[[#This Row],[Ops-FC-Picks-Collect]:[Ops-FC-Picks-HD]])</f>
        <v>139423.67004205356</v>
      </c>
      <c r="T283" s="44">
        <f t="shared" si="92"/>
        <v>45940.186387169328</v>
      </c>
      <c r="U283" s="44">
        <f t="shared" si="93"/>
        <v>93483.483654884229</v>
      </c>
      <c r="V283" s="44">
        <f t="shared" si="94"/>
        <v>53058.193425745107</v>
      </c>
      <c r="W283" s="404">
        <f t="shared" si="95"/>
        <v>40425.290229139122</v>
      </c>
      <c r="X283" s="44">
        <f>SUM(DB[[#This Row],[Capped-Orders-Collect]:[Capped-Orders-HD]])</f>
        <v>90</v>
      </c>
      <c r="Y283">
        <f>INDEX('Operations Forecast'!$A$2:$BGY$47,3,MATCH(DB!D283,'Operations Forecast'!$A$2:$BGY$2))</f>
        <v>0</v>
      </c>
      <c r="Z283">
        <f t="shared" si="96"/>
        <v>90</v>
      </c>
      <c r="AA283">
        <f>INDEX('Operations Forecast'!$A$2:$BGY$47,10,MATCH(DB!D283,'Operations Forecast'!$A$2:$BGY$2))</f>
        <v>90</v>
      </c>
      <c r="AB283">
        <f>INDEX('Operations Forecast'!$A$2:$BGY$47,21,MATCH(DB!D283,'Operations Forecast'!$A$2:$BGY$2))</f>
        <v>0</v>
      </c>
      <c r="AC283" s="312">
        <f>SUM(DB[[#This Row],[Act-Orders-Collect]:[Act-Orders-HD]])</f>
        <v>2802</v>
      </c>
      <c r="AD283" s="858">
        <f>IFERROR(INDEX('Operations Forecast_new'!$7:$7,MATCH(DB[[#This Row],[Datum]],'Operations Forecast_new'!$2:$2,0)),0)</f>
        <v>880</v>
      </c>
      <c r="AE283" s="312">
        <f t="shared" si="97"/>
        <v>1922</v>
      </c>
      <c r="AF283" s="858">
        <f>IFERROR(INDEX('Operations Forecast_new'!$13:$13,MATCH(DB[[#This Row],[Datum]],'Operations Forecast_new'!$2:$2,0)),0)</f>
        <v>1054</v>
      </c>
      <c r="AG283" s="858">
        <f>IFERROR(INDEX('Operations Forecast_new'!$19:$19,MATCH(DB[[#This Row],[Datum]],'Operations Forecast_new'!$2:$2,0)),0)</f>
        <v>868</v>
      </c>
      <c r="AH283" s="312">
        <f t="shared" si="87"/>
        <v>146188.74600000001</v>
      </c>
      <c r="AI283" s="858">
        <f>IFERROR(INDEX('Operations Forecast_new'!$9:$9,MATCH(DB[[#This Row],[Datum]],'Operations Forecast_new'!$2:$2,0)),0)</f>
        <v>45912.24</v>
      </c>
      <c r="AJ283" s="312">
        <f t="shared" si="98"/>
        <v>100276.50600000001</v>
      </c>
      <c r="AK283" s="858">
        <f>IFERROR(INDEX('Operations Forecast_new'!$15:$15,MATCH(DB[[#This Row],[Datum]],'Operations Forecast_new'!$2:$2,0)),0)</f>
        <v>54990.342000000004</v>
      </c>
      <c r="AL283" s="858">
        <f>IFERROR(INDEX('Operations Forecast_new'!$21:$21,MATCH(DB[[#This Row],[Datum]],'Operations Forecast_new'!$2:$2,0)),0)</f>
        <v>45286.164000000004</v>
      </c>
      <c r="AM283" s="178">
        <f>IFERROR(INDEX('Operations Forecast_new'!$8:$8,MATCH(DB[[#This Row],[Datum]],'Operations Forecast_new'!$2:$2,0)),0)</f>
        <v>52.7</v>
      </c>
      <c r="AN283" s="859">
        <f>IFERROR(INDEX('Operations Forecast_new'!$20:$20,MATCH(DB[[#This Row],[Datum]],'Operations Forecast_new'!$2:$2,0)),0)</f>
        <v>52.7</v>
      </c>
      <c r="AO283" s="44">
        <f t="shared" si="99"/>
        <v>52.172999999999995</v>
      </c>
      <c r="AP283" s="404">
        <f t="shared" si="100"/>
        <v>52.173000000000002</v>
      </c>
      <c r="AQ283" s="44">
        <f t="shared" si="88"/>
        <v>124378.00000000007</v>
      </c>
      <c r="AR283" s="44" cm="1">
        <f t="array" ref="AR283">IFERROR(INDEX('ST Forecast'!$E$2:$RK$36,25,M283)+(INDEX('ST Forecast'!$E$2:$RK$36,29,M283)),"")</f>
        <v>57479.065459034748</v>
      </c>
      <c r="AS283" s="44" cm="1">
        <f t="array" ref="AS283">IFERROR(INDEX('ST Forecast'!$E$2:$RK$36,26,M283)+INDEX('ST Forecast'!$E$2:$RK$36,30,M283),"")</f>
        <v>53469.079566738103</v>
      </c>
      <c r="AT283" s="44" cm="1">
        <f t="array" ref="AT283">IFERROR(INDEX('ST Forecast'!$E$2:$RK$36,27,M283)+INDEX('ST Forecast'!$E$2:$RK$36,31,M283),"")</f>
        <v>6974.6774128576735</v>
      </c>
      <c r="AU283" s="44" cm="1">
        <f t="array" ref="AU283">IFERROR(INDEX('ST Forecast'!$E$2:$RK$36,28,M283),"")</f>
        <v>6455.177561369539</v>
      </c>
      <c r="AV283" s="44" cm="1">
        <f t="array" ref="AV283">IFERROR(INDEX('ST Forecast'!$E$2:$RK$36,29,M283),"")</f>
        <v>0</v>
      </c>
      <c r="AW283" s="44">
        <f>DB[[#This Row],[Inbound FC]]-DB[[#This Row],[Inbound Act - Ultrafresh2]]</f>
        <v>124378.00000000007</v>
      </c>
      <c r="AX283" s="178" t="e">
        <f>#REF!</f>
        <v>#REF!</v>
      </c>
      <c r="AY283" s="178" t="e">
        <f>#REF!</f>
        <v>#REF!</v>
      </c>
      <c r="AZ283" s="178" t="e">
        <f>#REF!</f>
        <v>#REF!</v>
      </c>
      <c r="BA283" s="178">
        <f>MONTH(DB[[#This Row],[Datum]])</f>
        <v>10</v>
      </c>
    </row>
    <row r="284" spans="1:53" x14ac:dyDescent="0.3">
      <c r="A284" s="44">
        <f t="shared" si="89"/>
        <v>40</v>
      </c>
      <c r="B284" t="str">
        <f t="shared" si="90"/>
        <v>Wk 40</v>
      </c>
      <c r="C284" t="s">
        <v>119</v>
      </c>
      <c r="D284" s="313">
        <v>44843</v>
      </c>
      <c r="E284" s="44">
        <f>DB[[#This Row],[Sales-FC-Orders-Collect]]+DB[[#This Row],[Sales-FC-Orders-HD]]</f>
        <v>0</v>
      </c>
      <c r="F284" s="402" cm="1">
        <f t="array" ref="F284">INDEX('LT Collect Forecast'!$K$1:$Q$55,MATCH(B284,'LT Collect Forecast'!$A:$A,0)+1,MATCH(C284,'LT Collect Forecast'!$K$2:$Q$2,0))</f>
        <v>0</v>
      </c>
      <c r="G284" s="44" cm="1">
        <f t="array" ref="G284">INDEX('LT HD Forecast'!$K$1:$Q$55,MATCH(B284,'LT HD Forecast'!$A:$A,0)+1,MATCH(C284,'LT HD Forecast'!$K$2:$Q$2,0))</f>
        <v>0</v>
      </c>
      <c r="H284" s="44" cm="1">
        <f t="array" ref="H284">IFERROR(INDEX('ST Forecast'!$E$2:$RK$36,6,M284),"")</f>
        <v>0</v>
      </c>
      <c r="I284" s="44" cm="1">
        <f t="array" ref="I284">IFERROR(INDEX('ST Forecast'!$E$2:$RK$36,7,M284),"")</f>
        <v>0</v>
      </c>
      <c r="J284" s="44">
        <f>SUM(DB[[#This Row],[Sales-FC-Picks-Collect]:[Sales-FC-Picks-HD]])</f>
        <v>0</v>
      </c>
      <c r="K284" s="44">
        <f t="shared" si="85"/>
        <v>0</v>
      </c>
      <c r="L284" s="44">
        <f t="shared" si="86"/>
        <v>0</v>
      </c>
      <c r="M284" s="403">
        <f>IFERROR(IF(B284=B283,M283+1,MATCH(B284,'ST Forecast'!$E$2:$RK$2,0)+1),"")</f>
        <v>320</v>
      </c>
      <c r="N284" s="44">
        <f>SUM(DB[[#This Row],[Ops-FC-Orders-Collect]:[Ops-FC-Orders-HD]])</f>
        <v>0</v>
      </c>
      <c r="O284" s="44" cm="1">
        <f t="array" ref="O284">IFERROR(INDEX('ST Forecast'!$E$2:$RK$36,13,M284),"")</f>
        <v>0</v>
      </c>
      <c r="P284" s="44">
        <f t="shared" si="91"/>
        <v>0</v>
      </c>
      <c r="Q284" s="44" cm="1">
        <f t="array" ref="Q284">IFERROR(INDEX('ST Forecast'!$E$2:$RK$36,14,M284),"")</f>
        <v>0</v>
      </c>
      <c r="R284" s="44" cm="1">
        <f t="array" ref="R284">IFERROR(INDEX('ST Forecast'!$E$2:$RK$36,15,M284),"")</f>
        <v>0</v>
      </c>
      <c r="S284" s="312">
        <f>SUM(DB[[#This Row],[Ops-FC-Picks-Collect]:[Ops-FC-Picks-HD]])</f>
        <v>0</v>
      </c>
      <c r="T284" s="44">
        <f t="shared" si="92"/>
        <v>0</v>
      </c>
      <c r="U284" s="44">
        <f t="shared" si="93"/>
        <v>0</v>
      </c>
      <c r="V284" s="44">
        <f t="shared" si="94"/>
        <v>0</v>
      </c>
      <c r="W284" s="404">
        <f t="shared" si="95"/>
        <v>0</v>
      </c>
      <c r="X284" s="44">
        <f>SUM(DB[[#This Row],[Capped-Orders-Collect]:[Capped-Orders-HD]])</f>
        <v>90</v>
      </c>
      <c r="Y284">
        <f>INDEX('Operations Forecast'!$A$2:$BGY$47,3,MATCH(DB!D284,'Operations Forecast'!$A$2:$BGY$2))</f>
        <v>0</v>
      </c>
      <c r="Z284">
        <f t="shared" si="96"/>
        <v>90</v>
      </c>
      <c r="AA284">
        <f>INDEX('Operations Forecast'!$A$2:$BGY$47,10,MATCH(DB!D284,'Operations Forecast'!$A$2:$BGY$2))</f>
        <v>90</v>
      </c>
      <c r="AB284">
        <f>INDEX('Operations Forecast'!$A$2:$BGY$47,21,MATCH(DB!D284,'Operations Forecast'!$A$2:$BGY$2))</f>
        <v>0</v>
      </c>
      <c r="AC284" s="312">
        <f>SUM(DB[[#This Row],[Act-Orders-Collect]:[Act-Orders-HD]])</f>
        <v>0</v>
      </c>
      <c r="AD284" s="858">
        <f>IFERROR(INDEX('Operations Forecast_new'!$7:$7,MATCH(DB[[#This Row],[Datum]],'Operations Forecast_new'!$2:$2,0)),0)</f>
        <v>0</v>
      </c>
      <c r="AE284" s="312">
        <f t="shared" si="97"/>
        <v>0</v>
      </c>
      <c r="AF284" s="858">
        <f>IFERROR(INDEX('Operations Forecast_new'!$13:$13,MATCH(DB[[#This Row],[Datum]],'Operations Forecast_new'!$2:$2,0)),0)</f>
        <v>0</v>
      </c>
      <c r="AG284" s="858">
        <f>IFERROR(INDEX('Operations Forecast_new'!$19:$19,MATCH(DB[[#This Row],[Datum]],'Operations Forecast_new'!$2:$2,0)),0)</f>
        <v>0</v>
      </c>
      <c r="AH284" s="312">
        <f t="shared" si="87"/>
        <v>0</v>
      </c>
      <c r="AI284" s="858">
        <f>IFERROR(INDEX('Operations Forecast_new'!$9:$9,MATCH(DB[[#This Row],[Datum]],'Operations Forecast_new'!$2:$2,0)),0)</f>
        <v>0</v>
      </c>
      <c r="AJ284" s="312">
        <f t="shared" si="98"/>
        <v>0</v>
      </c>
      <c r="AK284" s="858">
        <f>IFERROR(INDEX('Operations Forecast_new'!$15:$15,MATCH(DB[[#This Row],[Datum]],'Operations Forecast_new'!$2:$2,0)),0)</f>
        <v>0</v>
      </c>
      <c r="AL284" s="858">
        <f>IFERROR(INDEX('Operations Forecast_new'!$21:$21,MATCH(DB[[#This Row],[Datum]],'Operations Forecast_new'!$2:$2,0)),0)</f>
        <v>0</v>
      </c>
      <c r="AM284" s="178">
        <f>IFERROR(INDEX('Operations Forecast_new'!$8:$8,MATCH(DB[[#This Row],[Datum]],'Operations Forecast_new'!$2:$2,0)),0)</f>
        <v>0</v>
      </c>
      <c r="AN284" s="859">
        <f>IFERROR(INDEX('Operations Forecast_new'!$20:$20,MATCH(DB[[#This Row],[Datum]],'Operations Forecast_new'!$2:$2,0)),0)</f>
        <v>0</v>
      </c>
      <c r="AO284" s="44" t="str">
        <f t="shared" si="99"/>
        <v>-</v>
      </c>
      <c r="AP284" s="404" t="str">
        <f t="shared" si="100"/>
        <v>-</v>
      </c>
      <c r="AQ284" s="44">
        <f t="shared" si="88"/>
        <v>0</v>
      </c>
      <c r="AR284" s="44" cm="1">
        <f t="array" ref="AR284">IFERROR(INDEX('ST Forecast'!$E$2:$RK$36,25,M284)+(INDEX('ST Forecast'!$E$2:$RK$36,29,M284)),"")</f>
        <v>0</v>
      </c>
      <c r="AS284" s="44" cm="1">
        <f t="array" ref="AS284">IFERROR(INDEX('ST Forecast'!$E$2:$RK$36,26,M284)+INDEX('ST Forecast'!$E$2:$RK$36,30,M284),"")</f>
        <v>0</v>
      </c>
      <c r="AT284" s="44" cm="1">
        <f t="array" ref="AT284">IFERROR(INDEX('ST Forecast'!$E$2:$RK$36,27,M284)+INDEX('ST Forecast'!$E$2:$RK$36,31,M284),"")</f>
        <v>0</v>
      </c>
      <c r="AU284" s="44" cm="1">
        <f t="array" ref="AU284">IFERROR(INDEX('ST Forecast'!$E$2:$RK$36,28,M284),"")</f>
        <v>0</v>
      </c>
      <c r="AV284" s="44" cm="1">
        <f t="array" ref="AV284">IFERROR(INDEX('ST Forecast'!$E$2:$RK$36,29,M284),"")</f>
        <v>0</v>
      </c>
      <c r="AW284" s="44">
        <f>DB[[#This Row],[Inbound FC]]-DB[[#This Row],[Inbound Act - Ultrafresh2]]</f>
        <v>0</v>
      </c>
      <c r="AX284" s="178" t="e">
        <f>#REF!</f>
        <v>#REF!</v>
      </c>
      <c r="AY284" s="178" t="e">
        <f>#REF!</f>
        <v>#REF!</v>
      </c>
      <c r="AZ284" s="178" t="e">
        <f>#REF!</f>
        <v>#REF!</v>
      </c>
      <c r="BA284" s="178">
        <f>MONTH(DB[[#This Row],[Datum]])</f>
        <v>10</v>
      </c>
    </row>
    <row r="285" spans="1:53" x14ac:dyDescent="0.3">
      <c r="A285" s="44">
        <f t="shared" si="89"/>
        <v>41</v>
      </c>
      <c r="B285" t="str">
        <f t="shared" si="90"/>
        <v>Wk 41</v>
      </c>
      <c r="C285" t="s">
        <v>113</v>
      </c>
      <c r="D285" s="313">
        <v>44844</v>
      </c>
      <c r="E285" s="44">
        <f>DB[[#This Row],[Sales-FC-Orders-Collect]]+DB[[#This Row],[Sales-FC-Orders-HD]]</f>
        <v>2700</v>
      </c>
      <c r="F285" s="402">
        <f>INDEX('LT Collect Forecast'!$K$1:$Q$55,MATCH(B285,'LT Collect Forecast'!$A:$A,0),MATCH(C285,'LT Collect Forecast'!$K$2:$Q$2,0))</f>
        <v>750</v>
      </c>
      <c r="G285" s="44">
        <f>INDEX('LT HD Forecast'!$K$1:$Q$55,MATCH(B285,'LT HD Forecast'!$A:$A,0),MATCH(C285,'LT HD Forecast'!$K$2:$Q$2,0))</f>
        <v>1950</v>
      </c>
      <c r="H285" s="44" cm="1">
        <f t="array" ref="H285">IFERROR(INDEX('ST Forecast'!$E$2:$RK$36,6,M285),"")</f>
        <v>48.110059587769335</v>
      </c>
      <c r="I285" s="44" cm="1">
        <f t="array" ref="I285">IFERROR(INDEX('ST Forecast'!$E$2:$RK$36,7,M285),"")</f>
        <v>50.072541070168036</v>
      </c>
      <c r="J285" s="44">
        <f>SUM(DB[[#This Row],[Sales-FC-Picks-Collect]:[Sales-FC-Picks-HD]])</f>
        <v>133723.99977765468</v>
      </c>
      <c r="K285" s="44">
        <f t="shared" si="85"/>
        <v>36082.544690827002</v>
      </c>
      <c r="L285" s="44">
        <f t="shared" si="86"/>
        <v>97641.455086827671</v>
      </c>
      <c r="M285" s="403">
        <f>IFERROR(IF(B285=B284,M284+1,MATCH(B285,'ST Forecast'!$E$2:$RK$2,0)+1),"")</f>
        <v>322</v>
      </c>
      <c r="N285" s="44">
        <f>SUM(DB[[#This Row],[Ops-FC-Orders-Collect]:[Ops-FC-Orders-HD]])</f>
        <v>2600</v>
      </c>
      <c r="O285" s="44" cm="1">
        <f t="array" ref="O285">IFERROR(INDEX('ST Forecast'!$E$2:$RK$36,13,M285),"")</f>
        <v>750</v>
      </c>
      <c r="P285" s="44">
        <f t="shared" si="91"/>
        <v>1850</v>
      </c>
      <c r="Q285" s="44" cm="1">
        <f t="array" ref="Q285">IFERROR(INDEX('ST Forecast'!$E$2:$RK$36,14,M285),"")</f>
        <v>800</v>
      </c>
      <c r="R285" s="44" cm="1">
        <f t="array" ref="R285">IFERROR(INDEX('ST Forecast'!$E$2:$RK$36,15,M285),"")</f>
        <v>1050</v>
      </c>
      <c r="S285" s="312">
        <f>SUM(DB[[#This Row],[Ops-FC-Picks-Collect]:[Ops-FC-Picks-HD]])</f>
        <v>126142.41075722511</v>
      </c>
      <c r="T285" s="44">
        <f t="shared" si="92"/>
        <v>35360.89379701046</v>
      </c>
      <c r="U285" s="44">
        <f t="shared" si="93"/>
        <v>90781.516960214649</v>
      </c>
      <c r="V285" s="44">
        <f t="shared" si="94"/>
        <v>39256.872199011741</v>
      </c>
      <c r="W285" s="404">
        <f t="shared" si="95"/>
        <v>51524.644761202908</v>
      </c>
      <c r="X285" s="44">
        <f>SUM(DB[[#This Row],[Capped-Orders-Collect]:[Capped-Orders-HD]])</f>
        <v>90</v>
      </c>
      <c r="Y285">
        <f>INDEX('Operations Forecast'!$A$2:$BGY$47,3,MATCH(DB!D285,'Operations Forecast'!$A$2:$BGY$2))</f>
        <v>0</v>
      </c>
      <c r="Z285">
        <f t="shared" si="96"/>
        <v>90</v>
      </c>
      <c r="AA285">
        <f>INDEX('Operations Forecast'!$A$2:$BGY$47,10,MATCH(DB!D285,'Operations Forecast'!$A$2:$BGY$2))</f>
        <v>90</v>
      </c>
      <c r="AB285">
        <f>INDEX('Operations Forecast'!$A$2:$BGY$47,21,MATCH(DB!D285,'Operations Forecast'!$A$2:$BGY$2))</f>
        <v>0</v>
      </c>
      <c r="AC285" s="312">
        <f>SUM(DB[[#This Row],[Act-Orders-Collect]:[Act-Orders-HD]])</f>
        <v>2592</v>
      </c>
      <c r="AD285" s="858">
        <f>IFERROR(INDEX('Operations Forecast_new'!$7:$7,MATCH(DB[[#This Row],[Datum]],'Operations Forecast_new'!$2:$2,0)),0)</f>
        <v>683</v>
      </c>
      <c r="AE285" s="312">
        <f t="shared" si="97"/>
        <v>1909</v>
      </c>
      <c r="AF285" s="858">
        <f>IFERROR(INDEX('Operations Forecast_new'!$13:$13,MATCH(DB[[#This Row],[Datum]],'Operations Forecast_new'!$2:$2,0)),0)</f>
        <v>842</v>
      </c>
      <c r="AG285" s="858">
        <f>IFERROR(INDEX('Operations Forecast_new'!$19:$19,MATCH(DB[[#This Row],[Datum]],'Operations Forecast_new'!$2:$2,0)),0)</f>
        <v>1067</v>
      </c>
      <c r="AH285" s="312">
        <f t="shared" si="87"/>
        <v>128572.785</v>
      </c>
      <c r="AI285" s="858">
        <f>IFERROR(INDEX('Operations Forecast_new'!$9:$9,MATCH(DB[[#This Row],[Datum]],'Operations Forecast_new'!$2:$2,0)),0)</f>
        <v>33132.33</v>
      </c>
      <c r="AJ285" s="312">
        <f t="shared" si="98"/>
        <v>95440.455000000002</v>
      </c>
      <c r="AK285" s="858">
        <f>IFERROR(INDEX('Operations Forecast_new'!$15:$15,MATCH(DB[[#This Row],[Datum]],'Operations Forecast_new'!$2:$2,0)),0)</f>
        <v>42095.79</v>
      </c>
      <c r="AL285" s="858">
        <f>IFERROR(INDEX('Operations Forecast_new'!$21:$21,MATCH(DB[[#This Row],[Datum]],'Operations Forecast_new'!$2:$2,0)),0)</f>
        <v>53344.665000000001</v>
      </c>
      <c r="AM285" s="178">
        <f>IFERROR(INDEX('Operations Forecast_new'!$8:$8,MATCH(DB[[#This Row],[Datum]],'Operations Forecast_new'!$2:$2,0)),0)</f>
        <v>49</v>
      </c>
      <c r="AN285" s="859">
        <f>IFERROR(INDEX('Operations Forecast_new'!$20:$20,MATCH(DB[[#This Row],[Datum]],'Operations Forecast_new'!$2:$2,0)),0)</f>
        <v>50.5</v>
      </c>
      <c r="AO285" s="44">
        <f t="shared" si="99"/>
        <v>48.510000000000005</v>
      </c>
      <c r="AP285" s="404">
        <f t="shared" si="100"/>
        <v>49.994999999999997</v>
      </c>
      <c r="AQ285" s="44">
        <f t="shared" si="88"/>
        <v>241233.00000000003</v>
      </c>
      <c r="AR285" s="44" cm="1">
        <f t="array" ref="AR285">IFERROR(INDEX('ST Forecast'!$E$2:$RK$36,25,M285)+(INDEX('ST Forecast'!$E$2:$RK$36,29,M285)),"")</f>
        <v>103129.95000000001</v>
      </c>
      <c r="AS285" s="44" cm="1">
        <f t="array" ref="AS285">IFERROR(INDEX('ST Forecast'!$E$2:$RK$36,26,M285)+INDEX('ST Forecast'!$E$2:$RK$36,30,M285),"")</f>
        <v>63743.943719300194</v>
      </c>
      <c r="AT285" s="44" cm="1">
        <f t="array" ref="AT285">IFERROR(INDEX('ST Forecast'!$E$2:$RK$36,27,M285)+INDEX('ST Forecast'!$E$2:$RK$36,31,M285),"")</f>
        <v>64974.54</v>
      </c>
      <c r="AU285" s="44" cm="1">
        <f t="array" ref="AU285">IFERROR(INDEX('ST Forecast'!$E$2:$RK$36,28,M285),"")</f>
        <v>9384.5662806998134</v>
      </c>
      <c r="AV285" s="44" cm="1">
        <f t="array" ref="AV285">IFERROR(INDEX('ST Forecast'!$E$2:$RK$36,29,M285),"")</f>
        <v>0</v>
      </c>
      <c r="AW285" s="44">
        <f>DB[[#This Row],[Inbound FC]]-DB[[#This Row],[Inbound Act - Ultrafresh2]]</f>
        <v>241233.00000000003</v>
      </c>
      <c r="AX285" s="178" t="e">
        <f>#REF!</f>
        <v>#REF!</v>
      </c>
      <c r="AY285" s="178" t="e">
        <f>#REF!</f>
        <v>#REF!</v>
      </c>
      <c r="AZ285" s="178" t="e">
        <f>#REF!</f>
        <v>#REF!</v>
      </c>
      <c r="BA285" s="178">
        <f>MONTH(DB[[#This Row],[Datum]])</f>
        <v>10</v>
      </c>
    </row>
    <row r="286" spans="1:53" x14ac:dyDescent="0.3">
      <c r="A286" s="44">
        <f t="shared" si="89"/>
        <v>41</v>
      </c>
      <c r="B286" t="str">
        <f t="shared" si="90"/>
        <v>Wk 41</v>
      </c>
      <c r="C286" t="s">
        <v>114</v>
      </c>
      <c r="D286" s="313">
        <v>44845</v>
      </c>
      <c r="E286" s="44">
        <f>DB[[#This Row],[Sales-FC-Orders-Collect]]+DB[[#This Row],[Sales-FC-Orders-HD]]</f>
        <v>2700</v>
      </c>
      <c r="F286" s="402">
        <f>INDEX('LT Collect Forecast'!$K$1:$Q$55,MATCH(B286,'LT Collect Forecast'!$A:$A,0),MATCH(C286,'LT Collect Forecast'!$K$2:$Q$2,0))</f>
        <v>650</v>
      </c>
      <c r="G286" s="44">
        <f>INDEX('LT HD Forecast'!$K$1:$Q$55,MATCH(B286,'LT HD Forecast'!$A:$A,0),MATCH(C286,'LT HD Forecast'!$K$2:$Q$2,0))</f>
        <v>2050</v>
      </c>
      <c r="H286" s="44" cm="1">
        <f t="array" ref="H286">IFERROR(INDEX('ST Forecast'!$E$2:$RK$36,6,M286),"")</f>
        <v>41.389452378513631</v>
      </c>
      <c r="I286" s="44" cm="1">
        <f t="array" ref="I286">IFERROR(INDEX('ST Forecast'!$E$2:$RK$36,7,M286),"")</f>
        <v>48.184306495762847</v>
      </c>
      <c r="J286" s="44">
        <f>SUM(DB[[#This Row],[Sales-FC-Picks-Collect]:[Sales-FC-Picks-HD]])</f>
        <v>125680.9723623477</v>
      </c>
      <c r="K286" s="44">
        <f t="shared" si="85"/>
        <v>26903.14404603386</v>
      </c>
      <c r="L286" s="44">
        <f t="shared" si="86"/>
        <v>98777.82831631384</v>
      </c>
      <c r="M286" s="403">
        <f>IFERROR(IF(B286=B285,M285+1,MATCH(B286,'ST Forecast'!$E$2:$RK$2,0)+1),"")</f>
        <v>323</v>
      </c>
      <c r="N286" s="44">
        <f>SUM(DB[[#This Row],[Ops-FC-Orders-Collect]:[Ops-FC-Orders-HD]])</f>
        <v>2700</v>
      </c>
      <c r="O286" s="44" cm="1">
        <f t="array" ref="O286">IFERROR(INDEX('ST Forecast'!$E$2:$RK$36,13,M286),"")</f>
        <v>650</v>
      </c>
      <c r="P286" s="44">
        <f t="shared" si="91"/>
        <v>2050</v>
      </c>
      <c r="Q286" s="44" cm="1">
        <f t="array" ref="Q286">IFERROR(INDEX('ST Forecast'!$E$2:$RK$36,14,M286),"")</f>
        <v>1050</v>
      </c>
      <c r="R286" s="44" cm="1">
        <f t="array" ref="R286">IFERROR(INDEX('ST Forecast'!$E$2:$RK$36,15,M286),"")</f>
        <v>1000</v>
      </c>
      <c r="S286" s="312">
        <f>SUM(DB[[#This Row],[Ops-FC-Picks-Collect]:[Ops-FC-Picks-HD]])</f>
        <v>123167.35291510074</v>
      </c>
      <c r="T286" s="44">
        <f t="shared" si="92"/>
        <v>26365.081165113181</v>
      </c>
      <c r="U286" s="44">
        <f t="shared" si="93"/>
        <v>96802.271749987558</v>
      </c>
      <c r="V286" s="44">
        <f t="shared" si="94"/>
        <v>49581.651384139965</v>
      </c>
      <c r="W286" s="404">
        <f t="shared" si="95"/>
        <v>47220.620365847586</v>
      </c>
      <c r="X286" s="44">
        <f>SUM(DB[[#This Row],[Capped-Orders-Collect]:[Capped-Orders-HD]])</f>
        <v>90</v>
      </c>
      <c r="Y286">
        <f>INDEX('Operations Forecast'!$A$2:$BGY$47,3,MATCH(DB!D286,'Operations Forecast'!$A$2:$BGY$2))</f>
        <v>0</v>
      </c>
      <c r="Z286">
        <f t="shared" si="96"/>
        <v>90</v>
      </c>
      <c r="AA286">
        <f>INDEX('Operations Forecast'!$A$2:$BGY$47,10,MATCH(DB!D286,'Operations Forecast'!$A$2:$BGY$2))</f>
        <v>90</v>
      </c>
      <c r="AB286">
        <f>INDEX('Operations Forecast'!$A$2:$BGY$47,21,MATCH(DB!D286,'Operations Forecast'!$A$2:$BGY$2))</f>
        <v>0</v>
      </c>
      <c r="AC286" s="312">
        <f>SUM(DB[[#This Row],[Act-Orders-Collect]:[Act-Orders-HD]])</f>
        <v>2640</v>
      </c>
      <c r="AD286" s="858">
        <f>IFERROR(INDEX('Operations Forecast_new'!$7:$7,MATCH(DB[[#This Row],[Datum]],'Operations Forecast_new'!$2:$2,0)),0)</f>
        <v>590</v>
      </c>
      <c r="AE286" s="312">
        <f t="shared" si="97"/>
        <v>2050</v>
      </c>
      <c r="AF286" s="858">
        <f>IFERROR(INDEX('Operations Forecast_new'!$13:$13,MATCH(DB[[#This Row],[Datum]],'Operations Forecast_new'!$2:$2,0)),0)</f>
        <v>1050</v>
      </c>
      <c r="AG286" s="858">
        <f>IFERROR(INDEX('Operations Forecast_new'!$19:$19,MATCH(DB[[#This Row],[Datum]],'Operations Forecast_new'!$2:$2,0)),0)</f>
        <v>1000</v>
      </c>
      <c r="AH286" s="312">
        <f t="shared" si="87"/>
        <v>125810.19</v>
      </c>
      <c r="AI286" s="858">
        <f>IFERROR(INDEX('Operations Forecast_new'!$9:$9,MATCH(DB[[#This Row],[Datum]],'Operations Forecast_new'!$2:$2,0)),0)</f>
        <v>25349.94</v>
      </c>
      <c r="AJ286" s="312">
        <f t="shared" si="98"/>
        <v>100460.25</v>
      </c>
      <c r="AK286" s="858">
        <f>IFERROR(INDEX('Operations Forecast_new'!$15:$15,MATCH(DB[[#This Row],[Datum]],'Operations Forecast_new'!$2:$2,0)),0)</f>
        <v>51455.25</v>
      </c>
      <c r="AL286" s="858">
        <f>IFERROR(INDEX('Operations Forecast_new'!$21:$21,MATCH(DB[[#This Row],[Datum]],'Operations Forecast_new'!$2:$2,0)),0)</f>
        <v>49005</v>
      </c>
      <c r="AM286" s="178">
        <f>IFERROR(INDEX('Operations Forecast_new'!$8:$8,MATCH(DB[[#This Row],[Datum]],'Operations Forecast_new'!$2:$2,0)),0)</f>
        <v>43.4</v>
      </c>
      <c r="AN286" s="859">
        <f>IFERROR(INDEX('Operations Forecast_new'!$20:$20,MATCH(DB[[#This Row],[Datum]],'Operations Forecast_new'!$2:$2,0)),0)</f>
        <v>49.5</v>
      </c>
      <c r="AO286" s="44">
        <f t="shared" si="99"/>
        <v>42.966000000000001</v>
      </c>
      <c r="AP286" s="404">
        <f t="shared" si="100"/>
        <v>49.005000000000003</v>
      </c>
      <c r="AQ286" s="44">
        <f t="shared" si="88"/>
        <v>152947.001668251</v>
      </c>
      <c r="AR286" s="44" cm="1">
        <f t="array" ref="AR286">IFERROR(INDEX('ST Forecast'!$E$2:$RK$36,25,M286)+(INDEX('ST Forecast'!$E$2:$RK$36,29,M286)),"")</f>
        <v>73437.599999999991</v>
      </c>
      <c r="AS286" s="44" cm="1">
        <f t="array" ref="AS286">IFERROR(INDEX('ST Forecast'!$E$2:$RK$36,26,M286)+INDEX('ST Forecast'!$E$2:$RK$36,30,M286),"")</f>
        <v>63740.039302308491</v>
      </c>
      <c r="AT286" s="44" cm="1">
        <f t="array" ref="AT286">IFERROR(INDEX('ST Forecast'!$E$2:$RK$36,27,M286)+INDEX('ST Forecast'!$E$2:$RK$36,31,M286),"")</f>
        <v>6683.7816682510147</v>
      </c>
      <c r="AU286" s="44" cm="1">
        <f t="array" ref="AU286">IFERROR(INDEX('ST Forecast'!$E$2:$RK$36,28,M286),"")</f>
        <v>9085.5806976915082</v>
      </c>
      <c r="AV286" s="44" cm="1">
        <f t="array" ref="AV286">IFERROR(INDEX('ST Forecast'!$E$2:$RK$36,29,M286),"")</f>
        <v>0</v>
      </c>
      <c r="AW286" s="44">
        <f>DB[[#This Row],[Inbound FC]]-DB[[#This Row],[Inbound Act - Ultrafresh2]]</f>
        <v>152947.001668251</v>
      </c>
      <c r="AX286" s="178" t="e">
        <f>#REF!</f>
        <v>#REF!</v>
      </c>
      <c r="AY286" s="178" t="e">
        <f>#REF!</f>
        <v>#REF!</v>
      </c>
      <c r="AZ286" s="178" t="e">
        <f>#REF!</f>
        <v>#REF!</v>
      </c>
      <c r="BA286" s="178">
        <f>MONTH(DB[[#This Row],[Datum]])</f>
        <v>10</v>
      </c>
    </row>
    <row r="287" spans="1:53" x14ac:dyDescent="0.3">
      <c r="A287" s="44">
        <f t="shared" si="89"/>
        <v>41</v>
      </c>
      <c r="B287" t="str">
        <f t="shared" si="90"/>
        <v>Wk 41</v>
      </c>
      <c r="C287" t="s">
        <v>115</v>
      </c>
      <c r="D287" s="313">
        <v>44846</v>
      </c>
      <c r="E287" s="44">
        <f>DB[[#This Row],[Sales-FC-Orders-Collect]]+DB[[#This Row],[Sales-FC-Orders-HD]]</f>
        <v>2850</v>
      </c>
      <c r="F287" s="402">
        <f>INDEX('LT Collect Forecast'!$K$1:$Q$55,MATCH(B287,'LT Collect Forecast'!$A:$A,0),MATCH(C287,'LT Collect Forecast'!$K$2:$Q$2,0))</f>
        <v>750</v>
      </c>
      <c r="G287" s="44">
        <f>INDEX('LT HD Forecast'!$K$1:$Q$55,MATCH(B287,'LT HD Forecast'!$A:$A,0),MATCH(C287,'LT HD Forecast'!$K$2:$Q$2,0))</f>
        <v>2100</v>
      </c>
      <c r="H287" s="44" cm="1">
        <f t="array" ref="H287">IFERROR(INDEX('ST Forecast'!$E$2:$RK$36,6,M287),"")</f>
        <v>39.946705574553164</v>
      </c>
      <c r="I287" s="44" cm="1">
        <f t="array" ref="I287">IFERROR(INDEX('ST Forecast'!$E$2:$RK$36,7,M287),"")</f>
        <v>48.322842806116263</v>
      </c>
      <c r="J287" s="44">
        <f>SUM(DB[[#This Row],[Sales-FC-Picks-Collect]:[Sales-FC-Picks-HD]])</f>
        <v>131437.99907375901</v>
      </c>
      <c r="K287" s="44">
        <f t="shared" si="85"/>
        <v>29960.029180914873</v>
      </c>
      <c r="L287" s="44">
        <f t="shared" si="86"/>
        <v>101477.96989284415</v>
      </c>
      <c r="M287" s="403">
        <f>IFERROR(IF(B287=B286,M286+1,MATCH(B287,'ST Forecast'!$E$2:$RK$2,0)+1),"")</f>
        <v>324</v>
      </c>
      <c r="N287" s="44">
        <f>SUM(DB[[#This Row],[Ops-FC-Orders-Collect]:[Ops-FC-Orders-HD]])</f>
        <v>2850</v>
      </c>
      <c r="O287" s="44" cm="1">
        <f t="array" ref="O287">IFERROR(INDEX('ST Forecast'!$E$2:$RK$36,13,M287),"")</f>
        <v>750</v>
      </c>
      <c r="P287" s="44">
        <f t="shared" si="91"/>
        <v>2100</v>
      </c>
      <c r="Q287" s="44" cm="1">
        <f t="array" ref="Q287">IFERROR(INDEX('ST Forecast'!$E$2:$RK$36,14,M287),"")</f>
        <v>1100</v>
      </c>
      <c r="R287" s="44" cm="1">
        <f t="array" ref="R287">IFERROR(INDEX('ST Forecast'!$E$2:$RK$36,15,M287),"")</f>
        <v>1000</v>
      </c>
      <c r="S287" s="312">
        <f>SUM(DB[[#This Row],[Ops-FC-Picks-Collect]:[Ops-FC-Picks-HD]])</f>
        <v>128809.23909228385</v>
      </c>
      <c r="T287" s="44">
        <f t="shared" si="92"/>
        <v>29360.828597296575</v>
      </c>
      <c r="U287" s="44">
        <f t="shared" si="93"/>
        <v>99448.410494987271</v>
      </c>
      <c r="V287" s="44">
        <f t="shared" si="94"/>
        <v>52092.024544993328</v>
      </c>
      <c r="W287" s="404">
        <f t="shared" si="95"/>
        <v>47356.385949993935</v>
      </c>
      <c r="X287" s="44">
        <f>SUM(DB[[#This Row],[Capped-Orders-Collect]:[Capped-Orders-HD]])</f>
        <v>90</v>
      </c>
      <c r="Y287">
        <f>INDEX('Operations Forecast'!$A$2:$BGY$47,3,MATCH(DB!D287,'Operations Forecast'!$A$2:$BGY$2))</f>
        <v>0</v>
      </c>
      <c r="Z287">
        <f t="shared" si="96"/>
        <v>90</v>
      </c>
      <c r="AA287">
        <f>INDEX('Operations Forecast'!$A$2:$BGY$47,10,MATCH(DB!D287,'Operations Forecast'!$A$2:$BGY$2))</f>
        <v>90</v>
      </c>
      <c r="AB287">
        <f>INDEX('Operations Forecast'!$A$2:$BGY$47,21,MATCH(DB!D287,'Operations Forecast'!$A$2:$BGY$2))</f>
        <v>0</v>
      </c>
      <c r="AC287" s="312">
        <f>SUM(DB[[#This Row],[Act-Orders-Collect]:[Act-Orders-HD]])</f>
        <v>2639</v>
      </c>
      <c r="AD287" s="858">
        <f>IFERROR(INDEX('Operations Forecast_new'!$7:$7,MATCH(DB[[#This Row],[Datum]],'Operations Forecast_new'!$2:$2,0)),0)</f>
        <v>575</v>
      </c>
      <c r="AE287" s="312">
        <f t="shared" si="97"/>
        <v>2064</v>
      </c>
      <c r="AF287" s="858">
        <f>IFERROR(INDEX('Operations Forecast_new'!$13:$13,MATCH(DB[[#This Row],[Datum]],'Operations Forecast_new'!$2:$2,0)),0)</f>
        <v>1108</v>
      </c>
      <c r="AG287" s="858">
        <f>IFERROR(INDEX('Operations Forecast_new'!$19:$19,MATCH(DB[[#This Row],[Datum]],'Operations Forecast_new'!$2:$2,0)),0)</f>
        <v>956</v>
      </c>
      <c r="AH287" s="312">
        <f t="shared" si="87"/>
        <v>127730.29500000001</v>
      </c>
      <c r="AI287" s="858">
        <f>IFERROR(INDEX('Operations Forecast_new'!$9:$9,MATCH(DB[[#This Row],[Datum]],'Operations Forecast_new'!$2:$2,0)),0)</f>
        <v>26583.974999999999</v>
      </c>
      <c r="AJ287" s="312">
        <f t="shared" si="98"/>
        <v>101146.32</v>
      </c>
      <c r="AK287" s="858">
        <f>IFERROR(INDEX('Operations Forecast_new'!$15:$15,MATCH(DB[[#This Row],[Datum]],'Operations Forecast_new'!$2:$2,0)),0)</f>
        <v>54297.54</v>
      </c>
      <c r="AL287" s="858">
        <f>IFERROR(INDEX('Operations Forecast_new'!$21:$21,MATCH(DB[[#This Row],[Datum]],'Operations Forecast_new'!$2:$2,0)),0)</f>
        <v>46848.78</v>
      </c>
      <c r="AM287" s="178">
        <f>IFERROR(INDEX('Operations Forecast_new'!$8:$8,MATCH(DB[[#This Row],[Datum]],'Operations Forecast_new'!$2:$2,0)),0)</f>
        <v>46.7</v>
      </c>
      <c r="AN287" s="859">
        <f>IFERROR(INDEX('Operations Forecast_new'!$20:$20,MATCH(DB[[#This Row],[Datum]],'Operations Forecast_new'!$2:$2,0)),0)</f>
        <v>49.5</v>
      </c>
      <c r="AO287" s="44">
        <f t="shared" si="99"/>
        <v>46.232999999999997</v>
      </c>
      <c r="AP287" s="404">
        <f t="shared" si="100"/>
        <v>49.005000000000003</v>
      </c>
      <c r="AQ287" s="44">
        <f t="shared" si="88"/>
        <v>146187.4539057597</v>
      </c>
      <c r="AR287" s="44" cm="1">
        <f t="array" ref="AR287">IFERROR(INDEX('ST Forecast'!$E$2:$RK$36,25,M287)+(INDEX('ST Forecast'!$E$2:$RK$36,29,M287)),"")</f>
        <v>67175.5</v>
      </c>
      <c r="AS287" s="44" cm="1">
        <f t="array" ref="AS287">IFERROR(INDEX('ST Forecast'!$E$2:$RK$36,26,M287)+INDEX('ST Forecast'!$E$2:$RK$36,30,M287),"")</f>
        <v>62048.464314426397</v>
      </c>
      <c r="AT287" s="44" cm="1">
        <f t="array" ref="AT287">IFERROR(INDEX('ST Forecast'!$E$2:$RK$36,27,M287)+INDEX('ST Forecast'!$E$2:$RK$36,31,M287),"")</f>
        <v>7610.4939057596785</v>
      </c>
      <c r="AU287" s="44" cm="1">
        <f t="array" ref="AU287">IFERROR(INDEX('ST Forecast'!$E$2:$RK$36,28,M287),"")</f>
        <v>9352.9956855736255</v>
      </c>
      <c r="AV287" s="44" cm="1">
        <f t="array" ref="AV287">IFERROR(INDEX('ST Forecast'!$E$2:$RK$36,29,M287),"")</f>
        <v>0</v>
      </c>
      <c r="AW287" s="44">
        <f>DB[[#This Row],[Inbound FC]]-DB[[#This Row],[Inbound Act - Ultrafresh2]]</f>
        <v>146187.4539057597</v>
      </c>
      <c r="AX287" s="178" t="e">
        <f>#REF!</f>
        <v>#REF!</v>
      </c>
      <c r="AY287" s="178" t="e">
        <f>#REF!</f>
        <v>#REF!</v>
      </c>
      <c r="AZ287" s="178" t="e">
        <f>#REF!</f>
        <v>#REF!</v>
      </c>
      <c r="BA287" s="178">
        <f>MONTH(DB[[#This Row],[Datum]])</f>
        <v>10</v>
      </c>
    </row>
    <row r="288" spans="1:53" x14ac:dyDescent="0.3">
      <c r="A288" s="44">
        <f t="shared" si="89"/>
        <v>41</v>
      </c>
      <c r="B288" t="str">
        <f t="shared" si="90"/>
        <v>Wk 41</v>
      </c>
      <c r="C288" t="s">
        <v>116</v>
      </c>
      <c r="D288" s="313">
        <v>44847</v>
      </c>
      <c r="E288" s="44">
        <f>DB[[#This Row],[Sales-FC-Orders-Collect]]+DB[[#This Row],[Sales-FC-Orders-HD]]</f>
        <v>2600</v>
      </c>
      <c r="F288" s="402" cm="1">
        <f t="array" ref="F288">INDEX('LT Collect Forecast'!$K$1:$Q$55,MATCH(B288,'LT Collect Forecast'!$A:$A,0)+1,MATCH(C288,'LT Collect Forecast'!$K$2:$Q$2,0))</f>
        <v>600</v>
      </c>
      <c r="G288" s="44" cm="1">
        <f t="array" ref="G288">INDEX('LT HD Forecast'!$K$1:$Q$55,MATCH(B288,'LT HD Forecast'!$A:$A,0)+1,MATCH(C288,'LT HD Forecast'!$K$2:$Q$2,0))</f>
        <v>2000</v>
      </c>
      <c r="H288" s="44" cm="1">
        <f t="array" ref="H288">IFERROR(INDEX('ST Forecast'!$E$2:$RK$36,6,M288),"")</f>
        <v>44.782867462521828</v>
      </c>
      <c r="I288" s="44" cm="1">
        <f t="array" ref="I288">IFERROR(INDEX('ST Forecast'!$E$2:$RK$36,7,M288),"")</f>
        <v>49.285979068142709</v>
      </c>
      <c r="J288" s="44">
        <f>SUM(DB[[#This Row],[Sales-FC-Picks-Collect]:[Sales-FC-Picks-HD]])</f>
        <v>125441.67861379852</v>
      </c>
      <c r="K288" s="44">
        <f t="shared" si="85"/>
        <v>26869.720477513096</v>
      </c>
      <c r="L288" s="44">
        <f t="shared" si="86"/>
        <v>98571.958136285422</v>
      </c>
      <c r="M288" s="403">
        <f>IFERROR(IF(B288=B287,M287+1,MATCH(B288,'ST Forecast'!$E$2:$RK$2,0)+1),"")</f>
        <v>325</v>
      </c>
      <c r="N288" s="44">
        <f>SUM(DB[[#This Row],[Ops-FC-Orders-Collect]:[Ops-FC-Orders-HD]])</f>
        <v>2600</v>
      </c>
      <c r="O288" s="44" cm="1">
        <f t="array" ref="O288">IFERROR(INDEX('ST Forecast'!$E$2:$RK$36,13,M288),"")</f>
        <v>600</v>
      </c>
      <c r="P288" s="44">
        <f t="shared" si="91"/>
        <v>2000</v>
      </c>
      <c r="Q288" s="44" cm="1">
        <f t="array" ref="Q288">IFERROR(INDEX('ST Forecast'!$E$2:$RK$36,14,M288),"")</f>
        <v>1050</v>
      </c>
      <c r="R288" s="44" cm="1">
        <f t="array" ref="R288">IFERROR(INDEX('ST Forecast'!$E$2:$RK$36,15,M288),"")</f>
        <v>950</v>
      </c>
      <c r="S288" s="312">
        <f>SUM(DB[[#This Row],[Ops-FC-Picks-Collect]:[Ops-FC-Picks-HD]])</f>
        <v>122932.84504152254</v>
      </c>
      <c r="T288" s="44">
        <f t="shared" si="92"/>
        <v>26332.326067962833</v>
      </c>
      <c r="U288" s="44">
        <f t="shared" si="93"/>
        <v>96600.518973559709</v>
      </c>
      <c r="V288" s="44">
        <f t="shared" si="94"/>
        <v>50715.272461118846</v>
      </c>
      <c r="W288" s="404">
        <f t="shared" si="95"/>
        <v>45885.246512440863</v>
      </c>
      <c r="X288" s="44">
        <f>SUM(DB[[#This Row],[Capped-Orders-Collect]:[Capped-Orders-HD]])</f>
        <v>90</v>
      </c>
      <c r="Y288">
        <f>INDEX('Operations Forecast'!$A$2:$BGY$47,3,MATCH(DB!D288,'Operations Forecast'!$A$2:$BGY$2))</f>
        <v>0</v>
      </c>
      <c r="Z288">
        <f t="shared" si="96"/>
        <v>90</v>
      </c>
      <c r="AA288">
        <f>INDEX('Operations Forecast'!$A$2:$BGY$47,10,MATCH(DB!D288,'Operations Forecast'!$A$2:$BGY$2))</f>
        <v>90</v>
      </c>
      <c r="AB288">
        <f>INDEX('Operations Forecast'!$A$2:$BGY$47,21,MATCH(DB!D288,'Operations Forecast'!$A$2:$BGY$2))</f>
        <v>0</v>
      </c>
      <c r="AC288" s="312">
        <f>SUM(DB[[#This Row],[Act-Orders-Collect]:[Act-Orders-HD]])</f>
        <v>2433</v>
      </c>
      <c r="AD288" s="858">
        <f>IFERROR(INDEX('Operations Forecast_new'!$7:$7,MATCH(DB[[#This Row],[Datum]],'Operations Forecast_new'!$2:$2,0)),0)</f>
        <v>536</v>
      </c>
      <c r="AE288" s="312">
        <f t="shared" si="97"/>
        <v>1897</v>
      </c>
      <c r="AF288" s="858">
        <f>IFERROR(INDEX('Operations Forecast_new'!$13:$13,MATCH(DB[[#This Row],[Datum]],'Operations Forecast_new'!$2:$2,0)),0)</f>
        <v>875</v>
      </c>
      <c r="AG288" s="858">
        <f>IFERROR(INDEX('Operations Forecast_new'!$19:$19,MATCH(DB[[#This Row],[Datum]],'Operations Forecast_new'!$2:$2,0)),0)</f>
        <v>1022</v>
      </c>
      <c r="AH288" s="312">
        <f t="shared" si="87"/>
        <v>113967.01800000001</v>
      </c>
      <c r="AI288" s="858">
        <f>IFERROR(INDEX('Operations Forecast_new'!$9:$9,MATCH(DB[[#This Row],[Datum]],'Operations Forecast_new'!$2:$2,0)),0)</f>
        <v>24197.184000000001</v>
      </c>
      <c r="AJ288" s="312">
        <f t="shared" si="98"/>
        <v>89769.834000000003</v>
      </c>
      <c r="AK288" s="858">
        <f>IFERROR(INDEX('Operations Forecast_new'!$15:$15,MATCH(DB[[#This Row],[Datum]],'Operations Forecast_new'!$2:$2,0)),0)</f>
        <v>41406.75</v>
      </c>
      <c r="AL288" s="858">
        <f>IFERROR(INDEX('Operations Forecast_new'!$21:$21,MATCH(DB[[#This Row],[Datum]],'Operations Forecast_new'!$2:$2,0)),0)</f>
        <v>48363.083999999995</v>
      </c>
      <c r="AM288" s="178">
        <f>IFERROR(INDEX('Operations Forecast_new'!$8:$8,MATCH(DB[[#This Row],[Datum]],'Operations Forecast_new'!$2:$2,0)),0)</f>
        <v>45.6</v>
      </c>
      <c r="AN288" s="859">
        <f>IFERROR(INDEX('Operations Forecast_new'!$20:$20,MATCH(DB[[#This Row],[Datum]],'Operations Forecast_new'!$2:$2,0)),0)</f>
        <v>47.8</v>
      </c>
      <c r="AO288" s="44">
        <f t="shared" si="99"/>
        <v>45.144000000000005</v>
      </c>
      <c r="AP288" s="404">
        <f t="shared" si="100"/>
        <v>47.322000000000003</v>
      </c>
      <c r="AQ288" s="44">
        <f t="shared" si="88"/>
        <v>147167.62518599079</v>
      </c>
      <c r="AR288" s="44" cm="1">
        <f t="array" ref="AR288">IFERROR(INDEX('ST Forecast'!$E$2:$RK$36,25,M288)+(INDEX('ST Forecast'!$E$2:$RK$36,29,M288)),"")</f>
        <v>56186.71</v>
      </c>
      <c r="AS288" s="44" cm="1">
        <f t="array" ref="AS288">IFERROR(INDEX('ST Forecast'!$E$2:$RK$36,26,M288)+INDEX('ST Forecast'!$E$2:$RK$36,30,M288),"")</f>
        <v>63288.2728546773</v>
      </c>
      <c r="AT288" s="44" cm="1">
        <f t="array" ref="AT288">IFERROR(INDEX('ST Forecast'!$E$2:$RK$36,27,M288)+INDEX('ST Forecast'!$E$2:$RK$36,31,M288),"")</f>
        <v>18040.705185990813</v>
      </c>
      <c r="AU288" s="44" cm="1">
        <f t="array" ref="AU288">IFERROR(INDEX('ST Forecast'!$E$2:$RK$36,28,M288),"")</f>
        <v>9651.9371453226649</v>
      </c>
      <c r="AV288" s="44" cm="1">
        <f t="array" ref="AV288">IFERROR(INDEX('ST Forecast'!$E$2:$RK$36,29,M288),"")</f>
        <v>0</v>
      </c>
      <c r="AW288" s="44">
        <f>DB[[#This Row],[Inbound FC]]-DB[[#This Row],[Inbound Act - Ultrafresh2]]</f>
        <v>147167.62518599079</v>
      </c>
      <c r="AX288" s="178" t="e">
        <f>#REF!</f>
        <v>#REF!</v>
      </c>
      <c r="AY288" s="178" t="e">
        <f>#REF!</f>
        <v>#REF!</v>
      </c>
      <c r="AZ288" s="178" t="e">
        <f>#REF!</f>
        <v>#REF!</v>
      </c>
      <c r="BA288" s="178">
        <f>MONTH(DB[[#This Row],[Datum]])</f>
        <v>10</v>
      </c>
    </row>
    <row r="289" spans="1:53" x14ac:dyDescent="0.3">
      <c r="A289" s="44">
        <f t="shared" si="89"/>
        <v>41</v>
      </c>
      <c r="B289" t="str">
        <f t="shared" si="90"/>
        <v>Wk 41</v>
      </c>
      <c r="C289" t="s">
        <v>117</v>
      </c>
      <c r="D289" s="313">
        <v>44848</v>
      </c>
      <c r="E289" s="44">
        <f>DB[[#This Row],[Sales-FC-Orders-Collect]]+DB[[#This Row],[Sales-FC-Orders-HD]]</f>
        <v>3150</v>
      </c>
      <c r="F289" s="402" cm="1">
        <f t="array" ref="F289">INDEX('LT Collect Forecast'!$K$1:$Q$55,MATCH(B289,'LT Collect Forecast'!$A:$A,0)+1,MATCH(C289,'LT Collect Forecast'!$K$2:$Q$2,0))</f>
        <v>1000</v>
      </c>
      <c r="G289" s="44" cm="1">
        <f t="array" ref="G289">INDEX('LT HD Forecast'!$K$1:$Q$55,MATCH(B289,'LT HD Forecast'!$A:$A,0)+1,MATCH(C289,'LT HD Forecast'!$K$2:$Q$2,0))</f>
        <v>2150</v>
      </c>
      <c r="H289" s="44" cm="1">
        <f t="array" ref="H289">IFERROR(INDEX('ST Forecast'!$E$2:$RK$36,6,M289),"")</f>
        <v>51.616666551731477</v>
      </c>
      <c r="I289" s="44" cm="1">
        <f t="array" ref="I289">IFERROR(INDEX('ST Forecast'!$E$2:$RK$36,7,M289),"")</f>
        <v>51.295889203800293</v>
      </c>
      <c r="J289" s="44">
        <f>SUM(DB[[#This Row],[Sales-FC-Picks-Collect]:[Sales-FC-Picks-HD]])</f>
        <v>161902.8283399021</v>
      </c>
      <c r="K289" s="44">
        <f t="shared" si="85"/>
        <v>51616.666551731476</v>
      </c>
      <c r="L289" s="44">
        <f t="shared" si="86"/>
        <v>110286.16178817063</v>
      </c>
      <c r="M289" s="403">
        <f>IFERROR(IF(B289=B288,M288+1,MATCH(B289,'ST Forecast'!$E$2:$RK$2,0)+1),"")</f>
        <v>326</v>
      </c>
      <c r="N289" s="44">
        <f>SUM(DB[[#This Row],[Ops-FC-Orders-Collect]:[Ops-FC-Orders-HD]])</f>
        <v>3100</v>
      </c>
      <c r="O289" s="44" cm="1">
        <f t="array" ref="O289">IFERROR(INDEX('ST Forecast'!$E$2:$RK$36,13,M289),"")</f>
        <v>1000</v>
      </c>
      <c r="P289" s="44">
        <f t="shared" si="91"/>
        <v>2100</v>
      </c>
      <c r="Q289" s="44" cm="1">
        <f t="array" ref="Q289">IFERROR(INDEX('ST Forecast'!$E$2:$RK$36,14,M289),"")</f>
        <v>1100</v>
      </c>
      <c r="R289" s="44" cm="1">
        <f t="array" ref="R289">IFERROR(INDEX('ST Forecast'!$E$2:$RK$36,15,M289),"")</f>
        <v>1000</v>
      </c>
      <c r="S289" s="312">
        <f>SUM(DB[[#This Row],[Ops-FC-Picks-Collect]:[Ops-FC-Picks-HD]])</f>
        <v>156151.27320211782</v>
      </c>
      <c r="T289" s="44">
        <f t="shared" si="92"/>
        <v>50584.333220696848</v>
      </c>
      <c r="U289" s="44">
        <f t="shared" si="93"/>
        <v>105566.93998142099</v>
      </c>
      <c r="V289" s="44">
        <f t="shared" si="94"/>
        <v>55296.968561696711</v>
      </c>
      <c r="W289" s="404">
        <f t="shared" si="95"/>
        <v>50269.971419724287</v>
      </c>
      <c r="X289" s="44">
        <f>SUM(DB[[#This Row],[Capped-Orders-Collect]:[Capped-Orders-HD]])</f>
        <v>90</v>
      </c>
      <c r="Y289">
        <f>INDEX('Operations Forecast'!$A$2:$BGY$47,3,MATCH(DB!D289,'Operations Forecast'!$A$2:$BGY$2))</f>
        <v>0</v>
      </c>
      <c r="Z289">
        <f t="shared" si="96"/>
        <v>90</v>
      </c>
      <c r="AA289">
        <f>INDEX('Operations Forecast'!$A$2:$BGY$47,10,MATCH(DB!D289,'Operations Forecast'!$A$2:$BGY$2))</f>
        <v>90</v>
      </c>
      <c r="AB289">
        <f>INDEX('Operations Forecast'!$A$2:$BGY$47,21,MATCH(DB!D289,'Operations Forecast'!$A$2:$BGY$2))</f>
        <v>0</v>
      </c>
      <c r="AC289" s="312">
        <f>SUM(DB[[#This Row],[Act-Orders-Collect]:[Act-Orders-HD]])</f>
        <v>3096</v>
      </c>
      <c r="AD289" s="858">
        <f>IFERROR(INDEX('Operations Forecast_new'!$7:$7,MATCH(DB[[#This Row],[Datum]],'Operations Forecast_new'!$2:$2,0)),0)</f>
        <v>1003</v>
      </c>
      <c r="AE289" s="312">
        <f t="shared" si="97"/>
        <v>2093</v>
      </c>
      <c r="AF289" s="858">
        <f>IFERROR(INDEX('Operations Forecast_new'!$13:$13,MATCH(DB[[#This Row],[Datum]],'Operations Forecast_new'!$2:$2,0)),0)</f>
        <v>1112</v>
      </c>
      <c r="AG289" s="858">
        <f>IFERROR(INDEX('Operations Forecast_new'!$19:$19,MATCH(DB[[#This Row],[Datum]],'Operations Forecast_new'!$2:$2,0)),0)</f>
        <v>981</v>
      </c>
      <c r="AH289" s="312">
        <f t="shared" si="87"/>
        <v>157789.26899999997</v>
      </c>
      <c r="AI289" s="858">
        <f>IFERROR(INDEX('Operations Forecast_new'!$9:$9,MATCH(DB[[#This Row],[Datum]],'Operations Forecast_new'!$2:$2,0)),0)</f>
        <v>52528.112999999998</v>
      </c>
      <c r="AJ289" s="312">
        <f t="shared" si="98"/>
        <v>105261.15599999999</v>
      </c>
      <c r="AK289" s="858">
        <f>IFERROR(INDEX('Operations Forecast_new'!$15:$15,MATCH(DB[[#This Row],[Datum]],'Operations Forecast_new'!$2:$2,0)),0)</f>
        <v>55924.703999999998</v>
      </c>
      <c r="AL289" s="858">
        <f>IFERROR(INDEX('Operations Forecast_new'!$21:$21,MATCH(DB[[#This Row],[Datum]],'Operations Forecast_new'!$2:$2,0)),0)</f>
        <v>49336.451999999997</v>
      </c>
      <c r="AM289" s="178">
        <f>IFERROR(INDEX('Operations Forecast_new'!$8:$8,MATCH(DB[[#This Row],[Datum]],'Operations Forecast_new'!$2:$2,0)),0)</f>
        <v>52.9</v>
      </c>
      <c r="AN289" s="859">
        <f>IFERROR(INDEX('Operations Forecast_new'!$20:$20,MATCH(DB[[#This Row],[Datum]],'Operations Forecast_new'!$2:$2,0)),0)</f>
        <v>50.8</v>
      </c>
      <c r="AO289" s="44">
        <f t="shared" si="99"/>
        <v>52.370999999999995</v>
      </c>
      <c r="AP289" s="404">
        <f t="shared" si="100"/>
        <v>50.291999999999994</v>
      </c>
      <c r="AQ289" s="44">
        <f t="shared" si="88"/>
        <v>131728.66047795964</v>
      </c>
      <c r="AR289" s="44" cm="1">
        <f t="array" ref="AR289">IFERROR(INDEX('ST Forecast'!$E$2:$RK$36,25,M289)+(INDEX('ST Forecast'!$E$2:$RK$36,29,M289)),"")</f>
        <v>53498.62</v>
      </c>
      <c r="AS289" s="44" cm="1">
        <f t="array" ref="AS289">IFERROR(INDEX('ST Forecast'!$E$2:$RK$36,26,M289)+INDEX('ST Forecast'!$E$2:$RK$36,30,M289),"")</f>
        <v>63183.998800767789</v>
      </c>
      <c r="AT289" s="44" cm="1">
        <f t="array" ref="AT289">IFERROR(INDEX('ST Forecast'!$E$2:$RK$36,27,M289)+INDEX('ST Forecast'!$E$2:$RK$36,31,M289),"")</f>
        <v>5756.5404779596465</v>
      </c>
      <c r="AU289" s="44" cm="1">
        <f t="array" ref="AU289">IFERROR(INDEX('ST Forecast'!$E$2:$RK$36,28,M289),"")</f>
        <v>9289.5011992322125</v>
      </c>
      <c r="AV289" s="44" cm="1">
        <f t="array" ref="AV289">IFERROR(INDEX('ST Forecast'!$E$2:$RK$36,29,M289),"")</f>
        <v>0</v>
      </c>
      <c r="AW289" s="44">
        <f>DB[[#This Row],[Inbound FC]]-DB[[#This Row],[Inbound Act - Ultrafresh2]]</f>
        <v>131728.66047795964</v>
      </c>
      <c r="AX289" s="178" t="e">
        <f>#REF!</f>
        <v>#REF!</v>
      </c>
      <c r="AY289" s="178" t="e">
        <f>#REF!</f>
        <v>#REF!</v>
      </c>
      <c r="AZ289" s="178" t="e">
        <f>#REF!</f>
        <v>#REF!</v>
      </c>
      <c r="BA289" s="178">
        <f>MONTH(DB[[#This Row],[Datum]])</f>
        <v>10</v>
      </c>
    </row>
    <row r="290" spans="1:53" x14ac:dyDescent="0.3">
      <c r="A290" s="44">
        <f t="shared" si="89"/>
        <v>41</v>
      </c>
      <c r="B290" t="str">
        <f t="shared" si="90"/>
        <v>Wk 41</v>
      </c>
      <c r="C290" t="s">
        <v>118</v>
      </c>
      <c r="D290" s="313">
        <v>44849</v>
      </c>
      <c r="E290" s="44">
        <f>DB[[#This Row],[Sales-FC-Orders-Collect]]+DB[[#This Row],[Sales-FC-Orders-HD]]</f>
        <v>2850</v>
      </c>
      <c r="F290" s="402" cm="1">
        <f t="array" ref="F290">INDEX('LT Collect Forecast'!$K$1:$Q$55,MATCH(B290,'LT Collect Forecast'!$A:$A,0)+1,MATCH(C290,'LT Collect Forecast'!$K$2:$Q$2,0))</f>
        <v>900</v>
      </c>
      <c r="G290" s="44" cm="1">
        <f t="array" ref="G290">INDEX('LT HD Forecast'!$K$1:$Q$55,MATCH(B290,'LT HD Forecast'!$A:$A,0)+1,MATCH(C290,'LT HD Forecast'!$K$2:$Q$2,0))</f>
        <v>1950</v>
      </c>
      <c r="H290" s="44" cm="1">
        <f t="array" ref="H290">IFERROR(INDEX('ST Forecast'!$E$2:$RK$36,6,M290),"")</f>
        <v>51.256330005904942</v>
      </c>
      <c r="I290" s="44" cm="1">
        <f t="array" ref="I290">IFERROR(INDEX('ST Forecast'!$E$2:$RK$36,7,M290),"")</f>
        <v>52.040124060982151</v>
      </c>
      <c r="J290" s="44">
        <f>SUM(DB[[#This Row],[Sales-FC-Picks-Collect]:[Sales-FC-Picks-HD]])</f>
        <v>147608.93892422965</v>
      </c>
      <c r="K290" s="44">
        <f t="shared" si="85"/>
        <v>46130.697005314447</v>
      </c>
      <c r="L290" s="44">
        <f t="shared" si="86"/>
        <v>101478.2419189152</v>
      </c>
      <c r="M290" s="403">
        <f>IFERROR(IF(B290=B289,M289+1,MATCH(B290,'ST Forecast'!$E$2:$RK$2,0)+1),"")</f>
        <v>327</v>
      </c>
      <c r="N290" s="44">
        <f>SUM(DB[[#This Row],[Ops-FC-Orders-Collect]:[Ops-FC-Orders-HD]])</f>
        <v>2900</v>
      </c>
      <c r="O290" s="44" cm="1">
        <f t="array" ref="O290">IFERROR(INDEX('ST Forecast'!$E$2:$RK$36,13,M290),"")</f>
        <v>900</v>
      </c>
      <c r="P290" s="44">
        <f t="shared" si="91"/>
        <v>2000</v>
      </c>
      <c r="Q290" s="44" cm="1">
        <f t="array" ref="Q290">IFERROR(INDEX('ST Forecast'!$E$2:$RK$36,14,M290),"")</f>
        <v>1150</v>
      </c>
      <c r="R290" s="44" cm="1">
        <f t="array" ref="R290">IFERROR(INDEX('ST Forecast'!$E$2:$RK$36,15,M290),"")</f>
        <v>850</v>
      </c>
      <c r="S290" s="312">
        <f>SUM(DB[[#This Row],[Ops-FC-Picks-Collect]:[Ops-FC-Picks-HD]])</f>
        <v>147206.7262247332</v>
      </c>
      <c r="T290" s="44">
        <f t="shared" si="92"/>
        <v>45208.083065208157</v>
      </c>
      <c r="U290" s="44">
        <f t="shared" si="93"/>
        <v>101998.64315952503</v>
      </c>
      <c r="V290" s="44">
        <f t="shared" si="94"/>
        <v>58649.219816726887</v>
      </c>
      <c r="W290" s="404">
        <f t="shared" si="95"/>
        <v>43349.423342798138</v>
      </c>
      <c r="X290" s="44">
        <f>SUM(DB[[#This Row],[Capped-Orders-Collect]:[Capped-Orders-HD]])</f>
        <v>90</v>
      </c>
      <c r="Y290">
        <f>INDEX('Operations Forecast'!$A$2:$BGY$47,3,MATCH(DB!D290,'Operations Forecast'!$A$2:$BGY$2))</f>
        <v>0</v>
      </c>
      <c r="Z290">
        <f t="shared" si="96"/>
        <v>90</v>
      </c>
      <c r="AA290">
        <f>INDEX('Operations Forecast'!$A$2:$BGY$47,10,MATCH(DB!D290,'Operations Forecast'!$A$2:$BGY$2))</f>
        <v>90</v>
      </c>
      <c r="AB290">
        <f>INDEX('Operations Forecast'!$A$2:$BGY$47,21,MATCH(DB!D290,'Operations Forecast'!$A$2:$BGY$2))</f>
        <v>0</v>
      </c>
      <c r="AC290" s="312">
        <f>SUM(DB[[#This Row],[Act-Orders-Collect]:[Act-Orders-HD]])</f>
        <v>2858</v>
      </c>
      <c r="AD290" s="858">
        <f>IFERROR(INDEX('Operations Forecast_new'!$7:$7,MATCH(DB[[#This Row],[Datum]],'Operations Forecast_new'!$2:$2,0)),0)</f>
        <v>991</v>
      </c>
      <c r="AE290" s="312">
        <f t="shared" si="97"/>
        <v>1867</v>
      </c>
      <c r="AF290" s="858">
        <f>IFERROR(INDEX('Operations Forecast_new'!$13:$13,MATCH(DB[[#This Row],[Datum]],'Operations Forecast_new'!$2:$2,0)),0)</f>
        <v>1077</v>
      </c>
      <c r="AG290" s="858">
        <f>IFERROR(INDEX('Operations Forecast_new'!$19:$19,MATCH(DB[[#This Row],[Datum]],'Operations Forecast_new'!$2:$2,0)),0)</f>
        <v>790</v>
      </c>
      <c r="AH290" s="312">
        <f t="shared" si="87"/>
        <v>142666.72200000001</v>
      </c>
      <c r="AI290" s="858">
        <f>IFERROR(INDEX('Operations Forecast_new'!$9:$9,MATCH(DB[[#This Row],[Datum]],'Operations Forecast_new'!$2:$2,0)),0)</f>
        <v>48956.391000000003</v>
      </c>
      <c r="AJ290" s="312">
        <f t="shared" si="98"/>
        <v>93710.331000000006</v>
      </c>
      <c r="AK290" s="858">
        <f>IFERROR(INDEX('Operations Forecast_new'!$15:$15,MATCH(DB[[#This Row],[Datum]],'Operations Forecast_new'!$2:$2,0)),0)</f>
        <v>54057.861000000004</v>
      </c>
      <c r="AL290" s="858">
        <f>IFERROR(INDEX('Operations Forecast_new'!$21:$21,MATCH(DB[[#This Row],[Datum]],'Operations Forecast_new'!$2:$2,0)),0)</f>
        <v>39652.47</v>
      </c>
      <c r="AM290" s="178">
        <f>IFERROR(INDEX('Operations Forecast_new'!$8:$8,MATCH(DB[[#This Row],[Datum]],'Operations Forecast_new'!$2:$2,0)),0)</f>
        <v>49.9</v>
      </c>
      <c r="AN290" s="859">
        <f>IFERROR(INDEX('Operations Forecast_new'!$20:$20,MATCH(DB[[#This Row],[Datum]],'Operations Forecast_new'!$2:$2,0)),0)</f>
        <v>50.7</v>
      </c>
      <c r="AO290" s="44">
        <f t="shared" si="99"/>
        <v>49.401000000000003</v>
      </c>
      <c r="AP290" s="404">
        <f t="shared" si="100"/>
        <v>50.193000000000005</v>
      </c>
      <c r="AQ290" s="44">
        <f t="shared" si="88"/>
        <v>132654.00000000009</v>
      </c>
      <c r="AR290" s="44" cm="1">
        <f t="array" ref="AR290">IFERROR(INDEX('ST Forecast'!$E$2:$RK$36,25,M290)+(INDEX('ST Forecast'!$E$2:$RK$36,29,M290)),"")</f>
        <v>62433.08618337151</v>
      </c>
      <c r="AS290" s="44" cm="1">
        <f t="array" ref="AS290">IFERROR(INDEX('ST Forecast'!$E$2:$RK$36,26,M290)+INDEX('ST Forecast'!$E$2:$RK$36,30,M290),"")</f>
        <v>58077.486578393793</v>
      </c>
      <c r="AT290" s="44" cm="1">
        <f t="array" ref="AT290">IFERROR(INDEX('ST Forecast'!$E$2:$RK$36,27,M290)+INDEX('ST Forecast'!$E$2:$RK$36,31,M290),"")</f>
        <v>5131.8891452019343</v>
      </c>
      <c r="AU290" s="44" cm="1">
        <f t="array" ref="AU290">IFERROR(INDEX('ST Forecast'!$E$2:$RK$36,28,M290),"")</f>
        <v>7011.5380930328411</v>
      </c>
      <c r="AV290" s="44" cm="1">
        <f t="array" ref="AV290">IFERROR(INDEX('ST Forecast'!$E$2:$RK$36,29,M290),"")</f>
        <v>0</v>
      </c>
      <c r="AW290" s="44">
        <f>DB[[#This Row],[Inbound FC]]-DB[[#This Row],[Inbound Act - Ultrafresh2]]</f>
        <v>132654.00000000009</v>
      </c>
      <c r="AX290" s="178" t="e">
        <f>#REF!</f>
        <v>#REF!</v>
      </c>
      <c r="AY290" s="178" t="e">
        <f>#REF!</f>
        <v>#REF!</v>
      </c>
      <c r="AZ290" s="178" t="e">
        <f>#REF!</f>
        <v>#REF!</v>
      </c>
      <c r="BA290" s="178">
        <f>MONTH(DB[[#This Row],[Datum]])</f>
        <v>10</v>
      </c>
    </row>
    <row r="291" spans="1:53" x14ac:dyDescent="0.3">
      <c r="A291" s="44">
        <f t="shared" si="89"/>
        <v>41</v>
      </c>
      <c r="B291" t="str">
        <f t="shared" si="90"/>
        <v>Wk 41</v>
      </c>
      <c r="C291" t="s">
        <v>119</v>
      </c>
      <c r="D291" s="313">
        <v>44850</v>
      </c>
      <c r="E291" s="44">
        <f>DB[[#This Row],[Sales-FC-Orders-Collect]]+DB[[#This Row],[Sales-FC-Orders-HD]]</f>
        <v>0</v>
      </c>
      <c r="F291" s="402" cm="1">
        <f t="array" ref="F291">INDEX('LT Collect Forecast'!$K$1:$Q$55,MATCH(B291,'LT Collect Forecast'!$A:$A,0)+1,MATCH(C291,'LT Collect Forecast'!$K$2:$Q$2,0))</f>
        <v>0</v>
      </c>
      <c r="G291" s="44" cm="1">
        <f t="array" ref="G291">INDEX('LT HD Forecast'!$K$1:$Q$55,MATCH(B291,'LT HD Forecast'!$A:$A,0)+1,MATCH(C291,'LT HD Forecast'!$K$2:$Q$2,0))</f>
        <v>0</v>
      </c>
      <c r="H291" s="44" cm="1">
        <f t="array" ref="H291">IFERROR(INDEX('ST Forecast'!$E$2:$RK$36,6,M291),"")</f>
        <v>0</v>
      </c>
      <c r="I291" s="44" cm="1">
        <f t="array" ref="I291">IFERROR(INDEX('ST Forecast'!$E$2:$RK$36,7,M291),"")</f>
        <v>0</v>
      </c>
      <c r="J291" s="44">
        <f>SUM(DB[[#This Row],[Sales-FC-Picks-Collect]:[Sales-FC-Picks-HD]])</f>
        <v>0</v>
      </c>
      <c r="K291" s="44">
        <f t="shared" si="85"/>
        <v>0</v>
      </c>
      <c r="L291" s="44">
        <f t="shared" si="86"/>
        <v>0</v>
      </c>
      <c r="M291" s="403">
        <f>IFERROR(IF(B291=B290,M290+1,MATCH(B291,'ST Forecast'!$E$2:$RK$2,0)+1),"")</f>
        <v>328</v>
      </c>
      <c r="N291" s="44">
        <f>SUM(DB[[#This Row],[Ops-FC-Orders-Collect]:[Ops-FC-Orders-HD]])</f>
        <v>0</v>
      </c>
      <c r="O291" s="44" cm="1">
        <f t="array" ref="O291">IFERROR(INDEX('ST Forecast'!$E$2:$RK$36,13,M291),"")</f>
        <v>0</v>
      </c>
      <c r="P291" s="44">
        <f t="shared" si="91"/>
        <v>0</v>
      </c>
      <c r="Q291" s="44" cm="1">
        <f t="array" ref="Q291">IFERROR(INDEX('ST Forecast'!$E$2:$RK$36,14,M291),"")</f>
        <v>0</v>
      </c>
      <c r="R291" s="44" cm="1">
        <f t="array" ref="R291">IFERROR(INDEX('ST Forecast'!$E$2:$RK$36,15,M291),"")</f>
        <v>0</v>
      </c>
      <c r="S291" s="312">
        <f>SUM(DB[[#This Row],[Ops-FC-Picks-Collect]:[Ops-FC-Picks-HD]])</f>
        <v>0</v>
      </c>
      <c r="T291" s="44">
        <f t="shared" si="92"/>
        <v>0</v>
      </c>
      <c r="U291" s="44">
        <f t="shared" si="93"/>
        <v>0</v>
      </c>
      <c r="V291" s="44">
        <f t="shared" si="94"/>
        <v>0</v>
      </c>
      <c r="W291" s="404">
        <f t="shared" si="95"/>
        <v>0</v>
      </c>
      <c r="X291" s="44">
        <f>SUM(DB[[#This Row],[Capped-Orders-Collect]:[Capped-Orders-HD]])</f>
        <v>90</v>
      </c>
      <c r="Y291">
        <f>INDEX('Operations Forecast'!$A$2:$BGY$47,3,MATCH(DB!D291,'Operations Forecast'!$A$2:$BGY$2))</f>
        <v>0</v>
      </c>
      <c r="Z291">
        <f t="shared" si="96"/>
        <v>90</v>
      </c>
      <c r="AA291">
        <f>INDEX('Operations Forecast'!$A$2:$BGY$47,10,MATCH(DB!D291,'Operations Forecast'!$A$2:$BGY$2))</f>
        <v>90</v>
      </c>
      <c r="AB291">
        <f>INDEX('Operations Forecast'!$A$2:$BGY$47,21,MATCH(DB!D291,'Operations Forecast'!$A$2:$BGY$2))</f>
        <v>0</v>
      </c>
      <c r="AC291" s="312">
        <f>SUM(DB[[#This Row],[Act-Orders-Collect]:[Act-Orders-HD]])</f>
        <v>0</v>
      </c>
      <c r="AD291" s="858">
        <f>IFERROR(INDEX('Operations Forecast_new'!$7:$7,MATCH(DB[[#This Row],[Datum]],'Operations Forecast_new'!$2:$2,0)),0)</f>
        <v>0</v>
      </c>
      <c r="AE291" s="312">
        <f t="shared" si="97"/>
        <v>0</v>
      </c>
      <c r="AF291" s="858">
        <f>IFERROR(INDEX('Operations Forecast_new'!$13:$13,MATCH(DB[[#This Row],[Datum]],'Operations Forecast_new'!$2:$2,0)),0)</f>
        <v>0</v>
      </c>
      <c r="AG291" s="858">
        <f>IFERROR(INDEX('Operations Forecast_new'!$19:$19,MATCH(DB[[#This Row],[Datum]],'Operations Forecast_new'!$2:$2,0)),0)</f>
        <v>0</v>
      </c>
      <c r="AH291" s="312">
        <f t="shared" si="87"/>
        <v>0</v>
      </c>
      <c r="AI291" s="858">
        <f>IFERROR(INDEX('Operations Forecast_new'!$9:$9,MATCH(DB[[#This Row],[Datum]],'Operations Forecast_new'!$2:$2,0)),0)</f>
        <v>0</v>
      </c>
      <c r="AJ291" s="312">
        <f t="shared" si="98"/>
        <v>0</v>
      </c>
      <c r="AK291" s="858">
        <f>IFERROR(INDEX('Operations Forecast_new'!$15:$15,MATCH(DB[[#This Row],[Datum]],'Operations Forecast_new'!$2:$2,0)),0)</f>
        <v>0</v>
      </c>
      <c r="AL291" s="858">
        <f>IFERROR(INDEX('Operations Forecast_new'!$21:$21,MATCH(DB[[#This Row],[Datum]],'Operations Forecast_new'!$2:$2,0)),0)</f>
        <v>0</v>
      </c>
      <c r="AM291" s="178">
        <f>IFERROR(INDEX('Operations Forecast_new'!$8:$8,MATCH(DB[[#This Row],[Datum]],'Operations Forecast_new'!$2:$2,0)),0)</f>
        <v>0</v>
      </c>
      <c r="AN291" s="859">
        <f>IFERROR(INDEX('Operations Forecast_new'!$20:$20,MATCH(DB[[#This Row],[Datum]],'Operations Forecast_new'!$2:$2,0)),0)</f>
        <v>0</v>
      </c>
      <c r="AO291" s="44" t="str">
        <f t="shared" si="99"/>
        <v>-</v>
      </c>
      <c r="AP291" s="404" t="str">
        <f t="shared" si="100"/>
        <v>-</v>
      </c>
      <c r="AQ291" s="44">
        <f t="shared" si="88"/>
        <v>0</v>
      </c>
      <c r="AR291" s="44" cm="1">
        <f t="array" ref="AR291">IFERROR(INDEX('ST Forecast'!$E$2:$RK$36,25,M291)+(INDEX('ST Forecast'!$E$2:$RK$36,29,M291)),"")</f>
        <v>0</v>
      </c>
      <c r="AS291" s="44" cm="1">
        <f t="array" ref="AS291">IFERROR(INDEX('ST Forecast'!$E$2:$RK$36,26,M291)+INDEX('ST Forecast'!$E$2:$RK$36,30,M291),"")</f>
        <v>0</v>
      </c>
      <c r="AT291" s="44" cm="1">
        <f t="array" ref="AT291">IFERROR(INDEX('ST Forecast'!$E$2:$RK$36,27,M291)+INDEX('ST Forecast'!$E$2:$RK$36,31,M291),"")</f>
        <v>0</v>
      </c>
      <c r="AU291" s="44" cm="1">
        <f t="array" ref="AU291">IFERROR(INDEX('ST Forecast'!$E$2:$RK$36,28,M291),"")</f>
        <v>0</v>
      </c>
      <c r="AV291" s="44" cm="1">
        <f t="array" ref="AV291">IFERROR(INDEX('ST Forecast'!$E$2:$RK$36,29,M291),"")</f>
        <v>0</v>
      </c>
      <c r="AW291" s="44">
        <f>DB[[#This Row],[Inbound FC]]-DB[[#This Row],[Inbound Act - Ultrafresh2]]</f>
        <v>0</v>
      </c>
      <c r="AX291" s="178" t="e">
        <f>#REF!</f>
        <v>#REF!</v>
      </c>
      <c r="AY291" s="178" t="e">
        <f>#REF!</f>
        <v>#REF!</v>
      </c>
      <c r="AZ291" s="178" t="e">
        <f>#REF!</f>
        <v>#REF!</v>
      </c>
      <c r="BA291" s="178">
        <f>MONTH(DB[[#This Row],[Datum]])</f>
        <v>10</v>
      </c>
    </row>
    <row r="292" spans="1:53" x14ac:dyDescent="0.3">
      <c r="A292" s="44">
        <f t="shared" si="89"/>
        <v>42</v>
      </c>
      <c r="B292" t="str">
        <f t="shared" si="90"/>
        <v>Wk 42</v>
      </c>
      <c r="C292" t="s">
        <v>113</v>
      </c>
      <c r="D292" s="313">
        <v>44851</v>
      </c>
      <c r="E292" s="44">
        <f>DB[[#This Row],[Sales-FC-Orders-Collect]]+DB[[#This Row],[Sales-FC-Orders-HD]]</f>
        <v>2650</v>
      </c>
      <c r="F292" s="402">
        <f>INDEX('LT Collect Forecast'!$K$1:$Q$55,MATCH(B292,'LT Collect Forecast'!$A:$A,0),MATCH(C292,'LT Collect Forecast'!$K$2:$Q$2,0))</f>
        <v>700</v>
      </c>
      <c r="G292" s="44">
        <f>INDEX('LT HD Forecast'!$K$1:$Q$55,MATCH(B292,'LT HD Forecast'!$A:$A,0),MATCH(C292,'LT HD Forecast'!$K$2:$Q$2,0))</f>
        <v>1950</v>
      </c>
      <c r="H292" s="44" cm="1">
        <f t="array" ref="H292">IFERROR(INDEX('ST Forecast'!$E$2:$RK$36,6,M292),"")</f>
        <v>48.665359724130212</v>
      </c>
      <c r="I292" s="44" cm="1">
        <f t="array" ref="I292">IFERROR(INDEX('ST Forecast'!$E$2:$RK$36,7,M292),"")</f>
        <v>50.082639783140138</v>
      </c>
      <c r="J292" s="44">
        <f>SUM(DB[[#This Row],[Sales-FC-Picks-Collect]:[Sales-FC-Picks-HD]])</f>
        <v>131726.89938401442</v>
      </c>
      <c r="K292" s="44">
        <f t="shared" si="85"/>
        <v>34065.751806891145</v>
      </c>
      <c r="L292" s="44">
        <f t="shared" si="86"/>
        <v>97661.147577123265</v>
      </c>
      <c r="M292" s="403">
        <f>IFERROR(IF(B292=B291,M291+1,MATCH(B292,'ST Forecast'!$E$2:$RK$2,0)+1),"")</f>
        <v>330</v>
      </c>
      <c r="N292" s="44">
        <f>SUM(DB[[#This Row],[Ops-FC-Orders-Collect]:[Ops-FC-Orders-HD]])</f>
        <v>2550</v>
      </c>
      <c r="O292" s="44" cm="1">
        <f t="array" ref="O292">IFERROR(INDEX('ST Forecast'!$E$2:$RK$36,13,M292),"")</f>
        <v>700</v>
      </c>
      <c r="P292" s="44">
        <f t="shared" si="91"/>
        <v>1850</v>
      </c>
      <c r="Q292" s="44" cm="1">
        <f t="array" ref="Q292">IFERROR(INDEX('ST Forecast'!$E$2:$RK$36,14,M292),"")</f>
        <v>800</v>
      </c>
      <c r="R292" s="44" cm="1">
        <f t="array" ref="R292">IFERROR(INDEX('ST Forecast'!$E$2:$RK$36,15,M292),"")</f>
        <v>1050</v>
      </c>
      <c r="S292" s="312">
        <f>SUM(DB[[#This Row],[Ops-FC-Picks-Collect]:[Ops-FC-Picks-HD]])</f>
        <v>124184.26269758638</v>
      </c>
      <c r="T292" s="44">
        <f t="shared" si="92"/>
        <v>33384.436770753324</v>
      </c>
      <c r="U292" s="44">
        <f t="shared" si="93"/>
        <v>90799.825926833058</v>
      </c>
      <c r="V292" s="44">
        <f t="shared" si="94"/>
        <v>39264.789589981869</v>
      </c>
      <c r="W292" s="404">
        <f t="shared" si="95"/>
        <v>51535.036336851197</v>
      </c>
      <c r="X292" s="44">
        <f>SUM(DB[[#This Row],[Capped-Orders-Collect]:[Capped-Orders-HD]])</f>
        <v>90</v>
      </c>
      <c r="Y292">
        <f>INDEX('Operations Forecast'!$A$2:$BGY$47,3,MATCH(DB!D292,'Operations Forecast'!$A$2:$BGY$2))</f>
        <v>0</v>
      </c>
      <c r="Z292">
        <f t="shared" si="96"/>
        <v>90</v>
      </c>
      <c r="AA292">
        <f>INDEX('Operations Forecast'!$A$2:$BGY$47,10,MATCH(DB!D292,'Operations Forecast'!$A$2:$BGY$2))</f>
        <v>90</v>
      </c>
      <c r="AB292">
        <f>INDEX('Operations Forecast'!$A$2:$BGY$47,21,MATCH(DB!D292,'Operations Forecast'!$A$2:$BGY$2))</f>
        <v>0</v>
      </c>
      <c r="AC292" s="312">
        <f>SUM(DB[[#This Row],[Act-Orders-Collect]:[Act-Orders-HD]])</f>
        <v>2533</v>
      </c>
      <c r="AD292" s="858">
        <f>IFERROR(INDEX('Operations Forecast_new'!$7:$7,MATCH(DB[[#This Row],[Datum]],'Operations Forecast_new'!$2:$2,0)),0)</f>
        <v>723</v>
      </c>
      <c r="AE292" s="312">
        <f t="shared" si="97"/>
        <v>1810</v>
      </c>
      <c r="AF292" s="858">
        <f>IFERROR(INDEX('Operations Forecast_new'!$13:$13,MATCH(DB[[#This Row],[Datum]],'Operations Forecast_new'!$2:$2,0)),0)</f>
        <v>743</v>
      </c>
      <c r="AG292" s="858">
        <f>IFERROR(INDEX('Operations Forecast_new'!$19:$19,MATCH(DB[[#This Row],[Datum]],'Operations Forecast_new'!$2:$2,0)),0)</f>
        <v>1067</v>
      </c>
      <c r="AH292" s="312">
        <f t="shared" si="87"/>
        <v>119117.79000000001</v>
      </c>
      <c r="AI292" s="858">
        <f>IFERROR(INDEX('Operations Forecast_new'!$9:$9,MATCH(DB[[#This Row],[Datum]],'Operations Forecast_new'!$2:$2,0)),0)</f>
        <v>31493.88</v>
      </c>
      <c r="AJ292" s="312">
        <f t="shared" si="98"/>
        <v>87623.91</v>
      </c>
      <c r="AK292" s="858">
        <f>IFERROR(INDEX('Operations Forecast_new'!$15:$15,MATCH(DB[[#This Row],[Datum]],'Operations Forecast_new'!$2:$2,0)),0)</f>
        <v>35969.373</v>
      </c>
      <c r="AL292" s="858">
        <f>IFERROR(INDEX('Operations Forecast_new'!$21:$21,MATCH(DB[[#This Row],[Datum]],'Operations Forecast_new'!$2:$2,0)),0)</f>
        <v>51654.536999999997</v>
      </c>
      <c r="AM292" s="178">
        <f>IFERROR(INDEX('Operations Forecast_new'!$8:$8,MATCH(DB[[#This Row],[Datum]],'Operations Forecast_new'!$2:$2,0)),0)</f>
        <v>44</v>
      </c>
      <c r="AN292" s="859">
        <f>IFERROR(INDEX('Operations Forecast_new'!$20:$20,MATCH(DB[[#This Row],[Datum]],'Operations Forecast_new'!$2:$2,0)),0)</f>
        <v>48.9</v>
      </c>
      <c r="AO292" s="44">
        <f t="shared" si="99"/>
        <v>43.56</v>
      </c>
      <c r="AP292" s="404">
        <f t="shared" si="100"/>
        <v>48.411000000000001</v>
      </c>
      <c r="AQ292" s="44">
        <f t="shared" si="88"/>
        <v>245823.00000000003</v>
      </c>
      <c r="AR292" s="44" cm="1">
        <f t="array" ref="AR292">IFERROR(INDEX('ST Forecast'!$E$2:$RK$36,25,M292)+(INDEX('ST Forecast'!$E$2:$RK$36,29,M292)),"")</f>
        <v>102477.1</v>
      </c>
      <c r="AS292" s="44" cm="1">
        <f t="array" ref="AS292">IFERROR(INDEX('ST Forecast'!$E$2:$RK$36,26,M292)+INDEX('ST Forecast'!$E$2:$RK$36,30,M292),"")</f>
        <v>63340.421428664486</v>
      </c>
      <c r="AT292" s="44" cm="1">
        <f t="array" ref="AT292">IFERROR(INDEX('ST Forecast'!$E$2:$RK$36,27,M292)+INDEX('ST Forecast'!$E$2:$RK$36,31,M292),"")</f>
        <v>70680.320000000007</v>
      </c>
      <c r="AU292" s="44" cm="1">
        <f t="array" ref="AU292">IFERROR(INDEX('ST Forecast'!$E$2:$RK$36,28,M292),"")</f>
        <v>9325.1585713355125</v>
      </c>
      <c r="AV292" s="44" cm="1">
        <f t="array" ref="AV292">IFERROR(INDEX('ST Forecast'!$E$2:$RK$36,29,M292),"")</f>
        <v>0</v>
      </c>
      <c r="AW292" s="44">
        <f>DB[[#This Row],[Inbound FC]]-DB[[#This Row],[Inbound Act - Ultrafresh2]]</f>
        <v>245823.00000000003</v>
      </c>
      <c r="AX292" s="178" t="e">
        <f>#REF!</f>
        <v>#REF!</v>
      </c>
      <c r="AY292" s="178" t="e">
        <f>#REF!</f>
        <v>#REF!</v>
      </c>
      <c r="AZ292" s="178" t="e">
        <f>#REF!</f>
        <v>#REF!</v>
      </c>
      <c r="BA292" s="178">
        <f>MONTH(DB[[#This Row],[Datum]])</f>
        <v>10</v>
      </c>
    </row>
    <row r="293" spans="1:53" x14ac:dyDescent="0.3">
      <c r="A293" s="44">
        <f t="shared" si="89"/>
        <v>42</v>
      </c>
      <c r="B293" t="str">
        <f t="shared" si="90"/>
        <v>Wk 42</v>
      </c>
      <c r="C293" t="s">
        <v>114</v>
      </c>
      <c r="D293" s="313">
        <v>44852</v>
      </c>
      <c r="E293" s="44">
        <f>DB[[#This Row],[Sales-FC-Orders-Collect]]+DB[[#This Row],[Sales-FC-Orders-HD]]</f>
        <v>2650</v>
      </c>
      <c r="F293" s="402">
        <f>INDEX('LT Collect Forecast'!$K$1:$Q$55,MATCH(B293,'LT Collect Forecast'!$A:$A,0),MATCH(C293,'LT Collect Forecast'!$K$2:$Q$2,0))</f>
        <v>600</v>
      </c>
      <c r="G293" s="44">
        <f>INDEX('LT HD Forecast'!$K$1:$Q$55,MATCH(B293,'LT HD Forecast'!$A:$A,0),MATCH(C293,'LT HD Forecast'!$K$2:$Q$2,0))</f>
        <v>2050</v>
      </c>
      <c r="H293" s="44" cm="1">
        <f t="array" ref="H293">IFERROR(INDEX('ST Forecast'!$E$2:$RK$36,6,M293),"")</f>
        <v>42.644030436027933</v>
      </c>
      <c r="I293" s="44" cm="1">
        <f t="array" ref="I293">IFERROR(INDEX('ST Forecast'!$E$2:$RK$36,7,M293),"")</f>
        <v>48.435882497684524</v>
      </c>
      <c r="J293" s="44">
        <f>SUM(DB[[#This Row],[Sales-FC-Picks-Collect]:[Sales-FC-Picks-HD]])</f>
        <v>124879.97738187003</v>
      </c>
      <c r="K293" s="44">
        <f t="shared" si="85"/>
        <v>25586.41826161676</v>
      </c>
      <c r="L293" s="44">
        <f t="shared" si="86"/>
        <v>99293.559120253281</v>
      </c>
      <c r="M293" s="403">
        <f>IFERROR(IF(B293=B292,M292+1,MATCH(B293,'ST Forecast'!$E$2:$RK$2,0)+1),"")</f>
        <v>331</v>
      </c>
      <c r="N293" s="44">
        <f>SUM(DB[[#This Row],[Ops-FC-Orders-Collect]:[Ops-FC-Orders-HD]])</f>
        <v>2700</v>
      </c>
      <c r="O293" s="44" cm="1">
        <f t="array" ref="O293">IFERROR(INDEX('ST Forecast'!$E$2:$RK$36,13,M293),"")</f>
        <v>600</v>
      </c>
      <c r="P293" s="44">
        <f t="shared" si="91"/>
        <v>2100</v>
      </c>
      <c r="Q293" s="44" cm="1">
        <f t="array" ref="Q293">IFERROR(INDEX('ST Forecast'!$E$2:$RK$36,14,M293),"")</f>
        <v>1100</v>
      </c>
      <c r="R293" s="44" cm="1">
        <f t="array" ref="R293">IFERROR(INDEX('ST Forecast'!$E$2:$RK$36,15,M293),"")</f>
        <v>1000</v>
      </c>
      <c r="S293" s="312">
        <f>SUM(DB[[#This Row],[Ops-FC-Picks-Collect]:[Ops-FC-Picks-HD]])</f>
        <v>124755.73607661917</v>
      </c>
      <c r="T293" s="44">
        <f t="shared" si="92"/>
        <v>25074.689896384425</v>
      </c>
      <c r="U293" s="44">
        <f t="shared" si="93"/>
        <v>99681.046180234742</v>
      </c>
      <c r="V293" s="44">
        <f t="shared" si="94"/>
        <v>52213.881332503915</v>
      </c>
      <c r="W293" s="404">
        <f t="shared" si="95"/>
        <v>47467.164847730826</v>
      </c>
      <c r="X293" s="44">
        <f>SUM(DB[[#This Row],[Capped-Orders-Collect]:[Capped-Orders-HD]])</f>
        <v>90</v>
      </c>
      <c r="Y293">
        <f>INDEX('Operations Forecast'!$A$2:$BGY$47,3,MATCH(DB!D293,'Operations Forecast'!$A$2:$BGY$2))</f>
        <v>0</v>
      </c>
      <c r="Z293">
        <f t="shared" si="96"/>
        <v>90</v>
      </c>
      <c r="AA293">
        <f>INDEX('Operations Forecast'!$A$2:$BGY$47,10,MATCH(DB!D293,'Operations Forecast'!$A$2:$BGY$2))</f>
        <v>90</v>
      </c>
      <c r="AB293">
        <f>INDEX('Operations Forecast'!$A$2:$BGY$47,21,MATCH(DB!D293,'Operations Forecast'!$A$2:$BGY$2))</f>
        <v>0</v>
      </c>
      <c r="AC293" s="312">
        <f>SUM(DB[[#This Row],[Act-Orders-Collect]:[Act-Orders-HD]])</f>
        <v>2644</v>
      </c>
      <c r="AD293" s="858">
        <f>IFERROR(INDEX('Operations Forecast_new'!$7:$7,MATCH(DB[[#This Row],[Datum]],'Operations Forecast_new'!$2:$2,0)),0)</f>
        <v>603</v>
      </c>
      <c r="AE293" s="312">
        <f t="shared" si="97"/>
        <v>2041</v>
      </c>
      <c r="AF293" s="858">
        <f>IFERROR(INDEX('Operations Forecast_new'!$13:$13,MATCH(DB[[#This Row],[Datum]],'Operations Forecast_new'!$2:$2,0)),0)</f>
        <v>1093</v>
      </c>
      <c r="AG293" s="858">
        <f>IFERROR(INDEX('Operations Forecast_new'!$19:$19,MATCH(DB[[#This Row],[Datum]],'Operations Forecast_new'!$2:$2,0)),0)</f>
        <v>948</v>
      </c>
      <c r="AH293" s="312">
        <f t="shared" si="87"/>
        <v>118534.28400000001</v>
      </c>
      <c r="AI293" s="858">
        <f>IFERROR(INDEX('Operations Forecast_new'!$9:$9,MATCH(DB[[#This Row],[Datum]],'Operations Forecast_new'!$2:$2,0)),0)</f>
        <v>23162.435999999998</v>
      </c>
      <c r="AJ293" s="312">
        <f t="shared" si="98"/>
        <v>95371.848000000013</v>
      </c>
      <c r="AK293" s="858">
        <f>IFERROR(INDEX('Operations Forecast_new'!$15:$15,MATCH(DB[[#This Row],[Datum]],'Operations Forecast_new'!$2:$2,0)),0)</f>
        <v>51073.704000000005</v>
      </c>
      <c r="AL293" s="858">
        <f>IFERROR(INDEX('Operations Forecast_new'!$21:$21,MATCH(DB[[#This Row],[Datum]],'Operations Forecast_new'!$2:$2,0)),0)</f>
        <v>44298.144000000008</v>
      </c>
      <c r="AM293" s="178">
        <f>IFERROR(INDEX('Operations Forecast_new'!$8:$8,MATCH(DB[[#This Row],[Datum]],'Operations Forecast_new'!$2:$2,0)),0)</f>
        <v>38.799999999999997</v>
      </c>
      <c r="AN293" s="859">
        <f>IFERROR(INDEX('Operations Forecast_new'!$20:$20,MATCH(DB[[#This Row],[Datum]],'Operations Forecast_new'!$2:$2,0)),0)</f>
        <v>47.2</v>
      </c>
      <c r="AO293" s="44">
        <f t="shared" si="99"/>
        <v>38.411999999999999</v>
      </c>
      <c r="AP293" s="404">
        <f t="shared" si="100"/>
        <v>46.728000000000009</v>
      </c>
      <c r="AQ293" s="44">
        <f t="shared" si="88"/>
        <v>151978.30566762004</v>
      </c>
      <c r="AR293" s="44" cm="1">
        <f t="array" ref="AR293">IFERROR(INDEX('ST Forecast'!$E$2:$RK$36,25,M293)+(INDEX('ST Forecast'!$E$2:$RK$36,29,M293)),"")</f>
        <v>72972.479999999996</v>
      </c>
      <c r="AS293" s="44" cm="1">
        <f t="array" ref="AS293">IFERROR(INDEX('ST Forecast'!$E$2:$RK$36,26,M293)+INDEX('ST Forecast'!$E$2:$RK$36,30,M293),"")</f>
        <v>63336.339193913205</v>
      </c>
      <c r="AT293" s="44" cm="1">
        <f t="array" ref="AT293">IFERROR(INDEX('ST Forecast'!$E$2:$RK$36,27,M293)+INDEX('ST Forecast'!$E$2:$RK$36,31,M293),"")</f>
        <v>6641.4496676200442</v>
      </c>
      <c r="AU293" s="44" cm="1">
        <f t="array" ref="AU293">IFERROR(INDEX('ST Forecast'!$E$2:$RK$36,28,M293),"")</f>
        <v>9028.0368060867968</v>
      </c>
      <c r="AV293" s="44" cm="1">
        <f t="array" ref="AV293">IFERROR(INDEX('ST Forecast'!$E$2:$RK$36,29,M293),"")</f>
        <v>0</v>
      </c>
      <c r="AW293" s="44">
        <f>DB[[#This Row],[Inbound FC]]-DB[[#This Row],[Inbound Act - Ultrafresh2]]</f>
        <v>151978.30566762004</v>
      </c>
      <c r="AX293" s="178" t="e">
        <f>#REF!</f>
        <v>#REF!</v>
      </c>
      <c r="AY293" s="178" t="e">
        <f>#REF!</f>
        <v>#REF!</v>
      </c>
      <c r="AZ293" s="178" t="e">
        <f>#REF!</f>
        <v>#REF!</v>
      </c>
      <c r="BA293" s="178">
        <f>MONTH(DB[[#This Row],[Datum]])</f>
        <v>10</v>
      </c>
    </row>
    <row r="294" spans="1:53" x14ac:dyDescent="0.3">
      <c r="A294" s="44">
        <f t="shared" si="89"/>
        <v>42</v>
      </c>
      <c r="B294" t="str">
        <f t="shared" si="90"/>
        <v>Wk 42</v>
      </c>
      <c r="C294" t="s">
        <v>115</v>
      </c>
      <c r="D294" s="313">
        <v>44853</v>
      </c>
      <c r="E294" s="44">
        <f>DB[[#This Row],[Sales-FC-Orders-Collect]]+DB[[#This Row],[Sales-FC-Orders-HD]]</f>
        <v>2700</v>
      </c>
      <c r="F294" s="402">
        <f>INDEX('LT Collect Forecast'!$K$1:$Q$55,MATCH(B294,'LT Collect Forecast'!$A:$A,0),MATCH(C294,'LT Collect Forecast'!$K$2:$Q$2,0))</f>
        <v>600</v>
      </c>
      <c r="G294" s="44">
        <f>INDEX('LT HD Forecast'!$K$1:$Q$55,MATCH(B294,'LT HD Forecast'!$A:$A,0),MATCH(C294,'LT HD Forecast'!$K$2:$Q$2,0))</f>
        <v>2100</v>
      </c>
      <c r="H294" s="44" cm="1">
        <f t="array" ref="H294">IFERROR(INDEX('ST Forecast'!$E$2:$RK$36,6,M294),"")</f>
        <v>43.375738453558739</v>
      </c>
      <c r="I294" s="44" cm="1">
        <f t="array" ref="I294">IFERROR(INDEX('ST Forecast'!$E$2:$RK$36,7,M294),"")</f>
        <v>48.83837548612788</v>
      </c>
      <c r="J294" s="44">
        <f>SUM(DB[[#This Row],[Sales-FC-Picks-Collect]:[Sales-FC-Picks-HD]])</f>
        <v>128586.03159300379</v>
      </c>
      <c r="K294" s="44">
        <f t="shared" si="85"/>
        <v>26025.443072135244</v>
      </c>
      <c r="L294" s="44">
        <f t="shared" si="86"/>
        <v>102560.58852086855</v>
      </c>
      <c r="M294" s="403">
        <f>IFERROR(IF(B294=B293,M293+1,MATCH(B294,'ST Forecast'!$E$2:$RK$2,0)+1),"")</f>
        <v>332</v>
      </c>
      <c r="N294" s="44">
        <f>SUM(DB[[#This Row],[Ops-FC-Orders-Collect]:[Ops-FC-Orders-HD]])</f>
        <v>2650</v>
      </c>
      <c r="O294" s="44" cm="1">
        <f t="array" ref="O294">IFERROR(INDEX('ST Forecast'!$E$2:$RK$36,13,M294),"")</f>
        <v>600</v>
      </c>
      <c r="P294" s="44">
        <f t="shared" si="91"/>
        <v>2050</v>
      </c>
      <c r="Q294" s="44" cm="1">
        <f t="array" ref="Q294">IFERROR(INDEX('ST Forecast'!$E$2:$RK$36,14,M294),"")</f>
        <v>1050</v>
      </c>
      <c r="R294" s="44" cm="1">
        <f t="array" ref="R294">IFERROR(INDEX('ST Forecast'!$E$2:$RK$36,15,M294),"")</f>
        <v>1000</v>
      </c>
      <c r="S294" s="312">
        <f>SUM(DB[[#This Row],[Ops-FC-Picks-Collect]:[Ops-FC-Picks-HD]])</f>
        <v>123621.23056232344</v>
      </c>
      <c r="T294" s="44">
        <f t="shared" si="92"/>
        <v>25504.93421069254</v>
      </c>
      <c r="U294" s="44">
        <f t="shared" si="93"/>
        <v>98116.29635163091</v>
      </c>
      <c r="V294" s="44">
        <f t="shared" si="94"/>
        <v>50254.688375225589</v>
      </c>
      <c r="W294" s="404">
        <f t="shared" si="95"/>
        <v>47861.607976405321</v>
      </c>
      <c r="X294" s="44">
        <f>SUM(DB[[#This Row],[Capped-Orders-Collect]:[Capped-Orders-HD]])</f>
        <v>90</v>
      </c>
      <c r="Y294">
        <f>INDEX('Operations Forecast'!$A$2:$BGY$47,3,MATCH(DB!D294,'Operations Forecast'!$A$2:$BGY$2))</f>
        <v>0</v>
      </c>
      <c r="Z294">
        <f t="shared" si="96"/>
        <v>90</v>
      </c>
      <c r="AA294">
        <f>INDEX('Operations Forecast'!$A$2:$BGY$47,10,MATCH(DB!D294,'Operations Forecast'!$A$2:$BGY$2))</f>
        <v>90</v>
      </c>
      <c r="AB294">
        <f>INDEX('Operations Forecast'!$A$2:$BGY$47,21,MATCH(DB!D294,'Operations Forecast'!$A$2:$BGY$2))</f>
        <v>0</v>
      </c>
      <c r="AC294" s="312">
        <f>SUM(DB[[#This Row],[Act-Orders-Collect]:[Act-Orders-HD]])</f>
        <v>2392</v>
      </c>
      <c r="AD294" s="858">
        <f>IFERROR(INDEX('Operations Forecast_new'!$7:$7,MATCH(DB[[#This Row],[Datum]],'Operations Forecast_new'!$2:$2,0)),0)</f>
        <v>585</v>
      </c>
      <c r="AE294" s="312">
        <f t="shared" si="97"/>
        <v>1807</v>
      </c>
      <c r="AF294" s="858">
        <f>IFERROR(INDEX('Operations Forecast_new'!$13:$13,MATCH(DB[[#This Row],[Datum]],'Operations Forecast_new'!$2:$2,0)),0)</f>
        <v>974</v>
      </c>
      <c r="AG294" s="858">
        <f>IFERROR(INDEX('Operations Forecast_new'!$19:$19,MATCH(DB[[#This Row],[Datum]],'Operations Forecast_new'!$2:$2,0)),0)</f>
        <v>833</v>
      </c>
      <c r="AH294" s="312">
        <f t="shared" si="87"/>
        <v>107961.28200000001</v>
      </c>
      <c r="AI294" s="858">
        <f>IFERROR(INDEX('Operations Forecast_new'!$9:$9,MATCH(DB[[#This Row],[Datum]],'Operations Forecast_new'!$2:$2,0)),0)</f>
        <v>23166</v>
      </c>
      <c r="AJ294" s="312">
        <f t="shared" si="98"/>
        <v>84795.282000000007</v>
      </c>
      <c r="AK294" s="858">
        <f>IFERROR(INDEX('Operations Forecast_new'!$15:$15,MATCH(DB[[#This Row],[Datum]],'Operations Forecast_new'!$2:$2,0)),0)</f>
        <v>45705.923999999999</v>
      </c>
      <c r="AL294" s="858">
        <f>IFERROR(INDEX('Operations Forecast_new'!$21:$21,MATCH(DB[[#This Row],[Datum]],'Operations Forecast_new'!$2:$2,0)),0)</f>
        <v>39089.358</v>
      </c>
      <c r="AM294" s="178">
        <f>IFERROR(INDEX('Operations Forecast_new'!$8:$8,MATCH(DB[[#This Row],[Datum]],'Operations Forecast_new'!$2:$2,0)),0)</f>
        <v>40</v>
      </c>
      <c r="AN294" s="859">
        <f>IFERROR(INDEX('Operations Forecast_new'!$20:$20,MATCH(DB[[#This Row],[Datum]],'Operations Forecast_new'!$2:$2,0)),0)</f>
        <v>47.4</v>
      </c>
      <c r="AO294" s="44">
        <f t="shared" si="99"/>
        <v>39.6</v>
      </c>
      <c r="AP294" s="404">
        <f t="shared" si="100"/>
        <v>46.926000000000002</v>
      </c>
      <c r="AQ294" s="44">
        <f t="shared" si="88"/>
        <v>157959.37505026255</v>
      </c>
      <c r="AR294" s="44" cm="1">
        <f t="array" ref="AR294">IFERROR(INDEX('ST Forecast'!$E$2:$RK$36,25,M294)+(INDEX('ST Forecast'!$E$2:$RK$36,29,M294)),"")</f>
        <v>66718.5</v>
      </c>
      <c r="AS294" s="44" cm="1">
        <f t="array" ref="AS294">IFERROR(INDEX('ST Forecast'!$E$2:$RK$36,26,M294)+INDEX('ST Forecast'!$E$2:$RK$36,30,M294),"")</f>
        <v>61687.24550483458</v>
      </c>
      <c r="AT294" s="44" cm="1">
        <f t="array" ref="AT294">IFERROR(INDEX('ST Forecast'!$E$2:$RK$36,27,M294)+INDEX('ST Forecast'!$E$2:$RK$36,31,M294),"")</f>
        <v>20259.855050262562</v>
      </c>
      <c r="AU294" s="44" cm="1">
        <f t="array" ref="AU294">IFERROR(INDEX('ST Forecast'!$E$2:$RK$36,28,M294),"")</f>
        <v>9293.774495165424</v>
      </c>
      <c r="AV294" s="44" cm="1">
        <f t="array" ref="AV294">IFERROR(INDEX('ST Forecast'!$E$2:$RK$36,29,M294),"")</f>
        <v>0</v>
      </c>
      <c r="AW294" s="44">
        <f>DB[[#This Row],[Inbound FC]]-DB[[#This Row],[Inbound Act - Ultrafresh2]]</f>
        <v>157959.37505026255</v>
      </c>
      <c r="AX294" s="178" t="e">
        <f>#REF!</f>
        <v>#REF!</v>
      </c>
      <c r="AY294" s="178" t="e">
        <f>#REF!</f>
        <v>#REF!</v>
      </c>
      <c r="AZ294" s="178" t="e">
        <f>#REF!</f>
        <v>#REF!</v>
      </c>
      <c r="BA294" s="178">
        <f>MONTH(DB[[#This Row],[Datum]])</f>
        <v>10</v>
      </c>
    </row>
    <row r="295" spans="1:53" x14ac:dyDescent="0.3">
      <c r="A295" s="44">
        <f t="shared" si="89"/>
        <v>42</v>
      </c>
      <c r="B295" t="str">
        <f t="shared" si="90"/>
        <v>Wk 42</v>
      </c>
      <c r="C295" t="s">
        <v>116</v>
      </c>
      <c r="D295" s="313">
        <v>44854</v>
      </c>
      <c r="E295" s="44">
        <f>DB[[#This Row],[Sales-FC-Orders-Collect]]+DB[[#This Row],[Sales-FC-Orders-HD]]</f>
        <v>2525</v>
      </c>
      <c r="F295" s="402" cm="1">
        <f t="array" ref="F295">INDEX('LT Collect Forecast'!$K$1:$Q$55,MATCH(B295,'LT Collect Forecast'!$A:$A,0)+1,MATCH(C295,'LT Collect Forecast'!$K$2:$Q$2,0))</f>
        <v>575</v>
      </c>
      <c r="G295" s="44" cm="1">
        <f t="array" ref="G295">INDEX('LT HD Forecast'!$K$1:$Q$55,MATCH(B295,'LT HD Forecast'!$A:$A,0)+1,MATCH(C295,'LT HD Forecast'!$K$2:$Q$2,0))</f>
        <v>1950</v>
      </c>
      <c r="H295" s="44" cm="1">
        <f t="array" ref="H295">IFERROR(INDEX('ST Forecast'!$E$2:$RK$36,6,M295),"")</f>
        <v>44.377521222287918</v>
      </c>
      <c r="I295" s="44" cm="1">
        <f t="array" ref="I295">IFERROR(INDEX('ST Forecast'!$E$2:$RK$36,7,M295),"")</f>
        <v>49.142936630785485</v>
      </c>
      <c r="J295" s="44">
        <f>SUM(DB[[#This Row],[Sales-FC-Picks-Collect]:[Sales-FC-Picks-HD]])</f>
        <v>121345.80113284723</v>
      </c>
      <c r="K295" s="44">
        <f t="shared" si="85"/>
        <v>25517.074702815553</v>
      </c>
      <c r="L295" s="44">
        <f t="shared" si="86"/>
        <v>95828.726430031689</v>
      </c>
      <c r="M295" s="403">
        <f>IFERROR(IF(B295=B294,M294+1,MATCH(B295,'ST Forecast'!$E$2:$RK$2,0)+1),"")</f>
        <v>333</v>
      </c>
      <c r="N295" s="44">
        <f>SUM(DB[[#This Row],[Ops-FC-Orders-Collect]:[Ops-FC-Orders-HD]])</f>
        <v>2525</v>
      </c>
      <c r="O295" s="44" cm="1">
        <f t="array" ref="O295">IFERROR(INDEX('ST Forecast'!$E$2:$RK$36,13,M295),"")</f>
        <v>575</v>
      </c>
      <c r="P295" s="44">
        <f t="shared" si="91"/>
        <v>1950</v>
      </c>
      <c r="Q295" s="44" cm="1">
        <f t="array" ref="Q295">IFERROR(INDEX('ST Forecast'!$E$2:$RK$36,14,M295),"")</f>
        <v>1000</v>
      </c>
      <c r="R295" s="44" cm="1">
        <f t="array" ref="R295">IFERROR(INDEX('ST Forecast'!$E$2:$RK$36,15,M295),"")</f>
        <v>950</v>
      </c>
      <c r="S295" s="312">
        <f>SUM(DB[[#This Row],[Ops-FC-Picks-Collect]:[Ops-FC-Picks-HD]])</f>
        <v>118918.8851101903</v>
      </c>
      <c r="T295" s="44">
        <f t="shared" si="92"/>
        <v>25006.73320875924</v>
      </c>
      <c r="U295" s="44">
        <f t="shared" si="93"/>
        <v>93912.151901431062</v>
      </c>
      <c r="V295" s="44">
        <f t="shared" si="94"/>
        <v>48160.077898169773</v>
      </c>
      <c r="W295" s="404">
        <f t="shared" si="95"/>
        <v>45752.074003261281</v>
      </c>
      <c r="X295" s="44">
        <f>SUM(DB[[#This Row],[Capped-Orders-Collect]:[Capped-Orders-HD]])</f>
        <v>90</v>
      </c>
      <c r="Y295">
        <f>INDEX('Operations Forecast'!$A$2:$BGY$47,3,MATCH(DB!D295,'Operations Forecast'!$A$2:$BGY$2))</f>
        <v>0</v>
      </c>
      <c r="Z295">
        <f t="shared" si="96"/>
        <v>90</v>
      </c>
      <c r="AA295">
        <f>INDEX('Operations Forecast'!$A$2:$BGY$47,10,MATCH(DB!D295,'Operations Forecast'!$A$2:$BGY$2))</f>
        <v>90</v>
      </c>
      <c r="AB295">
        <f>INDEX('Operations Forecast'!$A$2:$BGY$47,21,MATCH(DB!D295,'Operations Forecast'!$A$2:$BGY$2))</f>
        <v>0</v>
      </c>
      <c r="AC295" s="312">
        <f>SUM(DB[[#This Row],[Act-Orders-Collect]:[Act-Orders-HD]])</f>
        <v>2276</v>
      </c>
      <c r="AD295" s="858">
        <f>IFERROR(INDEX('Operations Forecast_new'!$7:$7,MATCH(DB[[#This Row],[Datum]],'Operations Forecast_new'!$2:$2,0)),0)</f>
        <v>571</v>
      </c>
      <c r="AE295" s="312">
        <f t="shared" si="97"/>
        <v>1705</v>
      </c>
      <c r="AF295" s="858">
        <f>IFERROR(INDEX('Operations Forecast_new'!$13:$13,MATCH(DB[[#This Row],[Datum]],'Operations Forecast_new'!$2:$2,0)),0)</f>
        <v>781</v>
      </c>
      <c r="AG295" s="858">
        <f>IFERROR(INDEX('Operations Forecast_new'!$19:$19,MATCH(DB[[#This Row],[Datum]],'Operations Forecast_new'!$2:$2,0)),0)</f>
        <v>924</v>
      </c>
      <c r="AH295" s="312">
        <f t="shared" si="87"/>
        <v>101721.51000000001</v>
      </c>
      <c r="AI295" s="858">
        <f>IFERROR(INDEX('Operations Forecast_new'!$9:$9,MATCH(DB[[#This Row],[Datum]],'Operations Forecast_new'!$2:$2,0)),0)</f>
        <v>22894.244999999999</v>
      </c>
      <c r="AJ295" s="312">
        <f t="shared" si="98"/>
        <v>78827.265000000014</v>
      </c>
      <c r="AK295" s="858">
        <f>IFERROR(INDEX('Operations Forecast_new'!$15:$15,MATCH(DB[[#This Row],[Datum]],'Operations Forecast_new'!$2:$2,0)),0)</f>
        <v>36107.973000000005</v>
      </c>
      <c r="AL295" s="858">
        <f>IFERROR(INDEX('Operations Forecast_new'!$21:$21,MATCH(DB[[#This Row],[Datum]],'Operations Forecast_new'!$2:$2,0)),0)</f>
        <v>42719.292000000001</v>
      </c>
      <c r="AM295" s="178">
        <f>IFERROR(INDEX('Operations Forecast_new'!$8:$8,MATCH(DB[[#This Row],[Datum]],'Operations Forecast_new'!$2:$2,0)),0)</f>
        <v>40.5</v>
      </c>
      <c r="AN295" s="859">
        <f>IFERROR(INDEX('Operations Forecast_new'!$20:$20,MATCH(DB[[#This Row],[Datum]],'Operations Forecast_new'!$2:$2,0)),0)</f>
        <v>46.7</v>
      </c>
      <c r="AO295" s="44">
        <f t="shared" si="99"/>
        <v>40.094999999999999</v>
      </c>
      <c r="AP295" s="404">
        <f t="shared" si="100"/>
        <v>46.233000000000011</v>
      </c>
      <c r="AQ295" s="44">
        <f t="shared" si="88"/>
        <v>139383.89342072821</v>
      </c>
      <c r="AR295" s="44" cm="1">
        <f t="array" ref="AR295">IFERROR(INDEX('ST Forecast'!$E$2:$RK$36,25,M295)+(INDEX('ST Forecast'!$E$2:$RK$36,29,M295)),"")</f>
        <v>55799.395000000004</v>
      </c>
      <c r="AS295" s="44" cm="1">
        <f t="array" ref="AS295">IFERROR(INDEX('ST Forecast'!$E$2:$RK$36,26,M295)+INDEX('ST Forecast'!$E$2:$RK$36,30,M295),"")</f>
        <v>62919.305109872803</v>
      </c>
      <c r="AT295" s="44" cm="1">
        <f t="array" ref="AT295">IFERROR(INDEX('ST Forecast'!$E$2:$RK$36,27,M295)+INDEX('ST Forecast'!$E$2:$RK$36,31,M295),"")</f>
        <v>11074.353420728192</v>
      </c>
      <c r="AU295" s="44" cm="1">
        <f t="array" ref="AU295">IFERROR(INDEX('ST Forecast'!$E$2:$RK$36,28,M295),"")</f>
        <v>9590.839890127203</v>
      </c>
      <c r="AV295" s="44" cm="1">
        <f t="array" ref="AV295">IFERROR(INDEX('ST Forecast'!$E$2:$RK$36,29,M295),"")</f>
        <v>0</v>
      </c>
      <c r="AW295" s="44">
        <f>DB[[#This Row],[Inbound FC]]-DB[[#This Row],[Inbound Act - Ultrafresh2]]</f>
        <v>139383.89342072821</v>
      </c>
      <c r="AX295" s="178" t="e">
        <f>#REF!</f>
        <v>#REF!</v>
      </c>
      <c r="AY295" s="178" t="e">
        <f>#REF!</f>
        <v>#REF!</v>
      </c>
      <c r="AZ295" s="178" t="e">
        <f>#REF!</f>
        <v>#REF!</v>
      </c>
      <c r="BA295" s="178">
        <f>MONTH(DB[[#This Row],[Datum]])</f>
        <v>10</v>
      </c>
    </row>
    <row r="296" spans="1:53" x14ac:dyDescent="0.3">
      <c r="A296" s="44">
        <f t="shared" si="89"/>
        <v>42</v>
      </c>
      <c r="B296" t="str">
        <f t="shared" si="90"/>
        <v>Wk 42</v>
      </c>
      <c r="C296" t="s">
        <v>117</v>
      </c>
      <c r="D296" s="313">
        <v>44855</v>
      </c>
      <c r="E296" s="44">
        <f>DB[[#This Row],[Sales-FC-Orders-Collect]]+DB[[#This Row],[Sales-FC-Orders-HD]]</f>
        <v>3300</v>
      </c>
      <c r="F296" s="402" cm="1">
        <f t="array" ref="F296">INDEX('LT Collect Forecast'!$K$1:$Q$55,MATCH(B296,'LT Collect Forecast'!$A:$A,0)+1,MATCH(C296,'LT Collect Forecast'!$K$2:$Q$2,0))</f>
        <v>1100</v>
      </c>
      <c r="G296" s="44" cm="1">
        <f t="array" ref="G296">INDEX('LT HD Forecast'!$K$1:$Q$55,MATCH(B296,'LT HD Forecast'!$A:$A,0)+1,MATCH(C296,'LT HD Forecast'!$K$2:$Q$2,0))</f>
        <v>2200</v>
      </c>
      <c r="H296" s="44" cm="1">
        <f t="array" ref="H296">IFERROR(INDEX('ST Forecast'!$E$2:$RK$36,6,M296),"")</f>
        <v>49.422358267272315</v>
      </c>
      <c r="I296" s="44" cm="1">
        <f t="array" ref="I296">IFERROR(INDEX('ST Forecast'!$E$2:$RK$36,7,M296),"")</f>
        <v>50.521001740655684</v>
      </c>
      <c r="J296" s="44">
        <f>SUM(DB[[#This Row],[Sales-FC-Picks-Collect]:[Sales-FC-Picks-HD]])</f>
        <v>165510.79792344203</v>
      </c>
      <c r="K296" s="44">
        <f t="shared" si="85"/>
        <v>54364.594093999549</v>
      </c>
      <c r="L296" s="44">
        <f t="shared" si="86"/>
        <v>111146.2038294425</v>
      </c>
      <c r="M296" s="403">
        <f>IFERROR(IF(B296=B295,M295+1,MATCH(B296,'ST Forecast'!$E$2:$RK$2,0)+1),"")</f>
        <v>334</v>
      </c>
      <c r="N296" s="44">
        <f>SUM(DB[[#This Row],[Ops-FC-Orders-Collect]:[Ops-FC-Orders-HD]])</f>
        <v>3300</v>
      </c>
      <c r="O296" s="44" cm="1">
        <f t="array" ref="O296">IFERROR(INDEX('ST Forecast'!$E$2:$RK$36,13,M296),"")</f>
        <v>1100</v>
      </c>
      <c r="P296" s="44">
        <f t="shared" si="91"/>
        <v>2200</v>
      </c>
      <c r="Q296" s="44" cm="1">
        <f t="array" ref="Q296">IFERROR(INDEX('ST Forecast'!$E$2:$RK$36,14,M296),"")</f>
        <v>1150</v>
      </c>
      <c r="R296" s="44" cm="1">
        <f t="array" ref="R296">IFERROR(INDEX('ST Forecast'!$E$2:$RK$36,15,M296),"")</f>
        <v>1050</v>
      </c>
      <c r="S296" s="312">
        <f>SUM(DB[[#This Row],[Ops-FC-Picks-Collect]:[Ops-FC-Picks-HD]])</f>
        <v>162200.58196497319</v>
      </c>
      <c r="T296" s="44">
        <f t="shared" si="92"/>
        <v>53277.302212119554</v>
      </c>
      <c r="U296" s="44">
        <f t="shared" si="93"/>
        <v>108923.27975285365</v>
      </c>
      <c r="V296" s="44">
        <f t="shared" si="94"/>
        <v>56937.168961718955</v>
      </c>
      <c r="W296" s="404">
        <f t="shared" si="95"/>
        <v>51986.110791134699</v>
      </c>
      <c r="X296" s="44">
        <f>SUM(DB[[#This Row],[Capped-Orders-Collect]:[Capped-Orders-HD]])</f>
        <v>90</v>
      </c>
      <c r="Y296">
        <f>INDEX('Operations Forecast'!$A$2:$BGY$47,3,MATCH(DB!D296,'Operations Forecast'!$A$2:$BGY$2))</f>
        <v>0</v>
      </c>
      <c r="Z296">
        <f t="shared" si="96"/>
        <v>90</v>
      </c>
      <c r="AA296">
        <f>INDEX('Operations Forecast'!$A$2:$BGY$47,10,MATCH(DB!D296,'Operations Forecast'!$A$2:$BGY$2))</f>
        <v>90</v>
      </c>
      <c r="AB296">
        <f>INDEX('Operations Forecast'!$A$2:$BGY$47,21,MATCH(DB!D296,'Operations Forecast'!$A$2:$BGY$2))</f>
        <v>0</v>
      </c>
      <c r="AC296" s="312">
        <f>SUM(DB[[#This Row],[Act-Orders-Collect]:[Act-Orders-HD]])</f>
        <v>3335</v>
      </c>
      <c r="AD296" s="858">
        <f>IFERROR(INDEX('Operations Forecast_new'!$7:$7,MATCH(DB[[#This Row],[Datum]],'Operations Forecast_new'!$2:$2,0)),0)</f>
        <v>1224</v>
      </c>
      <c r="AE296" s="312">
        <f t="shared" si="97"/>
        <v>2111</v>
      </c>
      <c r="AF296" s="858">
        <f>IFERROR(INDEX('Operations Forecast_new'!$13:$13,MATCH(DB[[#This Row],[Datum]],'Operations Forecast_new'!$2:$2,0)),0)</f>
        <v>1109</v>
      </c>
      <c r="AG296" s="858">
        <f>IFERROR(INDEX('Operations Forecast_new'!$19:$19,MATCH(DB[[#This Row],[Datum]],'Operations Forecast_new'!$2:$2,0)),0)</f>
        <v>1002</v>
      </c>
      <c r="AH296" s="312">
        <f t="shared" si="87"/>
        <v>141236.96399999998</v>
      </c>
      <c r="AI296" s="858">
        <f>IFERROR(INDEX('Operations Forecast_new'!$9:$9,MATCH(DB[[#This Row],[Datum]],'Operations Forecast_new'!$2:$2,0)),0)</f>
        <v>46773.936000000002</v>
      </c>
      <c r="AJ296" s="312">
        <f t="shared" si="98"/>
        <v>94463.027999999991</v>
      </c>
      <c r="AK296" s="858">
        <f>IFERROR(INDEX('Operations Forecast_new'!$15:$15,MATCH(DB[[#This Row],[Datum]],'Operations Forecast_new'!$2:$2,0)),0)</f>
        <v>49625.531999999999</v>
      </c>
      <c r="AL296" s="858">
        <f>IFERROR(INDEX('Operations Forecast_new'!$21:$21,MATCH(DB[[#This Row],[Datum]],'Operations Forecast_new'!$2:$2,0)),0)</f>
        <v>44837.495999999999</v>
      </c>
      <c r="AM296" s="178">
        <f>IFERROR(INDEX('Operations Forecast_new'!$8:$8,MATCH(DB[[#This Row],[Datum]],'Operations Forecast_new'!$2:$2,0)),0)</f>
        <v>38.6</v>
      </c>
      <c r="AN296" s="859">
        <f>IFERROR(INDEX('Operations Forecast_new'!$20:$20,MATCH(DB[[#This Row],[Datum]],'Operations Forecast_new'!$2:$2,0)),0)</f>
        <v>45.2</v>
      </c>
      <c r="AO296" s="44">
        <f t="shared" si="99"/>
        <v>38.213999999999999</v>
      </c>
      <c r="AP296" s="404">
        <f t="shared" si="100"/>
        <v>44.747999999999998</v>
      </c>
      <c r="AQ296" s="44">
        <f t="shared" si="88"/>
        <v>130894.92212447542</v>
      </c>
      <c r="AR296" s="44" cm="1">
        <f t="array" ref="AR296">IFERROR(INDEX('ST Forecast'!$E$2:$RK$36,25,M296)+(INDEX('ST Forecast'!$E$2:$RK$36,29,M296)),"")</f>
        <v>53160.016000000003</v>
      </c>
      <c r="AS296" s="44" cm="1">
        <f t="array" ref="AS296">IFERROR(INDEX('ST Forecast'!$E$2:$RK$36,26,M296)+INDEX('ST Forecast'!$E$2:$RK$36,30,M296),"")</f>
        <v>62784.094004533137</v>
      </c>
      <c r="AT296" s="44" cm="1">
        <f t="array" ref="AT296">IFERROR(INDEX('ST Forecast'!$E$2:$RK$36,27,M296)+INDEX('ST Forecast'!$E$2:$RK$36,31,M296),"")</f>
        <v>5720.1061244754064</v>
      </c>
      <c r="AU296" s="44" cm="1">
        <f t="array" ref="AU296">IFERROR(INDEX('ST Forecast'!$E$2:$RK$36,28,M296),"")</f>
        <v>9230.7059954668675</v>
      </c>
      <c r="AV296" s="44" cm="1">
        <f t="array" ref="AV296">IFERROR(INDEX('ST Forecast'!$E$2:$RK$36,29,M296),"")</f>
        <v>0</v>
      </c>
      <c r="AW296" s="44">
        <f>DB[[#This Row],[Inbound FC]]-DB[[#This Row],[Inbound Act - Ultrafresh2]]</f>
        <v>130894.92212447542</v>
      </c>
      <c r="AX296" s="178" t="e">
        <f>#REF!</f>
        <v>#REF!</v>
      </c>
      <c r="AY296" s="178" t="e">
        <f>#REF!</f>
        <v>#REF!</v>
      </c>
      <c r="AZ296" s="178" t="e">
        <f>#REF!</f>
        <v>#REF!</v>
      </c>
      <c r="BA296" s="178">
        <f>MONTH(DB[[#This Row],[Datum]])</f>
        <v>10</v>
      </c>
    </row>
    <row r="297" spans="1:53" x14ac:dyDescent="0.3">
      <c r="A297" s="44">
        <f t="shared" si="89"/>
        <v>42</v>
      </c>
      <c r="B297" t="str">
        <f t="shared" si="90"/>
        <v>Wk 42</v>
      </c>
      <c r="C297" t="s">
        <v>118</v>
      </c>
      <c r="D297" s="313">
        <v>44856</v>
      </c>
      <c r="E297" s="44">
        <f>DB[[#This Row],[Sales-FC-Orders-Collect]]+DB[[#This Row],[Sales-FC-Orders-HD]]</f>
        <v>3100</v>
      </c>
      <c r="F297" s="402" cm="1">
        <f t="array" ref="F297">INDEX('LT Collect Forecast'!$K$1:$Q$55,MATCH(B297,'LT Collect Forecast'!$A:$A,0)+1,MATCH(C297,'LT Collect Forecast'!$K$2:$Q$2,0))</f>
        <v>1000</v>
      </c>
      <c r="G297" s="44" cm="1">
        <f t="array" ref="G297">INDEX('LT HD Forecast'!$K$1:$Q$55,MATCH(B297,'LT HD Forecast'!$A:$A,0)+1,MATCH(C297,'LT HD Forecast'!$K$2:$Q$2,0))</f>
        <v>2100</v>
      </c>
      <c r="H297" s="44" cm="1">
        <f t="array" ref="H297">IFERROR(INDEX('ST Forecast'!$E$2:$RK$36,6,M297),"")</f>
        <v>49.077340212943263</v>
      </c>
      <c r="I297" s="44" cm="1">
        <f t="array" ref="I297">IFERROR(INDEX('ST Forecast'!$E$2:$RK$36,7,M297),"")</f>
        <v>51.261108390265299</v>
      </c>
      <c r="J297" s="44">
        <f>SUM(DB[[#This Row],[Sales-FC-Picks-Collect]:[Sales-FC-Picks-HD]])</f>
        <v>156725.66783250039</v>
      </c>
      <c r="K297" s="44">
        <f t="shared" si="85"/>
        <v>49077.340212943265</v>
      </c>
      <c r="L297" s="44">
        <f t="shared" si="86"/>
        <v>107648.32761955712</v>
      </c>
      <c r="M297" s="403">
        <f>IFERROR(IF(B297=B296,M296+1,MATCH(B297,'ST Forecast'!$E$2:$RK$2,0)+1),"")</f>
        <v>335</v>
      </c>
      <c r="N297" s="44">
        <f>SUM(DB[[#This Row],[Ops-FC-Orders-Collect]:[Ops-FC-Orders-HD]])</f>
        <v>3000</v>
      </c>
      <c r="O297" s="44" cm="1">
        <f t="array" ref="O297">IFERROR(INDEX('ST Forecast'!$E$2:$RK$36,13,M297),"")</f>
        <v>1000</v>
      </c>
      <c r="P297" s="44">
        <f t="shared" si="91"/>
        <v>2000</v>
      </c>
      <c r="Q297" s="44" cm="1">
        <f t="array" ref="Q297">IFERROR(INDEX('ST Forecast'!$E$2:$RK$36,14,M297),"")</f>
        <v>1100</v>
      </c>
      <c r="R297" s="44" cm="1">
        <f t="array" ref="R297">IFERROR(INDEX('ST Forecast'!$E$2:$RK$36,15,M297),"")</f>
        <v>900</v>
      </c>
      <c r="S297" s="312">
        <f>SUM(DB[[#This Row],[Ops-FC-Picks-Collect]:[Ops-FC-Picks-HD]])</f>
        <v>148567.56585360438</v>
      </c>
      <c r="T297" s="44">
        <f t="shared" si="92"/>
        <v>48095.793408684396</v>
      </c>
      <c r="U297" s="44">
        <f t="shared" si="93"/>
        <v>100471.77244491997</v>
      </c>
      <c r="V297" s="44">
        <f t="shared" si="94"/>
        <v>55259.47484470599</v>
      </c>
      <c r="W297" s="404">
        <f t="shared" si="95"/>
        <v>45212.297600213991</v>
      </c>
      <c r="X297" s="44">
        <f>SUM(DB[[#This Row],[Capped-Orders-Collect]:[Capped-Orders-HD]])</f>
        <v>90</v>
      </c>
      <c r="Y297">
        <f>INDEX('Operations Forecast'!$A$2:$BGY$47,3,MATCH(DB!D297,'Operations Forecast'!$A$2:$BGY$2))</f>
        <v>0</v>
      </c>
      <c r="Z297">
        <f t="shared" si="96"/>
        <v>90</v>
      </c>
      <c r="AA297">
        <f>INDEX('Operations Forecast'!$A$2:$BGY$47,10,MATCH(DB!D297,'Operations Forecast'!$A$2:$BGY$2))</f>
        <v>90</v>
      </c>
      <c r="AB297">
        <f>INDEX('Operations Forecast'!$A$2:$BGY$47,21,MATCH(DB!D297,'Operations Forecast'!$A$2:$BGY$2))</f>
        <v>0</v>
      </c>
      <c r="AC297" s="312">
        <f>SUM(DB[[#This Row],[Act-Orders-Collect]:[Act-Orders-HD]])</f>
        <v>3048</v>
      </c>
      <c r="AD297" s="858">
        <f>IFERROR(INDEX('Operations Forecast_new'!$7:$7,MATCH(DB[[#This Row],[Datum]],'Operations Forecast_new'!$2:$2,0)),0)</f>
        <v>1200</v>
      </c>
      <c r="AE297" s="312">
        <f t="shared" si="97"/>
        <v>1848</v>
      </c>
      <c r="AF297" s="858">
        <f>IFERROR(INDEX('Operations Forecast_new'!$13:$13,MATCH(DB[[#This Row],[Datum]],'Operations Forecast_new'!$2:$2,0)),0)</f>
        <v>1068</v>
      </c>
      <c r="AG297" s="858">
        <f>IFERROR(INDEX('Operations Forecast_new'!$19:$19,MATCH(DB[[#This Row],[Datum]],'Operations Forecast_new'!$2:$2,0)),0)</f>
        <v>780</v>
      </c>
      <c r="AH297" s="312">
        <f t="shared" si="87"/>
        <v>128971.65599999999</v>
      </c>
      <c r="AI297" s="858">
        <f>IFERROR(INDEX('Operations Forecast_new'!$9:$9,MATCH(DB[[#This Row],[Datum]],'Operations Forecast_new'!$2:$2,0)),0)</f>
        <v>46094.400000000001</v>
      </c>
      <c r="AJ297" s="312">
        <f t="shared" si="98"/>
        <v>82877.255999999994</v>
      </c>
      <c r="AK297" s="858">
        <f>IFERROR(INDEX('Operations Forecast_new'!$15:$15,MATCH(DB[[#This Row],[Datum]],'Operations Forecast_new'!$2:$2,0)),0)</f>
        <v>47896.59599999999</v>
      </c>
      <c r="AL297" s="858">
        <f>IFERROR(INDEX('Operations Forecast_new'!$21:$21,MATCH(DB[[#This Row],[Datum]],'Operations Forecast_new'!$2:$2,0)),0)</f>
        <v>34980.659999999996</v>
      </c>
      <c r="AM297" s="178">
        <f>IFERROR(INDEX('Operations Forecast_new'!$8:$8,MATCH(DB[[#This Row],[Datum]],'Operations Forecast_new'!$2:$2,0)),0)</f>
        <v>38.799999999999997</v>
      </c>
      <c r="AN297" s="859">
        <f>IFERROR(INDEX('Operations Forecast_new'!$20:$20,MATCH(DB[[#This Row],[Datum]],'Operations Forecast_new'!$2:$2,0)),0)</f>
        <v>45.3</v>
      </c>
      <c r="AO297" s="44">
        <f t="shared" si="99"/>
        <v>38.411999999999999</v>
      </c>
      <c r="AP297" s="404">
        <f t="shared" si="100"/>
        <v>44.846999999999994</v>
      </c>
      <c r="AQ297" s="44">
        <f t="shared" si="88"/>
        <v>131814.00000000006</v>
      </c>
      <c r="AR297" s="44" cm="1">
        <f t="array" ref="AR297">IFERROR(INDEX('ST Forecast'!$E$2:$RK$36,25,M297)+(INDEX('ST Forecast'!$E$2:$RK$36,29,M297)),"")</f>
        <v>62037.743469288012</v>
      </c>
      <c r="AS297" s="44" cm="1">
        <f t="array" ref="AS297">IFERROR(INDEX('ST Forecast'!$E$2:$RK$36,26,M297)+INDEX('ST Forecast'!$E$2:$RK$36,30,M297),"")</f>
        <v>57709.724666006296</v>
      </c>
      <c r="AT297" s="44" cm="1">
        <f t="array" ref="AT297">IFERROR(INDEX('ST Forecast'!$E$2:$RK$36,27,M297)+INDEX('ST Forecast'!$E$2:$RK$36,31,M297),"")</f>
        <v>5099.3926740667284</v>
      </c>
      <c r="AU297" s="44" cm="1">
        <f t="array" ref="AU297">IFERROR(INDEX('ST Forecast'!$E$2:$RK$36,28,M297),"")</f>
        <v>6967.1391906390381</v>
      </c>
      <c r="AV297" s="44" cm="1">
        <f t="array" ref="AV297">IFERROR(INDEX('ST Forecast'!$E$2:$RK$36,29,M297),"")</f>
        <v>0</v>
      </c>
      <c r="AW297" s="44">
        <f>DB[[#This Row],[Inbound FC]]-DB[[#This Row],[Inbound Act - Ultrafresh2]]</f>
        <v>131814.00000000006</v>
      </c>
      <c r="AX297" s="178" t="e">
        <f>#REF!</f>
        <v>#REF!</v>
      </c>
      <c r="AY297" s="178" t="e">
        <f>#REF!</f>
        <v>#REF!</v>
      </c>
      <c r="AZ297" s="178" t="e">
        <f>#REF!</f>
        <v>#REF!</v>
      </c>
      <c r="BA297" s="178">
        <f>MONTH(DB[[#This Row],[Datum]])</f>
        <v>10</v>
      </c>
    </row>
    <row r="298" spans="1:53" x14ac:dyDescent="0.3">
      <c r="A298" s="44">
        <f t="shared" si="89"/>
        <v>42</v>
      </c>
      <c r="B298" t="str">
        <f t="shared" si="90"/>
        <v>Wk 42</v>
      </c>
      <c r="C298" t="s">
        <v>119</v>
      </c>
      <c r="D298" s="313">
        <v>44857</v>
      </c>
      <c r="E298" s="44">
        <f>DB[[#This Row],[Sales-FC-Orders-Collect]]+DB[[#This Row],[Sales-FC-Orders-HD]]</f>
        <v>0</v>
      </c>
      <c r="F298" s="402" cm="1">
        <f t="array" ref="F298">INDEX('LT Collect Forecast'!$K$1:$Q$55,MATCH(B298,'LT Collect Forecast'!$A:$A,0)+1,MATCH(C298,'LT Collect Forecast'!$K$2:$Q$2,0))</f>
        <v>0</v>
      </c>
      <c r="G298" s="44" cm="1">
        <f t="array" ref="G298">INDEX('LT HD Forecast'!$K$1:$Q$55,MATCH(B298,'LT HD Forecast'!$A:$A,0)+1,MATCH(C298,'LT HD Forecast'!$K$2:$Q$2,0))</f>
        <v>0</v>
      </c>
      <c r="H298" s="44" cm="1">
        <f t="array" ref="H298">IFERROR(INDEX('ST Forecast'!$E$2:$RK$36,6,M298),"")</f>
        <v>0</v>
      </c>
      <c r="I298" s="44" cm="1">
        <f t="array" ref="I298">IFERROR(INDEX('ST Forecast'!$E$2:$RK$36,7,M298),"")</f>
        <v>0</v>
      </c>
      <c r="J298" s="44">
        <f>SUM(DB[[#This Row],[Sales-FC-Picks-Collect]:[Sales-FC-Picks-HD]])</f>
        <v>0</v>
      </c>
      <c r="K298" s="44">
        <f t="shared" si="85"/>
        <v>0</v>
      </c>
      <c r="L298" s="44">
        <f t="shared" si="86"/>
        <v>0</v>
      </c>
      <c r="M298" s="403">
        <f>IFERROR(IF(B298=B297,M297+1,MATCH(B298,'ST Forecast'!$E$2:$RK$2,0)+1),"")</f>
        <v>336</v>
      </c>
      <c r="N298" s="44">
        <f>SUM(DB[[#This Row],[Ops-FC-Orders-Collect]:[Ops-FC-Orders-HD]])</f>
        <v>0</v>
      </c>
      <c r="O298" s="44" cm="1">
        <f t="array" ref="O298">IFERROR(INDEX('ST Forecast'!$E$2:$RK$36,13,M298),"")</f>
        <v>0</v>
      </c>
      <c r="P298" s="44">
        <f t="shared" si="91"/>
        <v>0</v>
      </c>
      <c r="Q298" s="44" cm="1">
        <f t="array" ref="Q298">IFERROR(INDEX('ST Forecast'!$E$2:$RK$36,14,M298),"")</f>
        <v>0</v>
      </c>
      <c r="R298" s="44" cm="1">
        <f t="array" ref="R298">IFERROR(INDEX('ST Forecast'!$E$2:$RK$36,15,M298),"")</f>
        <v>0</v>
      </c>
      <c r="S298" s="312">
        <f>SUM(DB[[#This Row],[Ops-FC-Picks-Collect]:[Ops-FC-Picks-HD]])</f>
        <v>0</v>
      </c>
      <c r="T298" s="44">
        <f t="shared" si="92"/>
        <v>0</v>
      </c>
      <c r="U298" s="44">
        <f t="shared" si="93"/>
        <v>0</v>
      </c>
      <c r="V298" s="44">
        <f t="shared" si="94"/>
        <v>0</v>
      </c>
      <c r="W298" s="404">
        <f t="shared" si="95"/>
        <v>0</v>
      </c>
      <c r="X298" s="44">
        <f>SUM(DB[[#This Row],[Capped-Orders-Collect]:[Capped-Orders-HD]])</f>
        <v>90</v>
      </c>
      <c r="Y298">
        <f>INDEX('Operations Forecast'!$A$2:$BGY$47,3,MATCH(DB!D298,'Operations Forecast'!$A$2:$BGY$2))</f>
        <v>0</v>
      </c>
      <c r="Z298">
        <f t="shared" si="96"/>
        <v>90</v>
      </c>
      <c r="AA298">
        <f>INDEX('Operations Forecast'!$A$2:$BGY$47,10,MATCH(DB!D298,'Operations Forecast'!$A$2:$BGY$2))</f>
        <v>90</v>
      </c>
      <c r="AB298">
        <f>INDEX('Operations Forecast'!$A$2:$BGY$47,21,MATCH(DB!D298,'Operations Forecast'!$A$2:$BGY$2))</f>
        <v>0</v>
      </c>
      <c r="AC298" s="312">
        <f>SUM(DB[[#This Row],[Act-Orders-Collect]:[Act-Orders-HD]])</f>
        <v>0</v>
      </c>
      <c r="AD298" s="858">
        <f>IFERROR(INDEX('Operations Forecast_new'!$7:$7,MATCH(DB[[#This Row],[Datum]],'Operations Forecast_new'!$2:$2,0)),0)</f>
        <v>0</v>
      </c>
      <c r="AE298" s="312">
        <f t="shared" si="97"/>
        <v>0</v>
      </c>
      <c r="AF298" s="858">
        <f>IFERROR(INDEX('Operations Forecast_new'!$13:$13,MATCH(DB[[#This Row],[Datum]],'Operations Forecast_new'!$2:$2,0)),0)</f>
        <v>0</v>
      </c>
      <c r="AG298" s="858">
        <f>IFERROR(INDEX('Operations Forecast_new'!$19:$19,MATCH(DB[[#This Row],[Datum]],'Operations Forecast_new'!$2:$2,0)),0)</f>
        <v>0</v>
      </c>
      <c r="AH298" s="312">
        <f t="shared" si="87"/>
        <v>0</v>
      </c>
      <c r="AI298" s="858">
        <f>IFERROR(INDEX('Operations Forecast_new'!$9:$9,MATCH(DB[[#This Row],[Datum]],'Operations Forecast_new'!$2:$2,0)),0)</f>
        <v>0</v>
      </c>
      <c r="AJ298" s="312">
        <f t="shared" si="98"/>
        <v>0</v>
      </c>
      <c r="AK298" s="858">
        <f>IFERROR(INDEX('Operations Forecast_new'!$15:$15,MATCH(DB[[#This Row],[Datum]],'Operations Forecast_new'!$2:$2,0)),0)</f>
        <v>0</v>
      </c>
      <c r="AL298" s="858">
        <f>IFERROR(INDEX('Operations Forecast_new'!$21:$21,MATCH(DB[[#This Row],[Datum]],'Operations Forecast_new'!$2:$2,0)),0)</f>
        <v>0</v>
      </c>
      <c r="AM298" s="178">
        <f>IFERROR(INDEX('Operations Forecast_new'!$8:$8,MATCH(DB[[#This Row],[Datum]],'Operations Forecast_new'!$2:$2,0)),0)</f>
        <v>0</v>
      </c>
      <c r="AN298" s="859">
        <f>IFERROR(INDEX('Operations Forecast_new'!$20:$20,MATCH(DB[[#This Row],[Datum]],'Operations Forecast_new'!$2:$2,0)),0)</f>
        <v>0</v>
      </c>
      <c r="AO298" s="44" t="str">
        <f t="shared" si="99"/>
        <v>-</v>
      </c>
      <c r="AP298" s="404" t="str">
        <f t="shared" si="100"/>
        <v>-</v>
      </c>
      <c r="AQ298" s="44">
        <f t="shared" si="88"/>
        <v>0</v>
      </c>
      <c r="AR298" s="44" cm="1">
        <f t="array" ref="AR298">IFERROR(INDEX('ST Forecast'!$E$2:$RK$36,25,M298)+(INDEX('ST Forecast'!$E$2:$RK$36,29,M298)),"")</f>
        <v>0</v>
      </c>
      <c r="AS298" s="44" cm="1">
        <f t="array" ref="AS298">IFERROR(INDEX('ST Forecast'!$E$2:$RK$36,26,M298)+INDEX('ST Forecast'!$E$2:$RK$36,30,M298),"")</f>
        <v>0</v>
      </c>
      <c r="AT298" s="44" cm="1">
        <f t="array" ref="AT298">IFERROR(INDEX('ST Forecast'!$E$2:$RK$36,27,M298)+INDEX('ST Forecast'!$E$2:$RK$36,31,M298),"")</f>
        <v>0</v>
      </c>
      <c r="AU298" s="44" cm="1">
        <f t="array" ref="AU298">IFERROR(INDEX('ST Forecast'!$E$2:$RK$36,28,M298),"")</f>
        <v>0</v>
      </c>
      <c r="AV298" s="44" cm="1">
        <f t="array" ref="AV298">IFERROR(INDEX('ST Forecast'!$E$2:$RK$36,29,M298),"")</f>
        <v>0</v>
      </c>
      <c r="AW298" s="44">
        <f>DB[[#This Row],[Inbound FC]]-DB[[#This Row],[Inbound Act - Ultrafresh2]]</f>
        <v>0</v>
      </c>
      <c r="AX298" s="178" t="e">
        <f>#REF!</f>
        <v>#REF!</v>
      </c>
      <c r="AY298" s="178" t="e">
        <f>#REF!</f>
        <v>#REF!</v>
      </c>
      <c r="AZ298" s="178" t="e">
        <f>#REF!</f>
        <v>#REF!</v>
      </c>
      <c r="BA298" s="178">
        <f>MONTH(DB[[#This Row],[Datum]])</f>
        <v>10</v>
      </c>
    </row>
    <row r="299" spans="1:53" x14ac:dyDescent="0.3">
      <c r="A299" s="44">
        <f t="shared" si="89"/>
        <v>43</v>
      </c>
      <c r="B299" t="str">
        <f t="shared" si="90"/>
        <v>Wk 43</v>
      </c>
      <c r="C299" t="s">
        <v>113</v>
      </c>
      <c r="D299" s="313">
        <v>44858</v>
      </c>
      <c r="E299" s="44">
        <f>DB[[#This Row],[Sales-FC-Orders-Collect]]+DB[[#This Row],[Sales-FC-Orders-HD]]</f>
        <v>2850</v>
      </c>
      <c r="F299" s="402">
        <f>INDEX('LT Collect Forecast'!$K$1:$Q$55,MATCH(B299,'LT Collect Forecast'!$A:$A,0),MATCH(C299,'LT Collect Forecast'!$K$2:$Q$2,0))</f>
        <v>800</v>
      </c>
      <c r="G299" s="44">
        <f>INDEX('LT HD Forecast'!$K$1:$Q$55,MATCH(B299,'LT HD Forecast'!$A:$A,0),MATCH(C299,'LT HD Forecast'!$K$2:$Q$2,0))</f>
        <v>2050</v>
      </c>
      <c r="H299" s="44" cm="1">
        <f t="array" ref="H299">IFERROR(INDEX('ST Forecast'!$E$2:$RK$36,6,M299),"")</f>
        <v>46.538583432407052</v>
      </c>
      <c r="I299" s="44" cm="1">
        <f t="array" ref="I299">IFERROR(INDEX('ST Forecast'!$E$2:$RK$36,7,M299),"")</f>
        <v>49.325866154989747</v>
      </c>
      <c r="J299" s="44">
        <f>SUM(DB[[#This Row],[Sales-FC-Picks-Collect]:[Sales-FC-Picks-HD]])</f>
        <v>138348.89236365462</v>
      </c>
      <c r="K299" s="44">
        <f t="shared" si="85"/>
        <v>37230.866745925639</v>
      </c>
      <c r="L299" s="44">
        <f t="shared" si="86"/>
        <v>101118.02561772898</v>
      </c>
      <c r="M299" s="403">
        <f>IFERROR(IF(B299=B298,M298+1,MATCH(B299,'ST Forecast'!$E$2:$RK$2,0)+1),"")</f>
        <v>338</v>
      </c>
      <c r="N299" s="44">
        <f>SUM(DB[[#This Row],[Ops-FC-Orders-Collect]:[Ops-FC-Orders-HD]])</f>
        <v>2775</v>
      </c>
      <c r="O299" s="44" cm="1">
        <f t="array" ref="O299">IFERROR(INDEX('ST Forecast'!$E$2:$RK$36,13,M299),"")</f>
        <v>800</v>
      </c>
      <c r="P299" s="44">
        <f t="shared" si="91"/>
        <v>1975</v>
      </c>
      <c r="Q299" s="44" cm="1">
        <f t="array" ref="Q299">IFERROR(INDEX('ST Forecast'!$E$2:$RK$36,14,M299),"")</f>
        <v>900</v>
      </c>
      <c r="R299" s="44" cm="1">
        <f t="array" ref="R299">IFERROR(INDEX('ST Forecast'!$E$2:$RK$36,15,M299),"")</f>
        <v>1075</v>
      </c>
      <c r="S299" s="312">
        <f>SUM(DB[[#This Row],[Ops-FC-Picks-Collect]:[Ops-FC-Picks-HD]])</f>
        <v>131956.46335398979</v>
      </c>
      <c r="T299" s="44">
        <f t="shared" si="92"/>
        <v>36486.249411007127</v>
      </c>
      <c r="U299" s="44">
        <f t="shared" si="93"/>
        <v>95470.213942982664</v>
      </c>
      <c r="V299" s="44">
        <f t="shared" si="94"/>
        <v>43505.41394870096</v>
      </c>
      <c r="W299" s="404">
        <f t="shared" si="95"/>
        <v>51964.799994281704</v>
      </c>
      <c r="X299" s="44">
        <f>SUM(DB[[#This Row],[Capped-Orders-Collect]:[Capped-Orders-HD]])</f>
        <v>90</v>
      </c>
      <c r="Y299">
        <f>INDEX('Operations Forecast'!$A$2:$BGY$47,3,MATCH(DB!D299,'Operations Forecast'!$A$2:$BGY$2))</f>
        <v>0</v>
      </c>
      <c r="Z299">
        <f t="shared" si="96"/>
        <v>90</v>
      </c>
      <c r="AA299">
        <f>INDEX('Operations Forecast'!$A$2:$BGY$47,10,MATCH(DB!D299,'Operations Forecast'!$A$2:$BGY$2))</f>
        <v>90</v>
      </c>
      <c r="AB299">
        <f>INDEX('Operations Forecast'!$A$2:$BGY$47,21,MATCH(DB!D299,'Operations Forecast'!$A$2:$BGY$2))</f>
        <v>0</v>
      </c>
      <c r="AC299" s="312">
        <f>SUM(DB[[#This Row],[Act-Orders-Collect]:[Act-Orders-HD]])</f>
        <v>2927</v>
      </c>
      <c r="AD299" s="858">
        <f>IFERROR(INDEX('Operations Forecast_new'!$7:$7,MATCH(DB[[#This Row],[Datum]],'Operations Forecast_new'!$2:$2,0)),0)</f>
        <v>1010</v>
      </c>
      <c r="AE299" s="312">
        <f t="shared" si="97"/>
        <v>1917</v>
      </c>
      <c r="AF299" s="858">
        <f>IFERROR(INDEX('Operations Forecast_new'!$13:$13,MATCH(DB[[#This Row],[Datum]],'Operations Forecast_new'!$2:$2,0)),0)</f>
        <v>859</v>
      </c>
      <c r="AG299" s="858">
        <f>IFERROR(INDEX('Operations Forecast_new'!$19:$19,MATCH(DB[[#This Row],[Datum]],'Operations Forecast_new'!$2:$2,0)),0)</f>
        <v>1058</v>
      </c>
      <c r="AH299" s="312">
        <f t="shared" si="87"/>
        <v>118688.823</v>
      </c>
      <c r="AI299" s="858">
        <f>IFERROR(INDEX('Operations Forecast_new'!$9:$9,MATCH(DB[[#This Row],[Datum]],'Operations Forecast_new'!$2:$2,0)),0)</f>
        <v>33096.69</v>
      </c>
      <c r="AJ299" s="312">
        <f t="shared" si="98"/>
        <v>85592.133000000002</v>
      </c>
      <c r="AK299" s="858">
        <f>IFERROR(INDEX('Operations Forecast_new'!$15:$15,MATCH(DB[[#This Row],[Datum]],'Operations Forecast_new'!$2:$2,0)),0)</f>
        <v>38353.491000000002</v>
      </c>
      <c r="AL299" s="858">
        <f>IFERROR(INDEX('Operations Forecast_new'!$21:$21,MATCH(DB[[#This Row],[Datum]],'Operations Forecast_new'!$2:$2,0)),0)</f>
        <v>47238.642</v>
      </c>
      <c r="AM299" s="178">
        <f>IFERROR(INDEX('Operations Forecast_new'!$8:$8,MATCH(DB[[#This Row],[Datum]],'Operations Forecast_new'!$2:$2,0)),0)</f>
        <v>33.1</v>
      </c>
      <c r="AN299" s="859">
        <f>IFERROR(INDEX('Operations Forecast_new'!$20:$20,MATCH(DB[[#This Row],[Datum]],'Operations Forecast_new'!$2:$2,0)),0)</f>
        <v>45.1</v>
      </c>
      <c r="AO299" s="44">
        <f t="shared" si="99"/>
        <v>32.769000000000005</v>
      </c>
      <c r="AP299" s="404">
        <f t="shared" si="100"/>
        <v>44.649000000000001</v>
      </c>
      <c r="AQ299" s="44">
        <f t="shared" si="88"/>
        <v>212453</v>
      </c>
      <c r="AR299" s="44" cm="1">
        <f t="array" ref="AR299">IFERROR(INDEX('ST Forecast'!$E$2:$RK$36,25,M299)+(INDEX('ST Forecast'!$E$2:$RK$36,29,M299)),"")</f>
        <v>99840.950000000012</v>
      </c>
      <c r="AS299" s="44" cm="1">
        <f t="array" ref="AS299">IFERROR(INDEX('ST Forecast'!$E$2:$RK$36,26,M299)+INDEX('ST Forecast'!$E$2:$RK$36,30,M299),"")</f>
        <v>61711.03445392404</v>
      </c>
      <c r="AT299" s="44" cm="1">
        <f t="array" ref="AT299">IFERROR(INDEX('ST Forecast'!$E$2:$RK$36,27,M299)+INDEX('ST Forecast'!$E$2:$RK$36,31,M299),"")</f>
        <v>41815.74</v>
      </c>
      <c r="AU299" s="44" cm="1">
        <f t="array" ref="AU299">IFERROR(INDEX('ST Forecast'!$E$2:$RK$36,28,M299),"")</f>
        <v>9085.2755460759563</v>
      </c>
      <c r="AV299" s="44" cm="1">
        <f t="array" ref="AV299">IFERROR(INDEX('ST Forecast'!$E$2:$RK$36,29,M299),"")</f>
        <v>0</v>
      </c>
      <c r="AW299" s="44">
        <f>DB[[#This Row],[Inbound FC]]-DB[[#This Row],[Inbound Act - Ultrafresh2]]</f>
        <v>212453</v>
      </c>
      <c r="AX299" s="178" t="e">
        <f>#REF!</f>
        <v>#REF!</v>
      </c>
      <c r="AY299" s="178" t="e">
        <f>#REF!</f>
        <v>#REF!</v>
      </c>
      <c r="AZ299" s="178" t="e">
        <f>#REF!</f>
        <v>#REF!</v>
      </c>
      <c r="BA299" s="178">
        <f>MONTH(DB[[#This Row],[Datum]])</f>
        <v>10</v>
      </c>
    </row>
    <row r="300" spans="1:53" x14ac:dyDescent="0.3">
      <c r="A300" s="44">
        <f t="shared" si="89"/>
        <v>43</v>
      </c>
      <c r="B300" t="str">
        <f t="shared" si="90"/>
        <v>Wk 43</v>
      </c>
      <c r="C300" t="s">
        <v>114</v>
      </c>
      <c r="D300" s="313">
        <v>44859</v>
      </c>
      <c r="E300" s="44">
        <f>DB[[#This Row],[Sales-FC-Orders-Collect]]+DB[[#This Row],[Sales-FC-Orders-HD]]</f>
        <v>2700</v>
      </c>
      <c r="F300" s="402">
        <f>INDEX('LT Collect Forecast'!$K$1:$Q$55,MATCH(B300,'LT Collect Forecast'!$A:$A,0),MATCH(C300,'LT Collect Forecast'!$K$2:$Q$2,0))</f>
        <v>650</v>
      </c>
      <c r="G300" s="44">
        <f>INDEX('LT HD Forecast'!$K$1:$Q$55,MATCH(B300,'LT HD Forecast'!$A:$A,0),MATCH(C300,'LT HD Forecast'!$K$2:$Q$2,0))</f>
        <v>2050</v>
      </c>
      <c r="H300" s="44" cm="1">
        <f t="array" ref="H300">IFERROR(INDEX('ST Forecast'!$E$2:$RK$36,6,M300),"")</f>
        <v>40.909487575644114</v>
      </c>
      <c r="I300" s="44" cm="1">
        <f t="array" ref="I300">IFERROR(INDEX('ST Forecast'!$E$2:$RK$36,7,M300),"")</f>
        <v>47.708077888500966</v>
      </c>
      <c r="J300" s="44">
        <f>SUM(DB[[#This Row],[Sales-FC-Picks-Collect]:[Sales-FC-Picks-HD]])</f>
        <v>124392.72659559565</v>
      </c>
      <c r="K300" s="44">
        <f t="shared" si="85"/>
        <v>26591.166924168676</v>
      </c>
      <c r="L300" s="44">
        <f t="shared" si="86"/>
        <v>97801.559671426978</v>
      </c>
      <c r="M300" s="403">
        <f>IFERROR(IF(B300=B299,M299+1,MATCH(B300,'ST Forecast'!$E$2:$RK$2,0)+1),"")</f>
        <v>339</v>
      </c>
      <c r="N300" s="44">
        <f>SUM(DB[[#This Row],[Ops-FC-Orders-Collect]:[Ops-FC-Orders-HD]])</f>
        <v>2850</v>
      </c>
      <c r="O300" s="44" cm="1">
        <f t="array" ref="O300">IFERROR(INDEX('ST Forecast'!$E$2:$RK$36,13,M300),"")</f>
        <v>700</v>
      </c>
      <c r="P300" s="44">
        <f t="shared" si="91"/>
        <v>2150</v>
      </c>
      <c r="Q300" s="44" cm="1">
        <f t="array" ref="Q300">IFERROR(INDEX('ST Forecast'!$E$2:$RK$36,14,M300),"")</f>
        <v>1100</v>
      </c>
      <c r="R300" s="44" cm="1">
        <f t="array" ref="R300">IFERROR(INDEX('ST Forecast'!$E$2:$RK$36,15,M300),"")</f>
        <v>1050</v>
      </c>
      <c r="S300" s="312">
        <f>SUM(DB[[#This Row],[Ops-FC-Picks-Collect]:[Ops-FC-Picks-HD]])</f>
        <v>128584.82858796339</v>
      </c>
      <c r="T300" s="44">
        <f t="shared" si="92"/>
        <v>28063.908476891862</v>
      </c>
      <c r="U300" s="44">
        <f t="shared" si="93"/>
        <v>100520.92011107154</v>
      </c>
      <c r="V300" s="44">
        <f t="shared" si="94"/>
        <v>51429.307963804044</v>
      </c>
      <c r="W300" s="404">
        <f t="shared" si="95"/>
        <v>49091.612147267493</v>
      </c>
      <c r="X300" s="44">
        <f>SUM(DB[[#This Row],[Capped-Orders-Collect]:[Capped-Orders-HD]])</f>
        <v>90</v>
      </c>
      <c r="Y300">
        <f>INDEX('Operations Forecast'!$A$2:$BGY$47,3,MATCH(DB!D300,'Operations Forecast'!$A$2:$BGY$2))</f>
        <v>0</v>
      </c>
      <c r="Z300">
        <f t="shared" si="96"/>
        <v>90</v>
      </c>
      <c r="AA300">
        <f>INDEX('Operations Forecast'!$A$2:$BGY$47,10,MATCH(DB!D300,'Operations Forecast'!$A$2:$BGY$2))</f>
        <v>90</v>
      </c>
      <c r="AB300">
        <f>INDEX('Operations Forecast'!$A$2:$BGY$47,21,MATCH(DB!D300,'Operations Forecast'!$A$2:$BGY$2))</f>
        <v>0</v>
      </c>
      <c r="AC300" s="312">
        <f>SUM(DB[[#This Row],[Act-Orders-Collect]:[Act-Orders-HD]])</f>
        <v>2972</v>
      </c>
      <c r="AD300" s="858">
        <f>IFERROR(INDEX('Operations Forecast_new'!$7:$7,MATCH(DB[[#This Row],[Datum]],'Operations Forecast_new'!$2:$2,0)),0)</f>
        <v>800</v>
      </c>
      <c r="AE300" s="312">
        <f t="shared" si="97"/>
        <v>2172</v>
      </c>
      <c r="AF300" s="858">
        <f>IFERROR(INDEX('Operations Forecast_new'!$13:$13,MATCH(DB[[#This Row],[Datum]],'Operations Forecast_new'!$2:$2,0)),0)</f>
        <v>1160</v>
      </c>
      <c r="AG300" s="858">
        <f>IFERROR(INDEX('Operations Forecast_new'!$19:$19,MATCH(DB[[#This Row],[Datum]],'Operations Forecast_new'!$2:$2,0)),0)</f>
        <v>1012</v>
      </c>
      <c r="AH300" s="312">
        <f t="shared" si="87"/>
        <v>121031.45999999999</v>
      </c>
      <c r="AI300" s="858">
        <f>IFERROR(INDEX('Operations Forecast_new'!$9:$9,MATCH(DB[[#This Row],[Datum]],'Operations Forecast_new'!$2:$2,0)),0)</f>
        <v>25344</v>
      </c>
      <c r="AJ300" s="312">
        <f t="shared" si="98"/>
        <v>95687.459999999992</v>
      </c>
      <c r="AK300" s="858">
        <f>IFERROR(INDEX('Operations Forecast_new'!$15:$15,MATCH(DB[[#This Row],[Datum]],'Operations Forecast_new'!$2:$2,0)),0)</f>
        <v>51103.8</v>
      </c>
      <c r="AL300" s="858">
        <f>IFERROR(INDEX('Operations Forecast_new'!$21:$21,MATCH(DB[[#This Row],[Datum]],'Operations Forecast_new'!$2:$2,0)),0)</f>
        <v>44583.659999999996</v>
      </c>
      <c r="AM300" s="178">
        <f>IFERROR(INDEX('Operations Forecast_new'!$8:$8,MATCH(DB[[#This Row],[Datum]],'Operations Forecast_new'!$2:$2,0)),0)</f>
        <v>32</v>
      </c>
      <c r="AN300" s="859">
        <f>IFERROR(INDEX('Operations Forecast_new'!$20:$20,MATCH(DB[[#This Row],[Datum]],'Operations Forecast_new'!$2:$2,0)),0)</f>
        <v>44.5</v>
      </c>
      <c r="AO300" s="44">
        <f t="shared" si="99"/>
        <v>31.68</v>
      </c>
      <c r="AP300" s="404">
        <f t="shared" si="100"/>
        <v>44.055</v>
      </c>
      <c r="AQ300" s="44">
        <f t="shared" si="88"/>
        <v>148069.53233174066</v>
      </c>
      <c r="AR300" s="44" cm="1">
        <f t="array" ref="AR300">IFERROR(INDEX('ST Forecast'!$E$2:$RK$36,25,M300)+(INDEX('ST Forecast'!$E$2:$RK$36,29,M300)),"")</f>
        <v>71095.679999999993</v>
      </c>
      <c r="AS300" s="44" cm="1">
        <f t="array" ref="AS300">IFERROR(INDEX('ST Forecast'!$E$2:$RK$36,26,M300)+INDEX('ST Forecast'!$E$2:$RK$36,30,M300),"")</f>
        <v>61707.37384424801</v>
      </c>
      <c r="AT300" s="44" cm="1">
        <f t="array" ref="AT300">IFERROR(INDEX('ST Forecast'!$E$2:$RK$36,27,M300)+INDEX('ST Forecast'!$E$2:$RK$36,31,M300),"")</f>
        <v>6470.6363317406922</v>
      </c>
      <c r="AU300" s="44" cm="1">
        <f t="array" ref="AU300">IFERROR(INDEX('ST Forecast'!$E$2:$RK$36,28,M300),"")</f>
        <v>8795.8421557519887</v>
      </c>
      <c r="AV300" s="44" cm="1">
        <f t="array" ref="AV300">IFERROR(INDEX('ST Forecast'!$E$2:$RK$36,29,M300),"")</f>
        <v>0</v>
      </c>
      <c r="AW300" s="44">
        <f>DB[[#This Row],[Inbound FC]]-DB[[#This Row],[Inbound Act - Ultrafresh2]]</f>
        <v>148069.53233174066</v>
      </c>
      <c r="AX300" s="178" t="e">
        <f>#REF!</f>
        <v>#REF!</v>
      </c>
      <c r="AY300" s="178" t="e">
        <f>#REF!</f>
        <v>#REF!</v>
      </c>
      <c r="AZ300" s="178" t="e">
        <f>#REF!</f>
        <v>#REF!</v>
      </c>
      <c r="BA300" s="178">
        <f>MONTH(DB[[#This Row],[Datum]])</f>
        <v>10</v>
      </c>
    </row>
    <row r="301" spans="1:53" x14ac:dyDescent="0.3">
      <c r="A301" s="44">
        <f t="shared" si="89"/>
        <v>43</v>
      </c>
      <c r="B301" t="str">
        <f t="shared" si="90"/>
        <v>Wk 43</v>
      </c>
      <c r="C301" t="s">
        <v>115</v>
      </c>
      <c r="D301" s="313">
        <v>44860</v>
      </c>
      <c r="E301" s="44">
        <f>DB[[#This Row],[Sales-FC-Orders-Collect]]+DB[[#This Row],[Sales-FC-Orders-HD]]</f>
        <v>2700</v>
      </c>
      <c r="F301" s="402">
        <f>INDEX('LT Collect Forecast'!$K$1:$Q$55,MATCH(B301,'LT Collect Forecast'!$A:$A,0),MATCH(C301,'LT Collect Forecast'!$K$2:$Q$2,0))</f>
        <v>650</v>
      </c>
      <c r="G301" s="44">
        <f>INDEX('LT HD Forecast'!$K$1:$Q$55,MATCH(B301,'LT HD Forecast'!$A:$A,0),MATCH(C301,'LT HD Forecast'!$K$2:$Q$2,0))</f>
        <v>2050</v>
      </c>
      <c r="H301" s="44" cm="1">
        <f t="array" ref="H301">IFERROR(INDEX('ST Forecast'!$E$2:$RK$36,6,M301),"")</f>
        <v>41.531765400053118</v>
      </c>
      <c r="I301" s="44" cm="1">
        <f t="array" ref="I301">IFERROR(INDEX('ST Forecast'!$E$2:$RK$36,7,M301),"")</f>
        <v>48.078325257563478</v>
      </c>
      <c r="J301" s="44">
        <f>SUM(DB[[#This Row],[Sales-FC-Picks-Collect]:[Sales-FC-Picks-HD]])</f>
        <v>125556.21428803966</v>
      </c>
      <c r="K301" s="44">
        <f t="shared" si="85"/>
        <v>26995.647510034527</v>
      </c>
      <c r="L301" s="44">
        <f t="shared" si="86"/>
        <v>98560.56677800513</v>
      </c>
      <c r="M301" s="403">
        <f>IFERROR(IF(B301=B300,M300+1,MATCH(B301,'ST Forecast'!$E$2:$RK$2,0)+1),"")</f>
        <v>340</v>
      </c>
      <c r="N301" s="44">
        <f>SUM(DB[[#This Row],[Ops-FC-Orders-Collect]:[Ops-FC-Orders-HD]])</f>
        <v>2800</v>
      </c>
      <c r="O301" s="44" cm="1">
        <f t="array" ref="O301">IFERROR(INDEX('ST Forecast'!$E$2:$RK$36,13,M301),"")</f>
        <v>650</v>
      </c>
      <c r="P301" s="44">
        <f t="shared" si="91"/>
        <v>2150</v>
      </c>
      <c r="Q301" s="44" cm="1">
        <f t="array" ref="Q301">IFERROR(INDEX('ST Forecast'!$E$2:$RK$36,14,M301),"")</f>
        <v>1100</v>
      </c>
      <c r="R301" s="44" cm="1">
        <f t="array" ref="R301">IFERROR(INDEX('ST Forecast'!$E$2:$RK$36,15,M301),"")</f>
        <v>1050</v>
      </c>
      <c r="S301" s="312">
        <f>SUM(DB[[#This Row],[Ops-FC-Picks-Collect]:[Ops-FC-Picks-HD]])</f>
        <v>127756.76587752008</v>
      </c>
      <c r="T301" s="44">
        <f t="shared" si="92"/>
        <v>26455.734559833836</v>
      </c>
      <c r="U301" s="44">
        <f t="shared" si="93"/>
        <v>101301.03131768625</v>
      </c>
      <c r="V301" s="44">
        <f t="shared" si="94"/>
        <v>51828.434627653427</v>
      </c>
      <c r="W301" s="404">
        <f t="shared" si="95"/>
        <v>49472.59669003282</v>
      </c>
      <c r="X301" s="44">
        <f>SUM(DB[[#This Row],[Capped-Orders-Collect]:[Capped-Orders-HD]])</f>
        <v>90</v>
      </c>
      <c r="Y301">
        <f>INDEX('Operations Forecast'!$A$2:$BGY$47,3,MATCH(DB!D301,'Operations Forecast'!$A$2:$BGY$2))</f>
        <v>0</v>
      </c>
      <c r="Z301">
        <f t="shared" si="96"/>
        <v>90</v>
      </c>
      <c r="AA301">
        <f>INDEX('Operations Forecast'!$A$2:$BGY$47,10,MATCH(DB!D301,'Operations Forecast'!$A$2:$BGY$2))</f>
        <v>90</v>
      </c>
      <c r="AB301">
        <f>INDEX('Operations Forecast'!$A$2:$BGY$47,21,MATCH(DB!D301,'Operations Forecast'!$A$2:$BGY$2))</f>
        <v>0</v>
      </c>
      <c r="AC301" s="312">
        <f>SUM(DB[[#This Row],[Act-Orders-Collect]:[Act-Orders-HD]])</f>
        <v>2710</v>
      </c>
      <c r="AD301" s="858">
        <f>IFERROR(INDEX('Operations Forecast_new'!$7:$7,MATCH(DB[[#This Row],[Datum]],'Operations Forecast_new'!$2:$2,0)),0)</f>
        <v>775</v>
      </c>
      <c r="AE301" s="312">
        <f t="shared" si="97"/>
        <v>1935</v>
      </c>
      <c r="AF301" s="858">
        <f>IFERROR(INDEX('Operations Forecast_new'!$13:$13,MATCH(DB[[#This Row],[Datum]],'Operations Forecast_new'!$2:$2,0)),0)</f>
        <v>1115</v>
      </c>
      <c r="AG301" s="858">
        <f>IFERROR(INDEX('Operations Forecast_new'!$19:$19,MATCH(DB[[#This Row],[Datum]],'Operations Forecast_new'!$2:$2,0)),0)</f>
        <v>820</v>
      </c>
      <c r="AH301" s="312">
        <f t="shared" si="87"/>
        <v>107880.29999999999</v>
      </c>
      <c r="AI301" s="858">
        <f>IFERROR(INDEX('Operations Forecast_new'!$9:$9,MATCH(DB[[#This Row],[Datum]],'Operations Forecast_new'!$2:$2,0)),0)</f>
        <v>22633.875</v>
      </c>
      <c r="AJ301" s="312">
        <f t="shared" si="98"/>
        <v>85246.424999999988</v>
      </c>
      <c r="AK301" s="858">
        <f>IFERROR(INDEX('Operations Forecast_new'!$15:$15,MATCH(DB[[#This Row],[Datum]],'Operations Forecast_new'!$2:$2,0)),0)</f>
        <v>49121.324999999997</v>
      </c>
      <c r="AL301" s="858">
        <f>IFERROR(INDEX('Operations Forecast_new'!$21:$21,MATCH(DB[[#This Row],[Datum]],'Operations Forecast_new'!$2:$2,0)),0)</f>
        <v>36125.1</v>
      </c>
      <c r="AM301" s="178">
        <f>IFERROR(INDEX('Operations Forecast_new'!$8:$8,MATCH(DB[[#This Row],[Datum]],'Operations Forecast_new'!$2:$2,0)),0)</f>
        <v>29.5</v>
      </c>
      <c r="AN301" s="859">
        <f>IFERROR(INDEX('Operations Forecast_new'!$20:$20,MATCH(DB[[#This Row],[Datum]],'Operations Forecast_new'!$2:$2,0)),0)</f>
        <v>44.5</v>
      </c>
      <c r="AO301" s="44">
        <f t="shared" si="99"/>
        <v>29.204999999999998</v>
      </c>
      <c r="AP301" s="404">
        <f t="shared" si="100"/>
        <v>44.054999999999993</v>
      </c>
      <c r="AQ301" s="44">
        <f t="shared" si="88"/>
        <v>146553.05678119379</v>
      </c>
      <c r="AR301" s="44" cm="1">
        <f t="array" ref="AR301">IFERROR(INDEX('ST Forecast'!$E$2:$RK$36,25,M301)+(INDEX('ST Forecast'!$E$2:$RK$36,29,M301)),"")</f>
        <v>64874</v>
      </c>
      <c r="AS301" s="44" cm="1">
        <f t="array" ref="AS301">IFERROR(INDEX('ST Forecast'!$E$2:$RK$36,26,M301)+INDEX('ST Forecast'!$E$2:$RK$36,30,M301),"")</f>
        <v>60229.328449490873</v>
      </c>
      <c r="AT301" s="44" cm="1">
        <f t="array" ref="AT301">IFERROR(INDEX('ST Forecast'!$E$2:$RK$36,27,M301)+INDEX('ST Forecast'!$E$2:$RK$36,31,M301),"")</f>
        <v>12394.976781193782</v>
      </c>
      <c r="AU301" s="44" cm="1">
        <f t="array" ref="AU301">IFERROR(INDEX('ST Forecast'!$E$2:$RK$36,28,M301),"")</f>
        <v>9054.7515505091287</v>
      </c>
      <c r="AV301" s="44" cm="1">
        <f t="array" ref="AV301">IFERROR(INDEX('ST Forecast'!$E$2:$RK$36,29,M301),"")</f>
        <v>0</v>
      </c>
      <c r="AW301" s="44">
        <f>DB[[#This Row],[Inbound FC]]-DB[[#This Row],[Inbound Act - Ultrafresh2]]</f>
        <v>146553.05678119379</v>
      </c>
      <c r="AX301" s="178" t="e">
        <f>#REF!</f>
        <v>#REF!</v>
      </c>
      <c r="AY301" s="178" t="e">
        <f>#REF!</f>
        <v>#REF!</v>
      </c>
      <c r="AZ301" s="178" t="e">
        <f>#REF!</f>
        <v>#REF!</v>
      </c>
      <c r="BA301" s="178">
        <f>MONTH(DB[[#This Row],[Datum]])</f>
        <v>10</v>
      </c>
    </row>
    <row r="302" spans="1:53" x14ac:dyDescent="0.3">
      <c r="A302" s="44">
        <f t="shared" si="89"/>
        <v>43</v>
      </c>
      <c r="B302" t="str">
        <f t="shared" si="90"/>
        <v>Wk 43</v>
      </c>
      <c r="C302" t="s">
        <v>116</v>
      </c>
      <c r="D302" s="313">
        <v>44861</v>
      </c>
      <c r="E302" s="44">
        <f>DB[[#This Row],[Sales-FC-Orders-Collect]]+DB[[#This Row],[Sales-FC-Orders-HD]]</f>
        <v>2600</v>
      </c>
      <c r="F302" s="402" cm="1">
        <f t="array" ref="F302">INDEX('LT Collect Forecast'!$K$1:$Q$55,MATCH(B302,'LT Collect Forecast'!$A:$A,0)+1,MATCH(C302,'LT Collect Forecast'!$K$2:$Q$2,0))</f>
        <v>600</v>
      </c>
      <c r="G302" s="44" cm="1">
        <f t="array" ref="G302">INDEX('LT HD Forecast'!$K$1:$Q$55,MATCH(B302,'LT HD Forecast'!$A:$A,0)+1,MATCH(C302,'LT HD Forecast'!$K$2:$Q$2,0))</f>
        <v>2000</v>
      </c>
      <c r="H302" s="44" cm="1">
        <f t="array" ref="H302">IFERROR(INDEX('ST Forecast'!$E$2:$RK$36,6,M302),"")</f>
        <v>43.631967861485002</v>
      </c>
      <c r="I302" s="44" cm="1">
        <f t="array" ref="I302">IFERROR(INDEX('ST Forecast'!$E$2:$RK$36,7,M302),"")</f>
        <v>47.886997547659142</v>
      </c>
      <c r="J302" s="44">
        <f>SUM(DB[[#This Row],[Sales-FC-Picks-Collect]:[Sales-FC-Picks-HD]])</f>
        <v>121953.17581220929</v>
      </c>
      <c r="K302" s="44">
        <f t="shared" si="85"/>
        <v>26179.180716891002</v>
      </c>
      <c r="L302" s="44">
        <f t="shared" si="86"/>
        <v>95773.995095318285</v>
      </c>
      <c r="M302" s="403">
        <f>IFERROR(IF(B302=B301,M301+1,MATCH(B302,'ST Forecast'!$E$2:$RK$2,0)+1),"")</f>
        <v>341</v>
      </c>
      <c r="N302" s="44">
        <f>SUM(DB[[#This Row],[Ops-FC-Orders-Collect]:[Ops-FC-Orders-HD]])</f>
        <v>2650</v>
      </c>
      <c r="O302" s="44" cm="1">
        <f t="array" ref="O302">IFERROR(INDEX('ST Forecast'!$E$2:$RK$36,13,M302),"")</f>
        <v>600</v>
      </c>
      <c r="P302" s="44">
        <f t="shared" si="91"/>
        <v>2050</v>
      </c>
      <c r="Q302" s="44" cm="1">
        <f t="array" ref="Q302">IFERROR(INDEX('ST Forecast'!$E$2:$RK$36,14,M302),"")</f>
        <v>1050</v>
      </c>
      <c r="R302" s="44" cm="1">
        <f t="array" ref="R302">IFERROR(INDEX('ST Forecast'!$E$2:$RK$36,15,M302),"")</f>
        <v>1000</v>
      </c>
      <c r="S302" s="312">
        <f>SUM(DB[[#This Row],[Ops-FC-Picks-Collect]:[Ops-FC-Picks-HD]])</f>
        <v>121860.57517580039</v>
      </c>
      <c r="T302" s="44">
        <f t="shared" si="92"/>
        <v>25655.59710255318</v>
      </c>
      <c r="U302" s="44">
        <f t="shared" si="93"/>
        <v>96204.978073247214</v>
      </c>
      <c r="V302" s="44">
        <f t="shared" si="94"/>
        <v>49275.720476541253</v>
      </c>
      <c r="W302" s="404">
        <f t="shared" si="95"/>
        <v>46929.25759670596</v>
      </c>
      <c r="X302" s="44">
        <f>SUM(DB[[#This Row],[Capped-Orders-Collect]:[Capped-Orders-HD]])</f>
        <v>90</v>
      </c>
      <c r="Y302">
        <f>INDEX('Operations Forecast'!$A$2:$BGY$47,3,MATCH(DB!D302,'Operations Forecast'!$A$2:$BGY$2))</f>
        <v>0</v>
      </c>
      <c r="Z302">
        <f t="shared" si="96"/>
        <v>90</v>
      </c>
      <c r="AA302">
        <f>INDEX('Operations Forecast'!$A$2:$BGY$47,10,MATCH(DB!D302,'Operations Forecast'!$A$2:$BGY$2))</f>
        <v>90</v>
      </c>
      <c r="AB302">
        <f>INDEX('Operations Forecast'!$A$2:$BGY$47,21,MATCH(DB!D302,'Operations Forecast'!$A$2:$BGY$2))</f>
        <v>0</v>
      </c>
      <c r="AC302" s="312">
        <f>SUM(DB[[#This Row],[Act-Orders-Collect]:[Act-Orders-HD]])</f>
        <v>2398</v>
      </c>
      <c r="AD302" s="858">
        <f>IFERROR(INDEX('Operations Forecast_new'!$7:$7,MATCH(DB[[#This Row],[Datum]],'Operations Forecast_new'!$2:$2,0)),0)</f>
        <v>560</v>
      </c>
      <c r="AE302" s="312">
        <f t="shared" si="97"/>
        <v>1838</v>
      </c>
      <c r="AF302" s="858">
        <f>IFERROR(INDEX('Operations Forecast_new'!$13:$13,MATCH(DB[[#This Row],[Datum]],'Operations Forecast_new'!$2:$2,0)),0)</f>
        <v>820</v>
      </c>
      <c r="AG302" s="858">
        <f>IFERROR(INDEX('Operations Forecast_new'!$19:$19,MATCH(DB[[#This Row],[Datum]],'Operations Forecast_new'!$2:$2,0)),0)</f>
        <v>1018</v>
      </c>
      <c r="AH302" s="312">
        <f t="shared" si="87"/>
        <v>104420.052</v>
      </c>
      <c r="AI302" s="858">
        <f>IFERROR(INDEX('Operations Forecast_new'!$9:$9,MATCH(DB[[#This Row],[Datum]],'Operations Forecast_new'!$2:$2,0)),0)</f>
        <v>19625.759999999998</v>
      </c>
      <c r="AJ302" s="312">
        <f t="shared" si="98"/>
        <v>84794.292000000001</v>
      </c>
      <c r="AK302" s="858">
        <f>IFERROR(INDEX('Operations Forecast_new'!$15:$15,MATCH(DB[[#This Row],[Datum]],'Operations Forecast_new'!$2:$2,0)),0)</f>
        <v>37829.879999999997</v>
      </c>
      <c r="AL302" s="858">
        <f>IFERROR(INDEX('Operations Forecast_new'!$21:$21,MATCH(DB[[#This Row],[Datum]],'Operations Forecast_new'!$2:$2,0)),0)</f>
        <v>46964.412000000004</v>
      </c>
      <c r="AM302" s="178">
        <f>IFERROR(INDEX('Operations Forecast_new'!$8:$8,MATCH(DB[[#This Row],[Datum]],'Operations Forecast_new'!$2:$2,0)),0)</f>
        <v>35.4</v>
      </c>
      <c r="AN302" s="859">
        <f>IFERROR(INDEX('Operations Forecast_new'!$20:$20,MATCH(DB[[#This Row],[Datum]],'Operations Forecast_new'!$2:$2,0)),0)</f>
        <v>46.6</v>
      </c>
      <c r="AO302" s="44">
        <f t="shared" si="99"/>
        <v>35.045999999999999</v>
      </c>
      <c r="AP302" s="404">
        <f t="shared" si="100"/>
        <v>46.134</v>
      </c>
      <c r="AQ302" s="44">
        <f t="shared" si="88"/>
        <v>134170.97639887259</v>
      </c>
      <c r="AR302" s="44" cm="1">
        <f t="array" ref="AR302">IFERROR(INDEX('ST Forecast'!$E$2:$RK$36,25,M302)+(INDEX('ST Forecast'!$E$2:$RK$36,29,M302)),"")</f>
        <v>56235.639000000003</v>
      </c>
      <c r="AS302" s="44" cm="1">
        <f t="array" ref="AS302">IFERROR(INDEX('ST Forecast'!$E$2:$RK$36,26,M302)+INDEX('ST Forecast'!$E$2:$RK$36,30,M302),"")</f>
        <v>59429.62481155085</v>
      </c>
      <c r="AT302" s="44" cm="1">
        <f t="array" ref="AT302">IFERROR(INDEX('ST Forecast'!$E$2:$RK$36,27,M302)+INDEX('ST Forecast'!$E$2:$RK$36,31,M302),"")</f>
        <v>9161.5483988725609</v>
      </c>
      <c r="AU302" s="44" cm="1">
        <f t="array" ref="AU302">IFERROR(INDEX('ST Forecast'!$E$2:$RK$36,28,M302),"")</f>
        <v>9344.1641884491564</v>
      </c>
      <c r="AV302" s="44" cm="1">
        <f t="array" ref="AV302">IFERROR(INDEX('ST Forecast'!$E$2:$RK$36,29,M302),"")</f>
        <v>0</v>
      </c>
      <c r="AW302" s="44">
        <f>DB[[#This Row],[Inbound FC]]-DB[[#This Row],[Inbound Act - Ultrafresh2]]</f>
        <v>134170.97639887259</v>
      </c>
      <c r="AX302" s="178" t="e">
        <f>#REF!</f>
        <v>#REF!</v>
      </c>
      <c r="AY302" s="178" t="e">
        <f>#REF!</f>
        <v>#REF!</v>
      </c>
      <c r="AZ302" s="178" t="e">
        <f>#REF!</f>
        <v>#REF!</v>
      </c>
      <c r="BA302" s="178">
        <f>MONTH(DB[[#This Row],[Datum]])</f>
        <v>10</v>
      </c>
    </row>
    <row r="303" spans="1:53" x14ac:dyDescent="0.3">
      <c r="A303" s="44">
        <f t="shared" si="89"/>
        <v>43</v>
      </c>
      <c r="B303" t="str">
        <f t="shared" si="90"/>
        <v>Wk 43</v>
      </c>
      <c r="C303" t="s">
        <v>117</v>
      </c>
      <c r="D303" s="313">
        <v>44862</v>
      </c>
      <c r="E303" s="44">
        <f>DB[[#This Row],[Sales-FC-Orders-Collect]]+DB[[#This Row],[Sales-FC-Orders-HD]]</f>
        <v>3100</v>
      </c>
      <c r="F303" s="402" cm="1">
        <f t="array" ref="F303">INDEX('LT Collect Forecast'!$K$1:$Q$55,MATCH(B303,'LT Collect Forecast'!$A:$A,0)+1,MATCH(C303,'LT Collect Forecast'!$K$2:$Q$2,0))</f>
        <v>950</v>
      </c>
      <c r="G303" s="44" cm="1">
        <f t="array" ref="G303">INDEX('LT HD Forecast'!$K$1:$Q$55,MATCH(B303,'LT HD Forecast'!$A:$A,0)+1,MATCH(C303,'LT HD Forecast'!$K$2:$Q$2,0))</f>
        <v>2150</v>
      </c>
      <c r="H303" s="44" cm="1">
        <f t="array" ref="H303">IFERROR(INDEX('ST Forecast'!$E$2:$RK$36,6,M303),"")</f>
        <v>52.284124568198159</v>
      </c>
      <c r="I303" s="44" cm="1">
        <f t="array" ref="I303">IFERROR(INDEX('ST Forecast'!$E$2:$RK$36,7,M303),"")</f>
        <v>49.319616999262749</v>
      </c>
      <c r="J303" s="44">
        <f>SUM(DB[[#This Row],[Sales-FC-Picks-Collect]:[Sales-FC-Picks-HD]])</f>
        <v>155707.09488820317</v>
      </c>
      <c r="K303" s="44">
        <f t="shared" si="85"/>
        <v>49669.918339788252</v>
      </c>
      <c r="L303" s="44">
        <f t="shared" si="86"/>
        <v>106037.17654841491</v>
      </c>
      <c r="M303" s="403">
        <f>IFERROR(IF(B303=B302,M302+1,MATCH(B303,'ST Forecast'!$E$2:$RK$2,0)+1),"")</f>
        <v>342</v>
      </c>
      <c r="N303" s="44">
        <f>SUM(DB[[#This Row],[Ops-FC-Orders-Collect]:[Ops-FC-Orders-HD]])</f>
        <v>3150</v>
      </c>
      <c r="O303" s="44" cm="1">
        <f t="array" ref="O303">IFERROR(INDEX('ST Forecast'!$E$2:$RK$36,13,M303),"")</f>
        <v>950</v>
      </c>
      <c r="P303" s="44">
        <f t="shared" si="91"/>
        <v>2200</v>
      </c>
      <c r="Q303" s="44" cm="1">
        <f t="array" ref="Q303">IFERROR(INDEX('ST Forecast'!$E$2:$RK$36,14,M303),"")</f>
        <v>1150</v>
      </c>
      <c r="R303" s="44" cm="1">
        <f t="array" ref="R303">IFERROR(INDEX('ST Forecast'!$E$2:$RK$36,15,M303),"")</f>
        <v>1050</v>
      </c>
      <c r="S303" s="312">
        <f>SUM(DB[[#This Row],[Ops-FC-Picks-Collect]:[Ops-FC-Picks-HD]])</f>
        <v>155009.61422340298</v>
      </c>
      <c r="T303" s="44">
        <f t="shared" si="92"/>
        <v>48676.519972992486</v>
      </c>
      <c r="U303" s="44">
        <f t="shared" si="93"/>
        <v>106333.09425041049</v>
      </c>
      <c r="V303" s="44">
        <f t="shared" si="94"/>
        <v>55583.208358169119</v>
      </c>
      <c r="W303" s="404">
        <f t="shared" si="95"/>
        <v>50749.885892241371</v>
      </c>
      <c r="X303" s="44">
        <f>SUM(DB[[#This Row],[Capped-Orders-Collect]:[Capped-Orders-HD]])</f>
        <v>90</v>
      </c>
      <c r="Y303">
        <f>INDEX('Operations Forecast'!$A$2:$BGY$47,3,MATCH(DB!D303,'Operations Forecast'!$A$2:$BGY$2))</f>
        <v>0</v>
      </c>
      <c r="Z303">
        <f t="shared" si="96"/>
        <v>90</v>
      </c>
      <c r="AA303">
        <f>INDEX('Operations Forecast'!$A$2:$BGY$47,10,MATCH(DB!D303,'Operations Forecast'!$A$2:$BGY$2))</f>
        <v>90</v>
      </c>
      <c r="AB303">
        <f>INDEX('Operations Forecast'!$A$2:$BGY$47,21,MATCH(DB!D303,'Operations Forecast'!$A$2:$BGY$2))</f>
        <v>0</v>
      </c>
      <c r="AC303" s="312">
        <f>SUM(DB[[#This Row],[Act-Orders-Collect]:[Act-Orders-HD]])</f>
        <v>2979</v>
      </c>
      <c r="AD303" s="858">
        <f>IFERROR(INDEX('Operations Forecast_new'!$7:$7,MATCH(DB[[#This Row],[Datum]],'Operations Forecast_new'!$2:$2,0)),0)</f>
        <v>870</v>
      </c>
      <c r="AE303" s="312">
        <f t="shared" si="97"/>
        <v>2109</v>
      </c>
      <c r="AF303" s="858">
        <f>IFERROR(INDEX('Operations Forecast_new'!$13:$13,MATCH(DB[[#This Row],[Datum]],'Operations Forecast_new'!$2:$2,0)),0)</f>
        <v>1122</v>
      </c>
      <c r="AG303" s="858">
        <f>IFERROR(INDEX('Operations Forecast_new'!$19:$19,MATCH(DB[[#This Row],[Datum]],'Operations Forecast_new'!$2:$2,0)),0)</f>
        <v>987</v>
      </c>
      <c r="AH303" s="312">
        <f t="shared" si="87"/>
        <v>148932.432</v>
      </c>
      <c r="AI303" s="858">
        <f>IFERROR(INDEX('Operations Forecast_new'!$9:$9,MATCH(DB[[#This Row],[Datum]],'Operations Forecast_new'!$2:$2,0)),0)</f>
        <v>42031.44</v>
      </c>
      <c r="AJ303" s="312">
        <f t="shared" si="98"/>
        <v>106900.992</v>
      </c>
      <c r="AK303" s="858">
        <f>IFERROR(INDEX('Operations Forecast_new'!$15:$15,MATCH(DB[[#This Row],[Datum]],'Operations Forecast_new'!$2:$2,0)),0)</f>
        <v>56871.936000000002</v>
      </c>
      <c r="AL303" s="858">
        <f>IFERROR(INDEX('Operations Forecast_new'!$21:$21,MATCH(DB[[#This Row],[Datum]],'Operations Forecast_new'!$2:$2,0)),0)</f>
        <v>50029.056000000004</v>
      </c>
      <c r="AM303" s="178">
        <f>IFERROR(INDEX('Operations Forecast_new'!$8:$8,MATCH(DB[[#This Row],[Datum]],'Operations Forecast_new'!$2:$2,0)),0)</f>
        <v>48.8</v>
      </c>
      <c r="AN303" s="859">
        <f>IFERROR(INDEX('Operations Forecast_new'!$20:$20,MATCH(DB[[#This Row],[Datum]],'Operations Forecast_new'!$2:$2,0)),0)</f>
        <v>51.2</v>
      </c>
      <c r="AO303" s="44">
        <f t="shared" si="99"/>
        <v>48.312000000000005</v>
      </c>
      <c r="AP303" s="404">
        <f t="shared" si="100"/>
        <v>50.688000000000002</v>
      </c>
      <c r="AQ303" s="44">
        <f t="shared" si="88"/>
        <v>127591.9787497333</v>
      </c>
      <c r="AR303" s="44" cm="1">
        <f t="array" ref="AR303">IFERROR(INDEX('ST Forecast'!$E$2:$RK$36,25,M303)+(INDEX('ST Forecast'!$E$2:$RK$36,29,M303)),"")</f>
        <v>51792.608</v>
      </c>
      <c r="AS303" s="44" cm="1">
        <f t="array" ref="AS303">IFERROR(INDEX('ST Forecast'!$E$2:$RK$36,26,M303)+INDEX('ST Forecast'!$E$2:$RK$36,30,M303),"")</f>
        <v>61169.130750674252</v>
      </c>
      <c r="AT303" s="44" cm="1">
        <f t="array" ref="AT303">IFERROR(INDEX('ST Forecast'!$E$2:$RK$36,27,M303)+INDEX('ST Forecast'!$E$2:$RK$36,31,M303),"")</f>
        <v>5636.9707497332947</v>
      </c>
      <c r="AU303" s="44" cm="1">
        <f t="array" ref="AU303">IFERROR(INDEX('ST Forecast'!$E$2:$RK$36,28,M303),"")</f>
        <v>8993.2692493257564</v>
      </c>
      <c r="AV303" s="44" cm="1">
        <f t="array" ref="AV303">IFERROR(INDEX('ST Forecast'!$E$2:$RK$36,29,M303),"")</f>
        <v>0</v>
      </c>
      <c r="AW303" s="44">
        <f>DB[[#This Row],[Inbound FC]]-DB[[#This Row],[Inbound Act - Ultrafresh2]]</f>
        <v>127591.9787497333</v>
      </c>
      <c r="AX303" s="178" t="e">
        <f>#REF!</f>
        <v>#REF!</v>
      </c>
      <c r="AY303" s="178" t="e">
        <f>#REF!</f>
        <v>#REF!</v>
      </c>
      <c r="AZ303" s="178" t="e">
        <f>#REF!</f>
        <v>#REF!</v>
      </c>
      <c r="BA303" s="178">
        <f>MONTH(DB[[#This Row],[Datum]])</f>
        <v>10</v>
      </c>
    </row>
    <row r="304" spans="1:53" x14ac:dyDescent="0.3">
      <c r="A304" s="44">
        <f t="shared" si="89"/>
        <v>43</v>
      </c>
      <c r="B304" t="str">
        <f t="shared" si="90"/>
        <v>Wk 43</v>
      </c>
      <c r="C304" t="s">
        <v>118</v>
      </c>
      <c r="D304" s="313">
        <v>44863</v>
      </c>
      <c r="E304" s="44">
        <f>DB[[#This Row],[Sales-FC-Orders-Collect]]+DB[[#This Row],[Sales-FC-Orders-HD]]</f>
        <v>2750</v>
      </c>
      <c r="F304" s="402" cm="1">
        <f t="array" ref="F304">INDEX('LT Collect Forecast'!$K$1:$Q$55,MATCH(B304,'LT Collect Forecast'!$A:$A,0)+1,MATCH(C304,'LT Collect Forecast'!$K$2:$Q$2,0))</f>
        <v>900</v>
      </c>
      <c r="G304" s="44" cm="1">
        <f t="array" ref="G304">INDEX('LT HD Forecast'!$K$1:$Q$55,MATCH(B304,'LT HD Forecast'!$A:$A,0)+1,MATCH(C304,'LT HD Forecast'!$K$2:$Q$2,0))</f>
        <v>1850</v>
      </c>
      <c r="H304" s="44" cm="1">
        <f t="array" ref="H304">IFERROR(INDEX('ST Forecast'!$E$2:$RK$36,6,M304),"")</f>
        <v>50.903590649888258</v>
      </c>
      <c r="I304" s="44" cm="1">
        <f t="array" ref="I304">IFERROR(INDEX('ST Forecast'!$E$2:$RK$36,7,M304),"")</f>
        <v>49.820279799181336</v>
      </c>
      <c r="J304" s="44">
        <f>SUM(DB[[#This Row],[Sales-FC-Picks-Collect]:[Sales-FC-Picks-HD]])</f>
        <v>137980.7492133849</v>
      </c>
      <c r="K304" s="44">
        <f t="shared" si="85"/>
        <v>45813.231584899433</v>
      </c>
      <c r="L304" s="44">
        <f t="shared" si="86"/>
        <v>92167.517628485468</v>
      </c>
      <c r="M304" s="403">
        <f>IFERROR(IF(B304=B303,M303+1,MATCH(B304,'ST Forecast'!$E$2:$RK$2,0)+1),"")</f>
        <v>343</v>
      </c>
      <c r="N304" s="44">
        <f>SUM(DB[[#This Row],[Ops-FC-Orders-Collect]:[Ops-FC-Orders-HD]])</f>
        <v>2900</v>
      </c>
      <c r="O304" s="44" cm="1">
        <f t="array" ref="O304">IFERROR(INDEX('ST Forecast'!$E$2:$RK$36,13,M304),"")</f>
        <v>900</v>
      </c>
      <c r="P304" s="44">
        <f t="shared" si="91"/>
        <v>2000</v>
      </c>
      <c r="Q304" s="44" cm="1">
        <f t="array" ref="Q304">IFERROR(INDEX('ST Forecast'!$E$2:$RK$36,14,M304),"")</f>
        <v>1100</v>
      </c>
      <c r="R304" s="44" cm="1">
        <f t="array" ref="R304">IFERROR(INDEX('ST Forecast'!$E$2:$RK$36,15,M304),"")</f>
        <v>900</v>
      </c>
      <c r="S304" s="312">
        <f>SUM(DB[[#This Row],[Ops-FC-Picks-Collect]:[Ops-FC-Picks-HD]])</f>
        <v>142544.71535959686</v>
      </c>
      <c r="T304" s="44">
        <f t="shared" si="92"/>
        <v>44896.966953201445</v>
      </c>
      <c r="U304" s="44">
        <f t="shared" si="93"/>
        <v>97647.748406395418</v>
      </c>
      <c r="V304" s="44">
        <f t="shared" si="94"/>
        <v>53706.261623517479</v>
      </c>
      <c r="W304" s="404">
        <f t="shared" si="95"/>
        <v>43941.486782877939</v>
      </c>
      <c r="X304" s="44">
        <f>SUM(DB[[#This Row],[Capped-Orders-Collect]:[Capped-Orders-HD]])</f>
        <v>90</v>
      </c>
      <c r="Y304">
        <f>INDEX('Operations Forecast'!$A$2:$BGY$47,3,MATCH(DB!D304,'Operations Forecast'!$A$2:$BGY$2))</f>
        <v>0</v>
      </c>
      <c r="Z304">
        <f t="shared" si="96"/>
        <v>90</v>
      </c>
      <c r="AA304">
        <f>INDEX('Operations Forecast'!$A$2:$BGY$47,10,MATCH(DB!D304,'Operations Forecast'!$A$2:$BGY$2))</f>
        <v>90</v>
      </c>
      <c r="AB304">
        <f>INDEX('Operations Forecast'!$A$2:$BGY$47,21,MATCH(DB!D304,'Operations Forecast'!$A$2:$BGY$2))</f>
        <v>0</v>
      </c>
      <c r="AC304" s="312">
        <f>SUM(DB[[#This Row],[Act-Orders-Collect]:[Act-Orders-HD]])</f>
        <v>2830</v>
      </c>
      <c r="AD304" s="858">
        <f>IFERROR(INDEX('Operations Forecast_new'!$7:$7,MATCH(DB[[#This Row],[Datum]],'Operations Forecast_new'!$2:$2,0)),0)</f>
        <v>850</v>
      </c>
      <c r="AE304" s="312">
        <f t="shared" si="97"/>
        <v>1980</v>
      </c>
      <c r="AF304" s="858">
        <f>IFERROR(INDEX('Operations Forecast_new'!$13:$13,MATCH(DB[[#This Row],[Datum]],'Operations Forecast_new'!$2:$2,0)),0)</f>
        <v>1030</v>
      </c>
      <c r="AG304" s="858">
        <f>IFERROR(INDEX('Operations Forecast_new'!$19:$19,MATCH(DB[[#This Row],[Datum]],'Operations Forecast_new'!$2:$2,0)),0)</f>
        <v>950</v>
      </c>
      <c r="AH304" s="312">
        <f t="shared" si="87"/>
        <v>143418.33000000002</v>
      </c>
      <c r="AI304" s="858">
        <f>IFERROR(INDEX('Operations Forecast_new'!$9:$9,MATCH(DB[[#This Row],[Datum]],'Operations Forecast_new'!$2:$2,0)),0)</f>
        <v>42664.05</v>
      </c>
      <c r="AJ304" s="312">
        <f t="shared" si="98"/>
        <v>100754.28</v>
      </c>
      <c r="AK304" s="858">
        <f>IFERROR(INDEX('Operations Forecast_new'!$15:$15,MATCH(DB[[#This Row],[Datum]],'Operations Forecast_new'!$2:$2,0)),0)</f>
        <v>52412.58</v>
      </c>
      <c r="AL304" s="858">
        <f>IFERROR(INDEX('Operations Forecast_new'!$21:$21,MATCH(DB[[#This Row],[Datum]],'Operations Forecast_new'!$2:$2,0)),0)</f>
        <v>48341.7</v>
      </c>
      <c r="AM304" s="178">
        <f>IFERROR(INDEX('Operations Forecast_new'!$8:$8,MATCH(DB[[#This Row],[Datum]],'Operations Forecast_new'!$2:$2,0)),0)</f>
        <v>50.7</v>
      </c>
      <c r="AN304" s="859">
        <f>IFERROR(INDEX('Operations Forecast_new'!$20:$20,MATCH(DB[[#This Row],[Datum]],'Operations Forecast_new'!$2:$2,0)),0)</f>
        <v>51.4</v>
      </c>
      <c r="AO304" s="44">
        <f t="shared" si="99"/>
        <v>50.193000000000005</v>
      </c>
      <c r="AP304" s="404">
        <f t="shared" si="100"/>
        <v>50.886000000000003</v>
      </c>
      <c r="AQ304" s="44">
        <f t="shared" si="88"/>
        <v>128424.00000000007</v>
      </c>
      <c r="AR304" s="44" cm="1">
        <f t="array" ref="AR304">IFERROR(INDEX('ST Forecast'!$E$2:$RK$36,25,M304)+(INDEX('ST Forecast'!$E$2:$RK$36,29,M304)),"")</f>
        <v>60442.25323030819</v>
      </c>
      <c r="AS304" s="44" cm="1">
        <f t="array" ref="AS304">IFERROR(INDEX('ST Forecast'!$E$2:$RK$36,26,M304)+INDEX('ST Forecast'!$E$2:$RK$36,30,M304),"")</f>
        <v>56225.542662442473</v>
      </c>
      <c r="AT304" s="44" cm="1">
        <f t="array" ref="AT304">IFERROR(INDEX('ST Forecast'!$E$2:$RK$36,27,M304)+INDEX('ST Forecast'!$E$2:$RK$36,31,M304),"")</f>
        <v>4968.2462012710757</v>
      </c>
      <c r="AU304" s="44" cm="1">
        <f t="array" ref="AU304">IFERROR(INDEX('ST Forecast'!$E$2:$RK$36,28,M304),"")</f>
        <v>6787.9579059783318</v>
      </c>
      <c r="AV304" s="44" cm="1">
        <f t="array" ref="AV304">IFERROR(INDEX('ST Forecast'!$E$2:$RK$36,29,M304),"")</f>
        <v>0</v>
      </c>
      <c r="AW304" s="44">
        <f>DB[[#This Row],[Inbound FC]]-DB[[#This Row],[Inbound Act - Ultrafresh2]]</f>
        <v>128424.00000000007</v>
      </c>
      <c r="AX304" s="178" t="e">
        <f>#REF!</f>
        <v>#REF!</v>
      </c>
      <c r="AY304" s="178" t="e">
        <f>#REF!</f>
        <v>#REF!</v>
      </c>
      <c r="AZ304" s="178" t="e">
        <f>#REF!</f>
        <v>#REF!</v>
      </c>
      <c r="BA304" s="178">
        <f>MONTH(DB[[#This Row],[Datum]])</f>
        <v>10</v>
      </c>
    </row>
    <row r="305" spans="1:53" x14ac:dyDescent="0.3">
      <c r="A305" s="44">
        <f t="shared" si="89"/>
        <v>43</v>
      </c>
      <c r="B305" t="str">
        <f t="shared" si="90"/>
        <v>Wk 43</v>
      </c>
      <c r="C305" t="s">
        <v>119</v>
      </c>
      <c r="D305" s="313">
        <v>44864</v>
      </c>
      <c r="E305" s="44">
        <f>DB[[#This Row],[Sales-FC-Orders-Collect]]+DB[[#This Row],[Sales-FC-Orders-HD]]</f>
        <v>0</v>
      </c>
      <c r="F305" s="402" cm="1">
        <f t="array" ref="F305">INDEX('LT Collect Forecast'!$K$1:$Q$55,MATCH(B305,'LT Collect Forecast'!$A:$A,0)+1,MATCH(C305,'LT Collect Forecast'!$K$2:$Q$2,0))</f>
        <v>0</v>
      </c>
      <c r="G305" s="44" cm="1">
        <f t="array" ref="G305">INDEX('LT HD Forecast'!$K$1:$Q$55,MATCH(B305,'LT HD Forecast'!$A:$A,0)+1,MATCH(C305,'LT HD Forecast'!$K$2:$Q$2,0))</f>
        <v>0</v>
      </c>
      <c r="H305" s="44" cm="1">
        <f t="array" ref="H305">IFERROR(INDEX('ST Forecast'!$E$2:$RK$36,6,M305),"")</f>
        <v>0</v>
      </c>
      <c r="I305" s="44" cm="1">
        <f t="array" ref="I305">IFERROR(INDEX('ST Forecast'!$E$2:$RK$36,7,M305),"")</f>
        <v>0</v>
      </c>
      <c r="J305" s="44">
        <f>SUM(DB[[#This Row],[Sales-FC-Picks-Collect]:[Sales-FC-Picks-HD]])</f>
        <v>0</v>
      </c>
      <c r="K305" s="44">
        <f t="shared" si="85"/>
        <v>0</v>
      </c>
      <c r="L305" s="44">
        <f t="shared" si="86"/>
        <v>0</v>
      </c>
      <c r="M305" s="403">
        <f>IFERROR(IF(B305=B304,M304+1,MATCH(B305,'ST Forecast'!$E$2:$RK$2,0)+1),"")</f>
        <v>344</v>
      </c>
      <c r="N305" s="44">
        <f>SUM(DB[[#This Row],[Ops-FC-Orders-Collect]:[Ops-FC-Orders-HD]])</f>
        <v>0</v>
      </c>
      <c r="O305" s="44" cm="1">
        <f t="array" ref="O305">IFERROR(INDEX('ST Forecast'!$E$2:$RK$36,13,M305),"")</f>
        <v>0</v>
      </c>
      <c r="P305" s="44">
        <f t="shared" si="91"/>
        <v>0</v>
      </c>
      <c r="Q305" s="44" cm="1">
        <f t="array" ref="Q305">IFERROR(INDEX('ST Forecast'!$E$2:$RK$36,14,M305),"")</f>
        <v>0</v>
      </c>
      <c r="R305" s="44" cm="1">
        <f t="array" ref="R305">IFERROR(INDEX('ST Forecast'!$E$2:$RK$36,15,M305),"")</f>
        <v>0</v>
      </c>
      <c r="S305" s="312">
        <f>SUM(DB[[#This Row],[Ops-FC-Picks-Collect]:[Ops-FC-Picks-HD]])</f>
        <v>0</v>
      </c>
      <c r="T305" s="44">
        <f t="shared" si="92"/>
        <v>0</v>
      </c>
      <c r="U305" s="44">
        <f t="shared" si="93"/>
        <v>0</v>
      </c>
      <c r="V305" s="44">
        <f t="shared" si="94"/>
        <v>0</v>
      </c>
      <c r="W305" s="404">
        <f t="shared" si="95"/>
        <v>0</v>
      </c>
      <c r="X305" s="44">
        <f>SUM(DB[[#This Row],[Capped-Orders-Collect]:[Capped-Orders-HD]])</f>
        <v>90</v>
      </c>
      <c r="Y305">
        <f>INDEX('Operations Forecast'!$A$2:$BGY$47,3,MATCH(DB!D305,'Operations Forecast'!$A$2:$BGY$2))</f>
        <v>0</v>
      </c>
      <c r="Z305">
        <f t="shared" si="96"/>
        <v>90</v>
      </c>
      <c r="AA305">
        <f>INDEX('Operations Forecast'!$A$2:$BGY$47,10,MATCH(DB!D305,'Operations Forecast'!$A$2:$BGY$2))</f>
        <v>90</v>
      </c>
      <c r="AB305">
        <f>INDEX('Operations Forecast'!$A$2:$BGY$47,21,MATCH(DB!D305,'Operations Forecast'!$A$2:$BGY$2))</f>
        <v>0</v>
      </c>
      <c r="AC305" s="312">
        <f>SUM(DB[[#This Row],[Act-Orders-Collect]:[Act-Orders-HD]])</f>
        <v>0</v>
      </c>
      <c r="AD305" s="858">
        <f>IFERROR(INDEX('Operations Forecast_new'!$7:$7,MATCH(DB[[#This Row],[Datum]],'Operations Forecast_new'!$2:$2,0)),0)</f>
        <v>0</v>
      </c>
      <c r="AE305" s="312">
        <f t="shared" si="97"/>
        <v>0</v>
      </c>
      <c r="AF305" s="858">
        <f>IFERROR(INDEX('Operations Forecast_new'!$13:$13,MATCH(DB[[#This Row],[Datum]],'Operations Forecast_new'!$2:$2,0)),0)</f>
        <v>0</v>
      </c>
      <c r="AG305" s="858">
        <f>IFERROR(INDEX('Operations Forecast_new'!$19:$19,MATCH(DB[[#This Row],[Datum]],'Operations Forecast_new'!$2:$2,0)),0)</f>
        <v>0</v>
      </c>
      <c r="AH305" s="312">
        <f t="shared" si="87"/>
        <v>0</v>
      </c>
      <c r="AI305" s="858">
        <f>IFERROR(INDEX('Operations Forecast_new'!$9:$9,MATCH(DB[[#This Row],[Datum]],'Operations Forecast_new'!$2:$2,0)),0)</f>
        <v>0</v>
      </c>
      <c r="AJ305" s="312">
        <f t="shared" si="98"/>
        <v>0</v>
      </c>
      <c r="AK305" s="858">
        <f>IFERROR(INDEX('Operations Forecast_new'!$15:$15,MATCH(DB[[#This Row],[Datum]],'Operations Forecast_new'!$2:$2,0)),0)</f>
        <v>0</v>
      </c>
      <c r="AL305" s="858">
        <f>IFERROR(INDEX('Operations Forecast_new'!$21:$21,MATCH(DB[[#This Row],[Datum]],'Operations Forecast_new'!$2:$2,0)),0)</f>
        <v>0</v>
      </c>
      <c r="AM305" s="178">
        <f>IFERROR(INDEX('Operations Forecast_new'!$8:$8,MATCH(DB[[#This Row],[Datum]],'Operations Forecast_new'!$2:$2,0)),0)</f>
        <v>0</v>
      </c>
      <c r="AN305" s="859">
        <f>IFERROR(INDEX('Operations Forecast_new'!$20:$20,MATCH(DB[[#This Row],[Datum]],'Operations Forecast_new'!$2:$2,0)),0)</f>
        <v>0</v>
      </c>
      <c r="AO305" s="44" t="str">
        <f t="shared" si="99"/>
        <v>-</v>
      </c>
      <c r="AP305" s="404" t="str">
        <f t="shared" si="100"/>
        <v>-</v>
      </c>
      <c r="AQ305" s="44">
        <f t="shared" si="88"/>
        <v>0</v>
      </c>
      <c r="AR305" s="44" cm="1">
        <f t="array" ref="AR305">IFERROR(INDEX('ST Forecast'!$E$2:$RK$36,25,M305)+(INDEX('ST Forecast'!$E$2:$RK$36,29,M305)),"")</f>
        <v>0</v>
      </c>
      <c r="AS305" s="44" cm="1">
        <f t="array" ref="AS305">IFERROR(INDEX('ST Forecast'!$E$2:$RK$36,26,M305)+INDEX('ST Forecast'!$E$2:$RK$36,30,M305),"")</f>
        <v>0</v>
      </c>
      <c r="AT305" s="44" cm="1">
        <f t="array" ref="AT305">IFERROR(INDEX('ST Forecast'!$E$2:$RK$36,27,M305)+INDEX('ST Forecast'!$E$2:$RK$36,31,M305),"")</f>
        <v>0</v>
      </c>
      <c r="AU305" s="44" cm="1">
        <f t="array" ref="AU305">IFERROR(INDEX('ST Forecast'!$E$2:$RK$36,28,M305),"")</f>
        <v>0</v>
      </c>
      <c r="AV305" s="44" cm="1">
        <f t="array" ref="AV305">IFERROR(INDEX('ST Forecast'!$E$2:$RK$36,29,M305),"")</f>
        <v>0</v>
      </c>
      <c r="AW305" s="44">
        <f>DB[[#This Row],[Inbound FC]]-DB[[#This Row],[Inbound Act - Ultrafresh2]]</f>
        <v>0</v>
      </c>
      <c r="AX305" s="178" t="e">
        <f>#REF!</f>
        <v>#REF!</v>
      </c>
      <c r="AY305" s="178" t="e">
        <f>#REF!</f>
        <v>#REF!</v>
      </c>
      <c r="AZ305" s="178" t="e">
        <f>#REF!</f>
        <v>#REF!</v>
      </c>
      <c r="BA305" s="178">
        <f>MONTH(DB[[#This Row],[Datum]])</f>
        <v>10</v>
      </c>
    </row>
    <row r="306" spans="1:53" x14ac:dyDescent="0.3">
      <c r="A306" s="44">
        <f t="shared" si="89"/>
        <v>44</v>
      </c>
      <c r="B306" t="str">
        <f t="shared" si="90"/>
        <v>Wk 44</v>
      </c>
      <c r="C306" t="s">
        <v>113</v>
      </c>
      <c r="D306" s="313">
        <v>44865</v>
      </c>
      <c r="E306" s="44">
        <f>DB[[#This Row],[Sales-FC-Orders-Collect]]+DB[[#This Row],[Sales-FC-Orders-HD]]</f>
        <v>2700</v>
      </c>
      <c r="F306" s="402">
        <f>INDEX('LT Collect Forecast'!$K$1:$Q$55,MATCH(B306,'LT Collect Forecast'!$A:$A,0),MATCH(C306,'LT Collect Forecast'!$K$2:$Q$2,0))</f>
        <v>800</v>
      </c>
      <c r="G306" s="44">
        <f>INDEX('LT HD Forecast'!$K$1:$Q$55,MATCH(B306,'LT HD Forecast'!$A:$A,0),MATCH(C306,'LT HD Forecast'!$K$2:$Q$2,0))</f>
        <v>1900</v>
      </c>
      <c r="H306" s="44" cm="1">
        <f t="array" ref="H306">IFERROR(INDEX('ST Forecast'!$E$2:$RK$36,6,M306),"")</f>
        <v>47.137825862313619</v>
      </c>
      <c r="I306" s="44" cm="1">
        <f t="array" ref="I306">IFERROR(INDEX('ST Forecast'!$E$2:$RK$36,7,M306),"")</f>
        <v>47.705282126489458</v>
      </c>
      <c r="J306" s="44">
        <f>SUM(DB[[#This Row],[Sales-FC-Picks-Collect]:[Sales-FC-Picks-HD]])</f>
        <v>128350.29673018087</v>
      </c>
      <c r="K306" s="44">
        <f t="shared" si="85"/>
        <v>37710.260689850897</v>
      </c>
      <c r="L306" s="44">
        <f t="shared" si="86"/>
        <v>90640.036040329971</v>
      </c>
      <c r="M306" s="403">
        <f>IFERROR(IF(B306=B305,M305+1,MATCH(B306,'ST Forecast'!$E$2:$RK$2,0)+1),"")</f>
        <v>346</v>
      </c>
      <c r="N306" s="44">
        <f>SUM(DB[[#This Row],[Ops-FC-Orders-Collect]:[Ops-FC-Orders-HD]])</f>
        <v>2700</v>
      </c>
      <c r="O306" s="44" cm="1">
        <f t="array" ref="O306">IFERROR(INDEX('ST Forecast'!$E$2:$RK$36,13,M306),"")</f>
        <v>800</v>
      </c>
      <c r="P306" s="44">
        <f t="shared" si="91"/>
        <v>1900</v>
      </c>
      <c r="Q306" s="44" cm="1">
        <f t="array" ref="Q306">IFERROR(INDEX('ST Forecast'!$E$2:$RK$36,14,M306),"")</f>
        <v>850</v>
      </c>
      <c r="R306" s="44" cm="1">
        <f t="array" ref="R306">IFERROR(INDEX('ST Forecast'!$E$2:$RK$36,15,M306),"")</f>
        <v>1050</v>
      </c>
      <c r="S306" s="312">
        <f>SUM(DB[[#This Row],[Ops-FC-Picks-Collect]:[Ops-FC-Picks-HD]])</f>
        <v>125783.29079557725</v>
      </c>
      <c r="T306" s="44">
        <f t="shared" si="92"/>
        <v>36956.05547605388</v>
      </c>
      <c r="U306" s="44">
        <f t="shared" si="93"/>
        <v>88827.235319523374</v>
      </c>
      <c r="V306" s="44">
        <f t="shared" si="94"/>
        <v>39738.500011365715</v>
      </c>
      <c r="W306" s="404">
        <f t="shared" si="95"/>
        <v>49088.735308157651</v>
      </c>
      <c r="X306" s="44">
        <f>SUM(DB[[#This Row],[Capped-Orders-Collect]:[Capped-Orders-HD]])</f>
        <v>90</v>
      </c>
      <c r="Y306">
        <f>INDEX('Operations Forecast'!$A$2:$BGY$47,3,MATCH(DB!D306,'Operations Forecast'!$A$2:$BGY$2))</f>
        <v>0</v>
      </c>
      <c r="Z306">
        <f t="shared" si="96"/>
        <v>90</v>
      </c>
      <c r="AA306">
        <f>INDEX('Operations Forecast'!$A$2:$BGY$47,10,MATCH(DB!D306,'Operations Forecast'!$A$2:$BGY$2))</f>
        <v>90</v>
      </c>
      <c r="AB306">
        <f>INDEX('Operations Forecast'!$A$2:$BGY$47,21,MATCH(DB!D306,'Operations Forecast'!$A$2:$BGY$2))</f>
        <v>0</v>
      </c>
      <c r="AC306" s="312">
        <f>SUM(DB[[#This Row],[Act-Orders-Collect]:[Act-Orders-HD]])</f>
        <v>2584</v>
      </c>
      <c r="AD306" s="858">
        <f>IFERROR(INDEX('Operations Forecast_new'!$7:$7,MATCH(DB[[#This Row],[Datum]],'Operations Forecast_new'!$2:$2,0)),0)</f>
        <v>665</v>
      </c>
      <c r="AE306" s="312">
        <f t="shared" si="97"/>
        <v>1919</v>
      </c>
      <c r="AF306" s="858">
        <f>IFERROR(INDEX('Operations Forecast_new'!$13:$13,MATCH(DB[[#This Row],[Datum]],'Operations Forecast_new'!$2:$2,0)),0)</f>
        <v>837</v>
      </c>
      <c r="AG306" s="858">
        <f>IFERROR(INDEX('Operations Forecast_new'!$19:$19,MATCH(DB[[#This Row],[Datum]],'Operations Forecast_new'!$2:$2,0)),0)</f>
        <v>1082</v>
      </c>
      <c r="AH306" s="312">
        <f t="shared" si="87"/>
        <v>125005.617</v>
      </c>
      <c r="AI306" s="858">
        <f>IFERROR(INDEX('Operations Forecast_new'!$9:$9,MATCH(DB[[#This Row],[Datum]],'Operations Forecast_new'!$2:$2,0)),0)</f>
        <v>31534.965</v>
      </c>
      <c r="AJ306" s="312">
        <f t="shared" si="98"/>
        <v>93470.652000000002</v>
      </c>
      <c r="AK306" s="858">
        <f>IFERROR(INDEX('Operations Forecast_new'!$15:$15,MATCH(DB[[#This Row],[Datum]],'Operations Forecast_new'!$2:$2,0)),0)</f>
        <v>40768.595999999998</v>
      </c>
      <c r="AL306" s="858">
        <f>IFERROR(INDEX('Operations Forecast_new'!$21:$21,MATCH(DB[[#This Row],[Datum]],'Operations Forecast_new'!$2:$2,0)),0)</f>
        <v>52702.056000000004</v>
      </c>
      <c r="AM306" s="178">
        <f>IFERROR(INDEX('Operations Forecast_new'!$8:$8,MATCH(DB[[#This Row],[Datum]],'Operations Forecast_new'!$2:$2,0)),0)</f>
        <v>47.9</v>
      </c>
      <c r="AN306" s="859">
        <f>IFERROR(INDEX('Operations Forecast_new'!$20:$20,MATCH(DB[[#This Row],[Datum]],'Operations Forecast_new'!$2:$2,0)),0)</f>
        <v>49.2</v>
      </c>
      <c r="AO306" s="44">
        <f t="shared" si="99"/>
        <v>47.420999999999999</v>
      </c>
      <c r="AP306" s="404">
        <f t="shared" si="100"/>
        <v>48.707999999999998</v>
      </c>
      <c r="AQ306" s="44">
        <f t="shared" si="88"/>
        <v>152201</v>
      </c>
      <c r="AR306" s="44" cm="1">
        <f t="array" ref="AR306">IFERROR(INDEX('ST Forecast'!$E$2:$RK$36,25,M306)+(INDEX('ST Forecast'!$E$2:$RK$36,29,M306)),"")</f>
        <v>83700.200000000012</v>
      </c>
      <c r="AS306" s="44" cm="1">
        <f t="array" ref="AS306">IFERROR(INDEX('ST Forecast'!$E$2:$RK$36,26,M306)+INDEX('ST Forecast'!$E$2:$RK$36,30,M306),"")</f>
        <v>51735.161144147642</v>
      </c>
      <c r="AT306" s="44" cm="1">
        <f t="array" ref="AT306">IFERROR(INDEX('ST Forecast'!$E$2:$RK$36,27,M306)+INDEX('ST Forecast'!$E$2:$RK$36,31,M306),"")</f>
        <v>9149.0399999999991</v>
      </c>
      <c r="AU306" s="44" cm="1">
        <f t="array" ref="AU306">IFERROR(INDEX('ST Forecast'!$E$2:$RK$36,28,M306),"")</f>
        <v>7616.5988558523613</v>
      </c>
      <c r="AV306" s="44" cm="1">
        <f t="array" ref="AV306">IFERROR(INDEX('ST Forecast'!$E$2:$RK$36,29,M306),"")</f>
        <v>55499</v>
      </c>
      <c r="AW306" s="44">
        <f>DB[[#This Row],[Inbound FC]]-DB[[#This Row],[Inbound Act - Ultrafresh2]]</f>
        <v>96702</v>
      </c>
      <c r="AX306" s="178" t="e">
        <f>#REF!</f>
        <v>#REF!</v>
      </c>
      <c r="AY306" s="178" t="e">
        <f>#REF!</f>
        <v>#REF!</v>
      </c>
      <c r="AZ306" s="178" t="e">
        <f>#REF!</f>
        <v>#REF!</v>
      </c>
      <c r="BA306" s="178">
        <f>MONTH(DB[[#This Row],[Datum]])</f>
        <v>10</v>
      </c>
    </row>
    <row r="307" spans="1:53" x14ac:dyDescent="0.3">
      <c r="A307" s="44">
        <f t="shared" si="89"/>
        <v>44</v>
      </c>
      <c r="B307" t="str">
        <f t="shared" si="90"/>
        <v>Wk 44</v>
      </c>
      <c r="C307" t="s">
        <v>114</v>
      </c>
      <c r="D307" s="313">
        <v>44866</v>
      </c>
      <c r="E307" s="44">
        <f>DB[[#This Row],[Sales-FC-Orders-Collect]]+DB[[#This Row],[Sales-FC-Orders-HD]]</f>
        <v>0</v>
      </c>
      <c r="F307" s="402">
        <f>INDEX('LT Collect Forecast'!$K$1:$Q$55,MATCH(B307,'LT Collect Forecast'!$A:$A,0),MATCH(C307,'LT Collect Forecast'!$K$2:$Q$2,0))</f>
        <v>0</v>
      </c>
      <c r="G307" s="44">
        <f>INDEX('LT HD Forecast'!$K$1:$Q$55,MATCH(B307,'LT HD Forecast'!$A:$A,0),MATCH(C307,'LT HD Forecast'!$K$2:$Q$2,0))</f>
        <v>0</v>
      </c>
      <c r="H307" s="44" cm="1">
        <f t="array" ref="H307">IFERROR(INDEX('ST Forecast'!$E$2:$RK$36,6,M307),"")</f>
        <v>0</v>
      </c>
      <c r="I307" s="44" cm="1">
        <f t="array" ref="I307">IFERROR(INDEX('ST Forecast'!$E$2:$RK$36,7,M307),"")</f>
        <v>0</v>
      </c>
      <c r="J307" s="44">
        <f>SUM(DB[[#This Row],[Sales-FC-Picks-Collect]:[Sales-FC-Picks-HD]])</f>
        <v>0</v>
      </c>
      <c r="K307" s="44">
        <f t="shared" si="85"/>
        <v>0</v>
      </c>
      <c r="L307" s="44">
        <f t="shared" si="86"/>
        <v>0</v>
      </c>
      <c r="M307" s="403">
        <f>IFERROR(IF(B307=B306,M306+1,MATCH(B307,'ST Forecast'!$E$2:$RK$2,0)+1),"")</f>
        <v>347</v>
      </c>
      <c r="N307" s="44">
        <f>SUM(DB[[#This Row],[Ops-FC-Orders-Collect]:[Ops-FC-Orders-HD]])</f>
        <v>0</v>
      </c>
      <c r="O307" s="44" cm="1">
        <f t="array" ref="O307">IFERROR(INDEX('ST Forecast'!$E$2:$RK$36,13,M307),"")</f>
        <v>0</v>
      </c>
      <c r="P307" s="44">
        <f t="shared" si="91"/>
        <v>0</v>
      </c>
      <c r="Q307" s="44" cm="1">
        <f t="array" ref="Q307">IFERROR(INDEX('ST Forecast'!$E$2:$RK$36,14,M307),"")</f>
        <v>0</v>
      </c>
      <c r="R307" s="44" cm="1">
        <f t="array" ref="R307">IFERROR(INDEX('ST Forecast'!$E$2:$RK$36,15,M307),"")</f>
        <v>0</v>
      </c>
      <c r="S307" s="312">
        <f>SUM(DB[[#This Row],[Ops-FC-Picks-Collect]:[Ops-FC-Picks-HD]])</f>
        <v>0</v>
      </c>
      <c r="T307" s="44">
        <f t="shared" si="92"/>
        <v>0</v>
      </c>
      <c r="U307" s="44">
        <f t="shared" si="93"/>
        <v>0</v>
      </c>
      <c r="V307" s="44">
        <f t="shared" si="94"/>
        <v>0</v>
      </c>
      <c r="W307" s="404">
        <f t="shared" si="95"/>
        <v>0</v>
      </c>
      <c r="X307" s="44">
        <f>SUM(DB[[#This Row],[Capped-Orders-Collect]:[Capped-Orders-HD]])</f>
        <v>90</v>
      </c>
      <c r="Y307">
        <f>INDEX('Operations Forecast'!$A$2:$BGY$47,3,MATCH(DB!D307,'Operations Forecast'!$A$2:$BGY$2))</f>
        <v>0</v>
      </c>
      <c r="Z307">
        <f t="shared" si="96"/>
        <v>90</v>
      </c>
      <c r="AA307">
        <f>INDEX('Operations Forecast'!$A$2:$BGY$47,10,MATCH(DB!D307,'Operations Forecast'!$A$2:$BGY$2))</f>
        <v>90</v>
      </c>
      <c r="AB307">
        <f>INDEX('Operations Forecast'!$A$2:$BGY$47,21,MATCH(DB!D307,'Operations Forecast'!$A$2:$BGY$2))</f>
        <v>0</v>
      </c>
      <c r="AC307" s="312">
        <f>SUM(DB[[#This Row],[Act-Orders-Collect]:[Act-Orders-HD]])</f>
        <v>0</v>
      </c>
      <c r="AD307" s="858">
        <f>IFERROR(INDEX('Operations Forecast_new'!$7:$7,MATCH(DB[[#This Row],[Datum]],'Operations Forecast_new'!$2:$2,0)),0)</f>
        <v>0</v>
      </c>
      <c r="AE307" s="312">
        <f t="shared" si="97"/>
        <v>0</v>
      </c>
      <c r="AF307" s="858">
        <f>IFERROR(INDEX('Operations Forecast_new'!$13:$13,MATCH(DB[[#This Row],[Datum]],'Operations Forecast_new'!$2:$2,0)),0)</f>
        <v>0</v>
      </c>
      <c r="AG307" s="858">
        <f>IFERROR(INDEX('Operations Forecast_new'!$19:$19,MATCH(DB[[#This Row],[Datum]],'Operations Forecast_new'!$2:$2,0)),0)</f>
        <v>0</v>
      </c>
      <c r="AH307" s="312">
        <f t="shared" si="87"/>
        <v>0</v>
      </c>
      <c r="AI307" s="858">
        <f>IFERROR(INDEX('Operations Forecast_new'!$9:$9,MATCH(DB[[#This Row],[Datum]],'Operations Forecast_new'!$2:$2,0)),0)</f>
        <v>0</v>
      </c>
      <c r="AJ307" s="312">
        <f t="shared" si="98"/>
        <v>0</v>
      </c>
      <c r="AK307" s="858">
        <f>IFERROR(INDEX('Operations Forecast_new'!$15:$15,MATCH(DB[[#This Row],[Datum]],'Operations Forecast_new'!$2:$2,0)),0)</f>
        <v>0</v>
      </c>
      <c r="AL307" s="858">
        <f>IFERROR(INDEX('Operations Forecast_new'!$21:$21,MATCH(DB[[#This Row],[Datum]],'Operations Forecast_new'!$2:$2,0)),0)</f>
        <v>0</v>
      </c>
      <c r="AM307" s="178">
        <f>IFERROR(INDEX('Operations Forecast_new'!$8:$8,MATCH(DB[[#This Row],[Datum]],'Operations Forecast_new'!$2:$2,0)),0)</f>
        <v>0</v>
      </c>
      <c r="AN307" s="859">
        <f>IFERROR(INDEX('Operations Forecast_new'!$20:$20,MATCH(DB[[#This Row],[Datum]],'Operations Forecast_new'!$2:$2,0)),0)</f>
        <v>0</v>
      </c>
      <c r="AO307" s="44" t="str">
        <f t="shared" si="99"/>
        <v>-</v>
      </c>
      <c r="AP307" s="404" t="str">
        <f t="shared" si="100"/>
        <v>-</v>
      </c>
      <c r="AQ307" s="44">
        <f t="shared" si="88"/>
        <v>0</v>
      </c>
      <c r="AR307" s="44" cm="1">
        <f t="array" ref="AR307">IFERROR(INDEX('ST Forecast'!$E$2:$RK$36,25,M307)+(INDEX('ST Forecast'!$E$2:$RK$36,29,M307)),"")</f>
        <v>0</v>
      </c>
      <c r="AS307" s="44" cm="1">
        <f t="array" ref="AS307">IFERROR(INDEX('ST Forecast'!$E$2:$RK$36,26,M307)+INDEX('ST Forecast'!$E$2:$RK$36,30,M307),"")</f>
        <v>0</v>
      </c>
      <c r="AT307" s="44" cm="1">
        <f t="array" ref="AT307">IFERROR(INDEX('ST Forecast'!$E$2:$RK$36,27,M307)+INDEX('ST Forecast'!$E$2:$RK$36,31,M307),"")</f>
        <v>0</v>
      </c>
      <c r="AU307" s="44" cm="1">
        <f t="array" ref="AU307">IFERROR(INDEX('ST Forecast'!$E$2:$RK$36,28,M307),"")</f>
        <v>0</v>
      </c>
      <c r="AV307" s="44" cm="1">
        <f t="array" ref="AV307">IFERROR(INDEX('ST Forecast'!$E$2:$RK$36,29,M307),"")</f>
        <v>0</v>
      </c>
      <c r="AW307" s="44">
        <f>DB[[#This Row],[Inbound FC]]-DB[[#This Row],[Inbound Act - Ultrafresh2]]</f>
        <v>0</v>
      </c>
      <c r="AX307" s="178" t="e">
        <f>#REF!</f>
        <v>#REF!</v>
      </c>
      <c r="AY307" s="178" t="e">
        <f>#REF!</f>
        <v>#REF!</v>
      </c>
      <c r="AZ307" s="178" t="e">
        <f>#REF!</f>
        <v>#REF!</v>
      </c>
      <c r="BA307" s="178">
        <f>MONTH(DB[[#This Row],[Datum]])</f>
        <v>11</v>
      </c>
    </row>
    <row r="308" spans="1:53" x14ac:dyDescent="0.3">
      <c r="A308" s="44">
        <f t="shared" si="89"/>
        <v>44</v>
      </c>
      <c r="B308" t="str">
        <f t="shared" si="90"/>
        <v>Wk 44</v>
      </c>
      <c r="C308" t="s">
        <v>115</v>
      </c>
      <c r="D308" s="313">
        <v>44867</v>
      </c>
      <c r="E308" s="44">
        <f>DB[[#This Row],[Sales-FC-Orders-Collect]]+DB[[#This Row],[Sales-FC-Orders-HD]]</f>
        <v>2700</v>
      </c>
      <c r="F308" s="402">
        <f>INDEX('LT Collect Forecast'!$K$1:$Q$55,MATCH(B308,'LT Collect Forecast'!$A:$A,0),MATCH(C308,'LT Collect Forecast'!$K$2:$Q$2,0))</f>
        <v>750</v>
      </c>
      <c r="G308" s="44">
        <f>INDEX('LT HD Forecast'!$K$1:$Q$55,MATCH(B308,'LT HD Forecast'!$A:$A,0),MATCH(C308,'LT HD Forecast'!$K$2:$Q$2,0))</f>
        <v>1950</v>
      </c>
      <c r="H308" s="44" cm="1">
        <f t="array" ref="H308">IFERROR(INDEX('ST Forecast'!$E$2:$RK$36,6,M308),"")</f>
        <v>42.720562683239464</v>
      </c>
      <c r="I308" s="44" cm="1">
        <f t="array" ref="I308">IFERROR(INDEX('ST Forecast'!$E$2:$RK$36,7,M308),"")</f>
        <v>46.328789950572322</v>
      </c>
      <c r="J308" s="44">
        <f>SUM(DB[[#This Row],[Sales-FC-Picks-Collect]:[Sales-FC-Picks-HD]])</f>
        <v>122381.56241604562</v>
      </c>
      <c r="K308" s="44">
        <f t="shared" si="85"/>
        <v>32040.422012429597</v>
      </c>
      <c r="L308" s="44">
        <f t="shared" si="86"/>
        <v>90341.140403616024</v>
      </c>
      <c r="M308" s="403">
        <f>IFERROR(IF(B308=B307,M307+1,MATCH(B308,'ST Forecast'!$E$2:$RK$2,0)+1),"")</f>
        <v>348</v>
      </c>
      <c r="N308" s="44">
        <f>SUM(DB[[#This Row],[Ops-FC-Orders-Collect]:[Ops-FC-Orders-HD]])</f>
        <v>2750</v>
      </c>
      <c r="O308" s="44" cm="1">
        <f t="array" ref="O308">IFERROR(INDEX('ST Forecast'!$E$2:$RK$36,13,M308),"")</f>
        <v>800</v>
      </c>
      <c r="P308" s="44">
        <f t="shared" si="91"/>
        <v>1950</v>
      </c>
      <c r="Q308" s="44" cm="1">
        <f t="array" ref="Q308">IFERROR(INDEX('ST Forecast'!$E$2:$RK$36,14,M308),"")</f>
        <v>850</v>
      </c>
      <c r="R308" s="44" cm="1">
        <f t="array" ref="R308">IFERROR(INDEX('ST Forecast'!$E$2:$RK$36,15,M308),"")</f>
        <v>1100</v>
      </c>
      <c r="S308" s="312">
        <f>SUM(DB[[#This Row],[Ops-FC-Picks-Collect]:[Ops-FC-Picks-HD]])</f>
        <v>122027.23873920346</v>
      </c>
      <c r="T308" s="44">
        <f t="shared" si="92"/>
        <v>33492.92114365974</v>
      </c>
      <c r="U308" s="44">
        <f t="shared" si="93"/>
        <v>88534.317595543718</v>
      </c>
      <c r="V308" s="44">
        <f t="shared" si="94"/>
        <v>38591.882028826745</v>
      </c>
      <c r="W308" s="404">
        <f t="shared" si="95"/>
        <v>49942.435566716966</v>
      </c>
      <c r="X308" s="44">
        <f>SUM(DB[[#This Row],[Capped-Orders-Collect]:[Capped-Orders-HD]])</f>
        <v>90</v>
      </c>
      <c r="Y308">
        <f>INDEX('Operations Forecast'!$A$2:$BGY$47,3,MATCH(DB!D308,'Operations Forecast'!$A$2:$BGY$2))</f>
        <v>0</v>
      </c>
      <c r="Z308">
        <f t="shared" si="96"/>
        <v>90</v>
      </c>
      <c r="AA308">
        <f>INDEX('Operations Forecast'!$A$2:$BGY$47,10,MATCH(DB!D308,'Operations Forecast'!$A$2:$BGY$2))</f>
        <v>90</v>
      </c>
      <c r="AB308">
        <f>INDEX('Operations Forecast'!$A$2:$BGY$47,21,MATCH(DB!D308,'Operations Forecast'!$A$2:$BGY$2))</f>
        <v>0</v>
      </c>
      <c r="AC308" s="312">
        <f>SUM(DB[[#This Row],[Act-Orders-Collect]:[Act-Orders-HD]])</f>
        <v>2573</v>
      </c>
      <c r="AD308" s="858">
        <f>IFERROR(INDEX('Operations Forecast_new'!$7:$7,MATCH(DB[[#This Row],[Datum]],'Operations Forecast_new'!$2:$2,0)),0)</f>
        <v>550</v>
      </c>
      <c r="AE308" s="312">
        <f t="shared" si="97"/>
        <v>2023</v>
      </c>
      <c r="AF308" s="858">
        <f>IFERROR(INDEX('Operations Forecast_new'!$13:$13,MATCH(DB[[#This Row],[Datum]],'Operations Forecast_new'!$2:$2,0)),0)</f>
        <v>859</v>
      </c>
      <c r="AG308" s="858">
        <f>IFERROR(INDEX('Operations Forecast_new'!$19:$19,MATCH(DB[[#This Row],[Datum]],'Operations Forecast_new'!$2:$2,0)),0)</f>
        <v>1164</v>
      </c>
      <c r="AH308" s="312">
        <f t="shared" si="87"/>
        <v>121708.818</v>
      </c>
      <c r="AI308" s="858">
        <f>IFERROR(INDEX('Operations Forecast_new'!$9:$9,MATCH(DB[[#This Row],[Datum]],'Operations Forecast_new'!$2:$2,0)),0)</f>
        <v>24774.75</v>
      </c>
      <c r="AJ308" s="312">
        <f t="shared" si="98"/>
        <v>96934.067999999999</v>
      </c>
      <c r="AK308" s="858">
        <f>IFERROR(INDEX('Operations Forecast_new'!$15:$15,MATCH(DB[[#This Row],[Datum]],'Operations Forecast_new'!$2:$2,0)),0)</f>
        <v>41159.843999999997</v>
      </c>
      <c r="AL308" s="858">
        <f>IFERROR(INDEX('Operations Forecast_new'!$21:$21,MATCH(DB[[#This Row],[Datum]],'Operations Forecast_new'!$2:$2,0)),0)</f>
        <v>55774.223999999995</v>
      </c>
      <c r="AM308" s="178">
        <f>IFERROR(INDEX('Operations Forecast_new'!$8:$8,MATCH(DB[[#This Row],[Datum]],'Operations Forecast_new'!$2:$2,0)),0)</f>
        <v>45.5</v>
      </c>
      <c r="AN308" s="859">
        <f>IFERROR(INDEX('Operations Forecast_new'!$20:$20,MATCH(DB[[#This Row],[Datum]],'Operations Forecast_new'!$2:$2,0)),0)</f>
        <v>48.4</v>
      </c>
      <c r="AO308" s="44">
        <f t="shared" si="99"/>
        <v>45.045000000000002</v>
      </c>
      <c r="AP308" s="404">
        <f t="shared" si="100"/>
        <v>47.915999999999997</v>
      </c>
      <c r="AQ308" s="44">
        <f t="shared" si="88"/>
        <v>201862.75493518697</v>
      </c>
      <c r="AR308" s="44" cm="1">
        <f t="array" ref="AR308">IFERROR(INDEX('ST Forecast'!$E$2:$RK$36,25,M308)+(INDEX('ST Forecast'!$E$2:$RK$36,29,M308)),"")</f>
        <v>122369.5</v>
      </c>
      <c r="AS308" s="44" cm="1">
        <f t="array" ref="AS308">IFERROR(INDEX('ST Forecast'!$E$2:$RK$36,26,M308)+INDEX('ST Forecast'!$E$2:$RK$36,30,M308),"")</f>
        <v>62772.179466116009</v>
      </c>
      <c r="AT308" s="44" cm="1">
        <f t="array" ref="AT308">IFERROR(INDEX('ST Forecast'!$E$2:$RK$36,27,M308)+INDEX('ST Forecast'!$E$2:$RK$36,31,M308),"")</f>
        <v>6390.99493518695</v>
      </c>
      <c r="AU308" s="44" cm="1">
        <f t="array" ref="AU308">IFERROR(INDEX('ST Forecast'!$E$2:$RK$36,28,M308),"")</f>
        <v>10330.080533883996</v>
      </c>
      <c r="AV308" s="44" cm="1">
        <f t="array" ref="AV308">IFERROR(INDEX('ST Forecast'!$E$2:$RK$36,29,M308),"")</f>
        <v>42654</v>
      </c>
      <c r="AW308" s="44">
        <f>DB[[#This Row],[Inbound FC]]-DB[[#This Row],[Inbound Act - Ultrafresh2]]</f>
        <v>159208.75493518697</v>
      </c>
      <c r="AX308" s="178" t="e">
        <f>#REF!</f>
        <v>#REF!</v>
      </c>
      <c r="AY308" s="178" t="e">
        <f>#REF!</f>
        <v>#REF!</v>
      </c>
      <c r="AZ308" s="178" t="e">
        <f>#REF!</f>
        <v>#REF!</v>
      </c>
      <c r="BA308" s="178">
        <f>MONTH(DB[[#This Row],[Datum]])</f>
        <v>11</v>
      </c>
    </row>
    <row r="309" spans="1:53" x14ac:dyDescent="0.3">
      <c r="A309" s="44">
        <f t="shared" si="89"/>
        <v>44</v>
      </c>
      <c r="B309" t="str">
        <f t="shared" si="90"/>
        <v>Wk 44</v>
      </c>
      <c r="C309" t="s">
        <v>116</v>
      </c>
      <c r="D309" s="313">
        <v>44868</v>
      </c>
      <c r="E309" s="44">
        <f>DB[[#This Row],[Sales-FC-Orders-Collect]]+DB[[#This Row],[Sales-FC-Orders-HD]]</f>
        <v>2800</v>
      </c>
      <c r="F309" s="402" cm="1">
        <f t="array" ref="F309">INDEX('LT Collect Forecast'!$K$1:$Q$55,MATCH(B309,'LT Collect Forecast'!$A:$A,0)+1,MATCH(C309,'LT Collect Forecast'!$K$2:$Q$2,0))</f>
        <v>650</v>
      </c>
      <c r="G309" s="44" cm="1">
        <f t="array" ref="G309">INDEX('LT HD Forecast'!$K$1:$Q$55,MATCH(B309,'LT HD Forecast'!$A:$A,0)+1,MATCH(C309,'LT HD Forecast'!$K$2:$Q$2,0))</f>
        <v>2150</v>
      </c>
      <c r="H309" s="44" cm="1">
        <f t="array" ref="H309">IFERROR(INDEX('ST Forecast'!$E$2:$RK$36,6,M309),"")</f>
        <v>45.192516549830685</v>
      </c>
      <c r="I309" s="44" cm="1">
        <f t="array" ref="I309">IFERROR(INDEX('ST Forecast'!$E$2:$RK$36,7,M309),"")</f>
        <v>47.39099292386549</v>
      </c>
      <c r="J309" s="44">
        <f>SUM(DB[[#This Row],[Sales-FC-Picks-Collect]:[Sales-FC-Picks-HD]])</f>
        <v>131265.77054370075</v>
      </c>
      <c r="K309" s="44">
        <f t="shared" si="85"/>
        <v>29375.135757389944</v>
      </c>
      <c r="L309" s="44">
        <f t="shared" si="86"/>
        <v>101890.63478631081</v>
      </c>
      <c r="M309" s="403">
        <f>IFERROR(IF(B309=B308,M308+1,MATCH(B309,'ST Forecast'!$E$2:$RK$2,0)+1),"")</f>
        <v>349</v>
      </c>
      <c r="N309" s="44">
        <f>SUM(DB[[#This Row],[Ops-FC-Orders-Collect]:[Ops-FC-Orders-HD]])</f>
        <v>2800</v>
      </c>
      <c r="O309" s="44" cm="1">
        <f t="array" ref="O309">IFERROR(INDEX('ST Forecast'!$E$2:$RK$36,13,M309),"")</f>
        <v>650</v>
      </c>
      <c r="P309" s="44">
        <f t="shared" si="91"/>
        <v>2150</v>
      </c>
      <c r="Q309" s="44" cm="1">
        <f t="array" ref="Q309">IFERROR(INDEX('ST Forecast'!$E$2:$RK$36,14,M309),"")</f>
        <v>1150</v>
      </c>
      <c r="R309" s="44" cm="1">
        <f t="array" ref="R309">IFERROR(INDEX('ST Forecast'!$E$2:$RK$36,15,M309),"")</f>
        <v>1000</v>
      </c>
      <c r="S309" s="312">
        <f>SUM(DB[[#This Row],[Ops-FC-Picks-Collect]:[Ops-FC-Picks-HD]])</f>
        <v>128640.45513282673</v>
      </c>
      <c r="T309" s="44">
        <f t="shared" si="92"/>
        <v>28787.633042242145</v>
      </c>
      <c r="U309" s="44">
        <f t="shared" si="93"/>
        <v>99852.822090584581</v>
      </c>
      <c r="V309" s="44">
        <f t="shared" si="94"/>
        <v>53409.649025196406</v>
      </c>
      <c r="W309" s="404">
        <f t="shared" si="95"/>
        <v>46443.173065388175</v>
      </c>
      <c r="X309" s="44">
        <f>SUM(DB[[#This Row],[Capped-Orders-Collect]:[Capped-Orders-HD]])</f>
        <v>90</v>
      </c>
      <c r="Y309">
        <f>INDEX('Operations Forecast'!$A$2:$BGY$47,3,MATCH(DB!D309,'Operations Forecast'!$A$2:$BGY$2))</f>
        <v>0</v>
      </c>
      <c r="Z309">
        <f t="shared" si="96"/>
        <v>90</v>
      </c>
      <c r="AA309">
        <f>INDEX('Operations Forecast'!$A$2:$BGY$47,10,MATCH(DB!D309,'Operations Forecast'!$A$2:$BGY$2))</f>
        <v>90</v>
      </c>
      <c r="AB309">
        <f>INDEX('Operations Forecast'!$A$2:$BGY$47,21,MATCH(DB!D309,'Operations Forecast'!$A$2:$BGY$2))</f>
        <v>0</v>
      </c>
      <c r="AC309" s="312">
        <f>SUM(DB[[#This Row],[Act-Orders-Collect]:[Act-Orders-HD]])</f>
        <v>2691</v>
      </c>
      <c r="AD309" s="858">
        <f>IFERROR(INDEX('Operations Forecast_new'!$7:$7,MATCH(DB[[#This Row],[Datum]],'Operations Forecast_new'!$2:$2,0)),0)</f>
        <v>500</v>
      </c>
      <c r="AE309" s="312">
        <f t="shared" si="97"/>
        <v>2191</v>
      </c>
      <c r="AF309" s="858">
        <f>IFERROR(INDEX('Operations Forecast_new'!$13:$13,MATCH(DB[[#This Row],[Datum]],'Operations Forecast_new'!$2:$2,0)),0)</f>
        <v>1116</v>
      </c>
      <c r="AG309" s="858">
        <f>IFERROR(INDEX('Operations Forecast_new'!$19:$19,MATCH(DB[[#This Row],[Datum]],'Operations Forecast_new'!$2:$2,0)),0)</f>
        <v>1075</v>
      </c>
      <c r="AH309" s="312">
        <f t="shared" si="87"/>
        <v>128640.50099999999</v>
      </c>
      <c r="AI309" s="858">
        <f>IFERROR(INDEX('Operations Forecast_new'!$9:$9,MATCH(DB[[#This Row],[Datum]],'Operations Forecast_new'!$2:$2,0)),0)</f>
        <v>22572</v>
      </c>
      <c r="AJ309" s="312">
        <f t="shared" si="98"/>
        <v>106068.50099999999</v>
      </c>
      <c r="AK309" s="858">
        <f>IFERROR(INDEX('Operations Forecast_new'!$15:$15,MATCH(DB[[#This Row],[Datum]],'Operations Forecast_new'!$2:$2,0)),0)</f>
        <v>54026.675999999999</v>
      </c>
      <c r="AL309" s="858">
        <f>IFERROR(INDEX('Operations Forecast_new'!$21:$21,MATCH(DB[[#This Row],[Datum]],'Operations Forecast_new'!$2:$2,0)),0)</f>
        <v>52041.824999999997</v>
      </c>
      <c r="AM309" s="178">
        <f>IFERROR(INDEX('Operations Forecast_new'!$8:$8,MATCH(DB[[#This Row],[Datum]],'Operations Forecast_new'!$2:$2,0)),0)</f>
        <v>45.6</v>
      </c>
      <c r="AN309" s="859">
        <f>IFERROR(INDEX('Operations Forecast_new'!$20:$20,MATCH(DB[[#This Row],[Datum]],'Operations Forecast_new'!$2:$2,0)),0)</f>
        <v>48.9</v>
      </c>
      <c r="AO309" s="44">
        <f t="shared" si="99"/>
        <v>45.143999999999998</v>
      </c>
      <c r="AP309" s="404">
        <f t="shared" si="100"/>
        <v>48.410999999999994</v>
      </c>
      <c r="AQ309" s="44">
        <f t="shared" si="88"/>
        <v>137646.80322691254</v>
      </c>
      <c r="AR309" s="44" cm="1">
        <f t="array" ref="AR309">IFERROR(INDEX('ST Forecast'!$E$2:$RK$36,25,M309)+(INDEX('ST Forecast'!$E$2:$RK$36,29,M309)),"")</f>
        <v>62373.57</v>
      </c>
      <c r="AS309" s="44" cm="1">
        <f t="array" ref="AS309">IFERROR(INDEX('ST Forecast'!$E$2:$RK$36,26,M309)+INDEX('ST Forecast'!$E$2:$RK$36,30,M309),"")</f>
        <v>59418.910856300608</v>
      </c>
      <c r="AT309" s="44" cm="1">
        <f t="array" ref="AT309">IFERROR(INDEX('ST Forecast'!$E$2:$RK$36,27,M309)+INDEX('ST Forecast'!$E$2:$RK$36,31,M309),"")</f>
        <v>6015.1632269125275</v>
      </c>
      <c r="AU309" s="44" cm="1">
        <f t="array" ref="AU309">IFERROR(INDEX('ST Forecast'!$E$2:$RK$36,28,M309),"")</f>
        <v>9839.1591436993986</v>
      </c>
      <c r="AV309" s="44" cm="1">
        <f t="array" ref="AV309">IFERROR(INDEX('ST Forecast'!$E$2:$RK$36,29,M309),"")</f>
        <v>0</v>
      </c>
      <c r="AW309" s="44">
        <f>DB[[#This Row],[Inbound FC]]-DB[[#This Row],[Inbound Act - Ultrafresh2]]</f>
        <v>137646.80322691254</v>
      </c>
      <c r="AX309" s="178" t="e">
        <f>#REF!</f>
        <v>#REF!</v>
      </c>
      <c r="AY309" s="178" t="e">
        <f>#REF!</f>
        <v>#REF!</v>
      </c>
      <c r="AZ309" s="178" t="e">
        <f>#REF!</f>
        <v>#REF!</v>
      </c>
      <c r="BA309" s="178">
        <f>MONTH(DB[[#This Row],[Datum]])</f>
        <v>11</v>
      </c>
    </row>
    <row r="310" spans="1:53" x14ac:dyDescent="0.3">
      <c r="A310" s="44">
        <f t="shared" si="89"/>
        <v>44</v>
      </c>
      <c r="B310" t="str">
        <f t="shared" si="90"/>
        <v>Wk 44</v>
      </c>
      <c r="C310" t="s">
        <v>117</v>
      </c>
      <c r="D310" s="313">
        <v>44869</v>
      </c>
      <c r="E310" s="44">
        <f>DB[[#This Row],[Sales-FC-Orders-Collect]]+DB[[#This Row],[Sales-FC-Orders-HD]]</f>
        <v>3300</v>
      </c>
      <c r="F310" s="402" cm="1">
        <f t="array" ref="F310">INDEX('LT Collect Forecast'!$K$1:$Q$55,MATCH(B310,'LT Collect Forecast'!$A:$A,0)+1,MATCH(C310,'LT Collect Forecast'!$K$2:$Q$2,0))</f>
        <v>1100</v>
      </c>
      <c r="G310" s="44" cm="1">
        <f t="array" ref="G310">INDEX('LT HD Forecast'!$K$1:$Q$55,MATCH(B310,'LT HD Forecast'!$A:$A,0)+1,MATCH(C310,'LT HD Forecast'!$K$2:$Q$2,0))</f>
        <v>2200</v>
      </c>
      <c r="H310" s="44" cm="1">
        <f t="array" ref="H310">IFERROR(INDEX('ST Forecast'!$E$2:$RK$36,6,M310),"")</f>
        <v>54.31132923824569</v>
      </c>
      <c r="I310" s="44" cm="1">
        <f t="array" ref="I310">IFERROR(INDEX('ST Forecast'!$E$2:$RK$36,7,M310),"")</f>
        <v>51.007044940297959</v>
      </c>
      <c r="J310" s="44">
        <f>SUM(DB[[#This Row],[Sales-FC-Picks-Collect]:[Sales-FC-Picks-HD]])</f>
        <v>171957.96103072577</v>
      </c>
      <c r="K310" s="44">
        <f t="shared" si="85"/>
        <v>59742.46216207026</v>
      </c>
      <c r="L310" s="44">
        <f t="shared" si="86"/>
        <v>112215.49886865552</v>
      </c>
      <c r="M310" s="403">
        <f>IFERROR(IF(B310=B309,M309+1,MATCH(B310,'ST Forecast'!$E$2:$RK$2,0)+1),"")</f>
        <v>350</v>
      </c>
      <c r="N310" s="44">
        <f>SUM(DB[[#This Row],[Ops-FC-Orders-Collect]:[Ops-FC-Orders-HD]])</f>
        <v>3300</v>
      </c>
      <c r="O310" s="44" cm="1">
        <f t="array" ref="O310">IFERROR(INDEX('ST Forecast'!$E$2:$RK$36,13,M310),"")</f>
        <v>1100</v>
      </c>
      <c r="P310" s="44">
        <f t="shared" si="91"/>
        <v>2200</v>
      </c>
      <c r="Q310" s="44" cm="1">
        <f t="array" ref="Q310">IFERROR(INDEX('ST Forecast'!$E$2:$RK$36,14,M310),"")</f>
        <v>1150</v>
      </c>
      <c r="R310" s="44" cm="1">
        <f t="array" ref="R310">IFERROR(INDEX('ST Forecast'!$E$2:$RK$36,15,M310),"")</f>
        <v>1050</v>
      </c>
      <c r="S310" s="312">
        <f>SUM(DB[[#This Row],[Ops-FC-Picks-Collect]:[Ops-FC-Picks-HD]])</f>
        <v>168518.80181011124</v>
      </c>
      <c r="T310" s="44">
        <f t="shared" si="92"/>
        <v>58547.612918828854</v>
      </c>
      <c r="U310" s="44">
        <f t="shared" si="93"/>
        <v>109971.18889128239</v>
      </c>
      <c r="V310" s="44">
        <f t="shared" si="94"/>
        <v>57484.939647715801</v>
      </c>
      <c r="W310" s="404">
        <f t="shared" si="95"/>
        <v>52486.249243566599</v>
      </c>
      <c r="X310" s="44">
        <f>SUM(DB[[#This Row],[Capped-Orders-Collect]:[Capped-Orders-HD]])</f>
        <v>90</v>
      </c>
      <c r="Y310">
        <f>INDEX('Operations Forecast'!$A$2:$BGY$47,3,MATCH(DB!D310,'Operations Forecast'!$A$2:$BGY$2))</f>
        <v>0</v>
      </c>
      <c r="Z310">
        <f t="shared" si="96"/>
        <v>90</v>
      </c>
      <c r="AA310">
        <f>INDEX('Operations Forecast'!$A$2:$BGY$47,10,MATCH(DB!D310,'Operations Forecast'!$A$2:$BGY$2))</f>
        <v>90</v>
      </c>
      <c r="AB310">
        <f>INDEX('Operations Forecast'!$A$2:$BGY$47,21,MATCH(DB!D310,'Operations Forecast'!$A$2:$BGY$2))</f>
        <v>0</v>
      </c>
      <c r="AC310" s="312">
        <f>SUM(DB[[#This Row],[Act-Orders-Collect]:[Act-Orders-HD]])</f>
        <v>3151</v>
      </c>
      <c r="AD310" s="858">
        <f>IFERROR(INDEX('Operations Forecast_new'!$7:$7,MATCH(DB[[#This Row],[Datum]],'Operations Forecast_new'!$2:$2,0)),0)</f>
        <v>918</v>
      </c>
      <c r="AE310" s="312">
        <f t="shared" si="97"/>
        <v>2233</v>
      </c>
      <c r="AF310" s="858">
        <f>IFERROR(INDEX('Operations Forecast_new'!$13:$13,MATCH(DB[[#This Row],[Datum]],'Operations Forecast_new'!$2:$2,0)),0)</f>
        <v>1180</v>
      </c>
      <c r="AG310" s="858">
        <f>IFERROR(INDEX('Operations Forecast_new'!$19:$19,MATCH(DB[[#This Row],[Datum]],'Operations Forecast_new'!$2:$2,0)),0)</f>
        <v>1053</v>
      </c>
      <c r="AH310" s="312">
        <f t="shared" si="87"/>
        <v>161638.68599999999</v>
      </c>
      <c r="AI310" s="858">
        <f>IFERROR(INDEX('Operations Forecast_new'!$9:$9,MATCH(DB[[#This Row],[Datum]],'Operations Forecast_new'!$2:$2,0)),0)</f>
        <v>48894.515999999996</v>
      </c>
      <c r="AJ310" s="312">
        <f t="shared" si="98"/>
        <v>112744.17</v>
      </c>
      <c r="AK310" s="858">
        <f>IFERROR(INDEX('Operations Forecast_new'!$15:$15,MATCH(DB[[#This Row],[Datum]],'Operations Forecast_new'!$2:$2,0)),0)</f>
        <v>59578.2</v>
      </c>
      <c r="AL310" s="858">
        <f>IFERROR(INDEX('Operations Forecast_new'!$21:$21,MATCH(DB[[#This Row],[Datum]],'Operations Forecast_new'!$2:$2,0)),0)</f>
        <v>53165.97</v>
      </c>
      <c r="AM310" s="178">
        <f>IFERROR(INDEX('Operations Forecast_new'!$8:$8,MATCH(DB[[#This Row],[Datum]],'Operations Forecast_new'!$2:$2,0)),0)</f>
        <v>53.8</v>
      </c>
      <c r="AN310" s="859">
        <f>IFERROR(INDEX('Operations Forecast_new'!$20:$20,MATCH(DB[[#This Row],[Datum]],'Operations Forecast_new'!$2:$2,0)),0)</f>
        <v>51</v>
      </c>
      <c r="AO310" s="44">
        <f t="shared" si="99"/>
        <v>53.261999999999993</v>
      </c>
      <c r="AP310" s="404">
        <f t="shared" si="100"/>
        <v>50.49</v>
      </c>
      <c r="AQ310" s="44">
        <f t="shared" si="88"/>
        <v>173180.98253518695</v>
      </c>
      <c r="AR310" s="44" cm="1">
        <f t="array" ref="AR310">IFERROR(INDEX('ST Forecast'!$E$2:$RK$36,25,M310)+(INDEX('ST Forecast'!$E$2:$RK$36,29,M310)),"")</f>
        <v>93396.986000000004</v>
      </c>
      <c r="AS310" s="44" cm="1">
        <f t="array" ref="AS310">IFERROR(INDEX('ST Forecast'!$E$2:$RK$36,26,M310)+INDEX('ST Forecast'!$E$2:$RK$36,30,M310),"")</f>
        <v>61579.507875883806</v>
      </c>
      <c r="AT310" s="44" cm="1">
        <f t="array" ref="AT310">IFERROR(INDEX('ST Forecast'!$E$2:$RK$36,27,M310)+INDEX('ST Forecast'!$E$2:$RK$36,31,M310),"")</f>
        <v>6964.9465351869503</v>
      </c>
      <c r="AU310" s="44" cm="1">
        <f t="array" ref="AU310">IFERROR(INDEX('ST Forecast'!$E$2:$RK$36,28,M310),"")</f>
        <v>11239.542124116195</v>
      </c>
      <c r="AV310" s="44" cm="1">
        <f t="array" ref="AV310">IFERROR(INDEX('ST Forecast'!$E$2:$RK$36,29,M310),"")</f>
        <v>28668</v>
      </c>
      <c r="AW310" s="44">
        <f>DB[[#This Row],[Inbound FC]]-DB[[#This Row],[Inbound Act - Ultrafresh2]]</f>
        <v>144512.98253518695</v>
      </c>
      <c r="AX310" s="178" t="e">
        <f>#REF!</f>
        <v>#REF!</v>
      </c>
      <c r="AY310" s="178" t="e">
        <f>#REF!</f>
        <v>#REF!</v>
      </c>
      <c r="AZ310" s="178" t="e">
        <f>#REF!</f>
        <v>#REF!</v>
      </c>
      <c r="BA310" s="178">
        <f>MONTH(DB[[#This Row],[Datum]])</f>
        <v>11</v>
      </c>
    </row>
    <row r="311" spans="1:53" x14ac:dyDescent="0.3">
      <c r="A311" s="44">
        <f t="shared" si="89"/>
        <v>44</v>
      </c>
      <c r="B311" t="str">
        <f t="shared" si="90"/>
        <v>Wk 44</v>
      </c>
      <c r="C311" t="s">
        <v>118</v>
      </c>
      <c r="D311" s="313">
        <v>44870</v>
      </c>
      <c r="E311" s="44">
        <f>DB[[#This Row],[Sales-FC-Orders-Collect]]+DB[[#This Row],[Sales-FC-Orders-HD]]</f>
        <v>3100</v>
      </c>
      <c r="F311" s="402" cm="1">
        <f t="array" ref="F311">INDEX('LT Collect Forecast'!$K$1:$Q$55,MATCH(B311,'LT Collect Forecast'!$A:$A,0)+1,MATCH(C311,'LT Collect Forecast'!$K$2:$Q$2,0))</f>
        <v>1000</v>
      </c>
      <c r="G311" s="44" cm="1">
        <f t="array" ref="G311">INDEX('LT HD Forecast'!$K$1:$Q$55,MATCH(B311,'LT HD Forecast'!$A:$A,0)+1,MATCH(C311,'LT HD Forecast'!$K$2:$Q$2,0))</f>
        <v>2100</v>
      </c>
      <c r="H311" s="44" cm="1">
        <f t="array" ref="H311">IFERROR(INDEX('ST Forecast'!$E$2:$RK$36,6,M311),"")</f>
        <v>52.877268081419899</v>
      </c>
      <c r="I311" s="44" cm="1">
        <f t="array" ref="I311">IFERROR(INDEX('ST Forecast'!$E$2:$RK$36,7,M311),"")</f>
        <v>51.753251676808119</v>
      </c>
      <c r="J311" s="44">
        <f>SUM(DB[[#This Row],[Sales-FC-Picks-Collect]:[Sales-FC-Picks-HD]])</f>
        <v>161559.09660271695</v>
      </c>
      <c r="K311" s="44">
        <f t="shared" si="85"/>
        <v>52877.268081419897</v>
      </c>
      <c r="L311" s="44">
        <f t="shared" si="86"/>
        <v>108681.82852129705</v>
      </c>
      <c r="M311" s="403">
        <f>IFERROR(IF(B311=B310,M310+1,MATCH(B311,'ST Forecast'!$E$2:$RK$2,0)+1),"")</f>
        <v>351</v>
      </c>
      <c r="N311" s="44">
        <f>SUM(DB[[#This Row],[Ops-FC-Orders-Collect]:[Ops-FC-Orders-HD]])</f>
        <v>3100</v>
      </c>
      <c r="O311" s="44" cm="1">
        <f t="array" ref="O311">IFERROR(INDEX('ST Forecast'!$E$2:$RK$36,13,M311),"")</f>
        <v>1000</v>
      </c>
      <c r="P311" s="44">
        <f t="shared" si="91"/>
        <v>2100</v>
      </c>
      <c r="Q311" s="44" cm="1">
        <f t="array" ref="Q311">IFERROR(INDEX('ST Forecast'!$E$2:$RK$36,14,M311),"")</f>
        <v>1150</v>
      </c>
      <c r="R311" s="44" cm="1">
        <f t="array" ref="R311">IFERROR(INDEX('ST Forecast'!$E$2:$RK$36,15,M311),"")</f>
        <v>950</v>
      </c>
      <c r="S311" s="312">
        <f>SUM(DB[[#This Row],[Ops-FC-Picks-Collect]:[Ops-FC-Picks-HD]])</f>
        <v>158327.91467066261</v>
      </c>
      <c r="T311" s="44">
        <f t="shared" si="92"/>
        <v>51819.722719791498</v>
      </c>
      <c r="U311" s="44">
        <f t="shared" si="93"/>
        <v>106508.19195087111</v>
      </c>
      <c r="V311" s="44">
        <f t="shared" si="94"/>
        <v>58325.914639762748</v>
      </c>
      <c r="W311" s="404">
        <f t="shared" si="95"/>
        <v>48182.277311108359</v>
      </c>
      <c r="X311" s="44">
        <f>SUM(DB[[#This Row],[Capped-Orders-Collect]:[Capped-Orders-HD]])</f>
        <v>90</v>
      </c>
      <c r="Y311">
        <f>INDEX('Operations Forecast'!$A$2:$BGY$47,3,MATCH(DB!D311,'Operations Forecast'!$A$2:$BGY$2))</f>
        <v>0</v>
      </c>
      <c r="Z311">
        <f t="shared" si="96"/>
        <v>90</v>
      </c>
      <c r="AA311">
        <f>INDEX('Operations Forecast'!$A$2:$BGY$47,10,MATCH(DB!D311,'Operations Forecast'!$A$2:$BGY$2))</f>
        <v>90</v>
      </c>
      <c r="AB311">
        <f>INDEX('Operations Forecast'!$A$2:$BGY$47,21,MATCH(DB!D311,'Operations Forecast'!$A$2:$BGY$2))</f>
        <v>0</v>
      </c>
      <c r="AC311" s="312">
        <f>SUM(DB[[#This Row],[Act-Orders-Collect]:[Act-Orders-HD]])</f>
        <v>3060</v>
      </c>
      <c r="AD311" s="858">
        <f>IFERROR(INDEX('Operations Forecast_new'!$7:$7,MATCH(DB[[#This Row],[Datum]],'Operations Forecast_new'!$2:$2,0)),0)</f>
        <v>970</v>
      </c>
      <c r="AE311" s="312">
        <f t="shared" si="97"/>
        <v>2090</v>
      </c>
      <c r="AF311" s="858">
        <f>IFERROR(INDEX('Operations Forecast_new'!$13:$13,MATCH(DB[[#This Row],[Datum]],'Operations Forecast_new'!$2:$2,0)),0)</f>
        <v>1169</v>
      </c>
      <c r="AG311" s="858">
        <f>IFERROR(INDEX('Operations Forecast_new'!$19:$19,MATCH(DB[[#This Row],[Datum]],'Operations Forecast_new'!$2:$2,0)),0)</f>
        <v>921</v>
      </c>
      <c r="AH311" s="312">
        <f t="shared" si="87"/>
        <v>156191.31</v>
      </c>
      <c r="AI311" s="858">
        <f>IFERROR(INDEX('Operations Forecast_new'!$9:$9,MATCH(DB[[#This Row],[Datum]],'Operations Forecast_new'!$2:$2,0)),0)</f>
        <v>49839.57</v>
      </c>
      <c r="AJ311" s="312">
        <f t="shared" si="98"/>
        <v>106351.73999999999</v>
      </c>
      <c r="AK311" s="858">
        <f>IFERROR(INDEX('Operations Forecast_new'!$15:$15,MATCH(DB[[#This Row],[Datum]],'Operations Forecast_new'!$2:$2,0)),0)</f>
        <v>59485.733999999997</v>
      </c>
      <c r="AL311" s="858">
        <f>IFERROR(INDEX('Operations Forecast_new'!$21:$21,MATCH(DB[[#This Row],[Datum]],'Operations Forecast_new'!$2:$2,0)),0)</f>
        <v>46866.006000000001</v>
      </c>
      <c r="AM311" s="178">
        <f>IFERROR(INDEX('Operations Forecast_new'!$8:$8,MATCH(DB[[#This Row],[Datum]],'Operations Forecast_new'!$2:$2,0)),0)</f>
        <v>51.9</v>
      </c>
      <c r="AN311" s="859">
        <f>IFERROR(INDEX('Operations Forecast_new'!$20:$20,MATCH(DB[[#This Row],[Datum]],'Operations Forecast_new'!$2:$2,0)),0)</f>
        <v>51.4</v>
      </c>
      <c r="AO311" s="44">
        <f t="shared" si="99"/>
        <v>51.381</v>
      </c>
      <c r="AP311" s="404">
        <f t="shared" si="100"/>
        <v>50.885999999999996</v>
      </c>
      <c r="AQ311" s="44">
        <f t="shared" si="88"/>
        <v>115950.00000000006</v>
      </c>
      <c r="AR311" s="44" cm="1">
        <f t="array" ref="AR311">IFERROR(INDEX('ST Forecast'!$E$2:$RK$36,25,M311)+(INDEX('ST Forecast'!$E$2:$RK$36,29,M311)),"")</f>
        <v>54571.413926168272</v>
      </c>
      <c r="AS311" s="44" cm="1">
        <f t="array" ref="AS311">IFERROR(INDEX('ST Forecast'!$E$2:$RK$36,26,M311)+INDEX('ST Forecast'!$E$2:$RK$36,30,M311),"")</f>
        <v>50764.278263488173</v>
      </c>
      <c r="AT311" s="44" cm="1">
        <f t="array" ref="AT311">IFERROR(INDEX('ST Forecast'!$E$2:$RK$36,27,M311)+INDEX('ST Forecast'!$E$2:$RK$36,31,M311),"")</f>
        <v>4485.6736049132651</v>
      </c>
      <c r="AU311" s="44" cm="1">
        <f t="array" ref="AU311">IFERROR(INDEX('ST Forecast'!$E$2:$RK$36,28,M311),"")</f>
        <v>6128.6342054303523</v>
      </c>
      <c r="AV311" s="44" cm="1">
        <f t="array" ref="AV311">IFERROR(INDEX('ST Forecast'!$E$2:$RK$36,29,M311),"")</f>
        <v>0</v>
      </c>
      <c r="AW311" s="44">
        <f>DB[[#This Row],[Inbound FC]]-DB[[#This Row],[Inbound Act - Ultrafresh2]]</f>
        <v>115950.00000000006</v>
      </c>
      <c r="AX311" s="178" t="e">
        <f>#REF!</f>
        <v>#REF!</v>
      </c>
      <c r="AY311" s="178" t="e">
        <f>#REF!</f>
        <v>#REF!</v>
      </c>
      <c r="AZ311" s="178" t="e">
        <f>#REF!</f>
        <v>#REF!</v>
      </c>
      <c r="BA311" s="178">
        <f>MONTH(DB[[#This Row],[Datum]])</f>
        <v>11</v>
      </c>
    </row>
    <row r="312" spans="1:53" x14ac:dyDescent="0.3">
      <c r="A312" s="44">
        <f t="shared" si="89"/>
        <v>44</v>
      </c>
      <c r="B312" t="str">
        <f t="shared" si="90"/>
        <v>Wk 44</v>
      </c>
      <c r="C312" t="s">
        <v>119</v>
      </c>
      <c r="D312" s="313">
        <v>44871</v>
      </c>
      <c r="E312" s="44">
        <f>DB[[#This Row],[Sales-FC-Orders-Collect]]+DB[[#This Row],[Sales-FC-Orders-HD]]</f>
        <v>0</v>
      </c>
      <c r="F312" s="402" cm="1">
        <f t="array" ref="F312">INDEX('LT Collect Forecast'!$K$1:$Q$55,MATCH(B312,'LT Collect Forecast'!$A:$A,0)+1,MATCH(C312,'LT Collect Forecast'!$K$2:$Q$2,0))</f>
        <v>0</v>
      </c>
      <c r="G312" s="44" cm="1">
        <f t="array" ref="G312">INDEX('LT HD Forecast'!$K$1:$Q$55,MATCH(B312,'LT HD Forecast'!$A:$A,0)+1,MATCH(C312,'LT HD Forecast'!$K$2:$Q$2,0))</f>
        <v>0</v>
      </c>
      <c r="H312" s="44" cm="1">
        <f t="array" ref="H312">IFERROR(INDEX('ST Forecast'!$E$2:$RK$36,6,M312),"")</f>
        <v>0</v>
      </c>
      <c r="I312" s="44" cm="1">
        <f t="array" ref="I312">IFERROR(INDEX('ST Forecast'!$E$2:$RK$36,7,M312),"")</f>
        <v>0</v>
      </c>
      <c r="J312" s="44">
        <f>SUM(DB[[#This Row],[Sales-FC-Picks-Collect]:[Sales-FC-Picks-HD]])</f>
        <v>0</v>
      </c>
      <c r="K312" s="44">
        <f t="shared" si="85"/>
        <v>0</v>
      </c>
      <c r="L312" s="44">
        <f t="shared" si="86"/>
        <v>0</v>
      </c>
      <c r="M312" s="403">
        <f>IFERROR(IF(B312=B311,M311+1,MATCH(B312,'ST Forecast'!$E$2:$RK$2,0)+1),"")</f>
        <v>352</v>
      </c>
      <c r="N312" s="44">
        <f>SUM(DB[[#This Row],[Ops-FC-Orders-Collect]:[Ops-FC-Orders-HD]])</f>
        <v>0</v>
      </c>
      <c r="O312" s="44" cm="1">
        <f t="array" ref="O312">IFERROR(INDEX('ST Forecast'!$E$2:$RK$36,13,M312),"")</f>
        <v>0</v>
      </c>
      <c r="P312" s="44">
        <f t="shared" si="91"/>
        <v>0</v>
      </c>
      <c r="Q312" s="44" cm="1">
        <f t="array" ref="Q312">IFERROR(INDEX('ST Forecast'!$E$2:$RK$36,14,M312),"")</f>
        <v>0</v>
      </c>
      <c r="R312" s="44" cm="1">
        <f t="array" ref="R312">IFERROR(INDEX('ST Forecast'!$E$2:$RK$36,15,M312),"")</f>
        <v>0</v>
      </c>
      <c r="S312" s="312">
        <f>SUM(DB[[#This Row],[Ops-FC-Picks-Collect]:[Ops-FC-Picks-HD]])</f>
        <v>0</v>
      </c>
      <c r="T312" s="44">
        <f t="shared" si="92"/>
        <v>0</v>
      </c>
      <c r="U312" s="44">
        <f t="shared" si="93"/>
        <v>0</v>
      </c>
      <c r="V312" s="44">
        <f t="shared" si="94"/>
        <v>0</v>
      </c>
      <c r="W312" s="404">
        <f t="shared" si="95"/>
        <v>0</v>
      </c>
      <c r="X312" s="44">
        <f>SUM(DB[[#This Row],[Capped-Orders-Collect]:[Capped-Orders-HD]])</f>
        <v>90</v>
      </c>
      <c r="Y312">
        <f>INDEX('Operations Forecast'!$A$2:$BGY$47,3,MATCH(DB!D312,'Operations Forecast'!$A$2:$BGY$2))</f>
        <v>0</v>
      </c>
      <c r="Z312">
        <f t="shared" si="96"/>
        <v>90</v>
      </c>
      <c r="AA312">
        <f>INDEX('Operations Forecast'!$A$2:$BGY$47,10,MATCH(DB!D312,'Operations Forecast'!$A$2:$BGY$2))</f>
        <v>90</v>
      </c>
      <c r="AB312">
        <f>INDEX('Operations Forecast'!$A$2:$BGY$47,21,MATCH(DB!D312,'Operations Forecast'!$A$2:$BGY$2))</f>
        <v>0</v>
      </c>
      <c r="AC312" s="312">
        <f>SUM(DB[[#This Row],[Act-Orders-Collect]:[Act-Orders-HD]])</f>
        <v>0</v>
      </c>
      <c r="AD312" s="858">
        <f>IFERROR(INDEX('Operations Forecast_new'!$7:$7,MATCH(DB[[#This Row],[Datum]],'Operations Forecast_new'!$2:$2,0)),0)</f>
        <v>0</v>
      </c>
      <c r="AE312" s="312">
        <f t="shared" si="97"/>
        <v>0</v>
      </c>
      <c r="AF312" s="858">
        <f>IFERROR(INDEX('Operations Forecast_new'!$13:$13,MATCH(DB[[#This Row],[Datum]],'Operations Forecast_new'!$2:$2,0)),0)</f>
        <v>0</v>
      </c>
      <c r="AG312" s="858">
        <f>IFERROR(INDEX('Operations Forecast_new'!$19:$19,MATCH(DB[[#This Row],[Datum]],'Operations Forecast_new'!$2:$2,0)),0)</f>
        <v>0</v>
      </c>
      <c r="AH312" s="312">
        <f t="shared" si="87"/>
        <v>0</v>
      </c>
      <c r="AI312" s="858">
        <f>IFERROR(INDEX('Operations Forecast_new'!$9:$9,MATCH(DB[[#This Row],[Datum]],'Operations Forecast_new'!$2:$2,0)),0)</f>
        <v>0</v>
      </c>
      <c r="AJ312" s="312">
        <f t="shared" si="98"/>
        <v>0</v>
      </c>
      <c r="AK312" s="858">
        <f>IFERROR(INDEX('Operations Forecast_new'!$15:$15,MATCH(DB[[#This Row],[Datum]],'Operations Forecast_new'!$2:$2,0)),0)</f>
        <v>0</v>
      </c>
      <c r="AL312" s="858">
        <f>IFERROR(INDEX('Operations Forecast_new'!$21:$21,MATCH(DB[[#This Row],[Datum]],'Operations Forecast_new'!$2:$2,0)),0)</f>
        <v>0</v>
      </c>
      <c r="AM312" s="178">
        <f>IFERROR(INDEX('Operations Forecast_new'!$8:$8,MATCH(DB[[#This Row],[Datum]],'Operations Forecast_new'!$2:$2,0)),0)</f>
        <v>0</v>
      </c>
      <c r="AN312" s="859">
        <f>IFERROR(INDEX('Operations Forecast_new'!$20:$20,MATCH(DB[[#This Row],[Datum]],'Operations Forecast_new'!$2:$2,0)),0)</f>
        <v>0</v>
      </c>
      <c r="AO312" s="44" t="str">
        <f t="shared" si="99"/>
        <v>-</v>
      </c>
      <c r="AP312" s="404" t="str">
        <f t="shared" si="100"/>
        <v>-</v>
      </c>
      <c r="AQ312" s="44">
        <f t="shared" si="88"/>
        <v>0</v>
      </c>
      <c r="AR312" s="44" cm="1">
        <f t="array" ref="AR312">IFERROR(INDEX('ST Forecast'!$E$2:$RK$36,25,M312)+(INDEX('ST Forecast'!$E$2:$RK$36,29,M312)),"")</f>
        <v>0</v>
      </c>
      <c r="AS312" s="44" cm="1">
        <f t="array" ref="AS312">IFERROR(INDEX('ST Forecast'!$E$2:$RK$36,26,M312)+INDEX('ST Forecast'!$E$2:$RK$36,30,M312),"")</f>
        <v>0</v>
      </c>
      <c r="AT312" s="44" cm="1">
        <f t="array" ref="AT312">IFERROR(INDEX('ST Forecast'!$E$2:$RK$36,27,M312)+INDEX('ST Forecast'!$E$2:$RK$36,31,M312),"")</f>
        <v>0</v>
      </c>
      <c r="AU312" s="44" cm="1">
        <f t="array" ref="AU312">IFERROR(INDEX('ST Forecast'!$E$2:$RK$36,28,M312),"")</f>
        <v>0</v>
      </c>
      <c r="AV312" s="44" cm="1">
        <f t="array" ref="AV312">IFERROR(INDEX('ST Forecast'!$E$2:$RK$36,29,M312),"")</f>
        <v>0</v>
      </c>
      <c r="AW312" s="44">
        <f>DB[[#This Row],[Inbound FC]]-DB[[#This Row],[Inbound Act - Ultrafresh2]]</f>
        <v>0</v>
      </c>
      <c r="AX312" s="178" t="e">
        <f>#REF!</f>
        <v>#REF!</v>
      </c>
      <c r="AY312" s="178" t="e">
        <f>#REF!</f>
        <v>#REF!</v>
      </c>
      <c r="AZ312" s="178" t="e">
        <f>#REF!</f>
        <v>#REF!</v>
      </c>
      <c r="BA312" s="178">
        <f>MONTH(DB[[#This Row],[Datum]])</f>
        <v>11</v>
      </c>
    </row>
    <row r="313" spans="1:53" x14ac:dyDescent="0.3">
      <c r="A313" s="44">
        <f t="shared" si="89"/>
        <v>45</v>
      </c>
      <c r="B313" t="str">
        <f t="shared" si="90"/>
        <v>Wk 45</v>
      </c>
      <c r="C313" t="s">
        <v>113</v>
      </c>
      <c r="D313" s="313">
        <v>44872</v>
      </c>
      <c r="E313" s="44">
        <f>DB[[#This Row],[Sales-FC-Orders-Collect]]+DB[[#This Row],[Sales-FC-Orders-HD]]</f>
        <v>2575</v>
      </c>
      <c r="F313" s="402">
        <f>INDEX('LT Collect Forecast'!$K$1:$Q$55,MATCH(B313,'LT Collect Forecast'!$A:$A,0),MATCH(C313,'LT Collect Forecast'!$K$2:$Q$2,0))</f>
        <v>725</v>
      </c>
      <c r="G313" s="44">
        <f>INDEX('LT HD Forecast'!$K$1:$Q$55,MATCH(B313,'LT HD Forecast'!$A:$A,0),MATCH(C313,'LT HD Forecast'!$K$2:$Q$2,0))</f>
        <v>1850</v>
      </c>
      <c r="H313" s="44" cm="1">
        <f t="array" ref="H313">IFERROR(INDEX('ST Forecast'!$E$2:$RK$36,6,M313),"")</f>
        <v>48.965493849741158</v>
      </c>
      <c r="I313" s="44" cm="1">
        <f t="array" ref="I313">IFERROR(INDEX('ST Forecast'!$E$2:$RK$36,7,M313),"")</f>
        <v>49.771318257777857</v>
      </c>
      <c r="J313" s="44">
        <f>SUM(DB[[#This Row],[Sales-FC-Picks-Collect]:[Sales-FC-Picks-HD]])</f>
        <v>127576.92181795137</v>
      </c>
      <c r="K313" s="44">
        <f t="shared" si="85"/>
        <v>35499.98304106234</v>
      </c>
      <c r="L313" s="44">
        <f t="shared" si="86"/>
        <v>92076.93877688903</v>
      </c>
      <c r="M313" s="403">
        <f>IFERROR(IF(B313=B312,M312+1,MATCH(B313,'ST Forecast'!$E$2:$RK$2,0)+1),"")</f>
        <v>354</v>
      </c>
      <c r="N313" s="44">
        <f>SUM(DB[[#This Row],[Ops-FC-Orders-Collect]:[Ops-FC-Orders-HD]])</f>
        <v>2750</v>
      </c>
      <c r="O313" s="44" cm="1">
        <f t="array" ref="O313">IFERROR(INDEX('ST Forecast'!$E$2:$RK$36,13,M313),"")</f>
        <v>800</v>
      </c>
      <c r="P313" s="44">
        <f t="shared" si="91"/>
        <v>1950</v>
      </c>
      <c r="Q313" s="44" cm="1">
        <f t="array" ref="Q313">IFERROR(INDEX('ST Forecast'!$E$2:$RK$36,14,M313),"")</f>
        <v>850</v>
      </c>
      <c r="R313" s="44" cm="1">
        <f t="array" ref="R313">IFERROR(INDEX('ST Forecast'!$E$2:$RK$36,15,M313),"")</f>
        <v>1100</v>
      </c>
      <c r="S313" s="312">
        <f>SUM(DB[[#This Row],[Ops-FC-Picks-Collect]:[Ops-FC-Picks-HD]])</f>
        <v>133501.93636881057</v>
      </c>
      <c r="T313" s="44">
        <f t="shared" si="92"/>
        <v>38388.947178197071</v>
      </c>
      <c r="U313" s="44">
        <f t="shared" si="93"/>
        <v>95112.989190613487</v>
      </c>
      <c r="V313" s="44">
        <f t="shared" si="94"/>
        <v>41459.508108728958</v>
      </c>
      <c r="W313" s="404">
        <f t="shared" si="95"/>
        <v>53653.481081884529</v>
      </c>
      <c r="X313" s="44">
        <f>SUM(DB[[#This Row],[Capped-Orders-Collect]:[Capped-Orders-HD]])</f>
        <v>90</v>
      </c>
      <c r="Y313">
        <f>INDEX('Operations Forecast'!$A$2:$BGY$47,3,MATCH(DB!D313,'Operations Forecast'!$A$2:$BGY$2))</f>
        <v>0</v>
      </c>
      <c r="Z313">
        <f t="shared" si="96"/>
        <v>90</v>
      </c>
      <c r="AA313">
        <f>INDEX('Operations Forecast'!$A$2:$BGY$47,10,MATCH(DB!D313,'Operations Forecast'!$A$2:$BGY$2))</f>
        <v>90</v>
      </c>
      <c r="AB313">
        <f>INDEX('Operations Forecast'!$A$2:$BGY$47,21,MATCH(DB!D313,'Operations Forecast'!$A$2:$BGY$2))</f>
        <v>0</v>
      </c>
      <c r="AC313" s="312">
        <f>SUM(DB[[#This Row],[Act-Orders-Collect]:[Act-Orders-HD]])</f>
        <v>2648</v>
      </c>
      <c r="AD313" s="858">
        <f>IFERROR(INDEX('Operations Forecast_new'!$7:$7,MATCH(DB[[#This Row],[Datum]],'Operations Forecast_new'!$2:$2,0)),0)</f>
        <v>727</v>
      </c>
      <c r="AE313" s="312">
        <f t="shared" si="97"/>
        <v>1921</v>
      </c>
      <c r="AF313" s="858">
        <f>IFERROR(INDEX('Operations Forecast_new'!$13:$13,MATCH(DB[[#This Row],[Datum]],'Operations Forecast_new'!$2:$2,0)),0)</f>
        <v>858</v>
      </c>
      <c r="AG313" s="858">
        <f>IFERROR(INDEX('Operations Forecast_new'!$19:$19,MATCH(DB[[#This Row],[Datum]],'Operations Forecast_new'!$2:$2,0)),0)</f>
        <v>1063</v>
      </c>
      <c r="AH313" s="312">
        <f t="shared" si="87"/>
        <v>135265.185</v>
      </c>
      <c r="AI313" s="858">
        <f>IFERROR(INDEX('Operations Forecast_new'!$9:$9,MATCH(DB[[#This Row],[Datum]],'Operations Forecast_new'!$2:$2,0)),0)</f>
        <v>36562.284</v>
      </c>
      <c r="AJ313" s="312">
        <f t="shared" si="98"/>
        <v>98702.900999999983</v>
      </c>
      <c r="AK313" s="858">
        <f>IFERROR(INDEX('Operations Forecast_new'!$15:$15,MATCH(DB[[#This Row],[Datum]],'Operations Forecast_new'!$2:$2,0)),0)</f>
        <v>44084.897999999994</v>
      </c>
      <c r="AL313" s="858">
        <f>IFERROR(INDEX('Operations Forecast_new'!$21:$21,MATCH(DB[[#This Row],[Datum]],'Operations Forecast_new'!$2:$2,0)),0)</f>
        <v>54618.002999999997</v>
      </c>
      <c r="AM313" s="178">
        <f>IFERROR(INDEX('Operations Forecast_new'!$8:$8,MATCH(DB[[#This Row],[Datum]],'Operations Forecast_new'!$2:$2,0)),0)</f>
        <v>50.8</v>
      </c>
      <c r="AN313" s="859">
        <f>IFERROR(INDEX('Operations Forecast_new'!$20:$20,MATCH(DB[[#This Row],[Datum]],'Operations Forecast_new'!$2:$2,0)),0)</f>
        <v>51.9</v>
      </c>
      <c r="AO313" s="44">
        <f t="shared" si="99"/>
        <v>50.292000000000002</v>
      </c>
      <c r="AP313" s="404">
        <f t="shared" si="100"/>
        <v>51.380999999999993</v>
      </c>
      <c r="AQ313" s="44">
        <f t="shared" si="88"/>
        <v>158417</v>
      </c>
      <c r="AR313" s="44" cm="1">
        <f t="array" ref="AR313">IFERROR(INDEX('ST Forecast'!$E$2:$RK$36,25,M313)+(INDEX('ST Forecast'!$E$2:$RK$36,29,M313)),"")</f>
        <v>87129.35</v>
      </c>
      <c r="AS313" s="44" cm="1">
        <f t="array" ref="AS313">IFERROR(INDEX('ST Forecast'!$E$2:$RK$36,26,M313)+INDEX('ST Forecast'!$E$2:$RK$36,30,M313),"")</f>
        <v>53854.078109212773</v>
      </c>
      <c r="AT313" s="44" cm="1">
        <f t="array" ref="AT313">IFERROR(INDEX('ST Forecast'!$E$2:$RK$36,27,M313)+INDEX('ST Forecast'!$E$2:$RK$36,31,M313),"")</f>
        <v>9505.02</v>
      </c>
      <c r="AU313" s="44" cm="1">
        <f t="array" ref="AU313">IFERROR(INDEX('ST Forecast'!$E$2:$RK$36,28,M313),"")</f>
        <v>7928.5518907872283</v>
      </c>
      <c r="AV313" s="44" cm="1">
        <f t="array" ref="AV313">IFERROR(INDEX('ST Forecast'!$E$2:$RK$36,29,M313),"")</f>
        <v>36283</v>
      </c>
      <c r="AW313" s="44">
        <f>DB[[#This Row],[Inbound FC]]-DB[[#This Row],[Inbound Act - Ultrafresh2]]</f>
        <v>122134</v>
      </c>
      <c r="AX313" s="178" t="e">
        <f>#REF!</f>
        <v>#REF!</v>
      </c>
      <c r="AY313" s="178" t="e">
        <f>#REF!</f>
        <v>#REF!</v>
      </c>
      <c r="AZ313" s="178" t="e">
        <f>#REF!</f>
        <v>#REF!</v>
      </c>
      <c r="BA313" s="178">
        <f>MONTH(DB[[#This Row],[Datum]])</f>
        <v>11</v>
      </c>
    </row>
    <row r="314" spans="1:53" x14ac:dyDescent="0.3">
      <c r="A314" s="44">
        <f t="shared" si="89"/>
        <v>45</v>
      </c>
      <c r="B314" t="str">
        <f t="shared" si="90"/>
        <v>Wk 45</v>
      </c>
      <c r="C314" t="s">
        <v>114</v>
      </c>
      <c r="D314" s="313">
        <v>44873</v>
      </c>
      <c r="E314" s="44">
        <f>DB[[#This Row],[Sales-FC-Orders-Collect]]+DB[[#This Row],[Sales-FC-Orders-HD]]</f>
        <v>3125</v>
      </c>
      <c r="F314" s="402">
        <f>INDEX('LT Collect Forecast'!$K$1:$Q$55,MATCH(B314,'LT Collect Forecast'!$A:$A,0),MATCH(C314,'LT Collect Forecast'!$K$2:$Q$2,0))</f>
        <v>800</v>
      </c>
      <c r="G314" s="44">
        <f>INDEX('LT HD Forecast'!$K$1:$Q$55,MATCH(B314,'LT HD Forecast'!$A:$A,0),MATCH(C314,'LT HD Forecast'!$K$2:$Q$2,0))</f>
        <v>2325</v>
      </c>
      <c r="H314" s="44" cm="1">
        <f t="array" ref="H314">IFERROR(INDEX('ST Forecast'!$E$2:$RK$36,6,M314),"")</f>
        <v>43.114570377617241</v>
      </c>
      <c r="I314" s="44" cm="1">
        <f t="array" ref="I314">IFERROR(INDEX('ST Forecast'!$E$2:$RK$36,7,M314),"")</f>
        <v>48.198008861765821</v>
      </c>
      <c r="J314" s="44">
        <f>SUM(DB[[#This Row],[Sales-FC-Picks-Collect]:[Sales-FC-Picks-HD]])</f>
        <v>146552.02690569934</v>
      </c>
      <c r="K314" s="44">
        <f t="shared" si="85"/>
        <v>34491.65630209379</v>
      </c>
      <c r="L314" s="44">
        <f t="shared" si="86"/>
        <v>112060.37060360554</v>
      </c>
      <c r="M314" s="403">
        <f>IFERROR(IF(B314=B313,M313+1,MATCH(B314,'ST Forecast'!$E$2:$RK$2,0)+1),"")</f>
        <v>355</v>
      </c>
      <c r="N314" s="44">
        <f>SUM(DB[[#This Row],[Ops-FC-Orders-Collect]:[Ops-FC-Orders-HD]])</f>
        <v>3050</v>
      </c>
      <c r="O314" s="44" cm="1">
        <f t="array" ref="O314">IFERROR(INDEX('ST Forecast'!$E$2:$RK$36,13,M314),"")</f>
        <v>800</v>
      </c>
      <c r="P314" s="44">
        <f t="shared" si="91"/>
        <v>2250</v>
      </c>
      <c r="Q314" s="44" cm="1">
        <f t="array" ref="Q314">IFERROR(INDEX('ST Forecast'!$E$2:$RK$36,14,M314),"")</f>
        <v>1200</v>
      </c>
      <c r="R314" s="44" cm="1">
        <f t="array" ref="R314">IFERROR(INDEX('ST Forecast'!$E$2:$RK$36,15,M314),"")</f>
        <v>1050</v>
      </c>
      <c r="S314" s="312">
        <f>SUM(DB[[#This Row],[Ops-FC-Picks-Collect]:[Ops-FC-Picks-HD]])</f>
        <v>140078.43271624553</v>
      </c>
      <c r="T314" s="44">
        <f t="shared" si="92"/>
        <v>33801.823176051912</v>
      </c>
      <c r="U314" s="44">
        <f t="shared" si="93"/>
        <v>106276.60954019363</v>
      </c>
      <c r="V314" s="44">
        <f t="shared" si="94"/>
        <v>56680.858421436606</v>
      </c>
      <c r="W314" s="404">
        <f t="shared" si="95"/>
        <v>49595.751118757027</v>
      </c>
      <c r="X314" s="44">
        <f>SUM(DB[[#This Row],[Capped-Orders-Collect]:[Capped-Orders-HD]])</f>
        <v>90</v>
      </c>
      <c r="Y314">
        <f>INDEX('Operations Forecast'!$A$2:$BGY$47,3,MATCH(DB!D314,'Operations Forecast'!$A$2:$BGY$2))</f>
        <v>0</v>
      </c>
      <c r="Z314">
        <f t="shared" si="96"/>
        <v>90</v>
      </c>
      <c r="AA314">
        <f>INDEX('Operations Forecast'!$A$2:$BGY$47,10,MATCH(DB!D314,'Operations Forecast'!$A$2:$BGY$2))</f>
        <v>90</v>
      </c>
      <c r="AB314">
        <f>INDEX('Operations Forecast'!$A$2:$BGY$47,21,MATCH(DB!D314,'Operations Forecast'!$A$2:$BGY$2))</f>
        <v>0</v>
      </c>
      <c r="AC314" s="312">
        <f>SUM(DB[[#This Row],[Act-Orders-Collect]:[Act-Orders-HD]])</f>
        <v>2991</v>
      </c>
      <c r="AD314" s="858">
        <f>IFERROR(INDEX('Operations Forecast_new'!$7:$7,MATCH(DB[[#This Row],[Datum]],'Operations Forecast_new'!$2:$2,0)),0)</f>
        <v>809</v>
      </c>
      <c r="AE314" s="312">
        <f t="shared" si="97"/>
        <v>2182</v>
      </c>
      <c r="AF314" s="858">
        <f>IFERROR(INDEX('Operations Forecast_new'!$13:$13,MATCH(DB[[#This Row],[Datum]],'Operations Forecast_new'!$2:$2,0)),0)</f>
        <v>1146</v>
      </c>
      <c r="AG314" s="858">
        <f>IFERROR(INDEX('Operations Forecast_new'!$19:$19,MATCH(DB[[#This Row],[Datum]],'Operations Forecast_new'!$2:$2,0)),0)</f>
        <v>1036</v>
      </c>
      <c r="AH314" s="312">
        <f t="shared" si="87"/>
        <v>145003.71600000001</v>
      </c>
      <c r="AI314" s="858">
        <f>IFERROR(INDEX('Operations Forecast_new'!$9:$9,MATCH(DB[[#This Row],[Datum]],'Operations Forecast_new'!$2:$2,0)),0)</f>
        <v>37642.769999999997</v>
      </c>
      <c r="AJ314" s="312">
        <f t="shared" si="98"/>
        <v>107360.94600000001</v>
      </c>
      <c r="AK314" s="858">
        <f>IFERROR(INDEX('Operations Forecast_new'!$15:$15,MATCH(DB[[#This Row],[Datum]],'Operations Forecast_new'!$2:$2,0)),0)</f>
        <v>56386.638000000006</v>
      </c>
      <c r="AL314" s="858">
        <f>IFERROR(INDEX('Operations Forecast_new'!$21:$21,MATCH(DB[[#This Row],[Datum]],'Operations Forecast_new'!$2:$2,0)),0)</f>
        <v>50974.308000000005</v>
      </c>
      <c r="AM314" s="178">
        <f>IFERROR(INDEX('Operations Forecast_new'!$8:$8,MATCH(DB[[#This Row],[Datum]],'Operations Forecast_new'!$2:$2,0)),0)</f>
        <v>47</v>
      </c>
      <c r="AN314" s="859">
        <f>IFERROR(INDEX('Operations Forecast_new'!$20:$20,MATCH(DB[[#This Row],[Datum]],'Operations Forecast_new'!$2:$2,0)),0)</f>
        <v>49.7</v>
      </c>
      <c r="AO314" s="44">
        <f t="shared" si="99"/>
        <v>46.529999999999994</v>
      </c>
      <c r="AP314" s="404">
        <f t="shared" si="100"/>
        <v>49.203000000000003</v>
      </c>
      <c r="AQ314" s="44">
        <f t="shared" si="88"/>
        <v>209236.55947101486</v>
      </c>
      <c r="AR314" s="44" cm="1">
        <f t="array" ref="AR314">IFERROR(INDEX('ST Forecast'!$E$2:$RK$36,25,M314)+(INDEX('ST Forecast'!$E$2:$RK$36,29,M314)),"")</f>
        <v>130567.16</v>
      </c>
      <c r="AS314" s="44" cm="1">
        <f t="array" ref="AS314">IFERROR(INDEX('ST Forecast'!$E$2:$RK$36,26,M314)+INDEX('ST Forecast'!$E$2:$RK$36,30,M314),"")</f>
        <v>63083.297514148719</v>
      </c>
      <c r="AT314" s="44" cm="1">
        <f t="array" ref="AT314">IFERROR(INDEX('ST Forecast'!$E$2:$RK$36,27,M314)+INDEX('ST Forecast'!$E$2:$RK$36,31,M314),"")</f>
        <v>6606.1074710148287</v>
      </c>
      <c r="AU314" s="44" cm="1">
        <f t="array" ref="AU314">IFERROR(INDEX('ST Forecast'!$E$2:$RK$36,28,M314),"")</f>
        <v>8979.9944858512827</v>
      </c>
      <c r="AV314" s="44" cm="1">
        <f t="array" ref="AV314">IFERROR(INDEX('ST Forecast'!$E$2:$RK$36,29,M314),"")</f>
        <v>57983</v>
      </c>
      <c r="AW314" s="44">
        <f>DB[[#This Row],[Inbound FC]]-DB[[#This Row],[Inbound Act - Ultrafresh2]]</f>
        <v>151253.55947101486</v>
      </c>
      <c r="AX314" s="178" t="e">
        <f>#REF!</f>
        <v>#REF!</v>
      </c>
      <c r="AY314" s="178" t="e">
        <f>#REF!</f>
        <v>#REF!</v>
      </c>
      <c r="AZ314" s="178" t="e">
        <f>#REF!</f>
        <v>#REF!</v>
      </c>
      <c r="BA314" s="178">
        <f>MONTH(DB[[#This Row],[Datum]])</f>
        <v>11</v>
      </c>
    </row>
    <row r="315" spans="1:53" x14ac:dyDescent="0.3">
      <c r="A315" s="44">
        <f t="shared" si="89"/>
        <v>45</v>
      </c>
      <c r="B315" t="str">
        <f t="shared" si="90"/>
        <v>Wk 45</v>
      </c>
      <c r="C315" t="s">
        <v>115</v>
      </c>
      <c r="D315" s="313">
        <v>44874</v>
      </c>
      <c r="E315" s="44">
        <f>DB[[#This Row],[Sales-FC-Orders-Collect]]+DB[[#This Row],[Sales-FC-Orders-HD]]</f>
        <v>2975</v>
      </c>
      <c r="F315" s="402">
        <f>INDEX('LT Collect Forecast'!$K$1:$Q$55,MATCH(B315,'LT Collect Forecast'!$A:$A,0),MATCH(C315,'LT Collect Forecast'!$K$2:$Q$2,0))</f>
        <v>700</v>
      </c>
      <c r="G315" s="44">
        <f>INDEX('LT HD Forecast'!$K$1:$Q$55,MATCH(B315,'LT HD Forecast'!$A:$A,0),MATCH(C315,'LT HD Forecast'!$K$2:$Q$2,0))</f>
        <v>2275</v>
      </c>
      <c r="H315" s="44" cm="1">
        <f t="array" ref="H315">IFERROR(INDEX('ST Forecast'!$E$2:$RK$36,6,M315),"")</f>
        <v>44.376960775275187</v>
      </c>
      <c r="I315" s="44" cm="1">
        <f t="array" ref="I315">IFERROR(INDEX('ST Forecast'!$E$2:$RK$36,7,M315),"")</f>
        <v>48.519083794371717</v>
      </c>
      <c r="J315" s="44">
        <f>SUM(DB[[#This Row],[Sales-FC-Picks-Collect]:[Sales-FC-Picks-HD]])</f>
        <v>141444.78817488829</v>
      </c>
      <c r="K315" s="44">
        <f t="shared" si="85"/>
        <v>31063.872542692632</v>
      </c>
      <c r="L315" s="44">
        <f t="shared" si="86"/>
        <v>110380.91563219565</v>
      </c>
      <c r="M315" s="403">
        <f>IFERROR(IF(B315=B314,M314+1,MATCH(B315,'ST Forecast'!$E$2:$RK$2,0)+1),"")</f>
        <v>356</v>
      </c>
      <c r="N315" s="44">
        <f>SUM(DB[[#This Row],[Ops-FC-Orders-Collect]:[Ops-FC-Orders-HD]])</f>
        <v>2700</v>
      </c>
      <c r="O315" s="44" cm="1">
        <f t="array" ref="O315">IFERROR(INDEX('ST Forecast'!$E$2:$RK$36,13,M315),"")</f>
        <v>400</v>
      </c>
      <c r="P315" s="44">
        <f t="shared" si="91"/>
        <v>2300</v>
      </c>
      <c r="Q315" s="44" cm="1">
        <f t="array" ref="Q315">IFERROR(INDEX('ST Forecast'!$E$2:$RK$36,14,M315),"")</f>
        <v>1200</v>
      </c>
      <c r="R315" s="44" cm="1">
        <f t="array" ref="R315">IFERROR(INDEX('ST Forecast'!$E$2:$RK$36,15,M315),"")</f>
        <v>1100</v>
      </c>
      <c r="S315" s="312">
        <f>SUM(DB[[#This Row],[Ops-FC-Picks-Collect]:[Ops-FC-Picks-HD]])</f>
        <v>126757.78349642172</v>
      </c>
      <c r="T315" s="44">
        <f t="shared" si="92"/>
        <v>17395.768623907872</v>
      </c>
      <c r="U315" s="44">
        <f t="shared" si="93"/>
        <v>109362.01487251384</v>
      </c>
      <c r="V315" s="44">
        <f t="shared" si="94"/>
        <v>57058.442542181132</v>
      </c>
      <c r="W315" s="404">
        <f t="shared" si="95"/>
        <v>52303.57233033271</v>
      </c>
      <c r="X315" s="44">
        <f>SUM(DB[[#This Row],[Capped-Orders-Collect]:[Capped-Orders-HD]])</f>
        <v>90</v>
      </c>
      <c r="Y315">
        <f>INDEX('Operations Forecast'!$A$2:$BGY$47,3,MATCH(DB!D315,'Operations Forecast'!$A$2:$BGY$2))</f>
        <v>0</v>
      </c>
      <c r="Z315">
        <f t="shared" si="96"/>
        <v>90</v>
      </c>
      <c r="AA315">
        <f>INDEX('Operations Forecast'!$A$2:$BGY$47,10,MATCH(DB!D315,'Operations Forecast'!$A$2:$BGY$2))</f>
        <v>90</v>
      </c>
      <c r="AB315">
        <f>INDEX('Operations Forecast'!$A$2:$BGY$47,21,MATCH(DB!D315,'Operations Forecast'!$A$2:$BGY$2))</f>
        <v>0</v>
      </c>
      <c r="AC315" s="312">
        <f>SUM(DB[[#This Row],[Act-Orders-Collect]:[Act-Orders-HD]])</f>
        <v>2507</v>
      </c>
      <c r="AD315" s="858">
        <f>IFERROR(INDEX('Operations Forecast_new'!$7:$7,MATCH(DB[[#This Row],[Datum]],'Operations Forecast_new'!$2:$2,0)),0)</f>
        <v>341</v>
      </c>
      <c r="AE315" s="312">
        <f t="shared" si="97"/>
        <v>2166</v>
      </c>
      <c r="AF315" s="858">
        <f>IFERROR(INDEX('Operations Forecast_new'!$13:$13,MATCH(DB[[#This Row],[Datum]],'Operations Forecast_new'!$2:$2,0)),0)</f>
        <v>1100</v>
      </c>
      <c r="AG315" s="858">
        <f>IFERROR(INDEX('Operations Forecast_new'!$19:$19,MATCH(DB[[#This Row],[Datum]],'Operations Forecast_new'!$2:$2,0)),0)</f>
        <v>1066</v>
      </c>
      <c r="AH315" s="312">
        <f t="shared" si="87"/>
        <v>123985.22400000002</v>
      </c>
      <c r="AI315" s="858">
        <f>IFERROR(INDEX('Operations Forecast_new'!$9:$9,MATCH(DB[[#This Row],[Datum]],'Operations Forecast_new'!$2:$2,0)),0)</f>
        <v>16339.355999999998</v>
      </c>
      <c r="AJ315" s="312">
        <f t="shared" si="98"/>
        <v>107645.86800000002</v>
      </c>
      <c r="AK315" s="858">
        <f>IFERROR(INDEX('Operations Forecast_new'!$15:$15,MATCH(DB[[#This Row],[Datum]],'Operations Forecast_new'!$2:$2,0)),0)</f>
        <v>54667.8</v>
      </c>
      <c r="AL315" s="858">
        <f>IFERROR(INDEX('Operations Forecast_new'!$21:$21,MATCH(DB[[#This Row],[Datum]],'Operations Forecast_new'!$2:$2,0)),0)</f>
        <v>52978.068000000007</v>
      </c>
      <c r="AM315" s="178">
        <f>IFERROR(INDEX('Operations Forecast_new'!$8:$8,MATCH(DB[[#This Row],[Datum]],'Operations Forecast_new'!$2:$2,0)),0)</f>
        <v>48.4</v>
      </c>
      <c r="AN315" s="859">
        <f>IFERROR(INDEX('Operations Forecast_new'!$20:$20,MATCH(DB[[#This Row],[Datum]],'Operations Forecast_new'!$2:$2,0)),0)</f>
        <v>50.2</v>
      </c>
      <c r="AO315" s="44">
        <f t="shared" si="99"/>
        <v>47.915999999999997</v>
      </c>
      <c r="AP315" s="404">
        <f t="shared" si="100"/>
        <v>49.698000000000008</v>
      </c>
      <c r="AQ315" s="44">
        <f t="shared" si="88"/>
        <v>159217.73559416019</v>
      </c>
      <c r="AR315" s="44" cm="1">
        <f t="array" ref="AR315">IFERROR(INDEX('ST Forecast'!$E$2:$RK$36,25,M315)+(INDEX('ST Forecast'!$E$2:$RK$36,29,M315)),"")</f>
        <v>73808</v>
      </c>
      <c r="AS315" s="44" cm="1">
        <f t="array" ref="AS315">IFERROR(INDEX('ST Forecast'!$E$2:$RK$36,26,M315)+INDEX('ST Forecast'!$E$2:$RK$36,30,M315),"")</f>
        <v>69927.813781950681</v>
      </c>
      <c r="AT315" s="44" cm="1">
        <f t="array" ref="AT315">IFERROR(INDEX('ST Forecast'!$E$2:$RK$36,27,M315)+INDEX('ST Forecast'!$E$2:$RK$36,31,M315),"")</f>
        <v>5917.3755941602121</v>
      </c>
      <c r="AU315" s="44" cm="1">
        <f t="array" ref="AU315">IFERROR(INDEX('ST Forecast'!$E$2:$RK$36,28,M315),"")</f>
        <v>9564.5462180493123</v>
      </c>
      <c r="AV315" s="44" cm="1">
        <f t="array" ref="AV315">IFERROR(INDEX('ST Forecast'!$E$2:$RK$36,29,M315),"")</f>
        <v>0</v>
      </c>
      <c r="AW315" s="44">
        <f>DB[[#This Row],[Inbound FC]]-DB[[#This Row],[Inbound Act - Ultrafresh2]]</f>
        <v>159217.73559416019</v>
      </c>
      <c r="AX315" s="178" t="e">
        <f>#REF!</f>
        <v>#REF!</v>
      </c>
      <c r="AY315" s="178" t="e">
        <f>#REF!</f>
        <v>#REF!</v>
      </c>
      <c r="AZ315" s="178" t="e">
        <f>#REF!</f>
        <v>#REF!</v>
      </c>
      <c r="BA315" s="178">
        <f>MONTH(DB[[#This Row],[Datum]])</f>
        <v>11</v>
      </c>
    </row>
    <row r="316" spans="1:53" x14ac:dyDescent="0.3">
      <c r="A316" s="44">
        <f t="shared" si="89"/>
        <v>45</v>
      </c>
      <c r="B316" t="str">
        <f t="shared" si="90"/>
        <v>Wk 45</v>
      </c>
      <c r="C316" t="s">
        <v>116</v>
      </c>
      <c r="D316" s="313">
        <v>44875</v>
      </c>
      <c r="E316" s="44">
        <f>DB[[#This Row],[Sales-FC-Orders-Collect]]+DB[[#This Row],[Sales-FC-Orders-HD]]</f>
        <v>3100</v>
      </c>
      <c r="F316" s="402" cm="1">
        <f t="array" ref="F316">INDEX('LT Collect Forecast'!$K$1:$Q$55,MATCH(B316,'LT Collect Forecast'!$A:$A,0)+1,MATCH(C316,'LT Collect Forecast'!$K$2:$Q$2,0))</f>
        <v>850</v>
      </c>
      <c r="G316" s="44" cm="1">
        <f t="array" ref="G316">INDEX('LT HD Forecast'!$K$1:$Q$55,MATCH(B316,'LT HD Forecast'!$A:$A,0)+1,MATCH(C316,'LT HD Forecast'!$K$2:$Q$2,0))</f>
        <v>2250</v>
      </c>
      <c r="H316" s="44" cm="1">
        <f t="array" ref="H316">IFERROR(INDEX('ST Forecast'!$E$2:$RK$36,6,M316),"")</f>
        <v>46.944759345471603</v>
      </c>
      <c r="I316" s="44" cm="1">
        <f t="array" ref="I316">IFERROR(INDEX('ST Forecast'!$E$2:$RK$36,7,M316),"")</f>
        <v>48.311375438530504</v>
      </c>
      <c r="J316" s="44">
        <f>SUM(DB[[#This Row],[Sales-FC-Picks-Collect]:[Sales-FC-Picks-HD]])</f>
        <v>148603.64018034449</v>
      </c>
      <c r="K316" s="44">
        <f t="shared" si="85"/>
        <v>39903.045443650859</v>
      </c>
      <c r="L316" s="44">
        <f t="shared" si="86"/>
        <v>108700.59473669363</v>
      </c>
      <c r="M316" s="403">
        <f>IFERROR(IF(B316=B315,M315+1,MATCH(B316,'ST Forecast'!$E$2:$RK$2,0)+1),"")</f>
        <v>357</v>
      </c>
      <c r="N316" s="44">
        <f>SUM(DB[[#This Row],[Ops-FC-Orders-Collect]:[Ops-FC-Orders-HD]])</f>
        <v>3200</v>
      </c>
      <c r="O316" s="44" cm="1">
        <f t="array" ref="O316">IFERROR(INDEX('ST Forecast'!$E$2:$RK$36,13,M316),"")</f>
        <v>900</v>
      </c>
      <c r="P316" s="44">
        <f t="shared" si="91"/>
        <v>2300</v>
      </c>
      <c r="Q316" s="44" cm="1">
        <f t="array" ref="Q316">IFERROR(INDEX('ST Forecast'!$E$2:$RK$36,14,M316),"")</f>
        <v>1200</v>
      </c>
      <c r="R316" s="44" cm="1">
        <f t="array" ref="R316">IFERROR(INDEX('ST Forecast'!$E$2:$RK$36,15,M316),"")</f>
        <v>1100</v>
      </c>
      <c r="S316" s="312">
        <f>SUM(DB[[#This Row],[Ops-FC-Picks-Collect]:[Ops-FC-Picks-HD]])</f>
        <v>150299.11798115369</v>
      </c>
      <c r="T316" s="44">
        <f t="shared" si="92"/>
        <v>41405.277742705955</v>
      </c>
      <c r="U316" s="44">
        <f t="shared" si="93"/>
        <v>108893.84023844774</v>
      </c>
      <c r="V316" s="44">
        <f t="shared" si="94"/>
        <v>56814.177515711868</v>
      </c>
      <c r="W316" s="404">
        <f t="shared" si="95"/>
        <v>52079.662722735877</v>
      </c>
      <c r="X316" s="44">
        <f>SUM(DB[[#This Row],[Capped-Orders-Collect]:[Capped-Orders-HD]])</f>
        <v>90</v>
      </c>
      <c r="Y316">
        <f>INDEX('Operations Forecast'!$A$2:$BGY$47,3,MATCH(DB!D316,'Operations Forecast'!$A$2:$BGY$2))</f>
        <v>0</v>
      </c>
      <c r="Z316">
        <f t="shared" si="96"/>
        <v>90</v>
      </c>
      <c r="AA316">
        <f>INDEX('Operations Forecast'!$A$2:$BGY$47,10,MATCH(DB!D316,'Operations Forecast'!$A$2:$BGY$2))</f>
        <v>90</v>
      </c>
      <c r="AB316">
        <f>INDEX('Operations Forecast'!$A$2:$BGY$47,21,MATCH(DB!D316,'Operations Forecast'!$A$2:$BGY$2))</f>
        <v>0</v>
      </c>
      <c r="AC316" s="312">
        <f>SUM(DB[[#This Row],[Act-Orders-Collect]:[Act-Orders-HD]])</f>
        <v>3097</v>
      </c>
      <c r="AD316" s="858">
        <f>IFERROR(INDEX('Operations Forecast_new'!$7:$7,MATCH(DB[[#This Row],[Datum]],'Operations Forecast_new'!$2:$2,0)),0)</f>
        <v>975</v>
      </c>
      <c r="AE316" s="312">
        <f t="shared" si="97"/>
        <v>2122</v>
      </c>
      <c r="AF316" s="858">
        <f>IFERROR(INDEX('Operations Forecast_new'!$13:$13,MATCH(DB[[#This Row],[Datum]],'Operations Forecast_new'!$2:$2,0)),0)</f>
        <v>1095</v>
      </c>
      <c r="AG316" s="858">
        <f>IFERROR(INDEX('Operations Forecast_new'!$19:$19,MATCH(DB[[#This Row],[Datum]],'Operations Forecast_new'!$2:$2,0)),0)</f>
        <v>1027</v>
      </c>
      <c r="AH316" s="312">
        <f t="shared" si="87"/>
        <v>155714.52600000001</v>
      </c>
      <c r="AI316" s="858">
        <f>IFERROR(INDEX('Operations Forecast_new'!$9:$9,MATCH(DB[[#This Row],[Datum]],'Operations Forecast_new'!$2:$2,0)),0)</f>
        <v>47104.2</v>
      </c>
      <c r="AJ316" s="312">
        <f t="shared" si="98"/>
        <v>108610.326</v>
      </c>
      <c r="AK316" s="858">
        <f>IFERROR(INDEX('Operations Forecast_new'!$15:$15,MATCH(DB[[#This Row],[Datum]],'Operations Forecast_new'!$2:$2,0)),0)</f>
        <v>56045.385000000002</v>
      </c>
      <c r="AL316" s="858">
        <f>IFERROR(INDEX('Operations Forecast_new'!$21:$21,MATCH(DB[[#This Row],[Datum]],'Operations Forecast_new'!$2:$2,0)),0)</f>
        <v>52564.940999999999</v>
      </c>
      <c r="AM316" s="178">
        <f>IFERROR(INDEX('Operations Forecast_new'!$8:$8,MATCH(DB[[#This Row],[Datum]],'Operations Forecast_new'!$2:$2,0)),0)</f>
        <v>48.8</v>
      </c>
      <c r="AN316" s="859">
        <f>IFERROR(INDEX('Operations Forecast_new'!$20:$20,MATCH(DB[[#This Row],[Datum]],'Operations Forecast_new'!$2:$2,0)),0)</f>
        <v>51.7</v>
      </c>
      <c r="AO316" s="44">
        <f t="shared" si="99"/>
        <v>48.311999999999998</v>
      </c>
      <c r="AP316" s="404">
        <f t="shared" si="100"/>
        <v>51.183</v>
      </c>
      <c r="AQ316" s="44">
        <f t="shared" si="88"/>
        <v>201027.68919416019</v>
      </c>
      <c r="AR316" s="44" cm="1">
        <f t="array" ref="AR316">IFERROR(INDEX('ST Forecast'!$E$2:$RK$36,25,M316)+(INDEX('ST Forecast'!$E$2:$RK$36,29,M316)),"")</f>
        <v>107011.048</v>
      </c>
      <c r="AS316" s="44" cm="1">
        <f t="array" ref="AS316">IFERROR(INDEX('ST Forecast'!$E$2:$RK$36,26,M316)+INDEX('ST Forecast'!$E$2:$RK$36,30,M316),"")</f>
        <v>77019.389025809214</v>
      </c>
      <c r="AT316" s="44" cm="1">
        <f t="array" ref="AT316">IFERROR(INDEX('ST Forecast'!$E$2:$RK$36,27,M316)+INDEX('ST Forecast'!$E$2:$RK$36,31,M316),"")</f>
        <v>6448.7931941602128</v>
      </c>
      <c r="AU316" s="44" cm="1">
        <f t="array" ref="AU316">IFERROR(INDEX('ST Forecast'!$E$2:$RK$36,28,M316),"")</f>
        <v>10548.458974190793</v>
      </c>
      <c r="AV316" s="44" cm="1">
        <f t="array" ref="AV316">IFERROR(INDEX('ST Forecast'!$E$2:$RK$36,29,M316),"")</f>
        <v>40141</v>
      </c>
      <c r="AW316" s="44">
        <f>DB[[#This Row],[Inbound FC]]-DB[[#This Row],[Inbound Act - Ultrafresh2]]</f>
        <v>160886.68919416019</v>
      </c>
      <c r="AX316" s="178" t="e">
        <f>#REF!</f>
        <v>#REF!</v>
      </c>
      <c r="AY316" s="178" t="e">
        <f>#REF!</f>
        <v>#REF!</v>
      </c>
      <c r="AZ316" s="178" t="e">
        <f>#REF!</f>
        <v>#REF!</v>
      </c>
      <c r="BA316" s="178">
        <f>MONTH(DB[[#This Row],[Datum]])</f>
        <v>11</v>
      </c>
    </row>
    <row r="317" spans="1:53" x14ac:dyDescent="0.3">
      <c r="A317" s="44">
        <f t="shared" si="89"/>
        <v>45</v>
      </c>
      <c r="B317" t="str">
        <f t="shared" si="90"/>
        <v>Wk 45</v>
      </c>
      <c r="C317" t="s">
        <v>117</v>
      </c>
      <c r="D317" s="313">
        <v>44876</v>
      </c>
      <c r="E317" s="44">
        <f>DB[[#This Row],[Sales-FC-Orders-Collect]]+DB[[#This Row],[Sales-FC-Orders-HD]]</f>
        <v>0</v>
      </c>
      <c r="F317" s="402" cm="1">
        <f t="array" ref="F317">INDEX('LT Collect Forecast'!$K$1:$Q$55,MATCH(B317,'LT Collect Forecast'!$A:$A,0)+1,MATCH(C317,'LT Collect Forecast'!$K$2:$Q$2,0))</f>
        <v>0</v>
      </c>
      <c r="G317" s="44" cm="1">
        <f t="array" ref="G317">INDEX('LT HD Forecast'!$K$1:$Q$55,MATCH(B317,'LT HD Forecast'!$A:$A,0)+1,MATCH(C317,'LT HD Forecast'!$K$2:$Q$2,0))</f>
        <v>0</v>
      </c>
      <c r="H317" s="44" cm="1">
        <f t="array" ref="H317">IFERROR(INDEX('ST Forecast'!$E$2:$RK$36,6,M317),"")</f>
        <v>0</v>
      </c>
      <c r="I317" s="44" cm="1">
        <f t="array" ref="I317">IFERROR(INDEX('ST Forecast'!$E$2:$RK$36,7,M317),"")</f>
        <v>0</v>
      </c>
      <c r="J317" s="44">
        <f>SUM(DB[[#This Row],[Sales-FC-Picks-Collect]:[Sales-FC-Picks-HD]])</f>
        <v>0</v>
      </c>
      <c r="K317" s="44">
        <f t="shared" si="85"/>
        <v>0</v>
      </c>
      <c r="L317" s="44">
        <f t="shared" si="86"/>
        <v>0</v>
      </c>
      <c r="M317" s="403">
        <f>IFERROR(IF(B317=B316,M316+1,MATCH(B317,'ST Forecast'!$E$2:$RK$2,0)+1),"")</f>
        <v>358</v>
      </c>
      <c r="N317" s="44">
        <f>SUM(DB[[#This Row],[Ops-FC-Orders-Collect]:[Ops-FC-Orders-HD]])</f>
        <v>0</v>
      </c>
      <c r="O317" s="44" cm="1">
        <f t="array" ref="O317">IFERROR(INDEX('ST Forecast'!$E$2:$RK$36,13,M317),"")</f>
        <v>0</v>
      </c>
      <c r="P317" s="44">
        <f t="shared" si="91"/>
        <v>0</v>
      </c>
      <c r="Q317" s="44" cm="1">
        <f t="array" ref="Q317">IFERROR(INDEX('ST Forecast'!$E$2:$RK$36,14,M317),"")</f>
        <v>0</v>
      </c>
      <c r="R317" s="44" cm="1">
        <f t="array" ref="R317">IFERROR(INDEX('ST Forecast'!$E$2:$RK$36,15,M317),"")</f>
        <v>0</v>
      </c>
      <c r="S317" s="312">
        <f>SUM(DB[[#This Row],[Ops-FC-Picks-Collect]:[Ops-FC-Picks-HD]])</f>
        <v>0</v>
      </c>
      <c r="T317" s="44">
        <f t="shared" si="92"/>
        <v>0</v>
      </c>
      <c r="U317" s="44">
        <f t="shared" si="93"/>
        <v>0</v>
      </c>
      <c r="V317" s="44">
        <f t="shared" si="94"/>
        <v>0</v>
      </c>
      <c r="W317" s="404">
        <f t="shared" si="95"/>
        <v>0</v>
      </c>
      <c r="X317" s="44">
        <f>SUM(DB[[#This Row],[Capped-Orders-Collect]:[Capped-Orders-HD]])</f>
        <v>90</v>
      </c>
      <c r="Y317">
        <f>INDEX('Operations Forecast'!$A$2:$BGY$47,3,MATCH(DB!D317,'Operations Forecast'!$A$2:$BGY$2))</f>
        <v>0</v>
      </c>
      <c r="Z317">
        <f t="shared" si="96"/>
        <v>90</v>
      </c>
      <c r="AA317">
        <f>INDEX('Operations Forecast'!$A$2:$BGY$47,10,MATCH(DB!D317,'Operations Forecast'!$A$2:$BGY$2))</f>
        <v>90</v>
      </c>
      <c r="AB317">
        <f>INDEX('Operations Forecast'!$A$2:$BGY$47,21,MATCH(DB!D317,'Operations Forecast'!$A$2:$BGY$2))</f>
        <v>0</v>
      </c>
      <c r="AC317" s="312">
        <f>SUM(DB[[#This Row],[Act-Orders-Collect]:[Act-Orders-HD]])</f>
        <v>0</v>
      </c>
      <c r="AD317" s="858">
        <f>IFERROR(INDEX('Operations Forecast_new'!$7:$7,MATCH(DB[[#This Row],[Datum]],'Operations Forecast_new'!$2:$2,0)),0)</f>
        <v>0</v>
      </c>
      <c r="AE317" s="312">
        <f t="shared" si="97"/>
        <v>0</v>
      </c>
      <c r="AF317" s="858">
        <f>IFERROR(INDEX('Operations Forecast_new'!$13:$13,MATCH(DB[[#This Row],[Datum]],'Operations Forecast_new'!$2:$2,0)),0)</f>
        <v>0</v>
      </c>
      <c r="AG317" s="858">
        <f>IFERROR(INDEX('Operations Forecast_new'!$19:$19,MATCH(DB[[#This Row],[Datum]],'Operations Forecast_new'!$2:$2,0)),0)</f>
        <v>0</v>
      </c>
      <c r="AH317" s="312">
        <f t="shared" si="87"/>
        <v>0</v>
      </c>
      <c r="AI317" s="858">
        <f>IFERROR(INDEX('Operations Forecast_new'!$9:$9,MATCH(DB[[#This Row],[Datum]],'Operations Forecast_new'!$2:$2,0)),0)</f>
        <v>0</v>
      </c>
      <c r="AJ317" s="312">
        <f t="shared" si="98"/>
        <v>0</v>
      </c>
      <c r="AK317" s="858">
        <f>IFERROR(INDEX('Operations Forecast_new'!$15:$15,MATCH(DB[[#This Row],[Datum]],'Operations Forecast_new'!$2:$2,0)),0)</f>
        <v>0</v>
      </c>
      <c r="AL317" s="858">
        <f>IFERROR(INDEX('Operations Forecast_new'!$21:$21,MATCH(DB[[#This Row],[Datum]],'Operations Forecast_new'!$2:$2,0)),0)</f>
        <v>0</v>
      </c>
      <c r="AM317" s="178">
        <f>IFERROR(INDEX('Operations Forecast_new'!$8:$8,MATCH(DB[[#This Row],[Datum]],'Operations Forecast_new'!$2:$2,0)),0)</f>
        <v>0</v>
      </c>
      <c r="AN317" s="859">
        <f>IFERROR(INDEX('Operations Forecast_new'!$20:$20,MATCH(DB[[#This Row],[Datum]],'Operations Forecast_new'!$2:$2,0)),0)</f>
        <v>0</v>
      </c>
      <c r="AO317" s="44" t="str">
        <f t="shared" si="99"/>
        <v>-</v>
      </c>
      <c r="AP317" s="404" t="str">
        <f t="shared" si="100"/>
        <v>-</v>
      </c>
      <c r="AQ317" s="44">
        <f t="shared" si="88"/>
        <v>0</v>
      </c>
      <c r="AR317" s="44" cm="1">
        <f t="array" ref="AR317">IFERROR(INDEX('ST Forecast'!$E$2:$RK$36,25,M317)+(INDEX('ST Forecast'!$E$2:$RK$36,29,M317)),"")</f>
        <v>0</v>
      </c>
      <c r="AS317" s="44" cm="1">
        <f t="array" ref="AS317">IFERROR(INDEX('ST Forecast'!$E$2:$RK$36,26,M317)+INDEX('ST Forecast'!$E$2:$RK$36,30,M317),"")</f>
        <v>0</v>
      </c>
      <c r="AT317" s="44" cm="1">
        <f t="array" ref="AT317">IFERROR(INDEX('ST Forecast'!$E$2:$RK$36,27,M317)+INDEX('ST Forecast'!$E$2:$RK$36,31,M317),"")</f>
        <v>0</v>
      </c>
      <c r="AU317" s="44" cm="1">
        <f t="array" ref="AU317">IFERROR(INDEX('ST Forecast'!$E$2:$RK$36,28,M317),"")</f>
        <v>0</v>
      </c>
      <c r="AV317" s="44" cm="1">
        <f t="array" ref="AV317">IFERROR(INDEX('ST Forecast'!$E$2:$RK$36,29,M317),"")</f>
        <v>0</v>
      </c>
      <c r="AW317" s="44">
        <f>DB[[#This Row],[Inbound FC]]-DB[[#This Row],[Inbound Act - Ultrafresh2]]</f>
        <v>0</v>
      </c>
      <c r="AX317" s="178" t="e">
        <f>#REF!</f>
        <v>#REF!</v>
      </c>
      <c r="AY317" s="178" t="e">
        <f>#REF!</f>
        <v>#REF!</v>
      </c>
      <c r="AZ317" s="178" t="e">
        <f>#REF!</f>
        <v>#REF!</v>
      </c>
      <c r="BA317" s="178">
        <f>MONTH(DB[[#This Row],[Datum]])</f>
        <v>11</v>
      </c>
    </row>
    <row r="318" spans="1:53" x14ac:dyDescent="0.3">
      <c r="A318" s="44">
        <f t="shared" si="89"/>
        <v>45</v>
      </c>
      <c r="B318" t="str">
        <f t="shared" si="90"/>
        <v>Wk 45</v>
      </c>
      <c r="C318" t="s">
        <v>118</v>
      </c>
      <c r="D318" s="313">
        <v>44877</v>
      </c>
      <c r="E318" s="44">
        <f>DB[[#This Row],[Sales-FC-Orders-Collect]]+DB[[#This Row],[Sales-FC-Orders-HD]]</f>
        <v>2750</v>
      </c>
      <c r="F318" s="402" cm="1">
        <f t="array" ref="F318">INDEX('LT Collect Forecast'!$K$1:$Q$55,MATCH(B318,'LT Collect Forecast'!$A:$A,0)+1,MATCH(C318,'LT Collect Forecast'!$K$2:$Q$2,0))</f>
        <v>1000</v>
      </c>
      <c r="G318" s="44" cm="1">
        <f t="array" ref="G318">INDEX('LT HD Forecast'!$K$1:$Q$55,MATCH(B318,'LT HD Forecast'!$A:$A,0)+1,MATCH(C318,'LT HD Forecast'!$K$2:$Q$2,0))</f>
        <v>1750</v>
      </c>
      <c r="H318" s="44" cm="1">
        <f t="array" ref="H318">IFERROR(INDEX('ST Forecast'!$E$2:$RK$36,6,M318),"")</f>
        <v>52.075541399117448</v>
      </c>
      <c r="I318" s="44" cm="1">
        <f t="array" ref="I318">IFERROR(INDEX('ST Forecast'!$E$2:$RK$36,7,M318),"")</f>
        <v>52.302801241089703</v>
      </c>
      <c r="J318" s="44">
        <f>SUM(DB[[#This Row],[Sales-FC-Picks-Collect]:[Sales-FC-Picks-HD]])</f>
        <v>143605.44357102443</v>
      </c>
      <c r="K318" s="44">
        <f t="shared" si="85"/>
        <v>52075.54139911745</v>
      </c>
      <c r="L318" s="44">
        <f t="shared" si="86"/>
        <v>91529.902171906986</v>
      </c>
      <c r="M318" s="403">
        <f>IFERROR(IF(B318=B317,M317+1,MATCH(B318,'ST Forecast'!$E$2:$RK$2,0)+1),"")</f>
        <v>359</v>
      </c>
      <c r="N318" s="44">
        <f>SUM(DB[[#This Row],[Ops-FC-Orders-Collect]:[Ops-FC-Orders-HD]])</f>
        <v>2750</v>
      </c>
      <c r="O318" s="44" cm="1">
        <f t="array" ref="O318">IFERROR(INDEX('ST Forecast'!$E$2:$RK$36,13,M318),"")</f>
        <v>1000</v>
      </c>
      <c r="P318" s="44">
        <f t="shared" si="91"/>
        <v>1750</v>
      </c>
      <c r="Q318" s="44" cm="1">
        <f t="array" ref="Q318">IFERROR(INDEX('ST Forecast'!$E$2:$RK$36,14,M318),"")</f>
        <v>1000</v>
      </c>
      <c r="R318" s="44" cm="1">
        <f t="array" ref="R318">IFERROR(INDEX('ST Forecast'!$E$2:$RK$36,15,M318),"")</f>
        <v>750</v>
      </c>
      <c r="S318" s="312">
        <f>SUM(DB[[#This Row],[Ops-FC-Picks-Collect]:[Ops-FC-Picks-HD]])</f>
        <v>140733.33469960396</v>
      </c>
      <c r="T318" s="44">
        <f t="shared" si="92"/>
        <v>51034.030571135103</v>
      </c>
      <c r="U318" s="44">
        <f t="shared" si="93"/>
        <v>89699.304128468852</v>
      </c>
      <c r="V318" s="44">
        <f t="shared" si="94"/>
        <v>51256.745216267911</v>
      </c>
      <c r="W318" s="404">
        <f t="shared" si="95"/>
        <v>38442.558912200933</v>
      </c>
      <c r="X318" s="44">
        <f>SUM(DB[[#This Row],[Capped-Orders-Collect]:[Capped-Orders-HD]])</f>
        <v>90</v>
      </c>
      <c r="Y318">
        <f>INDEX('Operations Forecast'!$A$2:$BGY$47,3,MATCH(DB!D318,'Operations Forecast'!$A$2:$BGY$2))</f>
        <v>0</v>
      </c>
      <c r="Z318">
        <f t="shared" si="96"/>
        <v>90</v>
      </c>
      <c r="AA318">
        <f>INDEX('Operations Forecast'!$A$2:$BGY$47,10,MATCH(DB!D318,'Operations Forecast'!$A$2:$BGY$2))</f>
        <v>90</v>
      </c>
      <c r="AB318">
        <f>INDEX('Operations Forecast'!$A$2:$BGY$47,21,MATCH(DB!D318,'Operations Forecast'!$A$2:$BGY$2))</f>
        <v>0</v>
      </c>
      <c r="AC318" s="312">
        <f>SUM(DB[[#This Row],[Act-Orders-Collect]:[Act-Orders-HD]])</f>
        <v>3028</v>
      </c>
      <c r="AD318" s="858">
        <f>IFERROR(INDEX('Operations Forecast_new'!$7:$7,MATCH(DB[[#This Row],[Datum]],'Operations Forecast_new'!$2:$2,0)),0)</f>
        <v>1046</v>
      </c>
      <c r="AE318" s="312">
        <f t="shared" si="97"/>
        <v>1982</v>
      </c>
      <c r="AF318" s="858">
        <f>IFERROR(INDEX('Operations Forecast_new'!$13:$13,MATCH(DB[[#This Row],[Datum]],'Operations Forecast_new'!$2:$2,0)),0)</f>
        <v>1083</v>
      </c>
      <c r="AG318" s="858">
        <f>IFERROR(INDEX('Operations Forecast_new'!$19:$19,MATCH(DB[[#This Row],[Datum]],'Operations Forecast_new'!$2:$2,0)),0)</f>
        <v>899</v>
      </c>
      <c r="AH318" s="312">
        <f t="shared" si="87"/>
        <v>156916.97999999998</v>
      </c>
      <c r="AI318" s="858">
        <f>IFERROR(INDEX('Operations Forecast_new'!$9:$9,MATCH(DB[[#This Row],[Datum]],'Operations Forecast_new'!$2:$2,0)),0)</f>
        <v>54883.62</v>
      </c>
      <c r="AJ318" s="312">
        <f t="shared" si="98"/>
        <v>102033.35999999999</v>
      </c>
      <c r="AK318" s="858">
        <f>IFERROR(INDEX('Operations Forecast_new'!$15:$15,MATCH(DB[[#This Row],[Datum]],'Operations Forecast_new'!$2:$2,0)),0)</f>
        <v>55752.84</v>
      </c>
      <c r="AL318" s="858">
        <f>IFERROR(INDEX('Operations Forecast_new'!$21:$21,MATCH(DB[[#This Row],[Datum]],'Operations Forecast_new'!$2:$2,0)),0)</f>
        <v>46280.52</v>
      </c>
      <c r="AM318" s="178">
        <f>IFERROR(INDEX('Operations Forecast_new'!$8:$8,MATCH(DB[[#This Row],[Datum]],'Operations Forecast_new'!$2:$2,0)),0)</f>
        <v>53</v>
      </c>
      <c r="AN318" s="859">
        <f>IFERROR(INDEX('Operations Forecast_new'!$20:$20,MATCH(DB[[#This Row],[Datum]],'Operations Forecast_new'!$2:$2,0)),0)</f>
        <v>52</v>
      </c>
      <c r="AO318" s="44">
        <f t="shared" si="99"/>
        <v>52.470000000000006</v>
      </c>
      <c r="AP318" s="404">
        <f t="shared" si="100"/>
        <v>51.47999999999999</v>
      </c>
      <c r="AQ318" s="44">
        <f t="shared" si="88"/>
        <v>115213.00000000006</v>
      </c>
      <c r="AR318" s="44" cm="1">
        <f t="array" ref="AR318">IFERROR(INDEX('ST Forecast'!$E$2:$RK$36,25,M318)+(INDEX('ST Forecast'!$E$2:$RK$36,29,M318)),"")</f>
        <v>54224.547759168825</v>
      </c>
      <c r="AS318" s="44" cm="1">
        <f t="array" ref="AS318">IFERROR(INDEX('ST Forecast'!$E$2:$RK$36,26,M318)+INDEX('ST Forecast'!$E$2:$RK$36,30,M318),"")</f>
        <v>50441.610966548193</v>
      </c>
      <c r="AT318" s="44" cm="1">
        <f t="array" ref="AT318">IFERROR(INDEX('ST Forecast'!$E$2:$RK$36,27,M318)+INDEX('ST Forecast'!$E$2:$RK$36,31,M318),"")</f>
        <v>4457.1618201196379</v>
      </c>
      <c r="AU318" s="44" cm="1">
        <f t="array" ref="AU318">IFERROR(INDEX('ST Forecast'!$E$2:$RK$36,28,M318),"")</f>
        <v>6089.6794541634081</v>
      </c>
      <c r="AV318" s="44" cm="1">
        <f t="array" ref="AV318">IFERROR(INDEX('ST Forecast'!$E$2:$RK$36,29,M318),"")</f>
        <v>0</v>
      </c>
      <c r="AW318" s="44">
        <f>DB[[#This Row],[Inbound FC]]-DB[[#This Row],[Inbound Act - Ultrafresh2]]</f>
        <v>115213.00000000006</v>
      </c>
      <c r="AX318" s="178" t="e">
        <f>#REF!</f>
        <v>#REF!</v>
      </c>
      <c r="AY318" s="178" t="e">
        <f>#REF!</f>
        <v>#REF!</v>
      </c>
      <c r="AZ318" s="178" t="e">
        <f>#REF!</f>
        <v>#REF!</v>
      </c>
      <c r="BA318" s="178">
        <f>MONTH(DB[[#This Row],[Datum]])</f>
        <v>11</v>
      </c>
    </row>
    <row r="319" spans="1:53" x14ac:dyDescent="0.3">
      <c r="A319" s="44">
        <f t="shared" si="89"/>
        <v>45</v>
      </c>
      <c r="B319" t="str">
        <f t="shared" si="90"/>
        <v>Wk 45</v>
      </c>
      <c r="C319" t="s">
        <v>119</v>
      </c>
      <c r="D319" s="313">
        <v>44878</v>
      </c>
      <c r="E319" s="44">
        <f>DB[[#This Row],[Sales-FC-Orders-Collect]]+DB[[#This Row],[Sales-FC-Orders-HD]]</f>
        <v>0</v>
      </c>
      <c r="F319" s="402" cm="1">
        <f t="array" ref="F319">INDEX('LT Collect Forecast'!$K$1:$Q$55,MATCH(B319,'LT Collect Forecast'!$A:$A,0)+1,MATCH(C319,'LT Collect Forecast'!$K$2:$Q$2,0))</f>
        <v>0</v>
      </c>
      <c r="G319" s="44" cm="1">
        <f t="array" ref="G319">INDEX('LT HD Forecast'!$K$1:$Q$55,MATCH(B319,'LT HD Forecast'!$A:$A,0)+1,MATCH(C319,'LT HD Forecast'!$K$2:$Q$2,0))</f>
        <v>0</v>
      </c>
      <c r="H319" s="44" cm="1">
        <f t="array" ref="H319">IFERROR(INDEX('ST Forecast'!$E$2:$RK$36,6,M319),"")</f>
        <v>0</v>
      </c>
      <c r="I319" s="44" cm="1">
        <f t="array" ref="I319">IFERROR(INDEX('ST Forecast'!$E$2:$RK$36,7,M319),"")</f>
        <v>0</v>
      </c>
      <c r="J319" s="44">
        <f>SUM(DB[[#This Row],[Sales-FC-Picks-Collect]:[Sales-FC-Picks-HD]])</f>
        <v>0</v>
      </c>
      <c r="K319" s="44">
        <f t="shared" si="85"/>
        <v>0</v>
      </c>
      <c r="L319" s="44">
        <f t="shared" si="86"/>
        <v>0</v>
      </c>
      <c r="M319" s="403">
        <f>IFERROR(IF(B319=B318,M318+1,MATCH(B319,'ST Forecast'!$E$2:$RK$2,0)+1),"")</f>
        <v>360</v>
      </c>
      <c r="N319" s="44">
        <f>SUM(DB[[#This Row],[Ops-FC-Orders-Collect]:[Ops-FC-Orders-HD]])</f>
        <v>0</v>
      </c>
      <c r="O319" s="44" cm="1">
        <f t="array" ref="O319">IFERROR(INDEX('ST Forecast'!$E$2:$RK$36,13,M319),"")</f>
        <v>0</v>
      </c>
      <c r="P319" s="44">
        <f t="shared" si="91"/>
        <v>0</v>
      </c>
      <c r="Q319" s="44" cm="1">
        <f t="array" ref="Q319">IFERROR(INDEX('ST Forecast'!$E$2:$RK$36,14,M319),"")</f>
        <v>0</v>
      </c>
      <c r="R319" s="44" cm="1">
        <f t="array" ref="R319">IFERROR(INDEX('ST Forecast'!$E$2:$RK$36,15,M319),"")</f>
        <v>0</v>
      </c>
      <c r="S319" s="312">
        <f>SUM(DB[[#This Row],[Ops-FC-Picks-Collect]:[Ops-FC-Picks-HD]])</f>
        <v>0</v>
      </c>
      <c r="T319" s="44">
        <f t="shared" si="92"/>
        <v>0</v>
      </c>
      <c r="U319" s="44">
        <f t="shared" si="93"/>
        <v>0</v>
      </c>
      <c r="V319" s="44">
        <f t="shared" si="94"/>
        <v>0</v>
      </c>
      <c r="W319" s="404">
        <f t="shared" si="95"/>
        <v>0</v>
      </c>
      <c r="X319" s="44">
        <f>SUM(DB[[#This Row],[Capped-Orders-Collect]:[Capped-Orders-HD]])</f>
        <v>90</v>
      </c>
      <c r="Y319">
        <f>INDEX('Operations Forecast'!$A$2:$BGY$47,3,MATCH(DB!D319,'Operations Forecast'!$A$2:$BGY$2))</f>
        <v>0</v>
      </c>
      <c r="Z319">
        <f t="shared" si="96"/>
        <v>90</v>
      </c>
      <c r="AA319">
        <f>INDEX('Operations Forecast'!$A$2:$BGY$47,10,MATCH(DB!D319,'Operations Forecast'!$A$2:$BGY$2))</f>
        <v>90</v>
      </c>
      <c r="AB319">
        <f>INDEX('Operations Forecast'!$A$2:$BGY$47,21,MATCH(DB!D319,'Operations Forecast'!$A$2:$BGY$2))</f>
        <v>0</v>
      </c>
      <c r="AC319" s="312">
        <f>SUM(DB[[#This Row],[Act-Orders-Collect]:[Act-Orders-HD]])</f>
        <v>0</v>
      </c>
      <c r="AD319" s="858">
        <f>IFERROR(INDEX('Operations Forecast_new'!$7:$7,MATCH(DB[[#This Row],[Datum]],'Operations Forecast_new'!$2:$2,0)),0)</f>
        <v>0</v>
      </c>
      <c r="AE319" s="312">
        <f t="shared" si="97"/>
        <v>0</v>
      </c>
      <c r="AF319" s="858">
        <f>IFERROR(INDEX('Operations Forecast_new'!$13:$13,MATCH(DB[[#This Row],[Datum]],'Operations Forecast_new'!$2:$2,0)),0)</f>
        <v>0</v>
      </c>
      <c r="AG319" s="858">
        <f>IFERROR(INDEX('Operations Forecast_new'!$19:$19,MATCH(DB[[#This Row],[Datum]],'Operations Forecast_new'!$2:$2,0)),0)</f>
        <v>0</v>
      </c>
      <c r="AH319" s="312">
        <f t="shared" si="87"/>
        <v>0</v>
      </c>
      <c r="AI319" s="858">
        <f>IFERROR(INDEX('Operations Forecast_new'!$9:$9,MATCH(DB[[#This Row],[Datum]],'Operations Forecast_new'!$2:$2,0)),0)</f>
        <v>0</v>
      </c>
      <c r="AJ319" s="312">
        <f t="shared" si="98"/>
        <v>0</v>
      </c>
      <c r="AK319" s="858">
        <f>IFERROR(INDEX('Operations Forecast_new'!$15:$15,MATCH(DB[[#This Row],[Datum]],'Operations Forecast_new'!$2:$2,0)),0)</f>
        <v>0</v>
      </c>
      <c r="AL319" s="858">
        <f>IFERROR(INDEX('Operations Forecast_new'!$21:$21,MATCH(DB[[#This Row],[Datum]],'Operations Forecast_new'!$2:$2,0)),0)</f>
        <v>0</v>
      </c>
      <c r="AM319" s="178">
        <f>IFERROR(INDEX('Operations Forecast_new'!$8:$8,MATCH(DB[[#This Row],[Datum]],'Operations Forecast_new'!$2:$2,0)),0)</f>
        <v>0</v>
      </c>
      <c r="AN319" s="859">
        <f>IFERROR(INDEX('Operations Forecast_new'!$20:$20,MATCH(DB[[#This Row],[Datum]],'Operations Forecast_new'!$2:$2,0)),0)</f>
        <v>0</v>
      </c>
      <c r="AO319" s="44" t="str">
        <f t="shared" si="99"/>
        <v>-</v>
      </c>
      <c r="AP319" s="404" t="str">
        <f t="shared" si="100"/>
        <v>-</v>
      </c>
      <c r="AQ319" s="44">
        <f t="shared" si="88"/>
        <v>0</v>
      </c>
      <c r="AR319" s="44" cm="1">
        <f t="array" ref="AR319">IFERROR(INDEX('ST Forecast'!$E$2:$RK$36,25,M319)+(INDEX('ST Forecast'!$E$2:$RK$36,29,M319)),"")</f>
        <v>0</v>
      </c>
      <c r="AS319" s="44" cm="1">
        <f t="array" ref="AS319">IFERROR(INDEX('ST Forecast'!$E$2:$RK$36,26,M319)+INDEX('ST Forecast'!$E$2:$RK$36,30,M319),"")</f>
        <v>0</v>
      </c>
      <c r="AT319" s="44" cm="1">
        <f t="array" ref="AT319">IFERROR(INDEX('ST Forecast'!$E$2:$RK$36,27,M319)+INDEX('ST Forecast'!$E$2:$RK$36,31,M319),"")</f>
        <v>0</v>
      </c>
      <c r="AU319" s="44" cm="1">
        <f t="array" ref="AU319">IFERROR(INDEX('ST Forecast'!$E$2:$RK$36,28,M319),"")</f>
        <v>0</v>
      </c>
      <c r="AV319" s="44" cm="1">
        <f t="array" ref="AV319">IFERROR(INDEX('ST Forecast'!$E$2:$RK$36,29,M319),"")</f>
        <v>0</v>
      </c>
      <c r="AW319" s="44">
        <f>DB[[#This Row],[Inbound FC]]-DB[[#This Row],[Inbound Act - Ultrafresh2]]</f>
        <v>0</v>
      </c>
      <c r="AX319" s="178" t="e">
        <f>#REF!</f>
        <v>#REF!</v>
      </c>
      <c r="AY319" s="178" t="e">
        <f>#REF!</f>
        <v>#REF!</v>
      </c>
      <c r="AZ319" s="178" t="e">
        <f>#REF!</f>
        <v>#REF!</v>
      </c>
      <c r="BA319" s="178">
        <f>MONTH(DB[[#This Row],[Datum]])</f>
        <v>11</v>
      </c>
    </row>
    <row r="320" spans="1:53" x14ac:dyDescent="0.3">
      <c r="A320" s="44">
        <f t="shared" si="89"/>
        <v>46</v>
      </c>
      <c r="B320" t="str">
        <f t="shared" si="90"/>
        <v>Wk 46</v>
      </c>
      <c r="C320" t="s">
        <v>113</v>
      </c>
      <c r="D320" s="313">
        <v>44879</v>
      </c>
      <c r="E320" s="44">
        <f>DB[[#This Row],[Sales-FC-Orders-Collect]]+DB[[#This Row],[Sales-FC-Orders-HD]]</f>
        <v>2600</v>
      </c>
      <c r="F320" s="402">
        <f>INDEX('LT Collect Forecast'!$K$1:$Q$55,MATCH(B320,'LT Collect Forecast'!$A:$A,0),MATCH(C320,'LT Collect Forecast'!$K$2:$Q$2,0))</f>
        <v>700</v>
      </c>
      <c r="G320" s="44">
        <f>INDEX('LT HD Forecast'!$K$1:$Q$55,MATCH(B320,'LT HD Forecast'!$A:$A,0),MATCH(C320,'LT HD Forecast'!$K$2:$Q$2,0))</f>
        <v>1900</v>
      </c>
      <c r="H320" s="44" cm="1">
        <f t="array" ref="H320">IFERROR(INDEX('ST Forecast'!$E$2:$RK$36,6,M320),"")</f>
        <v>48.798119696549577</v>
      </c>
      <c r="I320" s="44" cm="1">
        <f t="array" ref="I320">IFERROR(INDEX('ST Forecast'!$E$2:$RK$36,7,M320),"")</f>
        <v>50.16463529984577</v>
      </c>
      <c r="J320" s="44">
        <f>SUM(DB[[#This Row],[Sales-FC-Picks-Collect]:[Sales-FC-Picks-HD]])</f>
        <v>129471.49085729168</v>
      </c>
      <c r="K320" s="44">
        <f t="shared" si="85"/>
        <v>34158.683787584705</v>
      </c>
      <c r="L320" s="44">
        <f t="shared" si="86"/>
        <v>95312.807069706963</v>
      </c>
      <c r="M320" s="403">
        <f>IFERROR(IF(B320=B319,M319+1,MATCH(B320,'ST Forecast'!$E$2:$RK$2,0)+1),"")</f>
        <v>362</v>
      </c>
      <c r="N320" s="44">
        <f>SUM(DB[[#This Row],[Ops-FC-Orders-Collect]:[Ops-FC-Orders-HD]])</f>
        <v>2600</v>
      </c>
      <c r="O320" s="44" cm="1">
        <f t="array" ref="O320">IFERROR(INDEX('ST Forecast'!$E$2:$RK$36,13,M320),"")</f>
        <v>700</v>
      </c>
      <c r="P320" s="44">
        <f t="shared" si="91"/>
        <v>1900</v>
      </c>
      <c r="Q320" s="44" cm="1">
        <f t="array" ref="Q320">IFERROR(INDEX('ST Forecast'!$E$2:$RK$36,14,M320),"")</f>
        <v>850</v>
      </c>
      <c r="R320" s="44" cm="1">
        <f t="array" ref="R320">IFERROR(INDEX('ST Forecast'!$E$2:$RK$36,15,M320),"")</f>
        <v>1050</v>
      </c>
      <c r="S320" s="312">
        <f>SUM(DB[[#This Row],[Ops-FC-Picks-Collect]:[Ops-FC-Picks-HD]])</f>
        <v>126882.06104014584</v>
      </c>
      <c r="T320" s="44">
        <f t="shared" si="92"/>
        <v>33475.510111833013</v>
      </c>
      <c r="U320" s="44">
        <f t="shared" si="93"/>
        <v>93406.550928312819</v>
      </c>
      <c r="V320" s="44">
        <f t="shared" si="94"/>
        <v>41787.141204771528</v>
      </c>
      <c r="W320" s="404">
        <f t="shared" si="95"/>
        <v>51619.409723541292</v>
      </c>
      <c r="X320" s="44">
        <f>SUM(DB[[#This Row],[Capped-Orders-Collect]:[Capped-Orders-HD]])</f>
        <v>90</v>
      </c>
      <c r="Y320">
        <f>INDEX('Operations Forecast'!$A$2:$BGY$47,3,MATCH(DB!D320,'Operations Forecast'!$A$2:$BGY$2))</f>
        <v>0</v>
      </c>
      <c r="Z320">
        <f t="shared" si="96"/>
        <v>90</v>
      </c>
      <c r="AA320">
        <f>INDEX('Operations Forecast'!$A$2:$BGY$47,10,MATCH(DB!D320,'Operations Forecast'!$A$2:$BGY$2))</f>
        <v>90</v>
      </c>
      <c r="AB320">
        <f>INDEX('Operations Forecast'!$A$2:$BGY$47,21,MATCH(DB!D320,'Operations Forecast'!$A$2:$BGY$2))</f>
        <v>0</v>
      </c>
      <c r="AC320" s="312">
        <f>SUM(DB[[#This Row],[Act-Orders-Collect]:[Act-Orders-HD]])</f>
        <v>2653</v>
      </c>
      <c r="AD320" s="858">
        <f>IFERROR(INDEX('Operations Forecast_new'!$7:$7,MATCH(DB[[#This Row],[Datum]],'Operations Forecast_new'!$2:$2,0)),0)</f>
        <v>715</v>
      </c>
      <c r="AE320" s="312">
        <f t="shared" si="97"/>
        <v>1938</v>
      </c>
      <c r="AF320" s="858">
        <f>IFERROR(INDEX('Operations Forecast_new'!$13:$13,MATCH(DB[[#This Row],[Datum]],'Operations Forecast_new'!$2:$2,0)),0)</f>
        <v>876</v>
      </c>
      <c r="AG320" s="858">
        <f>IFERROR(INDEX('Operations Forecast_new'!$19:$19,MATCH(DB[[#This Row],[Datum]],'Operations Forecast_new'!$2:$2,0)),0)</f>
        <v>1062</v>
      </c>
      <c r="AH320" s="312">
        <f t="shared" si="87"/>
        <v>130788.62160619271</v>
      </c>
      <c r="AI320" s="858">
        <f>IFERROR(INDEX('Operations Forecast_new'!$9:$9,MATCH(DB[[#This Row],[Datum]],'Operations Forecast_new'!$2:$2,0)),0)</f>
        <v>34541.749027202619</v>
      </c>
      <c r="AJ320" s="312">
        <f t="shared" si="98"/>
        <v>96246.872578990093</v>
      </c>
      <c r="AK320" s="858">
        <f>IFERROR(INDEX('Operations Forecast_new'!$15:$15,MATCH(DB[[#This Row],[Datum]],'Operations Forecast_new'!$2:$2,0)),0)</f>
        <v>43504.778317438242</v>
      </c>
      <c r="AL320" s="858">
        <f>IFERROR(INDEX('Operations Forecast_new'!$21:$21,MATCH(DB[[#This Row],[Datum]],'Operations Forecast_new'!$2:$2,0)),0)</f>
        <v>52742.094261551843</v>
      </c>
      <c r="AM320" s="178">
        <f>IFERROR(INDEX('Operations Forecast_new'!$8:$8,MATCH(DB[[#This Row],[Datum]],'Operations Forecast_new'!$2:$2,0)),0)</f>
        <v>48.798119696549577</v>
      </c>
      <c r="AN320" s="859">
        <f>IFERROR(INDEX('Operations Forecast_new'!$20:$20,MATCH(DB[[#This Row],[Datum]],'Operations Forecast_new'!$2:$2,0)),0)</f>
        <v>50.16463529984577</v>
      </c>
      <c r="AO320" s="44">
        <f t="shared" si="99"/>
        <v>48.310138499584085</v>
      </c>
      <c r="AP320" s="404">
        <f t="shared" si="100"/>
        <v>49.662988946847314</v>
      </c>
      <c r="AQ320" s="44">
        <f t="shared" si="88"/>
        <v>185421</v>
      </c>
      <c r="AR320" s="44" cm="1">
        <f t="array" ref="AR320">IFERROR(INDEX('ST Forecast'!$E$2:$RK$36,25,M320)+(INDEX('ST Forecast'!$E$2:$RK$36,29,M320)),"")</f>
        <v>101431.55</v>
      </c>
      <c r="AS320" s="44" cm="1">
        <f t="array" ref="AS320">IFERROR(INDEX('ST Forecast'!$E$2:$RK$36,26,M320)+INDEX('ST Forecast'!$E$2:$RK$36,30,M320),"")</f>
        <v>62149.877</v>
      </c>
      <c r="AT320" s="44" cm="1">
        <f t="array" ref="AT320">IFERROR(INDEX('ST Forecast'!$E$2:$RK$36,27,M320)+INDEX('ST Forecast'!$E$2:$RK$36,31,M320),"")</f>
        <v>12065.26</v>
      </c>
      <c r="AU320" s="44" cm="1">
        <f t="array" ref="AU320">IFERROR(INDEX('ST Forecast'!$E$2:$RK$36,28,M320),"")</f>
        <v>9774.3130000000001</v>
      </c>
      <c r="AV320" s="44" cm="1">
        <f t="array" ref="AV320">IFERROR(INDEX('ST Forecast'!$E$2:$RK$36,29,M320),"")</f>
        <v>37094</v>
      </c>
      <c r="AW320" s="44">
        <f>DB[[#This Row],[Inbound FC]]-DB[[#This Row],[Inbound Act - Ultrafresh2]]</f>
        <v>148327</v>
      </c>
      <c r="AX320" s="178" t="e">
        <f>#REF!</f>
        <v>#REF!</v>
      </c>
      <c r="AY320" s="178" t="e">
        <f>#REF!</f>
        <v>#REF!</v>
      </c>
      <c r="AZ320" s="178" t="e">
        <f>#REF!</f>
        <v>#REF!</v>
      </c>
      <c r="BA320" s="178">
        <f>MONTH(DB[[#This Row],[Datum]])</f>
        <v>11</v>
      </c>
    </row>
    <row r="321" spans="1:53" x14ac:dyDescent="0.3">
      <c r="A321" s="44">
        <f t="shared" si="89"/>
        <v>46</v>
      </c>
      <c r="B321" t="str">
        <f t="shared" si="90"/>
        <v>Wk 46</v>
      </c>
      <c r="C321" t="s">
        <v>114</v>
      </c>
      <c r="D321" s="313">
        <v>44880</v>
      </c>
      <c r="E321" s="44">
        <f>DB[[#This Row],[Sales-FC-Orders-Collect]]+DB[[#This Row],[Sales-FC-Orders-HD]]</f>
        <v>2925</v>
      </c>
      <c r="F321" s="402">
        <f>INDEX('LT Collect Forecast'!$K$1:$Q$55,MATCH(B321,'LT Collect Forecast'!$A:$A,0),MATCH(C321,'LT Collect Forecast'!$K$2:$Q$2,0))</f>
        <v>650</v>
      </c>
      <c r="G321" s="44">
        <f>INDEX('LT HD Forecast'!$K$1:$Q$55,MATCH(B321,'LT HD Forecast'!$A:$A,0),MATCH(C321,'LT HD Forecast'!$K$2:$Q$2,0))</f>
        <v>2275</v>
      </c>
      <c r="H321" s="44" cm="1">
        <f t="array" ref="H321">IFERROR(INDEX('ST Forecast'!$E$2:$RK$36,6,M321),"")</f>
        <v>47.999071592183206</v>
      </c>
      <c r="I321" s="44" cm="1">
        <f t="array" ref="I321">IFERROR(INDEX('ST Forecast'!$E$2:$RK$36,7,M321),"")</f>
        <v>49.74560523865069</v>
      </c>
      <c r="J321" s="44">
        <f>SUM(DB[[#This Row],[Sales-FC-Picks-Collect]:[Sales-FC-Picks-HD]])</f>
        <v>144370.64845284942</v>
      </c>
      <c r="K321" s="44">
        <f t="shared" si="85"/>
        <v>31199.396534919084</v>
      </c>
      <c r="L321" s="44">
        <f t="shared" si="86"/>
        <v>113171.25191793032</v>
      </c>
      <c r="M321" s="403">
        <f>IFERROR(IF(B321=B320,M320+1,MATCH(B321,'ST Forecast'!$E$2:$RK$2,0)+1),"")</f>
        <v>363</v>
      </c>
      <c r="N321" s="44">
        <f>SUM(DB[[#This Row],[Ops-FC-Orders-Collect]:[Ops-FC-Orders-HD]])</f>
        <v>2950</v>
      </c>
      <c r="O321" s="44" cm="1">
        <f t="array" ref="O321">IFERROR(INDEX('ST Forecast'!$E$2:$RK$36,13,M321),"")</f>
        <v>650</v>
      </c>
      <c r="P321" s="44">
        <f t="shared" si="91"/>
        <v>2300</v>
      </c>
      <c r="Q321" s="44" cm="1">
        <f t="array" ref="Q321">IFERROR(INDEX('ST Forecast'!$E$2:$RK$36,14,M321),"")</f>
        <v>1200</v>
      </c>
      <c r="R321" s="44" cm="1">
        <f t="array" ref="R321">IFERROR(INDEX('ST Forecast'!$E$2:$RK$36,15,M321),"")</f>
        <v>1100</v>
      </c>
      <c r="S321" s="312">
        <f>SUM(DB[[#This Row],[Ops-FC-Picks-Collect]:[Ops-FC-Picks-HD]])</f>
        <v>142702.00281213934</v>
      </c>
      <c r="T321" s="44">
        <f t="shared" si="92"/>
        <v>30575.408604220702</v>
      </c>
      <c r="U321" s="44">
        <f t="shared" si="93"/>
        <v>112126.59420791865</v>
      </c>
      <c r="V321" s="44">
        <f t="shared" si="94"/>
        <v>58500.831760653207</v>
      </c>
      <c r="W321" s="404">
        <f t="shared" si="95"/>
        <v>53625.762447265442</v>
      </c>
      <c r="X321" s="44">
        <f>SUM(DB[[#This Row],[Capped-Orders-Collect]:[Capped-Orders-HD]])</f>
        <v>90</v>
      </c>
      <c r="Y321">
        <f>INDEX('Operations Forecast'!$A$2:$BGY$47,3,MATCH(DB!D321,'Operations Forecast'!$A$2:$BGY$2))</f>
        <v>0</v>
      </c>
      <c r="Z321">
        <f t="shared" si="96"/>
        <v>90</v>
      </c>
      <c r="AA321">
        <f>INDEX('Operations Forecast'!$A$2:$BGY$47,10,MATCH(DB!D321,'Operations Forecast'!$A$2:$BGY$2))</f>
        <v>90</v>
      </c>
      <c r="AB321">
        <f>INDEX('Operations Forecast'!$A$2:$BGY$47,21,MATCH(DB!D321,'Operations Forecast'!$A$2:$BGY$2))</f>
        <v>0</v>
      </c>
      <c r="AC321" s="312">
        <f>SUM(DB[[#This Row],[Act-Orders-Collect]:[Act-Orders-HD]])</f>
        <v>2842</v>
      </c>
      <c r="AD321" s="858">
        <f>IFERROR(INDEX('Operations Forecast_new'!$7:$7,MATCH(DB[[#This Row],[Datum]],'Operations Forecast_new'!$2:$2,0)),0)</f>
        <v>580</v>
      </c>
      <c r="AE321" s="312">
        <f t="shared" si="97"/>
        <v>2262</v>
      </c>
      <c r="AF321" s="858">
        <f>IFERROR(INDEX('Operations Forecast_new'!$13:$13,MATCH(DB[[#This Row],[Datum]],'Operations Forecast_new'!$2:$2,0)),0)</f>
        <v>1192</v>
      </c>
      <c r="AG321" s="858">
        <f>IFERROR(INDEX('Operations Forecast_new'!$19:$19,MATCH(DB[[#This Row],[Datum]],'Operations Forecast_new'!$2:$2,0)),0)</f>
        <v>1070</v>
      </c>
      <c r="AH321" s="312">
        <f t="shared" si="87"/>
        <v>131411.41199999998</v>
      </c>
      <c r="AI321" s="858">
        <f>IFERROR(INDEX('Operations Forecast_new'!$9:$9,MATCH(DB[[#This Row],[Datum]],'Operations Forecast_new'!$2:$2,0)),0)</f>
        <v>25264.799999999999</v>
      </c>
      <c r="AJ321" s="312">
        <f t="shared" si="98"/>
        <v>106146.61199999999</v>
      </c>
      <c r="AK321" s="858">
        <f>IFERROR(INDEX('Operations Forecast_new'!$15:$15,MATCH(DB[[#This Row],[Datum]],'Operations Forecast_new'!$2:$2,0)),0)</f>
        <v>55935.791999999994</v>
      </c>
      <c r="AL321" s="858">
        <f>IFERROR(INDEX('Operations Forecast_new'!$21:$21,MATCH(DB[[#This Row],[Datum]],'Operations Forecast_new'!$2:$2,0)),0)</f>
        <v>50210.82</v>
      </c>
      <c r="AM321" s="178">
        <f>IFERROR(INDEX('Operations Forecast_new'!$8:$8,MATCH(DB[[#This Row],[Datum]],'Operations Forecast_new'!$2:$2,0)),0)</f>
        <v>44</v>
      </c>
      <c r="AN321" s="859">
        <f>IFERROR(INDEX('Operations Forecast_new'!$20:$20,MATCH(DB[[#This Row],[Datum]],'Operations Forecast_new'!$2:$2,0)),0)</f>
        <v>47.4</v>
      </c>
      <c r="AO321" s="44">
        <f t="shared" si="99"/>
        <v>43.56</v>
      </c>
      <c r="AP321" s="404">
        <f t="shared" si="100"/>
        <v>46.925999999999995</v>
      </c>
      <c r="AQ321" s="44">
        <f t="shared" si="88"/>
        <v>151880.33641265429</v>
      </c>
      <c r="AR321" s="44" cm="1">
        <f t="array" ref="AR321">IFERROR(INDEX('ST Forecast'!$E$2:$RK$36,25,M321)+(INDEX('ST Forecast'!$E$2:$RK$36,29,M321)),"")</f>
        <v>72925.440000000002</v>
      </c>
      <c r="AS321" s="44" cm="1">
        <f t="array" ref="AS321">IFERROR(INDEX('ST Forecast'!$E$2:$RK$36,26,M321)+INDEX('ST Forecast'!$E$2:$RK$36,30,M321),"")</f>
        <v>63295.51090637684</v>
      </c>
      <c r="AT321" s="44" cm="1">
        <f t="array" ref="AT321">IFERROR(INDEX('ST Forecast'!$E$2:$RK$36,27,M321)+INDEX('ST Forecast'!$E$2:$RK$36,31,M321),"")</f>
        <v>6637.1684126542705</v>
      </c>
      <c r="AU321" s="44" cm="1">
        <f t="array" ref="AU321">IFERROR(INDEX('ST Forecast'!$E$2:$RK$36,28,M321),"")</f>
        <v>9022.2170936231614</v>
      </c>
      <c r="AV321" s="44" cm="1">
        <f t="array" ref="AV321">IFERROR(INDEX('ST Forecast'!$E$2:$RK$36,29,M321),"")</f>
        <v>0</v>
      </c>
      <c r="AW321" s="44">
        <f>DB[[#This Row],[Inbound FC]]-DB[[#This Row],[Inbound Act - Ultrafresh2]]</f>
        <v>151880.33641265429</v>
      </c>
      <c r="AX321" s="178" t="e">
        <f>#REF!</f>
        <v>#REF!</v>
      </c>
      <c r="AY321" s="178" t="e">
        <f>#REF!</f>
        <v>#REF!</v>
      </c>
      <c r="AZ321" s="178" t="e">
        <f>#REF!</f>
        <v>#REF!</v>
      </c>
      <c r="BA321" s="178">
        <f>MONTH(DB[[#This Row],[Datum]])</f>
        <v>11</v>
      </c>
    </row>
    <row r="322" spans="1:53" x14ac:dyDescent="0.3">
      <c r="A322" s="44">
        <f t="shared" si="89"/>
        <v>46</v>
      </c>
      <c r="B322" t="str">
        <f t="shared" si="90"/>
        <v>Wk 46</v>
      </c>
      <c r="C322" t="s">
        <v>115</v>
      </c>
      <c r="D322" s="313">
        <v>44881</v>
      </c>
      <c r="E322" s="44">
        <f>DB[[#This Row],[Sales-FC-Orders-Collect]]+DB[[#This Row],[Sales-FC-Orders-HD]]</f>
        <v>2850</v>
      </c>
      <c r="F322" s="402">
        <f>INDEX('LT Collect Forecast'!$K$1:$Q$55,MATCH(B322,'LT Collect Forecast'!$A:$A,0),MATCH(C322,'LT Collect Forecast'!$K$2:$Q$2,0))</f>
        <v>650</v>
      </c>
      <c r="G322" s="44">
        <f>INDEX('LT HD Forecast'!$K$1:$Q$55,MATCH(B322,'LT HD Forecast'!$A:$A,0),MATCH(C322,'LT HD Forecast'!$K$2:$Q$2,0))</f>
        <v>2200</v>
      </c>
      <c r="H322" s="44" cm="1">
        <f t="array" ref="H322">IFERROR(INDEX('ST Forecast'!$E$2:$RK$36,6,M322),"")</f>
        <v>47.024592825537276</v>
      </c>
      <c r="I322" s="44" cm="1">
        <f t="array" ref="I322">IFERROR(INDEX('ST Forecast'!$E$2:$RK$36,7,M322),"")</f>
        <v>50.373431777499107</v>
      </c>
      <c r="J322" s="44">
        <f>SUM(DB[[#This Row],[Sales-FC-Picks-Collect]:[Sales-FC-Picks-HD]])</f>
        <v>141387.53524709726</v>
      </c>
      <c r="K322" s="44">
        <f t="shared" ref="K322:K367" si="101">F322*H322</f>
        <v>30565.985336599231</v>
      </c>
      <c r="L322" s="44">
        <f t="shared" ref="L322:L367" si="102">G322*I322</f>
        <v>110821.54991049804</v>
      </c>
      <c r="M322" s="403">
        <f>IFERROR(IF(B322=B321,M321+1,MATCH(B322,'ST Forecast'!$E$2:$RK$2,0)+1),"")</f>
        <v>364</v>
      </c>
      <c r="N322" s="44">
        <f>SUM(DB[[#This Row],[Ops-FC-Orders-Collect]:[Ops-FC-Orders-HD]])</f>
        <v>2850</v>
      </c>
      <c r="O322" s="44" cm="1">
        <f t="array" ref="O322">IFERROR(INDEX('ST Forecast'!$E$2:$RK$36,13,M322),"")</f>
        <v>650</v>
      </c>
      <c r="P322" s="44">
        <f t="shared" si="91"/>
        <v>2200</v>
      </c>
      <c r="Q322" s="44" cm="1">
        <f t="array" ref="Q322">IFERROR(INDEX('ST Forecast'!$E$2:$RK$36,14,M322),"")</f>
        <v>1150</v>
      </c>
      <c r="R322" s="44" cm="1">
        <f t="array" ref="R322">IFERROR(INDEX('ST Forecast'!$E$2:$RK$36,15,M322),"")</f>
        <v>1050</v>
      </c>
      <c r="S322" s="312">
        <f>SUM(DB[[#This Row],[Ops-FC-Picks-Collect]:[Ops-FC-Picks-HD]])</f>
        <v>138559.78454215534</v>
      </c>
      <c r="T322" s="44">
        <f t="shared" si="92"/>
        <v>29954.665629867246</v>
      </c>
      <c r="U322" s="44">
        <f t="shared" si="93"/>
        <v>108605.11891228808</v>
      </c>
      <c r="V322" s="44">
        <f t="shared" si="94"/>
        <v>56770.857613241496</v>
      </c>
      <c r="W322" s="404">
        <f t="shared" si="95"/>
        <v>51834.261299046579</v>
      </c>
      <c r="X322" s="44">
        <f>SUM(DB[[#This Row],[Capped-Orders-Collect]:[Capped-Orders-HD]])</f>
        <v>90</v>
      </c>
      <c r="Y322">
        <f>INDEX('Operations Forecast'!$A$2:$BGY$47,3,MATCH(DB!D322,'Operations Forecast'!$A$2:$BGY$2))</f>
        <v>0</v>
      </c>
      <c r="Z322">
        <f t="shared" si="96"/>
        <v>90</v>
      </c>
      <c r="AA322">
        <f>INDEX('Operations Forecast'!$A$2:$BGY$47,10,MATCH(DB!D322,'Operations Forecast'!$A$2:$BGY$2))</f>
        <v>90</v>
      </c>
      <c r="AB322">
        <f>INDEX('Operations Forecast'!$A$2:$BGY$47,21,MATCH(DB!D322,'Operations Forecast'!$A$2:$BGY$2))</f>
        <v>0</v>
      </c>
      <c r="AC322" s="312">
        <f>SUM(DB[[#This Row],[Act-Orders-Collect]:[Act-Orders-HD]])</f>
        <v>2700</v>
      </c>
      <c r="AD322" s="858">
        <f>IFERROR(INDEX('Operations Forecast_new'!$7:$7,MATCH(DB[[#This Row],[Datum]],'Operations Forecast_new'!$2:$2,0)),0)</f>
        <v>525</v>
      </c>
      <c r="AE322" s="312">
        <f t="shared" si="97"/>
        <v>2175</v>
      </c>
      <c r="AF322" s="858">
        <f>IFERROR(INDEX('Operations Forecast_new'!$13:$13,MATCH(DB[[#This Row],[Datum]],'Operations Forecast_new'!$2:$2,0)),0)</f>
        <v>1180</v>
      </c>
      <c r="AG322" s="858">
        <f>IFERROR(INDEX('Operations Forecast_new'!$19:$19,MATCH(DB[[#This Row],[Datum]],'Operations Forecast_new'!$2:$2,0)),0)</f>
        <v>995</v>
      </c>
      <c r="AH322" s="312">
        <f t="shared" si="87"/>
        <v>129224.7</v>
      </c>
      <c r="AI322" s="858">
        <f>IFERROR(INDEX('Operations Forecast_new'!$9:$9,MATCH(DB[[#This Row],[Datum]],'Operations Forecast_new'!$2:$2,0)),0)</f>
        <v>23284.799999999999</v>
      </c>
      <c r="AJ322" s="312">
        <f t="shared" si="98"/>
        <v>105939.9</v>
      </c>
      <c r="AK322" s="858">
        <f>IFERROR(INDEX('Operations Forecast_new'!$15:$15,MATCH(DB[[#This Row],[Datum]],'Operations Forecast_new'!$2:$2,0)),0)</f>
        <v>57475.44</v>
      </c>
      <c r="AL322" s="858">
        <f>IFERROR(INDEX('Operations Forecast_new'!$21:$21,MATCH(DB[[#This Row],[Datum]],'Operations Forecast_new'!$2:$2,0)),0)</f>
        <v>48464.46</v>
      </c>
      <c r="AM322" s="178">
        <f>IFERROR(INDEX('Operations Forecast_new'!$8:$8,MATCH(DB[[#This Row],[Datum]],'Operations Forecast_new'!$2:$2,0)),0)</f>
        <v>44.8</v>
      </c>
      <c r="AN322" s="859">
        <f>IFERROR(INDEX('Operations Forecast_new'!$20:$20,MATCH(DB[[#This Row],[Datum]],'Operations Forecast_new'!$2:$2,0)),0)</f>
        <v>49.2</v>
      </c>
      <c r="AO322" s="44">
        <f t="shared" si="99"/>
        <v>44.351999999999997</v>
      </c>
      <c r="AP322" s="404">
        <f t="shared" si="100"/>
        <v>48.707999999999998</v>
      </c>
      <c r="AQ322" s="44">
        <f t="shared" si="88"/>
        <v>168619.97110995895</v>
      </c>
      <c r="AR322" s="44" cm="1">
        <f t="array" ref="AR322">IFERROR(INDEX('ST Forecast'!$E$2:$RK$36,25,M322)+(INDEX('ST Forecast'!$E$2:$RK$36,29,M322)),"")</f>
        <v>89377.5</v>
      </c>
      <c r="AS322" s="44" cm="1">
        <f t="array" ref="AS322">IFERROR(INDEX('ST Forecast'!$E$2:$RK$36,26,M322)+INDEX('ST Forecast'!$E$2:$RK$36,30,M322),"")</f>
        <v>64689.888320470462</v>
      </c>
      <c r="AT322" s="44" cm="1">
        <f t="array" ref="AT322">IFERROR(INDEX('ST Forecast'!$E$2:$RK$36,27,M322)+INDEX('ST Forecast'!$E$2:$RK$36,31,M322),"")</f>
        <v>5562.1711099589493</v>
      </c>
      <c r="AU322" s="44" cm="1">
        <f t="array" ref="AU322">IFERROR(INDEX('ST Forecast'!$E$2:$RK$36,28,M322),"")</f>
        <v>8990.4116795295395</v>
      </c>
      <c r="AV322" s="44" cm="1">
        <f t="array" ref="AV322">IFERROR(INDEX('ST Forecast'!$E$2:$RK$36,29,M322),"")</f>
        <v>0</v>
      </c>
      <c r="AW322" s="44">
        <f>DB[[#This Row],[Inbound FC]]-DB[[#This Row],[Inbound Act - Ultrafresh2]]</f>
        <v>168619.97110995895</v>
      </c>
      <c r="AX322" s="178" t="e">
        <f>#REF!</f>
        <v>#REF!</v>
      </c>
      <c r="AY322" s="178" t="e">
        <f>#REF!</f>
        <v>#REF!</v>
      </c>
      <c r="AZ322" s="178" t="e">
        <f>#REF!</f>
        <v>#REF!</v>
      </c>
      <c r="BA322" s="178">
        <f>MONTH(DB[[#This Row],[Datum]])</f>
        <v>11</v>
      </c>
    </row>
    <row r="323" spans="1:53" x14ac:dyDescent="0.3">
      <c r="A323" s="44">
        <f t="shared" si="89"/>
        <v>46</v>
      </c>
      <c r="B323" t="str">
        <f t="shared" si="90"/>
        <v>Wk 46</v>
      </c>
      <c r="C323" t="s">
        <v>116</v>
      </c>
      <c r="D323" s="313">
        <v>44882</v>
      </c>
      <c r="E323" s="44">
        <f>DB[[#This Row],[Sales-FC-Orders-Collect]]+DB[[#This Row],[Sales-FC-Orders-HD]]</f>
        <v>2700</v>
      </c>
      <c r="F323" s="402" cm="1">
        <f t="array" ref="F323">INDEX('LT Collect Forecast'!$K$1:$Q$55,MATCH(B323,'LT Collect Forecast'!$A:$A,0)+1,MATCH(C323,'LT Collect Forecast'!$K$2:$Q$2,0))</f>
        <v>600</v>
      </c>
      <c r="G323" s="44" cm="1">
        <f t="array" ref="G323">INDEX('LT HD Forecast'!$K$1:$Q$55,MATCH(B323,'LT HD Forecast'!$A:$A,0)+1,MATCH(C323,'LT HD Forecast'!$K$2:$Q$2,0))</f>
        <v>2100</v>
      </c>
      <c r="H323" s="44" cm="1">
        <f t="array" ref="H323">IFERROR(INDEX('ST Forecast'!$E$2:$RK$36,6,M323),"")</f>
        <v>45.779065237513166</v>
      </c>
      <c r="I323" s="44" cm="1">
        <f t="array" ref="I323">IFERROR(INDEX('ST Forecast'!$E$2:$RK$36,7,M323),"")</f>
        <v>50.61913610160363</v>
      </c>
      <c r="J323" s="44">
        <f>SUM(DB[[#This Row],[Sales-FC-Picks-Collect]:[Sales-FC-Picks-HD]])</f>
        <v>133767.62495587554</v>
      </c>
      <c r="K323" s="44">
        <f t="shared" si="101"/>
        <v>27467.439142507901</v>
      </c>
      <c r="L323" s="44">
        <f t="shared" si="102"/>
        <v>106300.18581336763</v>
      </c>
      <c r="M323" s="403">
        <f>IFERROR(IF(B323=B322,M322+1,MATCH(B323,'ST Forecast'!$E$2:$RK$2,0)+1),"")</f>
        <v>365</v>
      </c>
      <c r="N323" s="44">
        <f>SUM(DB[[#This Row],[Ops-FC-Orders-Collect]:[Ops-FC-Orders-HD]])</f>
        <v>2700</v>
      </c>
      <c r="O323" s="44" cm="1">
        <f t="array" ref="O323">IFERROR(INDEX('ST Forecast'!$E$2:$RK$36,13,M323),"")</f>
        <v>600</v>
      </c>
      <c r="P323" s="44">
        <f t="shared" si="91"/>
        <v>2100</v>
      </c>
      <c r="Q323" s="44" cm="1">
        <f t="array" ref="Q323">IFERROR(INDEX('ST Forecast'!$E$2:$RK$36,14,M323),"")</f>
        <v>1100</v>
      </c>
      <c r="R323" s="44" cm="1">
        <f t="array" ref="R323">IFERROR(INDEX('ST Forecast'!$E$2:$RK$36,15,M323),"")</f>
        <v>1000</v>
      </c>
      <c r="S323" s="312">
        <f>SUM(DB[[#This Row],[Ops-FC-Picks-Collect]:[Ops-FC-Picks-HD]])</f>
        <v>131092.27245675802</v>
      </c>
      <c r="T323" s="44">
        <f t="shared" si="92"/>
        <v>26918.090359657741</v>
      </c>
      <c r="U323" s="44">
        <f t="shared" si="93"/>
        <v>104174.18209710027</v>
      </c>
      <c r="V323" s="44">
        <f t="shared" si="94"/>
        <v>54567.42871752871</v>
      </c>
      <c r="W323" s="404">
        <f t="shared" si="95"/>
        <v>49606.753379571557</v>
      </c>
      <c r="X323" s="44">
        <f>SUM(DB[[#This Row],[Capped-Orders-Collect]:[Capped-Orders-HD]])</f>
        <v>90</v>
      </c>
      <c r="Y323">
        <f>INDEX('Operations Forecast'!$A$2:$BGY$47,3,MATCH(DB!D323,'Operations Forecast'!$A$2:$BGY$2))</f>
        <v>0</v>
      </c>
      <c r="Z323">
        <f t="shared" si="96"/>
        <v>90</v>
      </c>
      <c r="AA323">
        <f>INDEX('Operations Forecast'!$A$2:$BGY$47,10,MATCH(DB!D323,'Operations Forecast'!$A$2:$BGY$2))</f>
        <v>90</v>
      </c>
      <c r="AB323">
        <f>INDEX('Operations Forecast'!$A$2:$BGY$47,21,MATCH(DB!D323,'Operations Forecast'!$A$2:$BGY$2))</f>
        <v>0</v>
      </c>
      <c r="AC323" s="312">
        <f>SUM(DB[[#This Row],[Act-Orders-Collect]:[Act-Orders-HD]])</f>
        <v>2384</v>
      </c>
      <c r="AD323" s="858">
        <f>IFERROR(INDEX('Operations Forecast_new'!$7:$7,MATCH(DB[[#This Row],[Datum]],'Operations Forecast_new'!$2:$2,0)),0)</f>
        <v>513</v>
      </c>
      <c r="AE323" s="312">
        <f t="shared" si="97"/>
        <v>1871</v>
      </c>
      <c r="AF323" s="858">
        <f>IFERROR(INDEX('Operations Forecast_new'!$13:$13,MATCH(DB[[#This Row],[Datum]],'Operations Forecast_new'!$2:$2,0)),0)</f>
        <v>876</v>
      </c>
      <c r="AG323" s="858">
        <f>IFERROR(INDEX('Operations Forecast_new'!$19:$19,MATCH(DB[[#This Row],[Datum]],'Operations Forecast_new'!$2:$2,0)),0)</f>
        <v>995</v>
      </c>
      <c r="AH323" s="312">
        <f t="shared" ref="AH323:AH367" si="103">AI323+AJ323</f>
        <v>111629.628</v>
      </c>
      <c r="AI323" s="858">
        <f>IFERROR(INDEX('Operations Forecast_new'!$9:$9,MATCH(DB[[#This Row],[Datum]],'Operations Forecast_new'!$2:$2,0)),0)</f>
        <v>22904.936999999998</v>
      </c>
      <c r="AJ323" s="312">
        <f t="shared" si="98"/>
        <v>88724.690999999992</v>
      </c>
      <c r="AK323" s="858">
        <f>IFERROR(INDEX('Operations Forecast_new'!$15:$15,MATCH(DB[[#This Row],[Datum]],'Operations Forecast_new'!$2:$2,0)),0)</f>
        <v>41540.796000000002</v>
      </c>
      <c r="AL323" s="858">
        <f>IFERROR(INDEX('Operations Forecast_new'!$21:$21,MATCH(DB[[#This Row],[Datum]],'Operations Forecast_new'!$2:$2,0)),0)</f>
        <v>47183.894999999997</v>
      </c>
      <c r="AM323" s="178">
        <f>IFERROR(INDEX('Operations Forecast_new'!$8:$8,MATCH(DB[[#This Row],[Datum]],'Operations Forecast_new'!$2:$2,0)),0)</f>
        <v>45.1</v>
      </c>
      <c r="AN323" s="859">
        <f>IFERROR(INDEX('Operations Forecast_new'!$20:$20,MATCH(DB[[#This Row],[Datum]],'Operations Forecast_new'!$2:$2,0)),0)</f>
        <v>47.9</v>
      </c>
      <c r="AO323" s="44">
        <f t="shared" si="99"/>
        <v>44.648999999999994</v>
      </c>
      <c r="AP323" s="404">
        <f t="shared" si="100"/>
        <v>47.420999999999992</v>
      </c>
      <c r="AQ323" s="44">
        <f t="shared" ref="AQ323:AQ367" si="104">SUM(AR323:AU323)</f>
        <v>180683.12212613586</v>
      </c>
      <c r="AR323" s="44" cm="1">
        <f t="array" ref="AR323">IFERROR(INDEX('ST Forecast'!$E$2:$RK$36,25,M323)+(INDEX('ST Forecast'!$E$2:$RK$36,29,M323)),"")</f>
        <v>94153.157999999996</v>
      </c>
      <c r="AS323" s="44" cm="1">
        <f t="array" ref="AS323">IFERROR(INDEX('ST Forecast'!$E$2:$RK$36,26,M323)+INDEX('ST Forecast'!$E$2:$RK$36,30,M323),"")</f>
        <v>71487.923999999999</v>
      </c>
      <c r="AT323" s="44" cm="1">
        <f t="array" ref="AT323">IFERROR(INDEX('ST Forecast'!$E$2:$RK$36,27,M323)+INDEX('ST Forecast'!$E$2:$RK$36,31,M323),"")</f>
        <v>5831.5061261358533</v>
      </c>
      <c r="AU323" s="44" cm="1">
        <f t="array" ref="AU323">IFERROR(INDEX('ST Forecast'!$E$2:$RK$36,28,M323),"")</f>
        <v>9210.5340000000015</v>
      </c>
      <c r="AV323" s="44" cm="1">
        <f t="array" ref="AV323">IFERROR(INDEX('ST Forecast'!$E$2:$RK$36,29,M323),"")</f>
        <v>13684</v>
      </c>
      <c r="AW323" s="44">
        <f>DB[[#This Row],[Inbound FC]]-DB[[#This Row],[Inbound Act - Ultrafresh2]]</f>
        <v>166999.12212613586</v>
      </c>
      <c r="AX323" s="178" t="e">
        <f>#REF!</f>
        <v>#REF!</v>
      </c>
      <c r="AY323" s="178" t="e">
        <f>#REF!</f>
        <v>#REF!</v>
      </c>
      <c r="AZ323" s="178" t="e">
        <f>#REF!</f>
        <v>#REF!</v>
      </c>
      <c r="BA323" s="178">
        <f>MONTH(DB[[#This Row],[Datum]])</f>
        <v>11</v>
      </c>
    </row>
    <row r="324" spans="1:53" x14ac:dyDescent="0.3">
      <c r="A324" s="44">
        <f t="shared" si="89"/>
        <v>46</v>
      </c>
      <c r="B324" t="str">
        <f t="shared" si="90"/>
        <v>Wk 46</v>
      </c>
      <c r="C324" t="s">
        <v>117</v>
      </c>
      <c r="D324" s="313">
        <v>44883</v>
      </c>
      <c r="E324" s="44">
        <f>DB[[#This Row],[Sales-FC-Orders-Collect]]+DB[[#This Row],[Sales-FC-Orders-HD]]</f>
        <v>3150</v>
      </c>
      <c r="F324" s="402" cm="1">
        <f t="array" ref="F324">INDEX('LT Collect Forecast'!$K$1:$Q$55,MATCH(B324,'LT Collect Forecast'!$A:$A,0)+1,MATCH(C324,'LT Collect Forecast'!$K$2:$Q$2,0))</f>
        <v>950</v>
      </c>
      <c r="G324" s="44" cm="1">
        <f t="array" ref="G324">INDEX('LT HD Forecast'!$K$1:$Q$55,MATCH(B324,'LT HD Forecast'!$A:$A,0)+1,MATCH(C324,'LT HD Forecast'!$K$2:$Q$2,0))</f>
        <v>2200</v>
      </c>
      <c r="H324" s="44" cm="1">
        <f t="array" ref="H324">IFERROR(INDEX('ST Forecast'!$E$2:$RK$36,6,M324),"")</f>
        <v>51.666815650041386</v>
      </c>
      <c r="I324" s="44" cm="1">
        <f t="array" ref="I324">IFERROR(INDEX('ST Forecast'!$E$2:$RK$36,7,M324),"")</f>
        <v>48.731326039766515</v>
      </c>
      <c r="J324" s="44">
        <f>SUM(DB[[#This Row],[Sales-FC-Picks-Collect]:[Sales-FC-Picks-HD]])</f>
        <v>156292.39215502565</v>
      </c>
      <c r="K324" s="44">
        <f t="shared" si="101"/>
        <v>49083.474867539313</v>
      </c>
      <c r="L324" s="44">
        <f t="shared" si="102"/>
        <v>107208.91728748633</v>
      </c>
      <c r="M324" s="403">
        <f>IFERROR(IF(B324=B323,M323+1,MATCH(B324,'ST Forecast'!$E$2:$RK$2,0)+1),"")</f>
        <v>366</v>
      </c>
      <c r="N324" s="44">
        <f>SUM(DB[[#This Row],[Ops-FC-Orders-Collect]:[Ops-FC-Orders-HD]])</f>
        <v>3200</v>
      </c>
      <c r="O324" s="44" cm="1">
        <f t="array" ref="O324">IFERROR(INDEX('ST Forecast'!$E$2:$RK$36,13,M324),"")</f>
        <v>1000</v>
      </c>
      <c r="P324" s="44">
        <f t="shared" si="91"/>
        <v>2200</v>
      </c>
      <c r="Q324" s="44" cm="1">
        <f t="array" ref="Q324">IFERROR(INDEX('ST Forecast'!$E$2:$RK$36,14,M324),"")</f>
        <v>1150</v>
      </c>
      <c r="R324" s="44" cm="1">
        <f t="array" ref="R324">IFERROR(INDEX('ST Forecast'!$E$2:$RK$36,15,M324),"")</f>
        <v>1050</v>
      </c>
      <c r="S324" s="312">
        <f>SUM(DB[[#This Row],[Ops-FC-Picks-Collect]:[Ops-FC-Picks-HD]])</f>
        <v>155698.21827877715</v>
      </c>
      <c r="T324" s="44">
        <f t="shared" si="92"/>
        <v>50633.479337040553</v>
      </c>
      <c r="U324" s="44">
        <f t="shared" si="93"/>
        <v>105064.73894173661</v>
      </c>
      <c r="V324" s="44">
        <f t="shared" si="94"/>
        <v>54920.204446816861</v>
      </c>
      <c r="W324" s="404">
        <f t="shared" si="95"/>
        <v>50144.534494919746</v>
      </c>
      <c r="X324" s="44">
        <f>SUM(DB[[#This Row],[Capped-Orders-Collect]:[Capped-Orders-HD]])</f>
        <v>90</v>
      </c>
      <c r="Y324">
        <f>INDEX('Operations Forecast'!$A$2:$BGY$47,3,MATCH(DB!D324,'Operations Forecast'!$A$2:$BGY$2))</f>
        <v>0</v>
      </c>
      <c r="Z324">
        <f t="shared" si="96"/>
        <v>90</v>
      </c>
      <c r="AA324">
        <f>INDEX('Operations Forecast'!$A$2:$BGY$47,10,MATCH(DB!D324,'Operations Forecast'!$A$2:$BGY$2))</f>
        <v>90</v>
      </c>
      <c r="AB324">
        <f>INDEX('Operations Forecast'!$A$2:$BGY$47,21,MATCH(DB!D324,'Operations Forecast'!$A$2:$BGY$2))</f>
        <v>0</v>
      </c>
      <c r="AC324" s="312">
        <f>SUM(DB[[#This Row],[Act-Orders-Collect]:[Act-Orders-HD]])</f>
        <v>2968</v>
      </c>
      <c r="AD324" s="858">
        <f>IFERROR(INDEX('Operations Forecast_new'!$7:$7,MATCH(DB[[#This Row],[Datum]],'Operations Forecast_new'!$2:$2,0)),0)</f>
        <v>923</v>
      </c>
      <c r="AE324" s="312">
        <f t="shared" si="97"/>
        <v>2045</v>
      </c>
      <c r="AF324" s="858">
        <f>IFERROR(INDEX('Operations Forecast_new'!$13:$13,MATCH(DB[[#This Row],[Datum]],'Operations Forecast_new'!$2:$2,0)),0)</f>
        <v>1085</v>
      </c>
      <c r="AG324" s="858">
        <f>IFERROR(INDEX('Operations Forecast_new'!$19:$19,MATCH(DB[[#This Row],[Datum]],'Operations Forecast_new'!$2:$2,0)),0)</f>
        <v>960</v>
      </c>
      <c r="AH324" s="312">
        <f t="shared" si="103"/>
        <v>148854.61799999999</v>
      </c>
      <c r="AI324" s="858">
        <f>IFERROR(INDEX('Operations Forecast_new'!$9:$9,MATCH(DB[[#This Row],[Datum]],'Operations Forecast_new'!$2:$2,0)),0)</f>
        <v>47424.662999999993</v>
      </c>
      <c r="AJ324" s="312">
        <f t="shared" si="98"/>
        <v>101429.955</v>
      </c>
      <c r="AK324" s="858">
        <f>IFERROR(INDEX('Operations Forecast_new'!$15:$15,MATCH(DB[[#This Row],[Datum]],'Operations Forecast_new'!$2:$2,0)),0)</f>
        <v>53814.915000000001</v>
      </c>
      <c r="AL324" s="858">
        <f>IFERROR(INDEX('Operations Forecast_new'!$21:$21,MATCH(DB[[#This Row],[Datum]],'Operations Forecast_new'!$2:$2,0)),0)</f>
        <v>47615.040000000001</v>
      </c>
      <c r="AM324" s="178">
        <f>IFERROR(INDEX('Operations Forecast_new'!$8:$8,MATCH(DB[[#This Row],[Datum]],'Operations Forecast_new'!$2:$2,0)),0)</f>
        <v>51.9</v>
      </c>
      <c r="AN324" s="859">
        <f>IFERROR(INDEX('Operations Forecast_new'!$20:$20,MATCH(DB[[#This Row],[Datum]],'Operations Forecast_new'!$2:$2,0)),0)</f>
        <v>50.1</v>
      </c>
      <c r="AO324" s="44">
        <f t="shared" si="99"/>
        <v>51.380999999999993</v>
      </c>
      <c r="AP324" s="404">
        <f t="shared" si="100"/>
        <v>49.599000000000004</v>
      </c>
      <c r="AQ324" s="44">
        <f t="shared" si="104"/>
        <v>144321.8466757272</v>
      </c>
      <c r="AR324" s="44" cm="1">
        <f t="array" ref="AR324">IFERROR(INDEX('ST Forecast'!$E$2:$RK$36,25,M324)+(INDEX('ST Forecast'!$E$2:$RK$36,29,M324)),"")</f>
        <v>64551.784000000007</v>
      </c>
      <c r="AS324" s="44" cm="1">
        <f t="array" ref="AS324">IFERROR(INDEX('ST Forecast'!$E$2:$RK$36,26,M324)+INDEX('ST Forecast'!$E$2:$RK$36,30,M324),"")</f>
        <v>64629.08400000001</v>
      </c>
      <c r="AT324" s="44" cm="1">
        <f t="array" ref="AT324">IFERROR(INDEX('ST Forecast'!$E$2:$RK$36,27,M324)+INDEX('ST Forecast'!$E$2:$RK$36,31,M324),"")</f>
        <v>5869.8626757271759</v>
      </c>
      <c r="AU324" s="44" cm="1">
        <f t="array" ref="AU324">IFERROR(INDEX('ST Forecast'!$E$2:$RK$36,28,M324),"")</f>
        <v>9271.116</v>
      </c>
      <c r="AV324" s="44" cm="1">
        <f t="array" ref="AV324">IFERROR(INDEX('ST Forecast'!$E$2:$RK$36,29,M324),"")</f>
        <v>0</v>
      </c>
      <c r="AW324" s="44">
        <f>DB[[#This Row],[Inbound FC]]-DB[[#This Row],[Inbound Act - Ultrafresh2]]</f>
        <v>144321.8466757272</v>
      </c>
      <c r="AX324" s="178" t="e">
        <f>#REF!</f>
        <v>#REF!</v>
      </c>
      <c r="AY324" s="178" t="e">
        <f>#REF!</f>
        <v>#REF!</v>
      </c>
      <c r="AZ324" s="178" t="e">
        <f>#REF!</f>
        <v>#REF!</v>
      </c>
      <c r="BA324" s="178">
        <f>MONTH(DB[[#This Row],[Datum]])</f>
        <v>11</v>
      </c>
    </row>
    <row r="325" spans="1:53" x14ac:dyDescent="0.3">
      <c r="A325" s="44">
        <f t="shared" si="89"/>
        <v>46</v>
      </c>
      <c r="B325" t="str">
        <f t="shared" si="90"/>
        <v>Wk 46</v>
      </c>
      <c r="C325" t="s">
        <v>118</v>
      </c>
      <c r="D325" s="313">
        <v>44884</v>
      </c>
      <c r="E325" s="44">
        <f>DB[[#This Row],[Sales-FC-Orders-Collect]]+DB[[#This Row],[Sales-FC-Orders-HD]]</f>
        <v>2950</v>
      </c>
      <c r="F325" s="402" cm="1">
        <f t="array" ref="F325">INDEX('LT Collect Forecast'!$K$1:$Q$55,MATCH(B325,'LT Collect Forecast'!$A:$A,0)+1,MATCH(C325,'LT Collect Forecast'!$K$2:$Q$2,0))</f>
        <v>950</v>
      </c>
      <c r="G325" s="44" cm="1">
        <f t="array" ref="G325">INDEX('LT HD Forecast'!$K$1:$Q$55,MATCH(B325,'LT HD Forecast'!$A:$A,0)+1,MATCH(C325,'LT HD Forecast'!$K$2:$Q$2,0))</f>
        <v>2000</v>
      </c>
      <c r="H325" s="44" cm="1">
        <f t="array" ref="H325">IFERROR(INDEX('ST Forecast'!$E$2:$RK$36,6,M325),"")</f>
        <v>51.69714438658459</v>
      </c>
      <c r="I325" s="44" cm="1">
        <f t="array" ref="I325">IFERROR(INDEX('ST Forecast'!$E$2:$RK$36,7,M325),"")</f>
        <v>48.175131722890818</v>
      </c>
      <c r="J325" s="44">
        <f>SUM(DB[[#This Row],[Sales-FC-Picks-Collect]:[Sales-FC-Picks-HD]])</f>
        <v>145462.55061303699</v>
      </c>
      <c r="K325" s="44">
        <f t="shared" si="101"/>
        <v>49112.287167255359</v>
      </c>
      <c r="L325" s="44">
        <f t="shared" si="102"/>
        <v>96350.263445781631</v>
      </c>
      <c r="M325" s="403">
        <f>IFERROR(IF(B325=B324,M324+1,MATCH(B325,'ST Forecast'!$E$2:$RK$2,0)+1),"")</f>
        <v>367</v>
      </c>
      <c r="N325" s="44">
        <f>SUM(DB[[#This Row],[Ops-FC-Orders-Collect]:[Ops-FC-Orders-HD]])</f>
        <v>2900</v>
      </c>
      <c r="O325" s="44" cm="1">
        <f t="array" ref="O325">IFERROR(INDEX('ST Forecast'!$E$2:$RK$36,13,M325),"")</f>
        <v>900</v>
      </c>
      <c r="P325" s="44">
        <f t="shared" si="91"/>
        <v>2000</v>
      </c>
      <c r="Q325" s="44" cm="1">
        <f t="array" ref="Q325">IFERROR(INDEX('ST Forecast'!$E$2:$RK$36,14,M325),"")</f>
        <v>1150</v>
      </c>
      <c r="R325" s="44" cm="1">
        <f t="array" ref="R325">IFERROR(INDEX('ST Forecast'!$E$2:$RK$36,15,M325),"")</f>
        <v>850</v>
      </c>
      <c r="S325" s="312">
        <f>SUM(DB[[#This Row],[Ops-FC-Picks-Collect]:[Ops-FC-Picks-HD]])</f>
        <v>140020.1395258336</v>
      </c>
      <c r="T325" s="44">
        <f t="shared" si="92"/>
        <v>45596.88134896761</v>
      </c>
      <c r="U325" s="44">
        <f t="shared" si="93"/>
        <v>94423.258176866002</v>
      </c>
      <c r="V325" s="44">
        <f t="shared" si="94"/>
        <v>54293.373451697953</v>
      </c>
      <c r="W325" s="404">
        <f t="shared" si="95"/>
        <v>40129.884725168049</v>
      </c>
      <c r="X325" s="44">
        <f>SUM(DB[[#This Row],[Capped-Orders-Collect]:[Capped-Orders-HD]])</f>
        <v>90</v>
      </c>
      <c r="Y325">
        <f>INDEX('Operations Forecast'!$A$2:$BGY$47,3,MATCH(DB!D325,'Operations Forecast'!$A$2:$BGY$2))</f>
        <v>0</v>
      </c>
      <c r="Z325">
        <f t="shared" si="96"/>
        <v>90</v>
      </c>
      <c r="AA325">
        <f>INDEX('Operations Forecast'!$A$2:$BGY$47,10,MATCH(DB!D325,'Operations Forecast'!$A$2:$BGY$2))</f>
        <v>90</v>
      </c>
      <c r="AB325">
        <f>INDEX('Operations Forecast'!$A$2:$BGY$47,21,MATCH(DB!D325,'Operations Forecast'!$A$2:$BGY$2))</f>
        <v>0</v>
      </c>
      <c r="AC325" s="312">
        <f>SUM(DB[[#This Row],[Act-Orders-Collect]:[Act-Orders-HD]])</f>
        <v>2846</v>
      </c>
      <c r="AD325" s="858">
        <f>IFERROR(INDEX('Operations Forecast_new'!$7:$7,MATCH(DB[[#This Row],[Datum]],'Operations Forecast_new'!$2:$2,0)),0)</f>
        <v>993</v>
      </c>
      <c r="AE325" s="312">
        <f t="shared" si="97"/>
        <v>1853</v>
      </c>
      <c r="AF325" s="858">
        <f>IFERROR(INDEX('Operations Forecast_new'!$13:$13,MATCH(DB[[#This Row],[Datum]],'Operations Forecast_new'!$2:$2,0)),0)</f>
        <v>1089</v>
      </c>
      <c r="AG325" s="858">
        <f>IFERROR(INDEX('Operations Forecast_new'!$19:$19,MATCH(DB[[#This Row],[Datum]],'Operations Forecast_new'!$2:$2,0)),0)</f>
        <v>764</v>
      </c>
      <c r="AH325" s="312">
        <f t="shared" si="103"/>
        <v>142410.41099999999</v>
      </c>
      <c r="AI325" s="858">
        <f>IFERROR(INDEX('Operations Forecast_new'!$9:$9,MATCH(DB[[#This Row],[Datum]],'Operations Forecast_new'!$2:$2,0)),0)</f>
        <v>50136.57</v>
      </c>
      <c r="AJ325" s="312">
        <f t="shared" si="98"/>
        <v>92273.840999999986</v>
      </c>
      <c r="AK325" s="858">
        <f>IFERROR(INDEX('Operations Forecast_new'!$15:$15,MATCH(DB[[#This Row],[Datum]],'Operations Forecast_new'!$2:$2,0)),0)</f>
        <v>54228.932999999997</v>
      </c>
      <c r="AL325" s="858">
        <f>IFERROR(INDEX('Operations Forecast_new'!$21:$21,MATCH(DB[[#This Row],[Datum]],'Operations Forecast_new'!$2:$2,0)),0)</f>
        <v>38044.907999999996</v>
      </c>
      <c r="AM325" s="178">
        <f>IFERROR(INDEX('Operations Forecast_new'!$8:$8,MATCH(DB[[#This Row],[Datum]],'Operations Forecast_new'!$2:$2,0)),0)</f>
        <v>51</v>
      </c>
      <c r="AN325" s="859">
        <f>IFERROR(INDEX('Operations Forecast_new'!$20:$20,MATCH(DB[[#This Row],[Datum]],'Operations Forecast_new'!$2:$2,0)),0)</f>
        <v>50.3</v>
      </c>
      <c r="AO325" s="44">
        <f t="shared" si="99"/>
        <v>50.49</v>
      </c>
      <c r="AP325" s="404">
        <f t="shared" si="100"/>
        <v>49.79699999999999</v>
      </c>
      <c r="AQ325" s="44">
        <f t="shared" si="104"/>
        <v>145242.00000000006</v>
      </c>
      <c r="AR325" s="44" cm="1">
        <f t="array" ref="AR325">IFERROR(INDEX('ST Forecast'!$E$2:$RK$36,25,M325)+(INDEX('ST Forecast'!$E$2:$RK$36,29,M325)),"")</f>
        <v>73651.118259619223</v>
      </c>
      <c r="AS325" s="44" cm="1">
        <f t="array" ref="AS325">IFERROR(INDEX('ST Forecast'!$E$2:$RK$36,26,M325)+INDEX('ST Forecast'!$E$2:$RK$36,30,M325),"")</f>
        <v>59191.046515062349</v>
      </c>
      <c r="AT325" s="44" cm="1">
        <f t="array" ref="AT325">IFERROR(INDEX('ST Forecast'!$E$2:$RK$36,27,M325)+INDEX('ST Forecast'!$E$2:$RK$36,31,M325),"")</f>
        <v>5232.0092253184985</v>
      </c>
      <c r="AU325" s="44" cm="1">
        <f t="array" ref="AU325">IFERROR(INDEX('ST Forecast'!$E$2:$RK$36,28,M325),"")</f>
        <v>7167.826</v>
      </c>
      <c r="AV325" s="44" cm="1">
        <f t="array" ref="AV325">IFERROR(INDEX('ST Forecast'!$E$2:$RK$36,29,M325),"")</f>
        <v>0</v>
      </c>
      <c r="AW325" s="44">
        <f>DB[[#This Row],[Inbound FC]]-DB[[#This Row],[Inbound Act - Ultrafresh2]]</f>
        <v>145242.00000000006</v>
      </c>
      <c r="AX325" s="178" t="e">
        <f>#REF!</f>
        <v>#REF!</v>
      </c>
      <c r="AY325" s="178" t="e">
        <f>#REF!</f>
        <v>#REF!</v>
      </c>
      <c r="AZ325" s="178" t="e">
        <f>#REF!</f>
        <v>#REF!</v>
      </c>
      <c r="BA325" s="178">
        <f>MONTH(DB[[#This Row],[Datum]])</f>
        <v>11</v>
      </c>
    </row>
    <row r="326" spans="1:53" x14ac:dyDescent="0.3">
      <c r="A326" s="44">
        <f t="shared" si="89"/>
        <v>46</v>
      </c>
      <c r="B326" t="str">
        <f t="shared" si="90"/>
        <v>Wk 46</v>
      </c>
      <c r="C326" t="s">
        <v>119</v>
      </c>
      <c r="D326" s="313">
        <v>44885</v>
      </c>
      <c r="E326" s="44">
        <f>DB[[#This Row],[Sales-FC-Orders-Collect]]+DB[[#This Row],[Sales-FC-Orders-HD]]</f>
        <v>0</v>
      </c>
      <c r="F326" s="402" cm="1">
        <f t="array" ref="F326">INDEX('LT Collect Forecast'!$K$1:$Q$55,MATCH(B326,'LT Collect Forecast'!$A:$A,0)+1,MATCH(C326,'LT Collect Forecast'!$K$2:$Q$2,0))</f>
        <v>0</v>
      </c>
      <c r="G326" s="44" cm="1">
        <f t="array" ref="G326">INDEX('LT HD Forecast'!$K$1:$Q$55,MATCH(B326,'LT HD Forecast'!$A:$A,0)+1,MATCH(C326,'LT HD Forecast'!$K$2:$Q$2,0))</f>
        <v>0</v>
      </c>
      <c r="H326" s="44" cm="1">
        <f t="array" ref="H326">IFERROR(INDEX('ST Forecast'!$E$2:$RK$36,6,M326),"")</f>
        <v>0</v>
      </c>
      <c r="I326" s="44" cm="1">
        <f t="array" ref="I326">IFERROR(INDEX('ST Forecast'!$E$2:$RK$36,7,M326),"")</f>
        <v>0</v>
      </c>
      <c r="J326" s="44">
        <f>SUM(DB[[#This Row],[Sales-FC-Picks-Collect]:[Sales-FC-Picks-HD]])</f>
        <v>0</v>
      </c>
      <c r="K326" s="44">
        <f t="shared" si="101"/>
        <v>0</v>
      </c>
      <c r="L326" s="44">
        <f t="shared" si="102"/>
        <v>0</v>
      </c>
      <c r="M326" s="403">
        <f>IFERROR(IF(B326=B325,M325+1,MATCH(B326,'ST Forecast'!$E$2:$RK$2,0)+1),"")</f>
        <v>368</v>
      </c>
      <c r="N326" s="44">
        <f>SUM(DB[[#This Row],[Ops-FC-Orders-Collect]:[Ops-FC-Orders-HD]])</f>
        <v>0</v>
      </c>
      <c r="O326" s="44" cm="1">
        <f t="array" ref="O326">IFERROR(INDEX('ST Forecast'!$E$2:$RK$36,13,M326),"")</f>
        <v>0</v>
      </c>
      <c r="P326" s="44">
        <f t="shared" si="91"/>
        <v>0</v>
      </c>
      <c r="Q326" s="44" cm="1">
        <f t="array" ref="Q326">IFERROR(INDEX('ST Forecast'!$E$2:$RK$36,14,M326),"")</f>
        <v>0</v>
      </c>
      <c r="R326" s="44" cm="1">
        <f t="array" ref="R326">IFERROR(INDEX('ST Forecast'!$E$2:$RK$36,15,M326),"")</f>
        <v>0</v>
      </c>
      <c r="S326" s="312">
        <f>SUM(DB[[#This Row],[Ops-FC-Picks-Collect]:[Ops-FC-Picks-HD]])</f>
        <v>0</v>
      </c>
      <c r="T326" s="44">
        <f t="shared" si="92"/>
        <v>0</v>
      </c>
      <c r="U326" s="44">
        <f t="shared" si="93"/>
        <v>0</v>
      </c>
      <c r="V326" s="44">
        <f t="shared" si="94"/>
        <v>0</v>
      </c>
      <c r="W326" s="404">
        <f t="shared" si="95"/>
        <v>0</v>
      </c>
      <c r="X326" s="44">
        <f>SUM(DB[[#This Row],[Capped-Orders-Collect]:[Capped-Orders-HD]])</f>
        <v>90</v>
      </c>
      <c r="Y326">
        <f>INDEX('Operations Forecast'!$A$2:$BGY$47,3,MATCH(DB!D326,'Operations Forecast'!$A$2:$BGY$2))</f>
        <v>0</v>
      </c>
      <c r="Z326">
        <f t="shared" si="96"/>
        <v>90</v>
      </c>
      <c r="AA326">
        <f>INDEX('Operations Forecast'!$A$2:$BGY$47,10,MATCH(DB!D326,'Operations Forecast'!$A$2:$BGY$2))</f>
        <v>90</v>
      </c>
      <c r="AB326">
        <f>INDEX('Operations Forecast'!$A$2:$BGY$47,21,MATCH(DB!D326,'Operations Forecast'!$A$2:$BGY$2))</f>
        <v>0</v>
      </c>
      <c r="AC326" s="312">
        <f>SUM(DB[[#This Row],[Act-Orders-Collect]:[Act-Orders-HD]])</f>
        <v>0</v>
      </c>
      <c r="AD326" s="858">
        <f>IFERROR(INDEX('Operations Forecast_new'!$7:$7,MATCH(DB[[#This Row],[Datum]],'Operations Forecast_new'!$2:$2,0)),0)</f>
        <v>0</v>
      </c>
      <c r="AE326" s="312">
        <f t="shared" si="97"/>
        <v>0</v>
      </c>
      <c r="AF326" s="858">
        <f>IFERROR(INDEX('Operations Forecast_new'!$13:$13,MATCH(DB[[#This Row],[Datum]],'Operations Forecast_new'!$2:$2,0)),0)</f>
        <v>0</v>
      </c>
      <c r="AG326" s="858">
        <f>IFERROR(INDEX('Operations Forecast_new'!$19:$19,MATCH(DB[[#This Row],[Datum]],'Operations Forecast_new'!$2:$2,0)),0)</f>
        <v>0</v>
      </c>
      <c r="AH326" s="312">
        <f t="shared" si="103"/>
        <v>0</v>
      </c>
      <c r="AI326" s="858">
        <f>IFERROR(INDEX('Operations Forecast_new'!$9:$9,MATCH(DB[[#This Row],[Datum]],'Operations Forecast_new'!$2:$2,0)),0)</f>
        <v>0</v>
      </c>
      <c r="AJ326" s="312">
        <f t="shared" si="98"/>
        <v>0</v>
      </c>
      <c r="AK326" s="858">
        <f>IFERROR(INDEX('Operations Forecast_new'!$15:$15,MATCH(DB[[#This Row],[Datum]],'Operations Forecast_new'!$2:$2,0)),0)</f>
        <v>0</v>
      </c>
      <c r="AL326" s="858">
        <f>IFERROR(INDEX('Operations Forecast_new'!$21:$21,MATCH(DB[[#This Row],[Datum]],'Operations Forecast_new'!$2:$2,0)),0)</f>
        <v>0</v>
      </c>
      <c r="AM326" s="178">
        <f>IFERROR(INDEX('Operations Forecast_new'!$8:$8,MATCH(DB[[#This Row],[Datum]],'Operations Forecast_new'!$2:$2,0)),0)</f>
        <v>0</v>
      </c>
      <c r="AN326" s="859">
        <f>IFERROR(INDEX('Operations Forecast_new'!$20:$20,MATCH(DB[[#This Row],[Datum]],'Operations Forecast_new'!$2:$2,0)),0)</f>
        <v>0</v>
      </c>
      <c r="AO326" s="44" t="str">
        <f t="shared" si="99"/>
        <v>-</v>
      </c>
      <c r="AP326" s="404" t="str">
        <f t="shared" si="100"/>
        <v>-</v>
      </c>
      <c r="AQ326" s="44">
        <f t="shared" si="104"/>
        <v>0</v>
      </c>
      <c r="AR326" s="44" cm="1">
        <f t="array" ref="AR326">IFERROR(INDEX('ST Forecast'!$E$2:$RK$36,25,M326)+(INDEX('ST Forecast'!$E$2:$RK$36,29,M326)),"")</f>
        <v>0</v>
      </c>
      <c r="AS326" s="44" cm="1">
        <f t="array" ref="AS326">IFERROR(INDEX('ST Forecast'!$E$2:$RK$36,26,M326)+INDEX('ST Forecast'!$E$2:$RK$36,30,M326),"")</f>
        <v>0</v>
      </c>
      <c r="AT326" s="44" cm="1">
        <f t="array" ref="AT326">IFERROR(INDEX('ST Forecast'!$E$2:$RK$36,27,M326)+INDEX('ST Forecast'!$E$2:$RK$36,31,M326),"")</f>
        <v>0</v>
      </c>
      <c r="AU326" s="44" cm="1">
        <f t="array" ref="AU326">IFERROR(INDEX('ST Forecast'!$E$2:$RK$36,28,M326),"")</f>
        <v>0</v>
      </c>
      <c r="AV326" s="44" cm="1">
        <f t="array" ref="AV326">IFERROR(INDEX('ST Forecast'!$E$2:$RK$36,29,M326),"")</f>
        <v>0</v>
      </c>
      <c r="AW326" s="44">
        <f>DB[[#This Row],[Inbound FC]]-DB[[#This Row],[Inbound Act - Ultrafresh2]]</f>
        <v>0</v>
      </c>
      <c r="AX326" s="178" t="e">
        <f>#REF!</f>
        <v>#REF!</v>
      </c>
      <c r="AY326" s="178" t="e">
        <f>#REF!</f>
        <v>#REF!</v>
      </c>
      <c r="AZ326" s="178" t="e">
        <f>#REF!</f>
        <v>#REF!</v>
      </c>
      <c r="BA326" s="178">
        <f>MONTH(DB[[#This Row],[Datum]])</f>
        <v>11</v>
      </c>
    </row>
    <row r="327" spans="1:53" x14ac:dyDescent="0.3">
      <c r="A327" s="44">
        <f t="shared" ref="A327:A367" si="105">(WEEKNUM(D327,2))-1</f>
        <v>47</v>
      </c>
      <c r="B327" t="str">
        <f t="shared" si="90"/>
        <v>Wk 47</v>
      </c>
      <c r="C327" t="s">
        <v>113</v>
      </c>
      <c r="D327" s="313">
        <v>44886</v>
      </c>
      <c r="E327" s="44">
        <f>DB[[#This Row],[Sales-FC-Orders-Collect]]+DB[[#This Row],[Sales-FC-Orders-HD]]</f>
        <v>2725</v>
      </c>
      <c r="F327" s="402">
        <f>INDEX('LT Collect Forecast'!$K$1:$Q$55,MATCH(B327,'LT Collect Forecast'!$A:$A,0),MATCH(C327,'LT Collect Forecast'!$K$2:$Q$2,0))</f>
        <v>725</v>
      </c>
      <c r="G327" s="44">
        <f>INDEX('LT HD Forecast'!$K$1:$Q$55,MATCH(B327,'LT HD Forecast'!$A:$A,0),MATCH(C327,'LT HD Forecast'!$K$2:$Q$2,0))</f>
        <v>2000</v>
      </c>
      <c r="H327" s="44" cm="1">
        <f t="array" ref="H327">IFERROR(INDEX('ST Forecast'!$E$2:$RK$36,6,M327),"")</f>
        <v>49.047557796087879</v>
      </c>
      <c r="I327" s="44" cm="1">
        <f t="array" ref="I327">IFERROR(INDEX('ST Forecast'!$E$2:$RK$36,7,M327),"")</f>
        <v>47.616185730158875</v>
      </c>
      <c r="J327" s="44">
        <f>SUM(DB[[#This Row],[Sales-FC-Picks-Collect]:[Sales-FC-Picks-HD]])</f>
        <v>130791.85086248146</v>
      </c>
      <c r="K327" s="44">
        <f t="shared" si="101"/>
        <v>35559.479402163714</v>
      </c>
      <c r="L327" s="44">
        <f t="shared" si="102"/>
        <v>95232.37146031775</v>
      </c>
      <c r="M327" s="403">
        <f>IFERROR(IF(B327=B326,M326+1,MATCH(B327,'ST Forecast'!$E$2:$RK$2,0)+1),"")</f>
        <v>370</v>
      </c>
      <c r="N327" s="44">
        <f>SUM(DB[[#This Row],[Ops-FC-Orders-Collect]:[Ops-FC-Orders-HD]])</f>
        <v>2650</v>
      </c>
      <c r="O327" s="44" cm="1">
        <f t="array" ref="O327">IFERROR(INDEX('ST Forecast'!$E$2:$RK$36,13,M327),"")</f>
        <v>750</v>
      </c>
      <c r="P327" s="44">
        <f t="shared" si="91"/>
        <v>1900</v>
      </c>
      <c r="Q327" s="44" cm="1">
        <f t="array" ref="Q327">IFERROR(INDEX('ST Forecast'!$E$2:$RK$36,14,M327),"")</f>
        <v>850</v>
      </c>
      <c r="R327" s="44" cm="1">
        <f t="array" ref="R327">IFERROR(INDEX('ST Forecast'!$E$2:$RK$36,15,M327),"")</f>
        <v>1050</v>
      </c>
      <c r="S327" s="312">
        <f>SUM(DB[[#This Row],[Ops-FC-Picks-Collect]:[Ops-FC-Picks-HD]])</f>
        <v>124711.29280968042</v>
      </c>
      <c r="T327" s="44">
        <f t="shared" si="92"/>
        <v>36049.954980124596</v>
      </c>
      <c r="U327" s="44">
        <f t="shared" si="93"/>
        <v>88661.337829555821</v>
      </c>
      <c r="V327" s="44">
        <f t="shared" si="94"/>
        <v>39664.282713222347</v>
      </c>
      <c r="W327" s="404">
        <f t="shared" si="95"/>
        <v>48997.055116333482</v>
      </c>
      <c r="X327" s="44">
        <f>SUM(DB[[#This Row],[Capped-Orders-Collect]:[Capped-Orders-HD]])</f>
        <v>90</v>
      </c>
      <c r="Y327">
        <f>INDEX('Operations Forecast'!$A$2:$BGY$47,3,MATCH(DB!D327,'Operations Forecast'!$A$2:$BGY$2))</f>
        <v>0</v>
      </c>
      <c r="Z327">
        <f t="shared" si="96"/>
        <v>90</v>
      </c>
      <c r="AA327">
        <f>INDEX('Operations Forecast'!$A$2:$BGY$47,10,MATCH(DB!D327,'Operations Forecast'!$A$2:$BGY$2))</f>
        <v>90</v>
      </c>
      <c r="AB327">
        <f>INDEX('Operations Forecast'!$A$2:$BGY$47,21,MATCH(DB!D327,'Operations Forecast'!$A$2:$BGY$2))</f>
        <v>0</v>
      </c>
      <c r="AC327" s="312">
        <f>SUM(DB[[#This Row],[Act-Orders-Collect]:[Act-Orders-HD]])</f>
        <v>2650</v>
      </c>
      <c r="AD327" s="858">
        <f>IFERROR(INDEX('Operations Forecast_new'!$7:$7,MATCH(DB[[#This Row],[Datum]],'Operations Forecast_new'!$2:$2,0)),0)</f>
        <v>755</v>
      </c>
      <c r="AE327" s="312">
        <f t="shared" si="97"/>
        <v>1895</v>
      </c>
      <c r="AF327" s="858">
        <f>IFERROR(INDEX('Operations Forecast_new'!$13:$13,MATCH(DB[[#This Row],[Datum]],'Operations Forecast_new'!$2:$2,0)),0)</f>
        <v>776</v>
      </c>
      <c r="AG327" s="858">
        <f>IFERROR(INDEX('Operations Forecast_new'!$19:$19,MATCH(DB[[#This Row],[Datum]],'Operations Forecast_new'!$2:$2,0)),0)</f>
        <v>1119</v>
      </c>
      <c r="AH327" s="312">
        <f t="shared" si="103"/>
        <v>128185.2</v>
      </c>
      <c r="AI327" s="858">
        <f>IFERROR(INDEX('Operations Forecast_new'!$9:$9,MATCH(DB[[#This Row],[Datum]],'Operations Forecast_new'!$2:$2,0)),0)</f>
        <v>34382.699999999997</v>
      </c>
      <c r="AJ327" s="312">
        <f t="shared" si="98"/>
        <v>93802.5</v>
      </c>
      <c r="AK327" s="858">
        <f>IFERROR(INDEX('Operations Forecast_new'!$15:$15,MATCH(DB[[#This Row],[Datum]],'Operations Forecast_new'!$2:$2,0)),0)</f>
        <v>38412</v>
      </c>
      <c r="AL327" s="858">
        <f>IFERROR(INDEX('Operations Forecast_new'!$21:$21,MATCH(DB[[#This Row],[Datum]],'Operations Forecast_new'!$2:$2,0)),0)</f>
        <v>55390.5</v>
      </c>
      <c r="AM327" s="178">
        <f>IFERROR(INDEX('Operations Forecast_new'!$8:$8,MATCH(DB[[#This Row],[Datum]],'Operations Forecast_new'!$2:$2,0)),0)</f>
        <v>46</v>
      </c>
      <c r="AN327" s="859">
        <f>IFERROR(INDEX('Operations Forecast_new'!$20:$20,MATCH(DB[[#This Row],[Datum]],'Operations Forecast_new'!$2:$2,0)),0)</f>
        <v>50</v>
      </c>
      <c r="AO327" s="44">
        <f t="shared" si="99"/>
        <v>45.54</v>
      </c>
      <c r="AP327" s="404">
        <f t="shared" si="100"/>
        <v>49.5</v>
      </c>
      <c r="AQ327" s="44">
        <f t="shared" si="104"/>
        <v>217154</v>
      </c>
      <c r="AR327" s="44" cm="1">
        <f t="array" ref="AR327">IFERROR(INDEX('ST Forecast'!$E$2:$RK$36,25,M327)+(INDEX('ST Forecast'!$E$2:$RK$36,29,M327)),"")</f>
        <v>123021.62000000001</v>
      </c>
      <c r="AS327" s="44" cm="1">
        <f t="array" ref="AS327">IFERROR(INDEX('ST Forecast'!$E$2:$RK$36,26,M327)+INDEX('ST Forecast'!$E$2:$RK$36,30,M327),"")</f>
        <v>70740.978000000003</v>
      </c>
      <c r="AT327" s="44" cm="1">
        <f t="array" ref="AT327">IFERROR(INDEX('ST Forecast'!$E$2:$RK$36,27,M327)+INDEX('ST Forecast'!$E$2:$RK$36,31,M327),"")</f>
        <v>12889.24</v>
      </c>
      <c r="AU327" s="44" cm="1">
        <f t="array" ref="AU327">IFERROR(INDEX('ST Forecast'!$E$2:$RK$36,28,M327),"")</f>
        <v>10502.162</v>
      </c>
      <c r="AV327" s="44" cm="1">
        <f t="array" ref="AV327">IFERROR(INDEX('ST Forecast'!$E$2:$RK$36,29,M327),"")</f>
        <v>66065</v>
      </c>
      <c r="AW327" s="44">
        <f>DB[[#This Row],[Inbound FC]]-DB[[#This Row],[Inbound Act - Ultrafresh2]]</f>
        <v>151089</v>
      </c>
      <c r="AX327" s="178" t="e">
        <f>#REF!</f>
        <v>#REF!</v>
      </c>
      <c r="AY327" s="178" t="e">
        <f>#REF!</f>
        <v>#REF!</v>
      </c>
      <c r="AZ327" s="178" t="e">
        <f>#REF!</f>
        <v>#REF!</v>
      </c>
      <c r="BA327" s="178">
        <f>MONTH(DB[[#This Row],[Datum]])</f>
        <v>11</v>
      </c>
    </row>
    <row r="328" spans="1:53" x14ac:dyDescent="0.3">
      <c r="A328" s="44">
        <f t="shared" si="105"/>
        <v>47</v>
      </c>
      <c r="B328" t="str">
        <f t="shared" si="90"/>
        <v>Wk 47</v>
      </c>
      <c r="C328" t="s">
        <v>114</v>
      </c>
      <c r="D328" s="313">
        <v>44887</v>
      </c>
      <c r="E328" s="44">
        <f>DB[[#This Row],[Sales-FC-Orders-Collect]]+DB[[#This Row],[Sales-FC-Orders-HD]]</f>
        <v>3450</v>
      </c>
      <c r="F328" s="402">
        <f>INDEX('LT Collect Forecast'!$K$1:$Q$55,MATCH(B328,'LT Collect Forecast'!$A:$A,0),MATCH(C328,'LT Collect Forecast'!$K$2:$Q$2,0))</f>
        <v>1000</v>
      </c>
      <c r="G328" s="44">
        <f>INDEX('LT HD Forecast'!$K$1:$Q$55,MATCH(B328,'LT HD Forecast'!$A:$A,0),MATCH(C328,'LT HD Forecast'!$K$2:$Q$2,0))</f>
        <v>2450</v>
      </c>
      <c r="H328" s="44" cm="1">
        <f t="array" ref="H328">IFERROR(INDEX('ST Forecast'!$E$2:$RK$36,6,M328),"")</f>
        <v>49.472312182461366</v>
      </c>
      <c r="I328" s="44" cm="1">
        <f t="array" ref="I328">IFERROR(INDEX('ST Forecast'!$E$2:$RK$36,7,M328),"")</f>
        <v>48.615994175283198</v>
      </c>
      <c r="J328" s="44">
        <f>SUM(DB[[#This Row],[Sales-FC-Picks-Collect]:[Sales-FC-Picks-HD]])</f>
        <v>168581.4979119052</v>
      </c>
      <c r="K328" s="44">
        <f t="shared" si="101"/>
        <v>49472.312182461363</v>
      </c>
      <c r="L328" s="44">
        <f t="shared" si="102"/>
        <v>119109.18572944384</v>
      </c>
      <c r="M328" s="403">
        <f>IFERROR(IF(B328=B327,M327+1,MATCH(B328,'ST Forecast'!$E$2:$RK$2,0)+1),"")</f>
        <v>371</v>
      </c>
      <c r="N328" s="44">
        <f>SUM(DB[[#This Row],[Ops-FC-Orders-Collect]:[Ops-FC-Orders-HD]])</f>
        <v>3450</v>
      </c>
      <c r="O328" s="44" cm="1">
        <f t="array" ref="O328">IFERROR(INDEX('ST Forecast'!$E$2:$RK$36,13,M328),"")</f>
        <v>1000</v>
      </c>
      <c r="P328" s="44">
        <f t="shared" si="91"/>
        <v>2450</v>
      </c>
      <c r="Q328" s="44" cm="1">
        <f t="array" ref="Q328">IFERROR(INDEX('ST Forecast'!$E$2:$RK$36,14,M328),"")</f>
        <v>1325</v>
      </c>
      <c r="R328" s="44" cm="1">
        <f t="array" ref="R328">IFERROR(INDEX('ST Forecast'!$E$2:$RK$36,15,M328),"")</f>
        <v>1125</v>
      </c>
      <c r="S328" s="312">
        <f>SUM(DB[[#This Row],[Ops-FC-Picks-Collect]:[Ops-FC-Picks-HD]])</f>
        <v>165209.8679536671</v>
      </c>
      <c r="T328" s="44">
        <f t="shared" si="92"/>
        <v>48482.865938812138</v>
      </c>
      <c r="U328" s="44">
        <f t="shared" si="93"/>
        <v>116727.00201485495</v>
      </c>
      <c r="V328" s="44">
        <f t="shared" si="94"/>
        <v>63127.868436605233</v>
      </c>
      <c r="W328" s="404">
        <f t="shared" si="95"/>
        <v>53599.133578249726</v>
      </c>
      <c r="X328" s="44">
        <f>SUM(DB[[#This Row],[Capped-Orders-Collect]:[Capped-Orders-HD]])</f>
        <v>90</v>
      </c>
      <c r="Y328">
        <f>INDEX('Operations Forecast'!$A$2:$BGY$47,3,MATCH(DB!D328,'Operations Forecast'!$A$2:$BGY$2))</f>
        <v>0</v>
      </c>
      <c r="Z328">
        <f t="shared" si="96"/>
        <v>90</v>
      </c>
      <c r="AA328">
        <f>INDEX('Operations Forecast'!$A$2:$BGY$47,10,MATCH(DB!D328,'Operations Forecast'!$A$2:$BGY$2))</f>
        <v>90</v>
      </c>
      <c r="AB328">
        <f>INDEX('Operations Forecast'!$A$2:$BGY$47,21,MATCH(DB!D328,'Operations Forecast'!$A$2:$BGY$2))</f>
        <v>0</v>
      </c>
      <c r="AC328" s="312">
        <f>SUM(DB[[#This Row],[Act-Orders-Collect]:[Act-Orders-HD]])</f>
        <v>2893</v>
      </c>
      <c r="AD328" s="858">
        <f>IFERROR(INDEX('Operations Forecast_new'!$7:$7,MATCH(DB[[#This Row],[Datum]],'Operations Forecast_new'!$2:$2,0)),0)</f>
        <v>688</v>
      </c>
      <c r="AE328" s="312">
        <f t="shared" si="97"/>
        <v>2205</v>
      </c>
      <c r="AF328" s="858">
        <f>IFERROR(INDEX('Operations Forecast_new'!$13:$13,MATCH(DB[[#This Row],[Datum]],'Operations Forecast_new'!$2:$2,0)),0)</f>
        <v>1207</v>
      </c>
      <c r="AG328" s="858">
        <f>IFERROR(INDEX('Operations Forecast_new'!$19:$19,MATCH(DB[[#This Row],[Datum]],'Operations Forecast_new'!$2:$2,0)),0)</f>
        <v>998</v>
      </c>
      <c r="AH328" s="312">
        <f t="shared" si="103"/>
        <v>133771.07699999999</v>
      </c>
      <c r="AI328" s="858">
        <f>IFERROR(INDEX('Operations Forecast_new'!$9:$9,MATCH(DB[[#This Row],[Datum]],'Operations Forecast_new'!$2:$2,0)),0)</f>
        <v>28334.592000000001</v>
      </c>
      <c r="AJ328" s="312">
        <f t="shared" si="98"/>
        <v>105436.48499999999</v>
      </c>
      <c r="AK328" s="858">
        <f>IFERROR(INDEX('Operations Forecast_new'!$15:$15,MATCH(DB[[#This Row],[Datum]],'Operations Forecast_new'!$2:$2,0)),0)</f>
        <v>57715.118999999999</v>
      </c>
      <c r="AL328" s="858">
        <f>IFERROR(INDEX('Operations Forecast_new'!$21:$21,MATCH(DB[[#This Row],[Datum]],'Operations Forecast_new'!$2:$2,0)),0)</f>
        <v>47721.365999999995</v>
      </c>
      <c r="AM328" s="178">
        <f>IFERROR(INDEX('Operations Forecast_new'!$8:$8,MATCH(DB[[#This Row],[Datum]],'Operations Forecast_new'!$2:$2,0)),0)</f>
        <v>41.6</v>
      </c>
      <c r="AN328" s="859">
        <f>IFERROR(INDEX('Operations Forecast_new'!$20:$20,MATCH(DB[[#This Row],[Datum]],'Operations Forecast_new'!$2:$2,0)),0)</f>
        <v>48.3</v>
      </c>
      <c r="AO328" s="44">
        <f t="shared" si="99"/>
        <v>41.183999999999997</v>
      </c>
      <c r="AP328" s="404">
        <f t="shared" si="100"/>
        <v>47.816999999999993</v>
      </c>
      <c r="AQ328" s="44">
        <f t="shared" si="104"/>
        <v>159599.91382944724</v>
      </c>
      <c r="AR328" s="44" cm="1">
        <f t="array" ref="AR328">IFERROR(INDEX('ST Forecast'!$E$2:$RK$36,25,M328)+(INDEX('ST Forecast'!$E$2:$RK$36,29,M328)),"")</f>
        <v>73439</v>
      </c>
      <c r="AS328" s="44" cm="1">
        <f t="array" ref="AS328">IFERROR(INDEX('ST Forecast'!$E$2:$RK$36,26,M328)+INDEX('ST Forecast'!$E$2:$RK$36,30,M328),"")</f>
        <v>69705.613318170872</v>
      </c>
      <c r="AT328" s="44" cm="1">
        <f t="array" ref="AT328">IFERROR(INDEX('ST Forecast'!$E$2:$RK$36,27,M328)+INDEX('ST Forecast'!$E$2:$RK$36,31,M328),"")</f>
        <v>6974.5138294472008</v>
      </c>
      <c r="AU328" s="44" cm="1">
        <f t="array" ref="AU328">IFERROR(INDEX('ST Forecast'!$E$2:$RK$36,28,M328),"")</f>
        <v>9480.7866818291404</v>
      </c>
      <c r="AV328" s="44" cm="1">
        <f t="array" ref="AV328">IFERROR(INDEX('ST Forecast'!$E$2:$RK$36,29,M328),"")</f>
        <v>0</v>
      </c>
      <c r="AW328" s="44">
        <f>DB[[#This Row],[Inbound FC]]-DB[[#This Row],[Inbound Act - Ultrafresh2]]</f>
        <v>159599.91382944724</v>
      </c>
      <c r="AX328" s="178" t="e">
        <f>#REF!</f>
        <v>#REF!</v>
      </c>
      <c r="AY328" s="178" t="e">
        <f>#REF!</f>
        <v>#REF!</v>
      </c>
      <c r="AZ328" s="178" t="e">
        <f>#REF!</f>
        <v>#REF!</v>
      </c>
      <c r="BA328" s="178">
        <f>MONTH(DB[[#This Row],[Datum]])</f>
        <v>11</v>
      </c>
    </row>
    <row r="329" spans="1:53" x14ac:dyDescent="0.3">
      <c r="A329" s="44">
        <f t="shared" si="105"/>
        <v>47</v>
      </c>
      <c r="B329" t="str">
        <f t="shared" si="90"/>
        <v>Wk 47</v>
      </c>
      <c r="C329" t="s">
        <v>115</v>
      </c>
      <c r="D329" s="313">
        <v>44888</v>
      </c>
      <c r="E329" s="44">
        <f>DB[[#This Row],[Sales-FC-Orders-Collect]]+DB[[#This Row],[Sales-FC-Orders-HD]]</f>
        <v>3425</v>
      </c>
      <c r="F329" s="402">
        <f>INDEX('LT Collect Forecast'!$K$1:$Q$55,MATCH(B329,'LT Collect Forecast'!$A:$A,0),MATCH(C329,'LT Collect Forecast'!$K$2:$Q$2,0))</f>
        <v>1000</v>
      </c>
      <c r="G329" s="44">
        <f>INDEX('LT HD Forecast'!$K$1:$Q$55,MATCH(B329,'LT HD Forecast'!$A:$A,0),MATCH(C329,'LT HD Forecast'!$K$2:$Q$2,0))</f>
        <v>2425</v>
      </c>
      <c r="H329" s="44" cm="1">
        <f t="array" ref="H329">IFERROR(INDEX('ST Forecast'!$E$2:$RK$36,6,M329),"")</f>
        <v>49.960585388135613</v>
      </c>
      <c r="I329" s="44" cm="1">
        <f t="array" ref="I329">IFERROR(INDEX('ST Forecast'!$E$2:$RK$36,7,M329),"")</f>
        <v>50.493160171224211</v>
      </c>
      <c r="J329" s="44">
        <f>SUM(DB[[#This Row],[Sales-FC-Picks-Collect]:[Sales-FC-Picks-HD]])</f>
        <v>172406.49880335433</v>
      </c>
      <c r="K329" s="44">
        <f t="shared" si="101"/>
        <v>49960.585388135616</v>
      </c>
      <c r="L329" s="44">
        <f t="shared" si="102"/>
        <v>122445.91341521872</v>
      </c>
      <c r="M329" s="403">
        <f>IFERROR(IF(B329=B328,M328+1,MATCH(B329,'ST Forecast'!$E$2:$RK$2,0)+1),"")</f>
        <v>372</v>
      </c>
      <c r="N329" s="44">
        <f>SUM(DB[[#This Row],[Ops-FC-Orders-Collect]:[Ops-FC-Orders-HD]])</f>
        <v>3450</v>
      </c>
      <c r="O329" s="44" cm="1">
        <f t="array" ref="O329">IFERROR(INDEX('ST Forecast'!$E$2:$RK$36,13,M329),"")</f>
        <v>1000</v>
      </c>
      <c r="P329" s="44">
        <f t="shared" si="91"/>
        <v>2450</v>
      </c>
      <c r="Q329" s="44" cm="1">
        <f t="array" ref="Q329">IFERROR(INDEX('ST Forecast'!$E$2:$RK$36,14,M329),"")</f>
        <v>1325</v>
      </c>
      <c r="R329" s="44" cm="1">
        <f t="array" ref="R329">IFERROR(INDEX('ST Forecast'!$E$2:$RK$36,15,M329),"")</f>
        <v>1125</v>
      </c>
      <c r="S329" s="312">
        <f>SUM(DB[[#This Row],[Ops-FC-Picks-Collect]:[Ops-FC-Picks-HD]])</f>
        <v>170195.45125148221</v>
      </c>
      <c r="T329" s="44">
        <f t="shared" si="92"/>
        <v>48961.373680372904</v>
      </c>
      <c r="U329" s="44">
        <f t="shared" si="93"/>
        <v>121234.07757110932</v>
      </c>
      <c r="V329" s="44">
        <f t="shared" si="94"/>
        <v>65565.368482334627</v>
      </c>
      <c r="W329" s="404">
        <f t="shared" si="95"/>
        <v>55668.709088774689</v>
      </c>
      <c r="X329" s="44">
        <f>SUM(DB[[#This Row],[Capped-Orders-Collect]:[Capped-Orders-HD]])</f>
        <v>90</v>
      </c>
      <c r="Y329">
        <f>INDEX('Operations Forecast'!$A$2:$BGY$47,3,MATCH(DB!D329,'Operations Forecast'!$A$2:$BGY$2))</f>
        <v>0</v>
      </c>
      <c r="Z329">
        <f t="shared" si="96"/>
        <v>90</v>
      </c>
      <c r="AA329">
        <f>INDEX('Operations Forecast'!$A$2:$BGY$47,10,MATCH(DB!D329,'Operations Forecast'!$A$2:$BGY$2))</f>
        <v>90</v>
      </c>
      <c r="AB329">
        <f>INDEX('Operations Forecast'!$A$2:$BGY$47,21,MATCH(DB!D329,'Operations Forecast'!$A$2:$BGY$2))</f>
        <v>0</v>
      </c>
      <c r="AC329" s="312">
        <f>SUM(DB[[#This Row],[Act-Orders-Collect]:[Act-Orders-HD]])</f>
        <v>2843</v>
      </c>
      <c r="AD329" s="858">
        <f>IFERROR(INDEX('Operations Forecast_new'!$7:$7,MATCH(DB[[#This Row],[Datum]],'Operations Forecast_new'!$2:$2,0)),0)</f>
        <v>670</v>
      </c>
      <c r="AE329" s="312">
        <f t="shared" si="97"/>
        <v>2173</v>
      </c>
      <c r="AF329" s="858">
        <f>IFERROR(INDEX('Operations Forecast_new'!$13:$13,MATCH(DB[[#This Row],[Datum]],'Operations Forecast_new'!$2:$2,0)),0)</f>
        <v>1208</v>
      </c>
      <c r="AG329" s="858">
        <f>IFERROR(INDEX('Operations Forecast_new'!$19:$19,MATCH(DB[[#This Row],[Datum]],'Operations Forecast_new'!$2:$2,0)),0)</f>
        <v>965</v>
      </c>
      <c r="AH329" s="312">
        <f t="shared" si="103"/>
        <v>133767.41399999999</v>
      </c>
      <c r="AI329" s="858">
        <f>IFERROR(INDEX('Operations Forecast_new'!$9:$9,MATCH(DB[[#This Row],[Datum]],'Operations Forecast_new'!$2:$2,0)),0)</f>
        <v>27924.93</v>
      </c>
      <c r="AJ329" s="312">
        <f t="shared" si="98"/>
        <v>105842.484</v>
      </c>
      <c r="AK329" s="858">
        <f>IFERROR(INDEX('Operations Forecast_new'!$15:$15,MATCH(DB[[#This Row],[Datum]],'Operations Forecast_new'!$2:$2,0)),0)</f>
        <v>58839.264000000003</v>
      </c>
      <c r="AL329" s="858">
        <f>IFERROR(INDEX('Operations Forecast_new'!$21:$21,MATCH(DB[[#This Row],[Datum]],'Operations Forecast_new'!$2:$2,0)),0)</f>
        <v>47003.22</v>
      </c>
      <c r="AM329" s="178">
        <f>IFERROR(INDEX('Operations Forecast_new'!$8:$8,MATCH(DB[[#This Row],[Datum]],'Operations Forecast_new'!$2:$2,0)),0)</f>
        <v>42.1</v>
      </c>
      <c r="AN329" s="859">
        <f>IFERROR(INDEX('Operations Forecast_new'!$20:$20,MATCH(DB[[#This Row],[Datum]],'Operations Forecast_new'!$2:$2,0)),0)</f>
        <v>49.2</v>
      </c>
      <c r="AO329" s="44">
        <f t="shared" si="99"/>
        <v>41.679000000000002</v>
      </c>
      <c r="AP329" s="404">
        <f t="shared" si="100"/>
        <v>48.707999999999998</v>
      </c>
      <c r="AQ329" s="44">
        <f t="shared" si="104"/>
        <v>158472.22494687315</v>
      </c>
      <c r="AR329" s="44" cm="1">
        <f t="array" ref="AR329">IFERROR(INDEX('ST Forecast'!$E$2:$RK$36,25,M329)+(INDEX('ST Forecast'!$E$2:$RK$36,29,M329)),"")</f>
        <v>73578.239999999991</v>
      </c>
      <c r="AS329" s="44" cm="1">
        <f t="array" ref="AS329">IFERROR(INDEX('ST Forecast'!$E$2:$RK$36,26,M329)+INDEX('ST Forecast'!$E$2:$RK$36,30,M329),"")</f>
        <v>68817.18547561008</v>
      </c>
      <c r="AT329" s="44" cm="1">
        <f t="array" ref="AT329">IFERROR(INDEX('ST Forecast'!$E$2:$RK$36,27,M329)+INDEX('ST Forecast'!$E$2:$RK$36,31,M329),"")</f>
        <v>6144.7449468731747</v>
      </c>
      <c r="AU329" s="44" cm="1">
        <f t="array" ref="AU329">IFERROR(INDEX('ST Forecast'!$E$2:$RK$36,28,M329),"")</f>
        <v>9932.0545243899251</v>
      </c>
      <c r="AV329" s="44" cm="1">
        <f t="array" ref="AV329">IFERROR(INDEX('ST Forecast'!$E$2:$RK$36,29,M329),"")</f>
        <v>0</v>
      </c>
      <c r="AW329" s="44">
        <f>DB[[#This Row],[Inbound FC]]-DB[[#This Row],[Inbound Act - Ultrafresh2]]</f>
        <v>158472.22494687315</v>
      </c>
      <c r="AX329" s="178" t="e">
        <f>#REF!</f>
        <v>#REF!</v>
      </c>
      <c r="AY329" s="178" t="e">
        <f>#REF!</f>
        <v>#REF!</v>
      </c>
      <c r="AZ329" s="178" t="e">
        <f>#REF!</f>
        <v>#REF!</v>
      </c>
      <c r="BA329" s="178">
        <f>MONTH(DB[[#This Row],[Datum]])</f>
        <v>11</v>
      </c>
    </row>
    <row r="330" spans="1:53" x14ac:dyDescent="0.3">
      <c r="A330" s="44">
        <f t="shared" si="105"/>
        <v>47</v>
      </c>
      <c r="B330" t="str">
        <f t="shared" si="90"/>
        <v>Wk 47</v>
      </c>
      <c r="C330" t="s">
        <v>116</v>
      </c>
      <c r="D330" s="313">
        <v>44889</v>
      </c>
      <c r="E330" s="44">
        <f>DB[[#This Row],[Sales-FC-Orders-Collect]]+DB[[#This Row],[Sales-FC-Orders-HD]]</f>
        <v>3375</v>
      </c>
      <c r="F330" s="402" cm="1">
        <f t="array" ref="F330">INDEX('LT Collect Forecast'!$K$1:$Q$55,MATCH(B330,'LT Collect Forecast'!$A:$A,0)+1,MATCH(C330,'LT Collect Forecast'!$K$2:$Q$2,0))</f>
        <v>1000</v>
      </c>
      <c r="G330" s="44" cm="1">
        <f t="array" ref="G330">INDEX('LT HD Forecast'!$K$1:$Q$55,MATCH(B330,'LT HD Forecast'!$A:$A,0)+1,MATCH(C330,'LT HD Forecast'!$K$2:$Q$2,0))</f>
        <v>2375</v>
      </c>
      <c r="H330" s="44" cm="1">
        <f t="array" ref="H330">IFERROR(INDEX('ST Forecast'!$E$2:$RK$36,6,M330),"")</f>
        <v>50.627842014407008</v>
      </c>
      <c r="I330" s="44" cm="1">
        <f t="array" ref="I330">IFERROR(INDEX('ST Forecast'!$E$2:$RK$36,7,M330),"")</f>
        <v>48.001309625904241</v>
      </c>
      <c r="J330" s="44">
        <f>SUM(DB[[#This Row],[Sales-FC-Picks-Collect]:[Sales-FC-Picks-HD]])</f>
        <v>164630.95237592957</v>
      </c>
      <c r="K330" s="44">
        <f t="shared" si="101"/>
        <v>50627.842014407011</v>
      </c>
      <c r="L330" s="44">
        <f t="shared" si="102"/>
        <v>114003.11036152257</v>
      </c>
      <c r="M330" s="403">
        <f>IFERROR(IF(B330=B329,M329+1,MATCH(B330,'ST Forecast'!$E$2:$RK$2,0)+1),"")</f>
        <v>373</v>
      </c>
      <c r="N330" s="44">
        <f>SUM(DB[[#This Row],[Ops-FC-Orders-Collect]:[Ops-FC-Orders-HD]])</f>
        <v>3450</v>
      </c>
      <c r="O330" s="44" cm="1">
        <f t="array" ref="O330">IFERROR(INDEX('ST Forecast'!$E$2:$RK$36,13,M330),"")</f>
        <v>1000</v>
      </c>
      <c r="P330" s="44">
        <f t="shared" si="91"/>
        <v>2450</v>
      </c>
      <c r="Q330" s="44" cm="1">
        <f t="array" ref="Q330">IFERROR(INDEX('ST Forecast'!$E$2:$RK$36,14,M330),"")</f>
        <v>1325</v>
      </c>
      <c r="R330" s="44" cm="1">
        <f t="array" ref="R330">IFERROR(INDEX('ST Forecast'!$E$2:$RK$36,15,M330),"")</f>
        <v>1125</v>
      </c>
      <c r="S330" s="312">
        <f>SUM(DB[[#This Row],[Ops-FC-Picks-Collect]:[Ops-FC-Picks-HD]])</f>
        <v>164866.42958591494</v>
      </c>
      <c r="T330" s="44">
        <f t="shared" si="92"/>
        <v>49615.285174118872</v>
      </c>
      <c r="U330" s="44">
        <f t="shared" si="93"/>
        <v>115251.14441179608</v>
      </c>
      <c r="V330" s="44">
        <f t="shared" si="94"/>
        <v>62329.700549236652</v>
      </c>
      <c r="W330" s="404">
        <f t="shared" si="95"/>
        <v>52921.443862559427</v>
      </c>
      <c r="X330" s="44">
        <f>SUM(DB[[#This Row],[Capped-Orders-Collect]:[Capped-Orders-HD]])</f>
        <v>90</v>
      </c>
      <c r="Y330">
        <f>INDEX('Operations Forecast'!$A$2:$BGY$47,3,MATCH(DB!D330,'Operations Forecast'!$A$2:$BGY$2))</f>
        <v>0</v>
      </c>
      <c r="Z330">
        <f t="shared" si="96"/>
        <v>90</v>
      </c>
      <c r="AA330">
        <f>INDEX('Operations Forecast'!$A$2:$BGY$47,10,MATCH(DB!D330,'Operations Forecast'!$A$2:$BGY$2))</f>
        <v>90</v>
      </c>
      <c r="AB330">
        <f>INDEX('Operations Forecast'!$A$2:$BGY$47,21,MATCH(DB!D330,'Operations Forecast'!$A$2:$BGY$2))</f>
        <v>0</v>
      </c>
      <c r="AC330" s="312">
        <f>SUM(DB[[#This Row],[Act-Orders-Collect]:[Act-Orders-HD]])</f>
        <v>2783</v>
      </c>
      <c r="AD330" s="858">
        <f>IFERROR(INDEX('Operations Forecast_new'!$7:$7,MATCH(DB[[#This Row],[Datum]],'Operations Forecast_new'!$2:$2,0)),0)</f>
        <v>720</v>
      </c>
      <c r="AE330" s="312">
        <f t="shared" si="97"/>
        <v>2063</v>
      </c>
      <c r="AF330" s="858">
        <f>IFERROR(INDEX('Operations Forecast_new'!$13:$13,MATCH(DB[[#This Row],[Datum]],'Operations Forecast_new'!$2:$2,0)),0)</f>
        <v>948</v>
      </c>
      <c r="AG330" s="858">
        <f>IFERROR(INDEX('Operations Forecast_new'!$19:$19,MATCH(DB[[#This Row],[Datum]],'Operations Forecast_new'!$2:$2,0)),0)</f>
        <v>1115</v>
      </c>
      <c r="AH330" s="312">
        <f t="shared" si="103"/>
        <v>128027.49299999999</v>
      </c>
      <c r="AI330" s="858">
        <f>IFERROR(INDEX('Operations Forecast_new'!$9:$9,MATCH(DB[[#This Row],[Datum]],'Operations Forecast_new'!$2:$2,0)),0)</f>
        <v>28155.599999999999</v>
      </c>
      <c r="AJ330" s="312">
        <f t="shared" si="98"/>
        <v>99871.892999999996</v>
      </c>
      <c r="AK330" s="858">
        <f>IFERROR(INDEX('Operations Forecast_new'!$15:$15,MATCH(DB[[#This Row],[Datum]],'Operations Forecast_new'!$2:$2,0)),0)</f>
        <v>45893.627999999997</v>
      </c>
      <c r="AL330" s="858">
        <f>IFERROR(INDEX('Operations Forecast_new'!$21:$21,MATCH(DB[[#This Row],[Datum]],'Operations Forecast_new'!$2:$2,0)),0)</f>
        <v>53978.264999999999</v>
      </c>
      <c r="AM330" s="178">
        <f>IFERROR(INDEX('Operations Forecast_new'!$8:$8,MATCH(DB[[#This Row],[Datum]],'Operations Forecast_new'!$2:$2,0)),0)</f>
        <v>39.5</v>
      </c>
      <c r="AN330" s="859">
        <f>IFERROR(INDEX('Operations Forecast_new'!$20:$20,MATCH(DB[[#This Row],[Datum]],'Operations Forecast_new'!$2:$2,0)),0)</f>
        <v>48.9</v>
      </c>
      <c r="AO330" s="44">
        <f t="shared" si="99"/>
        <v>39.104999999999997</v>
      </c>
      <c r="AP330" s="404">
        <f t="shared" si="100"/>
        <v>48.411000000000001</v>
      </c>
      <c r="AQ330" s="44">
        <f t="shared" si="104"/>
        <v>149676.00150516193</v>
      </c>
      <c r="AR330" s="44" cm="1">
        <f t="array" ref="AR330">IFERROR(INDEX('ST Forecast'!$E$2:$RK$36,25,M330)+(INDEX('ST Forecast'!$E$2:$RK$36,29,M330)),"")</f>
        <v>62106.488999999994</v>
      </c>
      <c r="AS330" s="44" cm="1">
        <f t="array" ref="AS330">IFERROR(INDEX('ST Forecast'!$E$2:$RK$36,26,M330)+INDEX('ST Forecast'!$E$2:$RK$36,30,M330),"")</f>
        <v>71406.581999999995</v>
      </c>
      <c r="AT330" s="44" cm="1">
        <f t="array" ref="AT330">IFERROR(INDEX('ST Forecast'!$E$2:$RK$36,27,M330)+INDEX('ST Forecast'!$E$2:$RK$36,31,M330),"")</f>
        <v>6266.053505161919</v>
      </c>
      <c r="AU330" s="44" cm="1">
        <f t="array" ref="AU330">IFERROR(INDEX('ST Forecast'!$E$2:$RK$36,28,M330),"")</f>
        <v>9896.8770000000004</v>
      </c>
      <c r="AV330" s="44" cm="1">
        <f t="array" ref="AV330">IFERROR(INDEX('ST Forecast'!$E$2:$RK$36,29,M330),"")</f>
        <v>0</v>
      </c>
      <c r="AW330" s="44">
        <f>DB[[#This Row],[Inbound FC]]-DB[[#This Row],[Inbound Act - Ultrafresh2]]</f>
        <v>149676.00150516193</v>
      </c>
      <c r="AX330" s="178" t="e">
        <f>#REF!</f>
        <v>#REF!</v>
      </c>
      <c r="AY330" s="178" t="e">
        <f>#REF!</f>
        <v>#REF!</v>
      </c>
      <c r="AZ330" s="178" t="e">
        <f>#REF!</f>
        <v>#REF!</v>
      </c>
      <c r="BA330" s="178">
        <f>MONTH(DB[[#This Row],[Datum]])</f>
        <v>11</v>
      </c>
    </row>
    <row r="331" spans="1:53" x14ac:dyDescent="0.3">
      <c r="A331" s="44">
        <f t="shared" si="105"/>
        <v>47</v>
      </c>
      <c r="B331" t="str">
        <f t="shared" si="90"/>
        <v>Wk 47</v>
      </c>
      <c r="C331" t="s">
        <v>117</v>
      </c>
      <c r="D331" s="313">
        <v>44890</v>
      </c>
      <c r="E331" s="44">
        <f>DB[[#This Row],[Sales-FC-Orders-Collect]]+DB[[#This Row],[Sales-FC-Orders-HD]]</f>
        <v>3600</v>
      </c>
      <c r="F331" s="402" cm="1">
        <f t="array" ref="F331">INDEX('LT Collect Forecast'!$K$1:$Q$55,MATCH(B331,'LT Collect Forecast'!$A:$A,0)+1,MATCH(C331,'LT Collect Forecast'!$K$2:$Q$2,0))</f>
        <v>1250</v>
      </c>
      <c r="G331" s="44" cm="1">
        <f t="array" ref="G331">INDEX('LT HD Forecast'!$K$1:$Q$55,MATCH(B331,'LT HD Forecast'!$A:$A,0)+1,MATCH(C331,'LT HD Forecast'!$K$2:$Q$2,0))</f>
        <v>2350</v>
      </c>
      <c r="H331" s="44" cm="1">
        <f t="array" ref="H331">IFERROR(INDEX('ST Forecast'!$E$2:$RK$36,6,M331),"")</f>
        <v>53.14068187559171</v>
      </c>
      <c r="I331" s="44" cm="1">
        <f t="array" ref="I331">IFERROR(INDEX('ST Forecast'!$E$2:$RK$36,7,M331),"")</f>
        <v>52.470828558081799</v>
      </c>
      <c r="J331" s="44">
        <f>SUM(DB[[#This Row],[Sales-FC-Picks-Collect]:[Sales-FC-Picks-HD]])</f>
        <v>189732.29945598188</v>
      </c>
      <c r="K331" s="44">
        <f t="shared" si="101"/>
        <v>66425.852344489642</v>
      </c>
      <c r="L331" s="44">
        <f t="shared" si="102"/>
        <v>123306.44711149222</v>
      </c>
      <c r="M331" s="403">
        <f>IFERROR(IF(B331=B330,M330+1,MATCH(B331,'ST Forecast'!$E$2:$RK$2,0)+1),"")</f>
        <v>374</v>
      </c>
      <c r="N331" s="44">
        <f>SUM(DB[[#This Row],[Ops-FC-Orders-Collect]:[Ops-FC-Orders-HD]])</f>
        <v>3700</v>
      </c>
      <c r="O331" s="44" cm="1">
        <f t="array" ref="O331">IFERROR(INDEX('ST Forecast'!$E$2:$RK$36,13,M331),"")</f>
        <v>1250</v>
      </c>
      <c r="P331" s="44">
        <f t="shared" si="91"/>
        <v>2450</v>
      </c>
      <c r="Q331" s="44" cm="1">
        <f t="array" ref="Q331">IFERROR(INDEX('ST Forecast'!$E$2:$RK$36,14,M331),"")</f>
        <v>1325</v>
      </c>
      <c r="R331" s="44" cm="1">
        <f t="array" ref="R331">IFERROR(INDEX('ST Forecast'!$E$2:$RK$36,15,M331),"")</f>
        <v>1125</v>
      </c>
      <c r="S331" s="312">
        <f>SUM(DB[[#This Row],[Ops-FC-Picks-Collect]:[Ops-FC-Picks-HD]])</f>
        <v>191079.79466555425</v>
      </c>
      <c r="T331" s="44">
        <f t="shared" si="92"/>
        <v>65097.33529759985</v>
      </c>
      <c r="U331" s="44">
        <f t="shared" si="93"/>
        <v>125982.45936795441</v>
      </c>
      <c r="V331" s="44">
        <f t="shared" si="94"/>
        <v>68133.370882669216</v>
      </c>
      <c r="W331" s="404">
        <f t="shared" si="95"/>
        <v>57849.088485285181</v>
      </c>
      <c r="X331" s="44">
        <f>SUM(DB[[#This Row],[Capped-Orders-Collect]:[Capped-Orders-HD]])</f>
        <v>90</v>
      </c>
      <c r="Y331">
        <f>INDEX('Operations Forecast'!$A$2:$BGY$47,3,MATCH(DB!D331,'Operations Forecast'!$A$2:$BGY$2))</f>
        <v>0</v>
      </c>
      <c r="Z331">
        <f t="shared" si="96"/>
        <v>90</v>
      </c>
      <c r="AA331">
        <f>INDEX('Operations Forecast'!$A$2:$BGY$47,10,MATCH(DB!D331,'Operations Forecast'!$A$2:$BGY$2))</f>
        <v>90</v>
      </c>
      <c r="AB331">
        <f>INDEX('Operations Forecast'!$A$2:$BGY$47,21,MATCH(DB!D331,'Operations Forecast'!$A$2:$BGY$2))</f>
        <v>0</v>
      </c>
      <c r="AC331" s="312">
        <f>SUM(DB[[#This Row],[Act-Orders-Collect]:[Act-Orders-HD]])</f>
        <v>3596</v>
      </c>
      <c r="AD331" s="858">
        <f>IFERROR(INDEX('Operations Forecast_new'!$7:$7,MATCH(DB[[#This Row],[Datum]],'Operations Forecast_new'!$2:$2,0)),0)</f>
        <v>1300</v>
      </c>
      <c r="AE331" s="312">
        <f t="shared" si="97"/>
        <v>2296</v>
      </c>
      <c r="AF331" s="858">
        <f>IFERROR(INDEX('Operations Forecast_new'!$13:$13,MATCH(DB[[#This Row],[Datum]],'Operations Forecast_new'!$2:$2,0)),0)</f>
        <v>1230</v>
      </c>
      <c r="AG331" s="858">
        <f>IFERROR(INDEX('Operations Forecast_new'!$19:$19,MATCH(DB[[#This Row],[Datum]],'Operations Forecast_new'!$2:$2,0)),0)</f>
        <v>1066</v>
      </c>
      <c r="AH331" s="312">
        <f t="shared" si="103"/>
        <v>175080.31199999998</v>
      </c>
      <c r="AI331" s="858">
        <f>IFERROR(INDEX('Operations Forecast_new'!$9:$9,MATCH(DB[[#This Row],[Datum]],'Operations Forecast_new'!$2:$2,0)),0)</f>
        <v>60746.400000000009</v>
      </c>
      <c r="AJ331" s="312">
        <f t="shared" si="98"/>
        <v>114333.91199999998</v>
      </c>
      <c r="AK331" s="858">
        <f>IFERROR(INDEX('Operations Forecast_new'!$15:$15,MATCH(DB[[#This Row],[Datum]],'Operations Forecast_new'!$2:$2,0)),0)</f>
        <v>61250.31</v>
      </c>
      <c r="AL331" s="858">
        <f>IFERROR(INDEX('Operations Forecast_new'!$21:$21,MATCH(DB[[#This Row],[Datum]],'Operations Forecast_new'!$2:$2,0)),0)</f>
        <v>53083.601999999992</v>
      </c>
      <c r="AM331" s="178">
        <f>IFERROR(INDEX('Operations Forecast_new'!$8:$8,MATCH(DB[[#This Row],[Datum]],'Operations Forecast_new'!$2:$2,0)),0)</f>
        <v>47.2</v>
      </c>
      <c r="AN331" s="859">
        <f>IFERROR(INDEX('Operations Forecast_new'!$20:$20,MATCH(DB[[#This Row],[Datum]],'Operations Forecast_new'!$2:$2,0)),0)</f>
        <v>50.3</v>
      </c>
      <c r="AO331" s="44">
        <f t="shared" si="99"/>
        <v>46.728000000000009</v>
      </c>
      <c r="AP331" s="404">
        <f t="shared" si="100"/>
        <v>49.79699999999999</v>
      </c>
      <c r="AQ331" s="44">
        <f t="shared" si="104"/>
        <v>141902.51162175019</v>
      </c>
      <c r="AR331" s="44" cm="1">
        <f t="array" ref="AR331">IFERROR(INDEX('ST Forecast'!$E$2:$RK$36,25,M331)+(INDEX('ST Forecast'!$E$2:$RK$36,29,M331)),"")</f>
        <v>54737.502</v>
      </c>
      <c r="AS331" s="44" cm="1">
        <f t="array" ref="AS331">IFERROR(INDEX('ST Forecast'!$E$2:$RK$36,26,M331)+INDEX('ST Forecast'!$E$2:$RK$36,30,M331),"")</f>
        <v>71185.307000000001</v>
      </c>
      <c r="AT331" s="44" cm="1">
        <f t="array" ref="AT331">IFERROR(INDEX('ST Forecast'!$E$2:$RK$36,27,M331)+INDEX('ST Forecast'!$E$2:$RK$36,31,M331),"")</f>
        <v>6195.0196217501989</v>
      </c>
      <c r="AU331" s="44" cm="1">
        <f t="array" ref="AU331">IFERROR(INDEX('ST Forecast'!$E$2:$RK$36,28,M331),"")</f>
        <v>9784.6830000000009</v>
      </c>
      <c r="AV331" s="44" cm="1">
        <f t="array" ref="AV331">IFERROR(INDEX('ST Forecast'!$E$2:$RK$36,29,M331),"")</f>
        <v>0</v>
      </c>
      <c r="AW331" s="44">
        <f>DB[[#This Row],[Inbound FC]]-DB[[#This Row],[Inbound Act - Ultrafresh2]]</f>
        <v>141902.51162175019</v>
      </c>
      <c r="AX331" s="178" t="e">
        <f>#REF!</f>
        <v>#REF!</v>
      </c>
      <c r="AY331" s="178" t="e">
        <f>#REF!</f>
        <v>#REF!</v>
      </c>
      <c r="AZ331" s="178" t="e">
        <f>#REF!</f>
        <v>#REF!</v>
      </c>
      <c r="BA331" s="178">
        <f>MONTH(DB[[#This Row],[Datum]])</f>
        <v>11</v>
      </c>
    </row>
    <row r="332" spans="1:53" x14ac:dyDescent="0.3">
      <c r="A332" s="44">
        <f t="shared" si="105"/>
        <v>47</v>
      </c>
      <c r="B332" t="str">
        <f t="shared" si="90"/>
        <v>Wk 47</v>
      </c>
      <c r="C332" t="s">
        <v>118</v>
      </c>
      <c r="D332" s="313">
        <v>44891</v>
      </c>
      <c r="E332" s="44">
        <f>DB[[#This Row],[Sales-FC-Orders-Collect]]+DB[[#This Row],[Sales-FC-Orders-HD]]</f>
        <v>3525</v>
      </c>
      <c r="F332" s="402" cm="1">
        <f t="array" ref="F332">INDEX('LT Collect Forecast'!$K$1:$Q$55,MATCH(B332,'LT Collect Forecast'!$A:$A,0)+1,MATCH(C332,'LT Collect Forecast'!$K$2:$Q$2,0))</f>
        <v>1150</v>
      </c>
      <c r="G332" s="44" cm="1">
        <f t="array" ref="G332">INDEX('LT HD Forecast'!$K$1:$Q$55,MATCH(B332,'LT HD Forecast'!$A:$A,0)+1,MATCH(C332,'LT HD Forecast'!$K$2:$Q$2,0))</f>
        <v>2375</v>
      </c>
      <c r="H332" s="44" cm="1">
        <f t="array" ref="H332">IFERROR(INDEX('ST Forecast'!$E$2:$RK$36,6,M332),"")</f>
        <v>53.171875780616709</v>
      </c>
      <c r="I332" s="44" cm="1">
        <f t="array" ref="I332">IFERROR(INDEX('ST Forecast'!$E$2:$RK$36,7,M332),"")</f>
        <v>51.945527975963934</v>
      </c>
      <c r="J332" s="44">
        <f>SUM(DB[[#This Row],[Sales-FC-Picks-Collect]:[Sales-FC-Picks-HD]])</f>
        <v>184518.28609062356</v>
      </c>
      <c r="K332" s="44">
        <f t="shared" si="101"/>
        <v>61147.657147709215</v>
      </c>
      <c r="L332" s="44">
        <f t="shared" si="102"/>
        <v>123370.62894291434</v>
      </c>
      <c r="M332" s="403">
        <f>IFERROR(IF(B332=B331,M331+1,MATCH(B332,'ST Forecast'!$E$2:$RK$2,0)+1),"")</f>
        <v>375</v>
      </c>
      <c r="N332" s="44">
        <f>SUM(DB[[#This Row],[Ops-FC-Orders-Collect]:[Ops-FC-Orders-HD]])</f>
        <v>3500</v>
      </c>
      <c r="O332" s="44" cm="1">
        <f t="array" ref="O332">IFERROR(INDEX('ST Forecast'!$E$2:$RK$36,13,M332),"")</f>
        <v>1150</v>
      </c>
      <c r="P332" s="44">
        <f t="shared" si="91"/>
        <v>2350</v>
      </c>
      <c r="Q332" s="44" cm="1">
        <f t="array" ref="Q332">IFERROR(INDEX('ST Forecast'!$E$2:$RK$36,14,M332),"")</f>
        <v>1325</v>
      </c>
      <c r="R332" s="44" cm="1">
        <f t="array" ref="R332">IFERROR(INDEX('ST Forecast'!$E$2:$RK$36,15,M332),"")</f>
        <v>1025</v>
      </c>
      <c r="S332" s="312">
        <f>SUM(DB[[#This Row],[Ops-FC-Picks-Collect]:[Ops-FC-Picks-HD]])</f>
        <v>179555.25493339996</v>
      </c>
      <c r="T332" s="44">
        <f t="shared" si="92"/>
        <v>59924.704004755033</v>
      </c>
      <c r="U332" s="44">
        <f t="shared" si="93"/>
        <v>119630.55092864492</v>
      </c>
      <c r="V332" s="44">
        <f t="shared" si="94"/>
        <v>67451.268076789158</v>
      </c>
      <c r="W332" s="404">
        <f t="shared" si="95"/>
        <v>52179.282851855773</v>
      </c>
      <c r="X332" s="44">
        <f>SUM(DB[[#This Row],[Capped-Orders-Collect]:[Capped-Orders-HD]])</f>
        <v>90</v>
      </c>
      <c r="Y332">
        <f>INDEX('Operations Forecast'!$A$2:$BGY$47,3,MATCH(DB!D332,'Operations Forecast'!$A$2:$BGY$2))</f>
        <v>0</v>
      </c>
      <c r="Z332">
        <f t="shared" si="96"/>
        <v>90</v>
      </c>
      <c r="AA332">
        <f>INDEX('Operations Forecast'!$A$2:$BGY$47,10,MATCH(DB!D332,'Operations Forecast'!$A$2:$BGY$2))</f>
        <v>90</v>
      </c>
      <c r="AB332">
        <f>INDEX('Operations Forecast'!$A$2:$BGY$47,21,MATCH(DB!D332,'Operations Forecast'!$A$2:$BGY$2))</f>
        <v>0</v>
      </c>
      <c r="AC332" s="312">
        <f>SUM(DB[[#This Row],[Act-Orders-Collect]:[Act-Orders-HD]])</f>
        <v>3770</v>
      </c>
      <c r="AD332" s="858">
        <f>IFERROR(INDEX('Operations Forecast_new'!$7:$7,MATCH(DB[[#This Row],[Datum]],'Operations Forecast_new'!$2:$2,0)),0)</f>
        <v>1450</v>
      </c>
      <c r="AE332" s="312">
        <f t="shared" si="97"/>
        <v>2320</v>
      </c>
      <c r="AF332" s="858">
        <f>IFERROR(INDEX('Operations Forecast_new'!$13:$13,MATCH(DB[[#This Row],[Datum]],'Operations Forecast_new'!$2:$2,0)),0)</f>
        <v>1295</v>
      </c>
      <c r="AG332" s="858">
        <f>IFERROR(INDEX('Operations Forecast_new'!$19:$19,MATCH(DB[[#This Row],[Datum]],'Operations Forecast_new'!$2:$2,0)),0)</f>
        <v>1025</v>
      </c>
      <c r="AH332" s="312">
        <f t="shared" si="103"/>
        <v>184031.1</v>
      </c>
      <c r="AI332" s="858">
        <f>IFERROR(INDEX('Operations Forecast_new'!$9:$9,MATCH(DB[[#This Row],[Datum]],'Operations Forecast_new'!$2:$2,0)),0)</f>
        <v>66894.3</v>
      </c>
      <c r="AJ332" s="312">
        <f t="shared" si="98"/>
        <v>117136.8</v>
      </c>
      <c r="AK332" s="858">
        <f>IFERROR(INDEX('Operations Forecast_new'!$15:$15,MATCH(DB[[#This Row],[Datum]],'Operations Forecast_new'!$2:$2,0)),0)</f>
        <v>65384.55</v>
      </c>
      <c r="AL332" s="858">
        <f>IFERROR(INDEX('Operations Forecast_new'!$21:$21,MATCH(DB[[#This Row],[Datum]],'Operations Forecast_new'!$2:$2,0)),0)</f>
        <v>51752.25</v>
      </c>
      <c r="AM332" s="178">
        <f>IFERROR(INDEX('Operations Forecast_new'!$8:$8,MATCH(DB[[#This Row],[Datum]],'Operations Forecast_new'!$2:$2,0)),0)</f>
        <v>46.6</v>
      </c>
      <c r="AN332" s="859">
        <f>IFERROR(INDEX('Operations Forecast_new'!$20:$20,MATCH(DB[[#This Row],[Datum]],'Operations Forecast_new'!$2:$2,0)),0)</f>
        <v>51</v>
      </c>
      <c r="AO332" s="44">
        <f t="shared" si="99"/>
        <v>46.134</v>
      </c>
      <c r="AP332" s="404">
        <f t="shared" si="100"/>
        <v>50.49</v>
      </c>
      <c r="AQ332" s="44">
        <f t="shared" si="104"/>
        <v>142746.00000000009</v>
      </c>
      <c r="AR332" s="44" cm="1">
        <f t="array" ref="AR332">IFERROR(INDEX('ST Forecast'!$E$2:$RK$36,25,M332)+(INDEX('ST Forecast'!$E$2:$RK$36,29,M332)),"")</f>
        <v>64327.926505431795</v>
      </c>
      <c r="AS332" s="44" cm="1">
        <f t="array" ref="AS332">IFERROR(INDEX('ST Forecast'!$E$2:$RK$36,26,M332)+INDEX('ST Forecast'!$E$2:$RK$36,30,M332),"")</f>
        <v>65330.224460441939</v>
      </c>
      <c r="AT332" s="44" cm="1">
        <f t="array" ref="AT332">IFERROR(INDEX('ST Forecast'!$E$2:$RK$36,27,M332)+INDEX('ST Forecast'!$E$2:$RK$36,31,M332),"")</f>
        <v>5522.3110341263391</v>
      </c>
      <c r="AU332" s="44" cm="1">
        <f t="array" ref="AU332">IFERROR(INDEX('ST Forecast'!$E$2:$RK$36,28,M332),"")</f>
        <v>7565.5379999999996</v>
      </c>
      <c r="AV332" s="44" cm="1">
        <f t="array" ref="AV332">IFERROR(INDEX('ST Forecast'!$E$2:$RK$36,29,M332),"")</f>
        <v>0</v>
      </c>
      <c r="AW332" s="44">
        <f>DB[[#This Row],[Inbound FC]]-DB[[#This Row],[Inbound Act - Ultrafresh2]]</f>
        <v>142746.00000000009</v>
      </c>
      <c r="AX332" s="178" t="e">
        <f>#REF!</f>
        <v>#REF!</v>
      </c>
      <c r="AY332" s="178" t="e">
        <f>#REF!</f>
        <v>#REF!</v>
      </c>
      <c r="AZ332" s="178" t="e">
        <f>#REF!</f>
        <v>#REF!</v>
      </c>
      <c r="BA332" s="178">
        <f>MONTH(DB[[#This Row],[Datum]])</f>
        <v>11</v>
      </c>
    </row>
    <row r="333" spans="1:53" x14ac:dyDescent="0.3">
      <c r="A333" s="44">
        <f t="shared" si="105"/>
        <v>47</v>
      </c>
      <c r="B333" t="str">
        <f t="shared" ref="B333:B367" si="106">"Wk "&amp;A333</f>
        <v>Wk 47</v>
      </c>
      <c r="C333" t="s">
        <v>119</v>
      </c>
      <c r="D333" s="313">
        <v>44892</v>
      </c>
      <c r="E333" s="44">
        <f>DB[[#This Row],[Sales-FC-Orders-Collect]]+DB[[#This Row],[Sales-FC-Orders-HD]]</f>
        <v>0</v>
      </c>
      <c r="F333" s="402" cm="1">
        <f t="array" ref="F333">INDEX('LT Collect Forecast'!$K$1:$Q$55,MATCH(B333,'LT Collect Forecast'!$A:$A,0)+1,MATCH(C333,'LT Collect Forecast'!$K$2:$Q$2,0))</f>
        <v>0</v>
      </c>
      <c r="G333" s="44" cm="1">
        <f t="array" ref="G333">INDEX('LT HD Forecast'!$K$1:$Q$55,MATCH(B333,'LT HD Forecast'!$A:$A,0)+1,MATCH(C333,'LT HD Forecast'!$K$2:$Q$2,0))</f>
        <v>0</v>
      </c>
      <c r="H333" s="44" cm="1">
        <f t="array" ref="H333">IFERROR(INDEX('ST Forecast'!$E$2:$RK$36,6,M333),"")</f>
        <v>0</v>
      </c>
      <c r="I333" s="44" cm="1">
        <f t="array" ref="I333">IFERROR(INDEX('ST Forecast'!$E$2:$RK$36,7,M333),"")</f>
        <v>0</v>
      </c>
      <c r="J333" s="44">
        <f>SUM(DB[[#This Row],[Sales-FC-Picks-Collect]:[Sales-FC-Picks-HD]])</f>
        <v>0</v>
      </c>
      <c r="K333" s="44">
        <f t="shared" si="101"/>
        <v>0</v>
      </c>
      <c r="L333" s="44">
        <f t="shared" si="102"/>
        <v>0</v>
      </c>
      <c r="M333" s="403">
        <f>IFERROR(IF(B333=B332,M332+1,MATCH(B333,'ST Forecast'!$E$2:$RK$2,0)+1),"")</f>
        <v>376</v>
      </c>
      <c r="N333" s="44">
        <f>SUM(DB[[#This Row],[Ops-FC-Orders-Collect]:[Ops-FC-Orders-HD]])</f>
        <v>0</v>
      </c>
      <c r="O333" s="44" cm="1">
        <f t="array" ref="O333">IFERROR(INDEX('ST Forecast'!$E$2:$RK$36,13,M333),"")</f>
        <v>0</v>
      </c>
      <c r="P333" s="44">
        <f t="shared" ref="P333:P367" si="107">IFERROR(Q333+R333,"")</f>
        <v>0</v>
      </c>
      <c r="Q333" s="44" cm="1">
        <f t="array" ref="Q333">IFERROR(INDEX('ST Forecast'!$E$2:$RK$36,14,M333),"")</f>
        <v>0</v>
      </c>
      <c r="R333" s="44" cm="1">
        <f t="array" ref="R333">IFERROR(INDEX('ST Forecast'!$E$2:$RK$36,15,M333),"")</f>
        <v>0</v>
      </c>
      <c r="S333" s="312">
        <f>SUM(DB[[#This Row],[Ops-FC-Picks-Collect]:[Ops-FC-Picks-HD]])</f>
        <v>0</v>
      </c>
      <c r="T333" s="44">
        <f t="shared" ref="T333:T367" si="108">IFERROR(O333*H333*$B$1,"")</f>
        <v>0</v>
      </c>
      <c r="U333" s="44">
        <f t="shared" ref="U333:U367" si="109">IFERROR(V333+W333,"")</f>
        <v>0</v>
      </c>
      <c r="V333" s="44">
        <f t="shared" ref="V333:V367" si="110">IFERROR(Q333*I333*$B$1,"")</f>
        <v>0</v>
      </c>
      <c r="W333" s="404">
        <f t="shared" ref="W333:W367" si="111">IFERROR(R333*I333*$B$1,"")</f>
        <v>0</v>
      </c>
      <c r="X333" s="44">
        <f>SUM(DB[[#This Row],[Capped-Orders-Collect]:[Capped-Orders-HD]])</f>
        <v>90</v>
      </c>
      <c r="Y333">
        <f>INDEX('Operations Forecast'!$A$2:$BGY$47,3,MATCH(DB!D333,'Operations Forecast'!$A$2:$BGY$2))</f>
        <v>0</v>
      </c>
      <c r="Z333">
        <f t="shared" ref="Z333:Z367" si="112">SUM(AA333:AB333)</f>
        <v>90</v>
      </c>
      <c r="AA333">
        <f>INDEX('Operations Forecast'!$A$2:$BGY$47,10,MATCH(DB!D333,'Operations Forecast'!$A$2:$BGY$2))</f>
        <v>90</v>
      </c>
      <c r="AB333">
        <f>INDEX('Operations Forecast'!$A$2:$BGY$47,21,MATCH(DB!D333,'Operations Forecast'!$A$2:$BGY$2))</f>
        <v>0</v>
      </c>
      <c r="AC333" s="312">
        <f>SUM(DB[[#This Row],[Act-Orders-Collect]:[Act-Orders-HD]])</f>
        <v>0</v>
      </c>
      <c r="AD333" s="858">
        <f>IFERROR(INDEX('Operations Forecast_new'!$7:$7,MATCH(DB[[#This Row],[Datum]],'Operations Forecast_new'!$2:$2,0)),0)</f>
        <v>0</v>
      </c>
      <c r="AE333" s="312">
        <f t="shared" ref="AE333:AE367" si="113">AF333+AG333</f>
        <v>0</v>
      </c>
      <c r="AF333" s="858">
        <f>IFERROR(INDEX('Operations Forecast_new'!$13:$13,MATCH(DB[[#This Row],[Datum]],'Operations Forecast_new'!$2:$2,0)),0)</f>
        <v>0</v>
      </c>
      <c r="AG333" s="858">
        <f>IFERROR(INDEX('Operations Forecast_new'!$19:$19,MATCH(DB[[#This Row],[Datum]],'Operations Forecast_new'!$2:$2,0)),0)</f>
        <v>0</v>
      </c>
      <c r="AH333" s="312">
        <f t="shared" si="103"/>
        <v>0</v>
      </c>
      <c r="AI333" s="858">
        <f>IFERROR(INDEX('Operations Forecast_new'!$9:$9,MATCH(DB[[#This Row],[Datum]],'Operations Forecast_new'!$2:$2,0)),0)</f>
        <v>0</v>
      </c>
      <c r="AJ333" s="312">
        <f t="shared" ref="AJ333:AJ367" si="114">AK333+AL333</f>
        <v>0</v>
      </c>
      <c r="AK333" s="858">
        <f>IFERROR(INDEX('Operations Forecast_new'!$15:$15,MATCH(DB[[#This Row],[Datum]],'Operations Forecast_new'!$2:$2,0)),0)</f>
        <v>0</v>
      </c>
      <c r="AL333" s="858">
        <f>IFERROR(INDEX('Operations Forecast_new'!$21:$21,MATCH(DB[[#This Row],[Datum]],'Operations Forecast_new'!$2:$2,0)),0)</f>
        <v>0</v>
      </c>
      <c r="AM333" s="178">
        <f>IFERROR(INDEX('Operations Forecast_new'!$8:$8,MATCH(DB[[#This Row],[Datum]],'Operations Forecast_new'!$2:$2,0)),0)</f>
        <v>0</v>
      </c>
      <c r="AN333" s="859">
        <f>IFERROR(INDEX('Operations Forecast_new'!$20:$20,MATCH(DB[[#This Row],[Datum]],'Operations Forecast_new'!$2:$2,0)),0)</f>
        <v>0</v>
      </c>
      <c r="AO333" s="44" t="str">
        <f t="shared" ref="AO333:AO367" si="115">IFERROR(AI333/AD333,"-")</f>
        <v>-</v>
      </c>
      <c r="AP333" s="404" t="str">
        <f t="shared" ref="AP333:AP367" si="116">IFERROR(AJ333/AE333,"-")</f>
        <v>-</v>
      </c>
      <c r="AQ333" s="44">
        <f t="shared" si="104"/>
        <v>0</v>
      </c>
      <c r="AR333" s="44" cm="1">
        <f t="array" ref="AR333">IFERROR(INDEX('ST Forecast'!$E$2:$RK$36,25,M333)+(INDEX('ST Forecast'!$E$2:$RK$36,29,M333)),"")</f>
        <v>0</v>
      </c>
      <c r="AS333" s="44" cm="1">
        <f t="array" ref="AS333">IFERROR(INDEX('ST Forecast'!$E$2:$RK$36,26,M333)+INDEX('ST Forecast'!$E$2:$RK$36,30,M333),"")</f>
        <v>0</v>
      </c>
      <c r="AT333" s="44" cm="1">
        <f t="array" ref="AT333">IFERROR(INDEX('ST Forecast'!$E$2:$RK$36,27,M333)+INDEX('ST Forecast'!$E$2:$RK$36,31,M333),"")</f>
        <v>0</v>
      </c>
      <c r="AU333" s="44" cm="1">
        <f t="array" ref="AU333">IFERROR(INDEX('ST Forecast'!$E$2:$RK$36,28,M333),"")</f>
        <v>0</v>
      </c>
      <c r="AV333" s="44" cm="1">
        <f t="array" ref="AV333">IFERROR(INDEX('ST Forecast'!$E$2:$RK$36,29,M333),"")</f>
        <v>0</v>
      </c>
      <c r="AW333" s="44">
        <f>DB[[#This Row],[Inbound FC]]-DB[[#This Row],[Inbound Act - Ultrafresh2]]</f>
        <v>0</v>
      </c>
      <c r="AX333" s="178" t="e">
        <f>#REF!</f>
        <v>#REF!</v>
      </c>
      <c r="AY333" s="178" t="e">
        <f>#REF!</f>
        <v>#REF!</v>
      </c>
      <c r="AZ333" s="178" t="e">
        <f>#REF!</f>
        <v>#REF!</v>
      </c>
      <c r="BA333" s="178">
        <f>MONTH(DB[[#This Row],[Datum]])</f>
        <v>11</v>
      </c>
    </row>
    <row r="334" spans="1:53" x14ac:dyDescent="0.3">
      <c r="A334" s="44">
        <f t="shared" si="105"/>
        <v>48</v>
      </c>
      <c r="B334" t="str">
        <f t="shared" si="106"/>
        <v>Wk 48</v>
      </c>
      <c r="C334" t="s">
        <v>113</v>
      </c>
      <c r="D334" s="313">
        <v>44893</v>
      </c>
      <c r="E334" s="44">
        <f>DB[[#This Row],[Sales-FC-Orders-Collect]]+DB[[#This Row],[Sales-FC-Orders-HD]]</f>
        <v>3100</v>
      </c>
      <c r="F334" s="402">
        <f>INDEX('LT Collect Forecast'!$K$1:$Q$55,MATCH(B334,'LT Collect Forecast'!$A:$A,0),MATCH(C334,'LT Collect Forecast'!$K$2:$Q$2,0))</f>
        <v>1000</v>
      </c>
      <c r="G334" s="44">
        <f>INDEX('LT HD Forecast'!$K$1:$Q$55,MATCH(B334,'LT HD Forecast'!$A:$A,0),MATCH(C334,'LT HD Forecast'!$K$2:$Q$2,0))</f>
        <v>2100</v>
      </c>
      <c r="H334" s="44" cm="1">
        <f t="array" ref="H334">IFERROR(INDEX('ST Forecast'!$E$2:$RK$36,6,M334),"")</f>
        <v>48.785462492122043</v>
      </c>
      <c r="I334" s="44" cm="1">
        <f t="array" ref="I334">IFERROR(INDEX('ST Forecast'!$E$2:$RK$36,7,M334),"")</f>
        <v>51.299347455523602</v>
      </c>
      <c r="J334" s="44">
        <f>SUM(DB[[#This Row],[Sales-FC-Picks-Collect]:[Sales-FC-Picks-HD]])</f>
        <v>156514.0921487216</v>
      </c>
      <c r="K334" s="44">
        <f t="shared" si="101"/>
        <v>48785.462492122046</v>
      </c>
      <c r="L334" s="44">
        <f t="shared" si="102"/>
        <v>107728.62965659956</v>
      </c>
      <c r="M334" s="403">
        <f>IFERROR(IF(B334=B333,M333+1,MATCH(B334,'ST Forecast'!$E$2:$RK$2,0)+1),"")</f>
        <v>378</v>
      </c>
      <c r="N334" s="44">
        <f>SUM(DB[[#This Row],[Ops-FC-Orders-Collect]:[Ops-FC-Orders-HD]])</f>
        <v>3150</v>
      </c>
      <c r="O334" s="44" cm="1">
        <f t="array" ref="O334">IFERROR(INDEX('ST Forecast'!$E$2:$RK$36,13,M334),"")</f>
        <v>1000</v>
      </c>
      <c r="P334" s="44">
        <f t="shared" si="107"/>
        <v>2150</v>
      </c>
      <c r="Q334" s="44" cm="1">
        <f t="array" ref="Q334">IFERROR(INDEX('ST Forecast'!$E$2:$RK$36,14,M334),"")</f>
        <v>1025</v>
      </c>
      <c r="R334" s="44" cm="1">
        <f t="array" ref="R334">IFERROR(INDEX('ST Forecast'!$E$2:$RK$36,15,M334),"")</f>
        <v>1125</v>
      </c>
      <c r="S334" s="312">
        <f>SUM(DB[[#This Row],[Ops-FC-Picks-Collect]:[Ops-FC-Picks-HD]])</f>
        <v>155897.47833106783</v>
      </c>
      <c r="T334" s="44">
        <f t="shared" si="108"/>
        <v>47809.753242279607</v>
      </c>
      <c r="U334" s="44">
        <f t="shared" si="109"/>
        <v>108087.72508878823</v>
      </c>
      <c r="V334" s="44">
        <f t="shared" si="110"/>
        <v>51530.194519073462</v>
      </c>
      <c r="W334" s="404">
        <f t="shared" si="111"/>
        <v>56557.530569714771</v>
      </c>
      <c r="X334" s="44">
        <f>SUM(DB[[#This Row],[Capped-Orders-Collect]:[Capped-Orders-HD]])</f>
        <v>90</v>
      </c>
      <c r="Y334">
        <f>INDEX('Operations Forecast'!$A$2:$BGY$47,3,MATCH(DB!D334,'Operations Forecast'!$A$2:$BGY$2))</f>
        <v>0</v>
      </c>
      <c r="Z334">
        <f t="shared" si="112"/>
        <v>90</v>
      </c>
      <c r="AA334">
        <f>INDEX('Operations Forecast'!$A$2:$BGY$47,10,MATCH(DB!D334,'Operations Forecast'!$A$2:$BGY$2))</f>
        <v>90</v>
      </c>
      <c r="AB334">
        <f>INDEX('Operations Forecast'!$A$2:$BGY$47,21,MATCH(DB!D334,'Operations Forecast'!$A$2:$BGY$2))</f>
        <v>0</v>
      </c>
      <c r="AC334" s="312">
        <f>SUM(DB[[#This Row],[Act-Orders-Collect]:[Act-Orders-HD]])</f>
        <v>3265</v>
      </c>
      <c r="AD334" s="858">
        <f>IFERROR(INDEX('Operations Forecast_new'!$7:$7,MATCH(DB[[#This Row],[Datum]],'Operations Forecast_new'!$2:$2,0)),0)</f>
        <v>1170</v>
      </c>
      <c r="AE334" s="312">
        <f t="shared" si="113"/>
        <v>2095</v>
      </c>
      <c r="AF334" s="858">
        <f>IFERROR(INDEX('Operations Forecast_new'!$13:$13,MATCH(DB[[#This Row],[Datum]],'Operations Forecast_new'!$2:$2,0)),0)</f>
        <v>965</v>
      </c>
      <c r="AG334" s="858">
        <f>IFERROR(INDEX('Operations Forecast_new'!$19:$19,MATCH(DB[[#This Row],[Datum]],'Operations Forecast_new'!$2:$2,0)),0)</f>
        <v>1130</v>
      </c>
      <c r="AH334" s="312">
        <f t="shared" si="103"/>
        <v>154339.01999999999</v>
      </c>
      <c r="AI334" s="858">
        <f>IFERROR(INDEX('Operations Forecast_new'!$9:$9,MATCH(DB[[#This Row],[Datum]],'Operations Forecast_new'!$2:$2,0)),0)</f>
        <v>49806.9</v>
      </c>
      <c r="AJ334" s="312">
        <f t="shared" si="114"/>
        <v>104532.12</v>
      </c>
      <c r="AK334" s="858">
        <f>IFERROR(INDEX('Operations Forecast_new'!$15:$15,MATCH(DB[[#This Row],[Datum]],'Operations Forecast_new'!$2:$2,0)),0)</f>
        <v>48149.64</v>
      </c>
      <c r="AL334" s="858">
        <f>IFERROR(INDEX('Operations Forecast_new'!$21:$21,MATCH(DB[[#This Row],[Datum]],'Operations Forecast_new'!$2:$2,0)),0)</f>
        <v>56382.479999999996</v>
      </c>
      <c r="AM334" s="178">
        <f>IFERROR(INDEX('Operations Forecast_new'!$8:$8,MATCH(DB[[#This Row],[Datum]],'Operations Forecast_new'!$2:$2,0)),0)</f>
        <v>43</v>
      </c>
      <c r="AN334" s="859">
        <f>IFERROR(INDEX('Operations Forecast_new'!$20:$20,MATCH(DB[[#This Row],[Datum]],'Operations Forecast_new'!$2:$2,0)),0)</f>
        <v>50.4</v>
      </c>
      <c r="AO334" s="44">
        <f t="shared" si="115"/>
        <v>42.57</v>
      </c>
      <c r="AP334" s="404">
        <f t="shared" si="116"/>
        <v>49.896000000000001</v>
      </c>
      <c r="AQ334" s="44">
        <f t="shared" si="104"/>
        <v>259696.81</v>
      </c>
      <c r="AR334" s="44" cm="1">
        <f t="array" ref="AR334">IFERROR(INDEX('ST Forecast'!$E$2:$RK$36,25,M334)+(INDEX('ST Forecast'!$E$2:$RK$36,29,M334)),"")</f>
        <v>161687</v>
      </c>
      <c r="AS334" s="44" cm="1">
        <f t="array" ref="AS334">IFERROR(INDEX('ST Forecast'!$E$2:$RK$36,26,M334)+INDEX('ST Forecast'!$E$2:$RK$36,30,M334),"")</f>
        <v>75585.111000000004</v>
      </c>
      <c r="AT334" s="44" cm="1">
        <f t="array" ref="AT334">IFERROR(INDEX('ST Forecast'!$E$2:$RK$36,27,M334)+INDEX('ST Forecast'!$E$2:$RK$36,31,M334),"")</f>
        <v>11203.38</v>
      </c>
      <c r="AU334" s="44" cm="1">
        <f t="array" ref="AU334">IFERROR(INDEX('ST Forecast'!$E$2:$RK$36,28,M334),"")</f>
        <v>11221.319</v>
      </c>
      <c r="AV334" s="44" cm="1">
        <f t="array" ref="AV334">IFERROR(INDEX('ST Forecast'!$E$2:$RK$36,29,M334),"")</f>
        <v>101687</v>
      </c>
      <c r="AW334" s="44">
        <f>DB[[#This Row],[Inbound FC]]-DB[[#This Row],[Inbound Act - Ultrafresh2]]</f>
        <v>158009.81</v>
      </c>
      <c r="AX334" s="178" t="e">
        <f>#REF!</f>
        <v>#REF!</v>
      </c>
      <c r="AY334" s="178" t="e">
        <f>#REF!</f>
        <v>#REF!</v>
      </c>
      <c r="AZ334" s="178" t="e">
        <f>#REF!</f>
        <v>#REF!</v>
      </c>
      <c r="BA334" s="178">
        <f>MONTH(DB[[#This Row],[Datum]])</f>
        <v>11</v>
      </c>
    </row>
    <row r="335" spans="1:53" x14ac:dyDescent="0.3">
      <c r="A335" s="44">
        <f t="shared" si="105"/>
        <v>48</v>
      </c>
      <c r="B335" t="str">
        <f t="shared" si="106"/>
        <v>Wk 48</v>
      </c>
      <c r="C335" t="s">
        <v>114</v>
      </c>
      <c r="D335" s="313">
        <v>44894</v>
      </c>
      <c r="E335" s="44">
        <f>DB[[#This Row],[Sales-FC-Orders-Collect]]+DB[[#This Row],[Sales-FC-Orders-HD]]</f>
        <v>3725</v>
      </c>
      <c r="F335" s="402">
        <f>INDEX('LT Collect Forecast'!$K$1:$Q$55,MATCH(B335,'LT Collect Forecast'!$A:$A,0),MATCH(C335,'LT Collect Forecast'!$K$2:$Q$2,0))</f>
        <v>1250</v>
      </c>
      <c r="G335" s="44">
        <f>INDEX('LT HD Forecast'!$K$1:$Q$55,MATCH(B335,'LT HD Forecast'!$A:$A,0),MATCH(C335,'LT HD Forecast'!$K$2:$Q$2,0))</f>
        <v>2475</v>
      </c>
      <c r="H335" s="44" cm="1">
        <f t="array" ref="H335">IFERROR(INDEX('ST Forecast'!$E$2:$RK$36,6,M335),"")</f>
        <v>56.155002306905345</v>
      </c>
      <c r="I335" s="44" cm="1">
        <f t="array" ref="I335">IFERROR(INDEX('ST Forecast'!$E$2:$RK$36,7,M335),"")</f>
        <v>50.261943918549548</v>
      </c>
      <c r="J335" s="44">
        <f>SUM(DB[[#This Row],[Sales-FC-Picks-Collect]:[Sales-FC-Picks-HD]])</f>
        <v>194592.06408204179</v>
      </c>
      <c r="K335" s="44">
        <f t="shared" si="101"/>
        <v>70193.752883631678</v>
      </c>
      <c r="L335" s="44">
        <f t="shared" si="102"/>
        <v>124398.31119841013</v>
      </c>
      <c r="M335" s="403">
        <f>IFERROR(IF(B335=B334,M334+1,MATCH(B335,'ST Forecast'!$E$2:$RK$2,0)+1),"")</f>
        <v>379</v>
      </c>
      <c r="N335" s="44">
        <f>SUM(DB[[#This Row],[Ops-FC-Orders-Collect]:[Ops-FC-Orders-HD]])</f>
        <v>3650</v>
      </c>
      <c r="O335" s="44" cm="1">
        <f t="array" ref="O335">IFERROR(INDEX('ST Forecast'!$E$2:$RK$36,13,M335),"")</f>
        <v>1150</v>
      </c>
      <c r="P335" s="44">
        <f t="shared" si="107"/>
        <v>2500</v>
      </c>
      <c r="Q335" s="44" cm="1">
        <f t="array" ref="Q335">IFERROR(INDEX('ST Forecast'!$E$2:$RK$36,14,M335),"")</f>
        <v>1375</v>
      </c>
      <c r="R335" s="44" cm="1">
        <f t="array" ref="R335">IFERROR(INDEX('ST Forecast'!$E$2:$RK$36,15,M335),"")</f>
        <v>1125</v>
      </c>
      <c r="S335" s="312">
        <f>SUM(DB[[#This Row],[Ops-FC-Picks-Collect]:[Ops-FC-Picks-HD]])</f>
        <v>186428.45020032872</v>
      </c>
      <c r="T335" s="44">
        <f t="shared" si="108"/>
        <v>63286.687599882323</v>
      </c>
      <c r="U335" s="44">
        <f t="shared" si="109"/>
        <v>123141.76260044638</v>
      </c>
      <c r="V335" s="44">
        <f t="shared" si="110"/>
        <v>67727.969430245517</v>
      </c>
      <c r="W335" s="404">
        <f t="shared" si="111"/>
        <v>55413.793170200872</v>
      </c>
      <c r="X335" s="44">
        <f>SUM(DB[[#This Row],[Capped-Orders-Collect]:[Capped-Orders-HD]])</f>
        <v>90</v>
      </c>
      <c r="Y335">
        <f>INDEX('Operations Forecast'!$A$2:$BGY$47,3,MATCH(DB!D335,'Operations Forecast'!$A$2:$BGY$2))</f>
        <v>0</v>
      </c>
      <c r="Z335">
        <f t="shared" si="112"/>
        <v>90</v>
      </c>
      <c r="AA335">
        <f>INDEX('Operations Forecast'!$A$2:$BGY$47,10,MATCH(DB!D335,'Operations Forecast'!$A$2:$BGY$2))</f>
        <v>90</v>
      </c>
      <c r="AB335">
        <f>INDEX('Operations Forecast'!$A$2:$BGY$47,21,MATCH(DB!D335,'Operations Forecast'!$A$2:$BGY$2))</f>
        <v>0</v>
      </c>
      <c r="AC335" s="312">
        <f>SUM(DB[[#This Row],[Act-Orders-Collect]:[Act-Orders-HD]])</f>
        <v>3570</v>
      </c>
      <c r="AD335" s="858">
        <f>IFERROR(INDEX('Operations Forecast_new'!$7:$7,MATCH(DB[[#This Row],[Datum]],'Operations Forecast_new'!$2:$2,0)),0)</f>
        <v>1050</v>
      </c>
      <c r="AE335" s="312">
        <f t="shared" si="113"/>
        <v>2520</v>
      </c>
      <c r="AF335" s="858">
        <f>IFERROR(INDEX('Operations Forecast_new'!$13:$13,MATCH(DB[[#This Row],[Datum]],'Operations Forecast_new'!$2:$2,0)),0)</f>
        <v>1343</v>
      </c>
      <c r="AG335" s="858">
        <f>IFERROR(INDEX('Operations Forecast_new'!$19:$19,MATCH(DB[[#This Row],[Datum]],'Operations Forecast_new'!$2:$2,0)),0)</f>
        <v>1177</v>
      </c>
      <c r="AH335" s="312">
        <f t="shared" si="103"/>
        <v>171164.07</v>
      </c>
      <c r="AI335" s="858">
        <f>IFERROR(INDEX('Operations Forecast_new'!$9:$9,MATCH(DB[[#This Row],[Datum]],'Operations Forecast_new'!$2:$2,0)),0)</f>
        <v>44178.75</v>
      </c>
      <c r="AJ335" s="312">
        <f t="shared" si="114"/>
        <v>126985.31999999999</v>
      </c>
      <c r="AK335" s="858">
        <f>IFERROR(INDEX('Operations Forecast_new'!$15:$15,MATCH(DB[[#This Row],[Datum]],'Operations Forecast_new'!$2:$2,0)),0)</f>
        <v>67675.112999999998</v>
      </c>
      <c r="AL335" s="858">
        <f>IFERROR(INDEX('Operations Forecast_new'!$21:$21,MATCH(DB[[#This Row],[Datum]],'Operations Forecast_new'!$2:$2,0)),0)</f>
        <v>59310.206999999995</v>
      </c>
      <c r="AM335" s="178">
        <f>IFERROR(INDEX('Operations Forecast_new'!$8:$8,MATCH(DB[[#This Row],[Datum]],'Operations Forecast_new'!$2:$2,0)),0)</f>
        <v>42.5</v>
      </c>
      <c r="AN335" s="859">
        <f>IFERROR(INDEX('Operations Forecast_new'!$20:$20,MATCH(DB[[#This Row],[Datum]],'Operations Forecast_new'!$2:$2,0)),0)</f>
        <v>50.9</v>
      </c>
      <c r="AO335" s="44">
        <f t="shared" si="115"/>
        <v>42.075000000000003</v>
      </c>
      <c r="AP335" s="404">
        <f t="shared" si="116"/>
        <v>50.390999999999998</v>
      </c>
      <c r="AQ335" s="44">
        <f>SUM(AR335:AU335)</f>
        <v>179524.80340660611</v>
      </c>
      <c r="AR335" s="44" cm="1">
        <f t="array" ref="AR335">IFERROR(INDEX('ST Forecast'!$E$2:$RK$36,25,M335)+(INDEX('ST Forecast'!$E$2:$RK$36,29,M335)),"")</f>
        <v>79465.919999999998</v>
      </c>
      <c r="AS335" s="44" cm="1">
        <f t="array" ref="AS335">IFERROR(INDEX('ST Forecast'!$E$2:$RK$36,26,M335)+INDEX('ST Forecast'!$E$2:$RK$36,30,M335),"")</f>
        <v>82253.145392675564</v>
      </c>
      <c r="AT335" s="44" cm="1">
        <f t="array" ref="AT335">IFERROR(INDEX('ST Forecast'!$E$2:$RK$36,27,M335)+INDEX('ST Forecast'!$E$2:$RK$36,31,M335),"")</f>
        <v>7546.8914066060934</v>
      </c>
      <c r="AU335" s="44" cm="1">
        <f t="array" ref="AU335">IFERROR(INDEX('ST Forecast'!$E$2:$RK$36,28,M335),"")</f>
        <v>10258.846607324445</v>
      </c>
      <c r="AV335" s="44" cm="1">
        <f t="array" ref="AV335">IFERROR(INDEX('ST Forecast'!$E$2:$RK$36,29,M335),"")</f>
        <v>0</v>
      </c>
      <c r="AW335" s="44">
        <f>DB[[#This Row],[Inbound FC]]-DB[[#This Row],[Inbound Act - Ultrafresh2]]</f>
        <v>179524.80340660611</v>
      </c>
      <c r="AX335" s="178" t="e">
        <f>#REF!</f>
        <v>#REF!</v>
      </c>
      <c r="AY335" s="178" t="e">
        <f>#REF!</f>
        <v>#REF!</v>
      </c>
      <c r="AZ335" s="178" t="e">
        <f>#REF!</f>
        <v>#REF!</v>
      </c>
      <c r="BA335" s="178">
        <f>MONTH(DB[[#This Row],[Datum]])</f>
        <v>11</v>
      </c>
    </row>
    <row r="336" spans="1:53" x14ac:dyDescent="0.3">
      <c r="A336" s="44">
        <f t="shared" si="105"/>
        <v>48</v>
      </c>
      <c r="B336" t="str">
        <f t="shared" si="106"/>
        <v>Wk 48</v>
      </c>
      <c r="C336" t="s">
        <v>115</v>
      </c>
      <c r="D336" s="313">
        <v>44895</v>
      </c>
      <c r="E336" s="44">
        <f>DB[[#This Row],[Sales-FC-Orders-Collect]]+DB[[#This Row],[Sales-FC-Orders-HD]]</f>
        <v>3550</v>
      </c>
      <c r="F336" s="402">
        <f>INDEX('LT Collect Forecast'!$K$1:$Q$55,MATCH(B336,'LT Collect Forecast'!$A:$A,0),MATCH(C336,'LT Collect Forecast'!$K$2:$Q$2,0))</f>
        <v>1075</v>
      </c>
      <c r="G336" s="44">
        <f>INDEX('LT HD Forecast'!$K$1:$Q$55,MATCH(B336,'LT HD Forecast'!$A:$A,0),MATCH(C336,'LT HD Forecast'!$K$2:$Q$2,0))</f>
        <v>2475</v>
      </c>
      <c r="H336" s="44" cm="1">
        <f t="array" ref="H336">IFERROR(INDEX('ST Forecast'!$E$2:$RK$36,6,M336),"")</f>
        <v>50.147977395439199</v>
      </c>
      <c r="I336" s="44" cm="1">
        <f t="array" ref="I336">IFERROR(INDEX('ST Forecast'!$E$2:$RK$36,7,M336),"")</f>
        <v>52.022503830402165</v>
      </c>
      <c r="J336" s="44">
        <f>SUM(DB[[#This Row],[Sales-FC-Picks-Collect]:[Sales-FC-Picks-HD]])</f>
        <v>182664.77268034249</v>
      </c>
      <c r="K336" s="44">
        <f t="shared" si="101"/>
        <v>53909.075700097135</v>
      </c>
      <c r="L336" s="44">
        <f t="shared" si="102"/>
        <v>128755.69698024535</v>
      </c>
      <c r="M336" s="403">
        <f>IFERROR(IF(B336=B335,M335+1,MATCH(B336,'ST Forecast'!$E$2:$RK$2,0)+1),"")</f>
        <v>380</v>
      </c>
      <c r="N336" s="44">
        <f>SUM(DB[[#This Row],[Ops-FC-Orders-Collect]:[Ops-FC-Orders-HD]])</f>
        <v>3550</v>
      </c>
      <c r="O336" s="44" cm="1">
        <f t="array" ref="O336">IFERROR(INDEX('ST Forecast'!$E$2:$RK$36,13,M336),"")</f>
        <v>1050</v>
      </c>
      <c r="P336" s="44">
        <f t="shared" si="107"/>
        <v>2500</v>
      </c>
      <c r="Q336" s="44" cm="1">
        <f t="array" ref="Q336">IFERROR(INDEX('ST Forecast'!$E$2:$RK$36,14,M336),"")</f>
        <v>1375</v>
      </c>
      <c r="R336" s="44" cm="1">
        <f t="array" ref="R336">IFERROR(INDEX('ST Forecast'!$E$2:$RK$36,15,M336),"")</f>
        <v>1125</v>
      </c>
      <c r="S336" s="312">
        <f>SUM(DB[[#This Row],[Ops-FC-Picks-Collect]:[Ops-FC-Picks-HD]])</f>
        <v>179057.40312439227</v>
      </c>
      <c r="T336" s="44">
        <f t="shared" si="108"/>
        <v>51602.26873990694</v>
      </c>
      <c r="U336" s="44">
        <f t="shared" si="109"/>
        <v>127455.13438448531</v>
      </c>
      <c r="V336" s="44">
        <f t="shared" si="110"/>
        <v>70100.323911466927</v>
      </c>
      <c r="W336" s="404">
        <f t="shared" si="111"/>
        <v>57354.810473018384</v>
      </c>
      <c r="X336" s="44">
        <f>SUM(DB[[#This Row],[Capped-Orders-Collect]:[Capped-Orders-HD]])</f>
        <v>90</v>
      </c>
      <c r="Y336">
        <f>INDEX('Operations Forecast'!$A$2:$BGY$47,3,MATCH(DB!D336,'Operations Forecast'!$A$2:$BGY$2))</f>
        <v>0</v>
      </c>
      <c r="Z336">
        <f t="shared" si="112"/>
        <v>90</v>
      </c>
      <c r="AA336">
        <f>INDEX('Operations Forecast'!$A$2:$BGY$47,10,MATCH(DB!D336,'Operations Forecast'!$A$2:$BGY$2))</f>
        <v>90</v>
      </c>
      <c r="AB336">
        <f>INDEX('Operations Forecast'!$A$2:$BGY$47,21,MATCH(DB!D336,'Operations Forecast'!$A$2:$BGY$2))</f>
        <v>0</v>
      </c>
      <c r="AC336" s="312">
        <f>SUM(DB[[#This Row],[Act-Orders-Collect]:[Act-Orders-HD]])</f>
        <v>3599</v>
      </c>
      <c r="AD336" s="858">
        <f>IFERROR(INDEX('Operations Forecast_new'!$7:$7,MATCH(DB[[#This Row],[Datum]],'Operations Forecast_new'!$2:$2,0)),0)</f>
        <v>1090</v>
      </c>
      <c r="AE336" s="312">
        <f t="shared" si="113"/>
        <v>2509</v>
      </c>
      <c r="AF336" s="858">
        <f>IFERROR(INDEX('Operations Forecast_new'!$13:$13,MATCH(DB[[#This Row],[Datum]],'Operations Forecast_new'!$2:$2,0)),0)</f>
        <v>1342</v>
      </c>
      <c r="AG336" s="858">
        <f>IFERROR(INDEX('Operations Forecast_new'!$19:$19,MATCH(DB[[#This Row],[Datum]],'Operations Forecast_new'!$2:$2,0)),0)</f>
        <v>1167</v>
      </c>
      <c r="AH336" s="312">
        <f t="shared" si="103"/>
        <v>176623.326</v>
      </c>
      <c r="AI336" s="858">
        <f>IFERROR(INDEX('Operations Forecast_new'!$9:$9,MATCH(DB[[#This Row],[Datum]],'Operations Forecast_new'!$2:$2,0)),0)</f>
        <v>45969.659999999996</v>
      </c>
      <c r="AJ336" s="312">
        <f t="shared" si="114"/>
        <v>130653.666</v>
      </c>
      <c r="AK336" s="858">
        <f>IFERROR(INDEX('Operations Forecast_new'!$15:$15,MATCH(DB[[#This Row],[Datum]],'Operations Forecast_new'!$2:$2,0)),0)</f>
        <v>69883.30799999999</v>
      </c>
      <c r="AL336" s="858">
        <f>IFERROR(INDEX('Operations Forecast_new'!$21:$21,MATCH(DB[[#This Row],[Datum]],'Operations Forecast_new'!$2:$2,0)),0)</f>
        <v>60770.358</v>
      </c>
      <c r="AM336" s="178">
        <f>IFERROR(INDEX('Operations Forecast_new'!$8:$8,MATCH(DB[[#This Row],[Datum]],'Operations Forecast_new'!$2:$2,0)),0)</f>
        <v>42.6</v>
      </c>
      <c r="AN336" s="859">
        <f>IFERROR(INDEX('Operations Forecast_new'!$20:$20,MATCH(DB[[#This Row],[Datum]],'Operations Forecast_new'!$2:$2,0)),0)</f>
        <v>52.6</v>
      </c>
      <c r="AO336" s="44">
        <f t="shared" si="115"/>
        <v>42.173999999999999</v>
      </c>
      <c r="AP336" s="404">
        <f t="shared" si="116"/>
        <v>52.073999999999998</v>
      </c>
      <c r="AQ336" s="44">
        <f t="shared" si="104"/>
        <v>165989.06216103517</v>
      </c>
      <c r="AR336" s="44" cm="1">
        <f t="array" ref="AR336">IFERROR(INDEX('ST Forecast'!$E$2:$RK$36,25,M336)+(INDEX('ST Forecast'!$E$2:$RK$36,29,M336)),"")</f>
        <v>78236.160000000003</v>
      </c>
      <c r="AS336" s="44" cm="1">
        <f t="array" ref="AS336">IFERROR(INDEX('ST Forecast'!$E$2:$RK$36,26,M336)+INDEX('ST Forecast'!$E$2:$RK$36,30,M336),"")</f>
        <v>70658.350079853859</v>
      </c>
      <c r="AT336" s="44" cm="1">
        <f t="array" ref="AT336">IFERROR(INDEX('ST Forecast'!$E$2:$RK$36,27,M336)+INDEX('ST Forecast'!$E$2:$RK$36,31,M336),"")</f>
        <v>6533.7421610351266</v>
      </c>
      <c r="AU336" s="44" cm="1">
        <f t="array" ref="AU336">IFERROR(INDEX('ST Forecast'!$E$2:$RK$36,28,M336),"")</f>
        <v>10560.809920146146</v>
      </c>
      <c r="AV336" s="44" cm="1">
        <f t="array" ref="AV336">IFERROR(INDEX('ST Forecast'!$E$2:$RK$36,29,M336),"")</f>
        <v>0</v>
      </c>
      <c r="AW336" s="44">
        <f>DB[[#This Row],[Inbound FC]]-DB[[#This Row],[Inbound Act - Ultrafresh2]]</f>
        <v>165989.06216103517</v>
      </c>
      <c r="AX336" s="178" t="e">
        <f>#REF!</f>
        <v>#REF!</v>
      </c>
      <c r="AY336" s="178" t="e">
        <f>#REF!</f>
        <v>#REF!</v>
      </c>
      <c r="AZ336" s="178" t="e">
        <f>#REF!</f>
        <v>#REF!</v>
      </c>
      <c r="BA336" s="178">
        <f>MONTH(DB[[#This Row],[Datum]])</f>
        <v>11</v>
      </c>
    </row>
    <row r="337" spans="1:53" x14ac:dyDescent="0.3">
      <c r="A337" s="44">
        <f t="shared" si="105"/>
        <v>48</v>
      </c>
      <c r="B337" t="str">
        <f t="shared" si="106"/>
        <v>Wk 48</v>
      </c>
      <c r="C337" t="s">
        <v>116</v>
      </c>
      <c r="D337" s="313">
        <v>44896</v>
      </c>
      <c r="E337" s="44">
        <f>DB[[#This Row],[Sales-FC-Orders-Collect]]+DB[[#This Row],[Sales-FC-Orders-HD]]</f>
        <v>3275</v>
      </c>
      <c r="F337" s="402" cm="1">
        <f t="array" ref="F337">INDEX('LT Collect Forecast'!$K$1:$Q$55,MATCH(B337,'LT Collect Forecast'!$A:$A,0)+1,MATCH(C337,'LT Collect Forecast'!$K$2:$Q$2,0))</f>
        <v>950</v>
      </c>
      <c r="G337" s="44" cm="1">
        <f t="array" ref="G337">INDEX('LT HD Forecast'!$K$1:$Q$55,MATCH(B337,'LT HD Forecast'!$A:$A,0)+1,MATCH(C337,'LT HD Forecast'!$K$2:$Q$2,0))</f>
        <v>2325</v>
      </c>
      <c r="H337" s="44" cm="1">
        <f t="array" ref="H337">IFERROR(INDEX('ST Forecast'!$E$2:$RK$36,6,M337),"")</f>
        <v>50.627842014407001</v>
      </c>
      <c r="I337" s="44" cm="1">
        <f t="array" ref="I337">IFERROR(INDEX('ST Forecast'!$E$2:$RK$36,7,M337),"")</f>
        <v>51.662950265189139</v>
      </c>
      <c r="J337" s="44">
        <f>SUM(DB[[#This Row],[Sales-FC-Picks-Collect]:[Sales-FC-Picks-HD]])</f>
        <v>168212.80928025139</v>
      </c>
      <c r="K337" s="44">
        <f t="shared" si="101"/>
        <v>48096.449913686651</v>
      </c>
      <c r="L337" s="44">
        <f t="shared" si="102"/>
        <v>120116.35936656475</v>
      </c>
      <c r="M337" s="403">
        <f>IFERROR(IF(B337=B336,M336+1,MATCH(B337,'ST Forecast'!$E$2:$RK$2,0)+1),"")</f>
        <v>381</v>
      </c>
      <c r="N337" s="44">
        <f>SUM(DB[[#This Row],[Ops-FC-Orders-Collect]:[Ops-FC-Orders-HD]])</f>
        <v>3350</v>
      </c>
      <c r="O337" s="44" cm="1">
        <f t="array" ref="O337">IFERROR(INDEX('ST Forecast'!$E$2:$RK$36,13,M337),"")</f>
        <v>1000</v>
      </c>
      <c r="P337" s="44">
        <f t="shared" si="107"/>
        <v>2350</v>
      </c>
      <c r="Q337" s="44" cm="1">
        <f t="array" ref="Q337">IFERROR(INDEX('ST Forecast'!$E$2:$RK$36,14,M337),"")</f>
        <v>1200</v>
      </c>
      <c r="R337" s="44" cm="1">
        <f t="array" ref="R337">IFERROR(INDEX('ST Forecast'!$E$2:$RK$36,15,M337),"")</f>
        <v>1150</v>
      </c>
      <c r="S337" s="312">
        <f>SUM(DB[[#This Row],[Ops-FC-Picks-Collect]:[Ops-FC-Picks-HD]])</f>
        <v>168595.05963484943</v>
      </c>
      <c r="T337" s="44">
        <f t="shared" si="108"/>
        <v>49615.285174118864</v>
      </c>
      <c r="U337" s="44">
        <f t="shared" si="109"/>
        <v>118979.77446073058</v>
      </c>
      <c r="V337" s="44">
        <f t="shared" si="110"/>
        <v>60755.629511862426</v>
      </c>
      <c r="W337" s="404">
        <f t="shared" si="111"/>
        <v>58224.144948868161</v>
      </c>
      <c r="X337" s="44">
        <f>SUM(DB[[#This Row],[Capped-Orders-Collect]:[Capped-Orders-HD]])</f>
        <v>90</v>
      </c>
      <c r="Y337">
        <f>INDEX('Operations Forecast'!$A$2:$BGY$47,3,MATCH(DB!D337,'Operations Forecast'!$A$2:$BGY$2))</f>
        <v>0</v>
      </c>
      <c r="Z337">
        <f t="shared" si="112"/>
        <v>90</v>
      </c>
      <c r="AA337">
        <f>INDEX('Operations Forecast'!$A$2:$BGY$47,10,MATCH(DB!D337,'Operations Forecast'!$A$2:$BGY$2))</f>
        <v>90</v>
      </c>
      <c r="AB337">
        <f>INDEX('Operations Forecast'!$A$2:$BGY$47,21,MATCH(DB!D337,'Operations Forecast'!$A$2:$BGY$2))</f>
        <v>0</v>
      </c>
      <c r="AC337" s="312">
        <f>SUM(DB[[#This Row],[Act-Orders-Collect]:[Act-Orders-HD]])</f>
        <v>3429</v>
      </c>
      <c r="AD337" s="858">
        <f>IFERROR(INDEX('Operations Forecast_new'!$7:$7,MATCH(DB[[#This Row],[Datum]],'Operations Forecast_new'!$2:$2,0)),0)</f>
        <v>942</v>
      </c>
      <c r="AE337" s="312">
        <f t="shared" si="113"/>
        <v>2487</v>
      </c>
      <c r="AF337" s="858">
        <f>IFERROR(INDEX('Operations Forecast_new'!$13:$13,MATCH(DB[[#This Row],[Datum]],'Operations Forecast_new'!$2:$2,0)),0)</f>
        <v>1262</v>
      </c>
      <c r="AG337" s="858">
        <f>IFERROR(INDEX('Operations Forecast_new'!$19:$19,MATCH(DB[[#This Row],[Datum]],'Operations Forecast_new'!$2:$2,0)),0)</f>
        <v>1225</v>
      </c>
      <c r="AH337" s="312">
        <f t="shared" si="103"/>
        <v>168609.27599999998</v>
      </c>
      <c r="AI337" s="858">
        <f>IFERROR(INDEX('Operations Forecast_new'!$9:$9,MATCH(DB[[#This Row],[Datum]],'Operations Forecast_new'!$2:$2,0)),0)</f>
        <v>38608.811999999998</v>
      </c>
      <c r="AJ337" s="312">
        <f t="shared" si="114"/>
        <v>130000.46399999999</v>
      </c>
      <c r="AK337" s="858">
        <f>IFERROR(INDEX('Operations Forecast_new'!$15:$15,MATCH(DB[[#This Row],[Datum]],'Operations Forecast_new'!$2:$2,0)),0)</f>
        <v>65967.263999999996</v>
      </c>
      <c r="AL337" s="858">
        <f>IFERROR(INDEX('Operations Forecast_new'!$21:$21,MATCH(DB[[#This Row],[Datum]],'Operations Forecast_new'!$2:$2,0)),0)</f>
        <v>64033.2</v>
      </c>
      <c r="AM337" s="178">
        <f>IFERROR(INDEX('Operations Forecast_new'!$8:$8,MATCH(DB[[#This Row],[Datum]],'Operations Forecast_new'!$2:$2,0)),0)</f>
        <v>41.4</v>
      </c>
      <c r="AN337" s="859">
        <f>IFERROR(INDEX('Operations Forecast_new'!$20:$20,MATCH(DB[[#This Row],[Datum]],'Operations Forecast_new'!$2:$2,0)),0)</f>
        <v>52.8</v>
      </c>
      <c r="AO337" s="44">
        <f t="shared" si="115"/>
        <v>40.985999999999997</v>
      </c>
      <c r="AP337" s="404">
        <f t="shared" si="116"/>
        <v>52.271999999999998</v>
      </c>
      <c r="AQ337" s="44">
        <f t="shared" si="104"/>
        <v>158251.15288362341</v>
      </c>
      <c r="AR337" s="44" cm="1">
        <f t="array" ref="AR337">IFERROR(INDEX('ST Forecast'!$E$2:$RK$36,25,M337)+(INDEX('ST Forecast'!$E$2:$RK$36,29,M337)),"")</f>
        <v>66038.128999999986</v>
      </c>
      <c r="AS337" s="44" cm="1">
        <f t="array" ref="AS337">IFERROR(INDEX('ST Forecast'!$E$2:$RK$36,26,M337)+INDEX('ST Forecast'!$E$2:$RK$36,30,M337),"")</f>
        <v>71378.902000000002</v>
      </c>
      <c r="AT337" s="44" cm="1">
        <f t="array" ref="AT337">IFERROR(INDEX('ST Forecast'!$E$2:$RK$36,27,M337)+INDEX('ST Forecast'!$E$2:$RK$36,31,M337),"")</f>
        <v>10310.724883623432</v>
      </c>
      <c r="AU337" s="44" cm="1">
        <f t="array" ref="AU337">IFERROR(INDEX('ST Forecast'!$E$2:$RK$36,28,M337),"")</f>
        <v>10523.397000000001</v>
      </c>
      <c r="AV337" s="44" cm="1">
        <f t="array" ref="AV337">IFERROR(INDEX('ST Forecast'!$E$2:$RK$36,29,M337),"")</f>
        <v>0</v>
      </c>
      <c r="AW337" s="44">
        <f>DB[[#This Row],[Inbound FC]]-DB[[#This Row],[Inbound Act - Ultrafresh2]]</f>
        <v>158251.15288362341</v>
      </c>
      <c r="AX337" s="178" t="e">
        <f>#REF!</f>
        <v>#REF!</v>
      </c>
      <c r="AY337" s="178" t="e">
        <f>#REF!</f>
        <v>#REF!</v>
      </c>
      <c r="AZ337" s="178" t="e">
        <f>#REF!</f>
        <v>#REF!</v>
      </c>
      <c r="BA337" s="178">
        <f>MONTH(DB[[#This Row],[Datum]])</f>
        <v>12</v>
      </c>
    </row>
    <row r="338" spans="1:53" x14ac:dyDescent="0.3">
      <c r="A338" s="44">
        <f t="shared" si="105"/>
        <v>48</v>
      </c>
      <c r="B338" t="str">
        <f t="shared" si="106"/>
        <v>Wk 48</v>
      </c>
      <c r="C338" t="s">
        <v>117</v>
      </c>
      <c r="D338" s="313">
        <v>44897</v>
      </c>
      <c r="E338" s="44">
        <f>DB[[#This Row],[Sales-FC-Orders-Collect]]+DB[[#This Row],[Sales-FC-Orders-HD]]</f>
        <v>3425</v>
      </c>
      <c r="F338" s="402" cm="1">
        <f t="array" ref="F338">INDEX('LT Collect Forecast'!$K$1:$Q$55,MATCH(B338,'LT Collect Forecast'!$A:$A,0)+1,MATCH(C338,'LT Collect Forecast'!$K$2:$Q$2,0))</f>
        <v>1050</v>
      </c>
      <c r="G338" s="44" cm="1">
        <f t="array" ref="G338">INDEX('LT HD Forecast'!$K$1:$Q$55,MATCH(B338,'LT HD Forecast'!$A:$A,0)+1,MATCH(C338,'LT HD Forecast'!$K$2:$Q$2,0))</f>
        <v>2375</v>
      </c>
      <c r="H338" s="44" cm="1">
        <f t="array" ref="H338">IFERROR(INDEX('ST Forecast'!$E$2:$RK$36,6,M338),"")</f>
        <v>51.520878428968132</v>
      </c>
      <c r="I338" s="44" cm="1">
        <f t="array" ref="I338">IFERROR(INDEX('ST Forecast'!$E$2:$RK$36,7,M338),"")</f>
        <v>49.91508175877118</v>
      </c>
      <c r="J338" s="44">
        <f>SUM(DB[[#This Row],[Sales-FC-Picks-Collect]:[Sales-FC-Picks-HD]])</f>
        <v>172645.24152749809</v>
      </c>
      <c r="K338" s="44">
        <f t="shared" si="101"/>
        <v>54096.922350416542</v>
      </c>
      <c r="L338" s="44">
        <f t="shared" si="102"/>
        <v>118548.31917708155</v>
      </c>
      <c r="M338" s="403">
        <f>IFERROR(IF(B338=B337,M337+1,MATCH(B338,'ST Forecast'!$E$2:$RK$2,0)+1),"")</f>
        <v>382</v>
      </c>
      <c r="N338" s="44">
        <f>SUM(DB[[#This Row],[Ops-FC-Orders-Collect]:[Ops-FC-Orders-HD]])</f>
        <v>3450</v>
      </c>
      <c r="O338" s="44" cm="1">
        <f t="array" ref="O338">IFERROR(INDEX('ST Forecast'!$E$2:$RK$36,13,M338),"")</f>
        <v>1100</v>
      </c>
      <c r="P338" s="44">
        <f t="shared" si="107"/>
        <v>2350</v>
      </c>
      <c r="Q338" s="44" cm="1">
        <f t="array" ref="Q338">IFERROR(INDEX('ST Forecast'!$E$2:$RK$36,14,M338),"")</f>
        <v>1250</v>
      </c>
      <c r="R338" s="44" cm="1">
        <f t="array" ref="R338">IFERROR(INDEX('ST Forecast'!$E$2:$RK$36,15,M338),"")</f>
        <v>1100</v>
      </c>
      <c r="S338" s="312">
        <f>SUM(DB[[#This Row],[Ops-FC-Picks-Collect]:[Ops-FC-Picks-HD]])</f>
        <v>170493.94023687765</v>
      </c>
      <c r="T338" s="44">
        <f t="shared" si="108"/>
        <v>55539.506946427638</v>
      </c>
      <c r="U338" s="44">
        <f t="shared" si="109"/>
        <v>114954.43329045002</v>
      </c>
      <c r="V338" s="44">
        <f t="shared" si="110"/>
        <v>61145.975154494692</v>
      </c>
      <c r="W338" s="404">
        <f t="shared" si="111"/>
        <v>53808.458135955334</v>
      </c>
      <c r="X338" s="44">
        <f>SUM(DB[[#This Row],[Capped-Orders-Collect]:[Capped-Orders-HD]])</f>
        <v>90</v>
      </c>
      <c r="Y338">
        <f>INDEX('Operations Forecast'!$A$2:$BGY$47,3,MATCH(DB!D338,'Operations Forecast'!$A$2:$BGY$2))</f>
        <v>0</v>
      </c>
      <c r="Z338">
        <f t="shared" si="112"/>
        <v>90</v>
      </c>
      <c r="AA338">
        <f>INDEX('Operations Forecast'!$A$2:$BGY$47,10,MATCH(DB!D338,'Operations Forecast'!$A$2:$BGY$2))</f>
        <v>90</v>
      </c>
      <c r="AB338">
        <f>INDEX('Operations Forecast'!$A$2:$BGY$47,21,MATCH(DB!D338,'Operations Forecast'!$A$2:$BGY$2))</f>
        <v>0</v>
      </c>
      <c r="AC338" s="312">
        <f>SUM(DB[[#This Row],[Act-Orders-Collect]:[Act-Orders-HD]])</f>
        <v>3586</v>
      </c>
      <c r="AD338" s="858">
        <f>IFERROR(INDEX('Operations Forecast_new'!$7:$7,MATCH(DB[[#This Row],[Datum]],'Operations Forecast_new'!$2:$2,0)),0)</f>
        <v>1155</v>
      </c>
      <c r="AE338" s="312">
        <f t="shared" si="113"/>
        <v>2431</v>
      </c>
      <c r="AF338" s="858">
        <f>IFERROR(INDEX('Operations Forecast_new'!$13:$13,MATCH(DB[[#This Row],[Datum]],'Operations Forecast_new'!$2:$2,0)),0)</f>
        <v>1290</v>
      </c>
      <c r="AG338" s="858">
        <f>IFERROR(INDEX('Operations Forecast_new'!$19:$19,MATCH(DB[[#This Row],[Datum]],'Operations Forecast_new'!$2:$2,0)),0)</f>
        <v>1141</v>
      </c>
      <c r="AH338" s="312">
        <f t="shared" si="103"/>
        <v>183571.641</v>
      </c>
      <c r="AI338" s="858">
        <f>IFERROR(INDEX('Operations Forecast_new'!$9:$9,MATCH(DB[[#This Row],[Datum]],'Operations Forecast_new'!$2:$2,0)),0)</f>
        <v>56257.74</v>
      </c>
      <c r="AJ338" s="312">
        <f t="shared" si="114"/>
        <v>127313.901</v>
      </c>
      <c r="AK338" s="858">
        <f>IFERROR(INDEX('Operations Forecast_new'!$15:$15,MATCH(DB[[#This Row],[Datum]],'Operations Forecast_new'!$2:$2,0)),0)</f>
        <v>67558.59</v>
      </c>
      <c r="AL338" s="858">
        <f>IFERROR(INDEX('Operations Forecast_new'!$21:$21,MATCH(DB[[#This Row],[Datum]],'Operations Forecast_new'!$2:$2,0)),0)</f>
        <v>59755.311000000002</v>
      </c>
      <c r="AM338" s="178">
        <f>IFERROR(INDEX('Operations Forecast_new'!$8:$8,MATCH(DB[[#This Row],[Datum]],'Operations Forecast_new'!$2:$2,0)),0)</f>
        <v>49.2</v>
      </c>
      <c r="AN338" s="859">
        <f>IFERROR(INDEX('Operations Forecast_new'!$20:$20,MATCH(DB[[#This Row],[Datum]],'Operations Forecast_new'!$2:$2,0)),0)</f>
        <v>52.9</v>
      </c>
      <c r="AO338" s="44">
        <f t="shared" si="115"/>
        <v>48.707999999999998</v>
      </c>
      <c r="AP338" s="404">
        <f t="shared" si="116"/>
        <v>52.371000000000002</v>
      </c>
      <c r="AQ338" s="44">
        <f t="shared" si="104"/>
        <v>152984.32213609852</v>
      </c>
      <c r="AR338" s="44" cm="1">
        <f t="array" ref="AR338">IFERROR(INDEX('ST Forecast'!$E$2:$RK$36,25,M338)+(INDEX('ST Forecast'!$E$2:$RK$36,29,M338)),"")</f>
        <v>57431.396000000001</v>
      </c>
      <c r="AS338" s="44" cm="1">
        <f t="array" ref="AS338">IFERROR(INDEX('ST Forecast'!$E$2:$RK$36,26,M338)+INDEX('ST Forecast'!$E$2:$RK$36,30,M338),"")</f>
        <v>78786.786000000007</v>
      </c>
      <c r="AT338" s="44" cm="1">
        <f t="array" ref="AT338">IFERROR(INDEX('ST Forecast'!$E$2:$RK$36,27,M338)+INDEX('ST Forecast'!$E$2:$RK$36,31,M338),"")</f>
        <v>6499.9061360985352</v>
      </c>
      <c r="AU338" s="44" cm="1">
        <f t="array" ref="AU338">IFERROR(INDEX('ST Forecast'!$E$2:$RK$36,28,M338),"")</f>
        <v>10266.234</v>
      </c>
      <c r="AV338" s="44" cm="1">
        <f t="array" ref="AV338">IFERROR(INDEX('ST Forecast'!$E$2:$RK$36,29,M338),"")</f>
        <v>0</v>
      </c>
      <c r="AW338" s="44">
        <f>DB[[#This Row],[Inbound FC]]-DB[[#This Row],[Inbound Act - Ultrafresh2]]</f>
        <v>152984.32213609852</v>
      </c>
      <c r="AX338" s="178" t="e">
        <f>#REF!</f>
        <v>#REF!</v>
      </c>
      <c r="AY338" s="178" t="e">
        <f>#REF!</f>
        <v>#REF!</v>
      </c>
      <c r="AZ338" s="178" t="e">
        <f>#REF!</f>
        <v>#REF!</v>
      </c>
      <c r="BA338" s="178">
        <f>MONTH(DB[[#This Row],[Datum]])</f>
        <v>12</v>
      </c>
    </row>
    <row r="339" spans="1:53" x14ac:dyDescent="0.3">
      <c r="A339" s="44">
        <f t="shared" si="105"/>
        <v>48</v>
      </c>
      <c r="B339" t="str">
        <f t="shared" si="106"/>
        <v>Wk 48</v>
      </c>
      <c r="C339" t="s">
        <v>118</v>
      </c>
      <c r="D339" s="313">
        <v>44898</v>
      </c>
      <c r="E339" s="44">
        <f>DB[[#This Row],[Sales-FC-Orders-Collect]]+DB[[#This Row],[Sales-FC-Orders-HD]]</f>
        <v>3100</v>
      </c>
      <c r="F339" s="402" cm="1">
        <f t="array" ref="F339">INDEX('LT Collect Forecast'!$K$1:$Q$55,MATCH(B339,'LT Collect Forecast'!$A:$A,0)+1,MATCH(C339,'LT Collect Forecast'!$K$2:$Q$2,0))</f>
        <v>1000</v>
      </c>
      <c r="G339" s="44" cm="1">
        <f t="array" ref="G339">INDEX('LT HD Forecast'!$K$1:$Q$55,MATCH(B339,'LT HD Forecast'!$A:$A,0)+1,MATCH(C339,'LT HD Forecast'!$K$2:$Q$2,0))</f>
        <v>2100</v>
      </c>
      <c r="H339" s="44" cm="1">
        <f t="array" ref="H339">IFERROR(INDEX('ST Forecast'!$E$2:$RK$36,6,M339),"")</f>
        <v>51.572017983800016</v>
      </c>
      <c r="I339" s="44" cm="1">
        <f t="array" ref="I339">IFERROR(INDEX('ST Forecast'!$E$2:$RK$36,7,M339),"")</f>
        <v>48.900730487350025</v>
      </c>
      <c r="J339" s="44">
        <f>SUM(DB[[#This Row],[Sales-FC-Picks-Collect]:[Sales-FC-Picks-HD]])</f>
        <v>154263.55200723506</v>
      </c>
      <c r="K339" s="44">
        <f t="shared" si="101"/>
        <v>51572.017983800019</v>
      </c>
      <c r="L339" s="44">
        <f t="shared" si="102"/>
        <v>102691.53402343506</v>
      </c>
      <c r="M339" s="403">
        <f>IFERROR(IF(B339=B338,M338+1,MATCH(B339,'ST Forecast'!$E$2:$RK$2,0)+1),"")</f>
        <v>383</v>
      </c>
      <c r="N339" s="44">
        <f>SUM(DB[[#This Row],[Ops-FC-Orders-Collect]:[Ops-FC-Orders-HD]])</f>
        <v>3250</v>
      </c>
      <c r="O339" s="44" cm="1">
        <f t="array" ref="O339">IFERROR(INDEX('ST Forecast'!$E$2:$RK$36,13,M339),"")</f>
        <v>1000</v>
      </c>
      <c r="P339" s="44">
        <f t="shared" si="107"/>
        <v>2250</v>
      </c>
      <c r="Q339" s="44" cm="1">
        <f t="array" ref="Q339">IFERROR(INDEX('ST Forecast'!$E$2:$RK$36,14,M339),"")</f>
        <v>1200</v>
      </c>
      <c r="R339" s="44" cm="1">
        <f t="array" ref="R339">IFERROR(INDEX('ST Forecast'!$E$2:$RK$36,15,M339),"")</f>
        <v>1050</v>
      </c>
      <c r="S339" s="312">
        <f>SUM(DB[[#This Row],[Ops-FC-Picks-Collect]:[Ops-FC-Picks-HD]])</f>
        <v>158366.68834873082</v>
      </c>
      <c r="T339" s="44">
        <f t="shared" si="108"/>
        <v>50540.577624124016</v>
      </c>
      <c r="U339" s="44">
        <f t="shared" si="109"/>
        <v>107826.11072460681</v>
      </c>
      <c r="V339" s="44">
        <f t="shared" si="110"/>
        <v>57507.259053123627</v>
      </c>
      <c r="W339" s="404">
        <f t="shared" si="111"/>
        <v>50318.851671483179</v>
      </c>
      <c r="X339" s="44">
        <f>SUM(DB[[#This Row],[Capped-Orders-Collect]:[Capped-Orders-HD]])</f>
        <v>90</v>
      </c>
      <c r="Y339">
        <f>INDEX('Operations Forecast'!$A$2:$BGY$47,3,MATCH(DB!D339,'Operations Forecast'!$A$2:$BGY$2))</f>
        <v>0</v>
      </c>
      <c r="Z339">
        <f t="shared" si="112"/>
        <v>90</v>
      </c>
      <c r="AA339">
        <f>INDEX('Operations Forecast'!$A$2:$BGY$47,10,MATCH(DB!D339,'Operations Forecast'!$A$2:$BGY$2))</f>
        <v>90</v>
      </c>
      <c r="AB339">
        <f>INDEX('Operations Forecast'!$A$2:$BGY$47,21,MATCH(DB!D339,'Operations Forecast'!$A$2:$BGY$2))</f>
        <v>0</v>
      </c>
      <c r="AC339" s="312">
        <f>SUM(DB[[#This Row],[Act-Orders-Collect]:[Act-Orders-HD]])</f>
        <v>3260</v>
      </c>
      <c r="AD339" s="858">
        <f>IFERROR(INDEX('Operations Forecast_new'!$7:$7,MATCH(DB[[#This Row],[Datum]],'Operations Forecast_new'!$2:$2,0)),0)</f>
        <v>1007</v>
      </c>
      <c r="AE339" s="312">
        <f t="shared" si="113"/>
        <v>2253</v>
      </c>
      <c r="AF339" s="858">
        <f>IFERROR(INDEX('Operations Forecast_new'!$13:$13,MATCH(DB[[#This Row],[Datum]],'Operations Forecast_new'!$2:$2,0)),0)</f>
        <v>1268</v>
      </c>
      <c r="AG339" s="858">
        <f>IFERROR(INDEX('Operations Forecast_new'!$19:$19,MATCH(DB[[#This Row],[Datum]],'Operations Forecast_new'!$2:$2,0)),0)</f>
        <v>985</v>
      </c>
      <c r="AH339" s="312">
        <f t="shared" si="103"/>
        <v>167192.883</v>
      </c>
      <c r="AI339" s="858">
        <f>IFERROR(INDEX('Operations Forecast_new'!$9:$9,MATCH(DB[[#This Row],[Datum]],'Operations Forecast_new'!$2:$2,0)),0)</f>
        <v>49647.114000000001</v>
      </c>
      <c r="AJ339" s="312">
        <f t="shared" si="114"/>
        <v>117545.769</v>
      </c>
      <c r="AK339" s="858">
        <f>IFERROR(INDEX('Operations Forecast_new'!$15:$15,MATCH(DB[[#This Row],[Datum]],'Operations Forecast_new'!$2:$2,0)),0)</f>
        <v>66155.364000000001</v>
      </c>
      <c r="AL339" s="858">
        <f>IFERROR(INDEX('Operations Forecast_new'!$21:$21,MATCH(DB[[#This Row],[Datum]],'Operations Forecast_new'!$2:$2,0)),0)</f>
        <v>51390.404999999999</v>
      </c>
      <c r="AM339" s="178">
        <f>IFERROR(INDEX('Operations Forecast_new'!$8:$8,MATCH(DB[[#This Row],[Datum]],'Operations Forecast_new'!$2:$2,0)),0)</f>
        <v>49.8</v>
      </c>
      <c r="AN339" s="859">
        <f>IFERROR(INDEX('Operations Forecast_new'!$20:$20,MATCH(DB[[#This Row],[Datum]],'Operations Forecast_new'!$2:$2,0)),0)</f>
        <v>52.7</v>
      </c>
      <c r="AO339" s="44">
        <f t="shared" si="115"/>
        <v>49.302</v>
      </c>
      <c r="AP339" s="404">
        <f t="shared" si="116"/>
        <v>52.173000000000002</v>
      </c>
      <c r="AQ339" s="44">
        <f t="shared" si="104"/>
        <v>149785.00000000009</v>
      </c>
      <c r="AR339" s="44" cm="1">
        <f t="array" ref="AR339">IFERROR(INDEX('ST Forecast'!$E$2:$RK$36,25,M339)+(INDEX('ST Forecast'!$E$2:$RK$36,29,M339)),"")</f>
        <v>67500.024320233846</v>
      </c>
      <c r="AS339" s="44" cm="1">
        <f t="array" ref="AS339">IFERROR(INDEX('ST Forecast'!$E$2:$RK$36,26,M339)+INDEX('ST Forecast'!$E$2:$RK$36,30,M339),"")</f>
        <v>68551.746954781906</v>
      </c>
      <c r="AT339" s="44" cm="1">
        <f t="array" ref="AT339">IFERROR(INDEX('ST Forecast'!$E$2:$RK$36,27,M339)+INDEX('ST Forecast'!$E$2:$RK$36,31,M339),"")</f>
        <v>5794.6237249843334</v>
      </c>
      <c r="AU339" s="44" cm="1">
        <f t="array" ref="AU339">IFERROR(INDEX('ST Forecast'!$E$2:$RK$36,28,M339),"")</f>
        <v>7938.6049999999996</v>
      </c>
      <c r="AV339" s="44" cm="1">
        <f t="array" ref="AV339">IFERROR(INDEX('ST Forecast'!$E$2:$RK$36,29,M339),"")</f>
        <v>0</v>
      </c>
      <c r="AW339" s="44">
        <f>DB[[#This Row],[Inbound FC]]-DB[[#This Row],[Inbound Act - Ultrafresh2]]</f>
        <v>149785.00000000009</v>
      </c>
      <c r="AX339" s="178" t="e">
        <f>#REF!</f>
        <v>#REF!</v>
      </c>
      <c r="AY339" s="178" t="e">
        <f>#REF!</f>
        <v>#REF!</v>
      </c>
      <c r="AZ339" s="178" t="e">
        <f>#REF!</f>
        <v>#REF!</v>
      </c>
      <c r="BA339" s="178">
        <f>MONTH(DB[[#This Row],[Datum]])</f>
        <v>12</v>
      </c>
    </row>
    <row r="340" spans="1:53" x14ac:dyDescent="0.3">
      <c r="A340" s="44">
        <f t="shared" si="105"/>
        <v>48</v>
      </c>
      <c r="B340" t="str">
        <f t="shared" si="106"/>
        <v>Wk 48</v>
      </c>
      <c r="C340" t="s">
        <v>119</v>
      </c>
      <c r="D340" s="313">
        <v>44899</v>
      </c>
      <c r="E340" s="44">
        <f>DB[[#This Row],[Sales-FC-Orders-Collect]]+DB[[#This Row],[Sales-FC-Orders-HD]]</f>
        <v>0</v>
      </c>
      <c r="F340" s="402" cm="1">
        <f t="array" ref="F340">INDEX('LT Collect Forecast'!$K$1:$Q$55,MATCH(B340,'LT Collect Forecast'!$A:$A,0)+1,MATCH(C340,'LT Collect Forecast'!$K$2:$Q$2,0))</f>
        <v>0</v>
      </c>
      <c r="G340" s="44" cm="1">
        <f t="array" ref="G340">INDEX('LT HD Forecast'!$K$1:$Q$55,MATCH(B340,'LT HD Forecast'!$A:$A,0)+1,MATCH(C340,'LT HD Forecast'!$K$2:$Q$2,0))</f>
        <v>0</v>
      </c>
      <c r="H340" s="44" cm="1">
        <f t="array" ref="H340">IFERROR(INDEX('ST Forecast'!$E$2:$RK$36,6,M340),"")</f>
        <v>0</v>
      </c>
      <c r="I340" s="44" cm="1">
        <f t="array" ref="I340">IFERROR(INDEX('ST Forecast'!$E$2:$RK$36,7,M340),"")</f>
        <v>0</v>
      </c>
      <c r="J340" s="44">
        <f>SUM(DB[[#This Row],[Sales-FC-Picks-Collect]:[Sales-FC-Picks-HD]])</f>
        <v>0</v>
      </c>
      <c r="K340" s="44">
        <f t="shared" si="101"/>
        <v>0</v>
      </c>
      <c r="L340" s="44">
        <f t="shared" si="102"/>
        <v>0</v>
      </c>
      <c r="M340" s="403">
        <f>IFERROR(IF(B340=B339,M339+1,MATCH(B340,'ST Forecast'!$E$2:$RK$2,0)+1),"")</f>
        <v>384</v>
      </c>
      <c r="N340" s="44">
        <f>SUM(DB[[#This Row],[Ops-FC-Orders-Collect]:[Ops-FC-Orders-HD]])</f>
        <v>0</v>
      </c>
      <c r="O340" s="44" cm="1">
        <f t="array" ref="O340">IFERROR(INDEX('ST Forecast'!$E$2:$RK$36,13,M340),"")</f>
        <v>0</v>
      </c>
      <c r="P340" s="44">
        <f t="shared" si="107"/>
        <v>0</v>
      </c>
      <c r="Q340" s="44" cm="1">
        <f t="array" ref="Q340">IFERROR(INDEX('ST Forecast'!$E$2:$RK$36,14,M340),"")</f>
        <v>0</v>
      </c>
      <c r="R340" s="44" cm="1">
        <f t="array" ref="R340">IFERROR(INDEX('ST Forecast'!$E$2:$RK$36,15,M340),"")</f>
        <v>0</v>
      </c>
      <c r="S340" s="312">
        <f>SUM(DB[[#This Row],[Ops-FC-Picks-Collect]:[Ops-FC-Picks-HD]])</f>
        <v>0</v>
      </c>
      <c r="T340" s="44">
        <f t="shared" si="108"/>
        <v>0</v>
      </c>
      <c r="U340" s="44">
        <f t="shared" si="109"/>
        <v>0</v>
      </c>
      <c r="V340" s="44">
        <f t="shared" si="110"/>
        <v>0</v>
      </c>
      <c r="W340" s="404">
        <f t="shared" si="111"/>
        <v>0</v>
      </c>
      <c r="X340" s="44">
        <f>SUM(DB[[#This Row],[Capped-Orders-Collect]:[Capped-Orders-HD]])</f>
        <v>90</v>
      </c>
      <c r="Y340">
        <f>INDEX('Operations Forecast'!$A$2:$BGY$47,3,MATCH(DB!D340,'Operations Forecast'!$A$2:$BGY$2))</f>
        <v>0</v>
      </c>
      <c r="Z340">
        <f t="shared" si="112"/>
        <v>90</v>
      </c>
      <c r="AA340">
        <f>INDEX('Operations Forecast'!$A$2:$BGY$47,10,MATCH(DB!D340,'Operations Forecast'!$A$2:$BGY$2))</f>
        <v>90</v>
      </c>
      <c r="AB340">
        <f>INDEX('Operations Forecast'!$A$2:$BGY$47,21,MATCH(DB!D340,'Operations Forecast'!$A$2:$BGY$2))</f>
        <v>0</v>
      </c>
      <c r="AC340" s="312">
        <f>SUM(DB[[#This Row],[Act-Orders-Collect]:[Act-Orders-HD]])</f>
        <v>0</v>
      </c>
      <c r="AD340" s="858">
        <f>IFERROR(INDEX('Operations Forecast_new'!$7:$7,MATCH(DB[[#This Row],[Datum]],'Operations Forecast_new'!$2:$2,0)),0)</f>
        <v>0</v>
      </c>
      <c r="AE340" s="312">
        <f t="shared" si="113"/>
        <v>0</v>
      </c>
      <c r="AF340" s="858">
        <f>IFERROR(INDEX('Operations Forecast_new'!$13:$13,MATCH(DB[[#This Row],[Datum]],'Operations Forecast_new'!$2:$2,0)),0)</f>
        <v>0</v>
      </c>
      <c r="AG340" s="858">
        <f>IFERROR(INDEX('Operations Forecast_new'!$19:$19,MATCH(DB[[#This Row],[Datum]],'Operations Forecast_new'!$2:$2,0)),0)</f>
        <v>0</v>
      </c>
      <c r="AH340" s="312">
        <f t="shared" si="103"/>
        <v>0</v>
      </c>
      <c r="AI340" s="858">
        <f>IFERROR(INDEX('Operations Forecast_new'!$9:$9,MATCH(DB[[#This Row],[Datum]],'Operations Forecast_new'!$2:$2,0)),0)</f>
        <v>0</v>
      </c>
      <c r="AJ340" s="312">
        <f t="shared" si="114"/>
        <v>0</v>
      </c>
      <c r="AK340" s="858">
        <f>IFERROR(INDEX('Operations Forecast_new'!$15:$15,MATCH(DB[[#This Row],[Datum]],'Operations Forecast_new'!$2:$2,0)),0)</f>
        <v>0</v>
      </c>
      <c r="AL340" s="858">
        <f>IFERROR(INDEX('Operations Forecast_new'!$21:$21,MATCH(DB[[#This Row],[Datum]],'Operations Forecast_new'!$2:$2,0)),0)</f>
        <v>0</v>
      </c>
      <c r="AM340" s="178">
        <f>IFERROR(INDEX('Operations Forecast_new'!$8:$8,MATCH(DB[[#This Row],[Datum]],'Operations Forecast_new'!$2:$2,0)),0)</f>
        <v>0</v>
      </c>
      <c r="AN340" s="859">
        <f>IFERROR(INDEX('Operations Forecast_new'!$20:$20,MATCH(DB[[#This Row],[Datum]],'Operations Forecast_new'!$2:$2,0)),0)</f>
        <v>0</v>
      </c>
      <c r="AO340" s="44" t="str">
        <f t="shared" si="115"/>
        <v>-</v>
      </c>
      <c r="AP340" s="404" t="str">
        <f t="shared" si="116"/>
        <v>-</v>
      </c>
      <c r="AQ340" s="44">
        <f t="shared" si="104"/>
        <v>0</v>
      </c>
      <c r="AR340" s="44" cm="1">
        <f t="array" ref="AR340">IFERROR(INDEX('ST Forecast'!$E$2:$RK$36,25,M340)+(INDEX('ST Forecast'!$E$2:$RK$36,29,M340)),"")</f>
        <v>0</v>
      </c>
      <c r="AS340" s="44" cm="1">
        <f t="array" ref="AS340">IFERROR(INDEX('ST Forecast'!$E$2:$RK$36,26,M340)+INDEX('ST Forecast'!$E$2:$RK$36,30,M340),"")</f>
        <v>0</v>
      </c>
      <c r="AT340" s="44" cm="1">
        <f t="array" ref="AT340">IFERROR(INDEX('ST Forecast'!$E$2:$RK$36,27,M340)+INDEX('ST Forecast'!$E$2:$RK$36,31,M340),"")</f>
        <v>0</v>
      </c>
      <c r="AU340" s="44" cm="1">
        <f t="array" ref="AU340">IFERROR(INDEX('ST Forecast'!$E$2:$RK$36,28,M340),"")</f>
        <v>0</v>
      </c>
      <c r="AV340" s="44" cm="1">
        <f t="array" ref="AV340">IFERROR(INDEX('ST Forecast'!$E$2:$RK$36,29,M340),"")</f>
        <v>0</v>
      </c>
      <c r="AW340" s="44">
        <f>DB[[#This Row],[Inbound FC]]-DB[[#This Row],[Inbound Act - Ultrafresh2]]</f>
        <v>0</v>
      </c>
      <c r="AX340" s="178" t="e">
        <f>#REF!</f>
        <v>#REF!</v>
      </c>
      <c r="AY340" s="178" t="e">
        <f>#REF!</f>
        <v>#REF!</v>
      </c>
      <c r="AZ340" s="178" t="e">
        <f>#REF!</f>
        <v>#REF!</v>
      </c>
      <c r="BA340" s="178">
        <f>MONTH(DB[[#This Row],[Datum]])</f>
        <v>12</v>
      </c>
    </row>
    <row r="341" spans="1:53" x14ac:dyDescent="0.3">
      <c r="A341" s="44">
        <f t="shared" si="105"/>
        <v>49</v>
      </c>
      <c r="B341" t="str">
        <f t="shared" si="106"/>
        <v>Wk 49</v>
      </c>
      <c r="C341" t="s">
        <v>113</v>
      </c>
      <c r="D341" s="313">
        <v>44900</v>
      </c>
      <c r="E341" s="44">
        <f>DB[[#This Row],[Sales-FC-Orders-Collect]]+DB[[#This Row],[Sales-FC-Orders-HD]]</f>
        <v>2750</v>
      </c>
      <c r="F341" s="402">
        <f>INDEX('LT Collect Forecast'!$K$1:$Q$55,MATCH(B341,'LT Collect Forecast'!$A:$A,0),MATCH(C341,'LT Collect Forecast'!$K$2:$Q$2,0))</f>
        <v>750</v>
      </c>
      <c r="G341" s="44">
        <f>INDEX('LT HD Forecast'!$K$1:$Q$55,MATCH(B341,'LT HD Forecast'!$A:$A,0),MATCH(C341,'LT HD Forecast'!$K$2:$Q$2,0))</f>
        <v>2000</v>
      </c>
      <c r="H341" s="44" cm="1">
        <f t="array" ref="H341">IFERROR(INDEX('ST Forecast'!$E$2:$RK$36,6,M341),"")</f>
        <v>48.496803230514942</v>
      </c>
      <c r="I341" s="44" cm="1">
        <f t="array" ref="I341">IFERROR(INDEX('ST Forecast'!$E$2:$RK$36,7,M341),"")</f>
        <v>48.854093662780855</v>
      </c>
      <c r="J341" s="44">
        <f>SUM(DB[[#This Row],[Sales-FC-Picks-Collect]:[Sales-FC-Picks-HD]])</f>
        <v>134080.78974844792</v>
      </c>
      <c r="K341" s="44">
        <f t="shared" si="101"/>
        <v>36372.602422886208</v>
      </c>
      <c r="L341" s="44">
        <f t="shared" si="102"/>
        <v>97708.18732556171</v>
      </c>
      <c r="M341" s="403">
        <f>IFERROR(IF(B341=B340,M340+1,MATCH(B341,'ST Forecast'!$E$2:$RK$2,0)+1),"")</f>
        <v>386</v>
      </c>
      <c r="N341" s="44">
        <f>SUM(DB[[#This Row],[Ops-FC-Orders-Collect]:[Ops-FC-Orders-HD]])</f>
        <v>2750</v>
      </c>
      <c r="O341" s="44" cm="1">
        <f t="array" ref="O341">IFERROR(INDEX('ST Forecast'!$E$2:$RK$36,13,M341),"")</f>
        <v>750</v>
      </c>
      <c r="P341" s="44">
        <f t="shared" si="107"/>
        <v>2000</v>
      </c>
      <c r="Q341" s="44" cm="1">
        <f t="array" ref="Q341">IFERROR(INDEX('ST Forecast'!$E$2:$RK$36,14,M341),"")</f>
        <v>900</v>
      </c>
      <c r="R341" s="44" cm="1">
        <f t="array" ref="R341">IFERROR(INDEX('ST Forecast'!$E$2:$RK$36,15,M341),"")</f>
        <v>1100</v>
      </c>
      <c r="S341" s="312">
        <f>SUM(DB[[#This Row],[Ops-FC-Picks-Collect]:[Ops-FC-Picks-HD]])</f>
        <v>131399.17395347895</v>
      </c>
      <c r="T341" s="44">
        <f t="shared" si="108"/>
        <v>35645.150374428486</v>
      </c>
      <c r="U341" s="44">
        <f t="shared" si="109"/>
        <v>95754.023579050467</v>
      </c>
      <c r="V341" s="44">
        <f t="shared" si="110"/>
        <v>43089.310610572713</v>
      </c>
      <c r="W341" s="404">
        <f t="shared" si="111"/>
        <v>52664.712968477761</v>
      </c>
      <c r="X341" s="44">
        <f>SUM(DB[[#This Row],[Capped-Orders-Collect]:[Capped-Orders-HD]])</f>
        <v>90</v>
      </c>
      <c r="Y341">
        <f>INDEX('Operations Forecast'!$A$2:$BGY$47,3,MATCH(DB!D341,'Operations Forecast'!$A$2:$BGY$2))</f>
        <v>0</v>
      </c>
      <c r="Z341">
        <f t="shared" si="112"/>
        <v>90</v>
      </c>
      <c r="AA341">
        <f>INDEX('Operations Forecast'!$A$2:$BGY$47,10,MATCH(DB!D341,'Operations Forecast'!$A$2:$BGY$2))</f>
        <v>90</v>
      </c>
      <c r="AB341">
        <f>INDEX('Operations Forecast'!$A$2:$BGY$47,21,MATCH(DB!D341,'Operations Forecast'!$A$2:$BGY$2))</f>
        <v>0</v>
      </c>
      <c r="AC341" s="312">
        <f>SUM(DB[[#This Row],[Act-Orders-Collect]:[Act-Orders-HD]])</f>
        <v>2857</v>
      </c>
      <c r="AD341" s="858">
        <f>IFERROR(INDEX('Operations Forecast_new'!$7:$7,MATCH(DB[[#This Row],[Datum]],'Operations Forecast_new'!$2:$2,0)),0)</f>
        <v>775</v>
      </c>
      <c r="AE341" s="312">
        <f t="shared" si="113"/>
        <v>2082</v>
      </c>
      <c r="AF341" s="858">
        <f>IFERROR(INDEX('Operations Forecast_new'!$13:$13,MATCH(DB[[#This Row],[Datum]],'Operations Forecast_new'!$2:$2,0)),0)</f>
        <v>909</v>
      </c>
      <c r="AG341" s="858">
        <f>IFERROR(INDEX('Operations Forecast_new'!$19:$19,MATCH(DB[[#This Row],[Datum]],'Operations Forecast_new'!$2:$2,0)),0)</f>
        <v>1173</v>
      </c>
      <c r="AH341" s="312">
        <f t="shared" si="103"/>
        <v>142470.30600000001</v>
      </c>
      <c r="AI341" s="858">
        <f>IFERROR(INDEX('Operations Forecast_new'!$9:$9,MATCH(DB[[#This Row],[Datum]],'Operations Forecast_new'!$2:$2,0)),0)</f>
        <v>35907.300000000003</v>
      </c>
      <c r="AJ341" s="312">
        <f t="shared" si="114"/>
        <v>106563.00600000001</v>
      </c>
      <c r="AK341" s="858">
        <f>IFERROR(INDEX('Operations Forecast_new'!$15:$15,MATCH(DB[[#This Row],[Datum]],'Operations Forecast_new'!$2:$2,0)),0)</f>
        <v>46525.347000000002</v>
      </c>
      <c r="AL341" s="858">
        <f>IFERROR(INDEX('Operations Forecast_new'!$21:$21,MATCH(DB[[#This Row],[Datum]],'Operations Forecast_new'!$2:$2,0)),0)</f>
        <v>60037.659000000007</v>
      </c>
      <c r="AM341" s="178">
        <f>IFERROR(INDEX('Operations Forecast_new'!$8:$8,MATCH(DB[[#This Row],[Datum]],'Operations Forecast_new'!$2:$2,0)),0)</f>
        <v>46.8</v>
      </c>
      <c r="AN341" s="859">
        <f>IFERROR(INDEX('Operations Forecast_new'!$20:$20,MATCH(DB[[#This Row],[Datum]],'Operations Forecast_new'!$2:$2,0)),0)</f>
        <v>51.7</v>
      </c>
      <c r="AO341" s="44">
        <f t="shared" si="115"/>
        <v>46.332000000000001</v>
      </c>
      <c r="AP341" s="404">
        <f t="shared" si="116"/>
        <v>51.183000000000007</v>
      </c>
      <c r="AQ341" s="44">
        <f t="shared" si="104"/>
        <v>190953.53</v>
      </c>
      <c r="AR341" s="44" cm="1">
        <f t="array" ref="AR341">IFERROR(INDEX('ST Forecast'!$E$2:$RK$36,25,M341)+(INDEX('ST Forecast'!$E$2:$RK$36,29,M341)),"")</f>
        <v>102602</v>
      </c>
      <c r="AS341" s="44" cm="1">
        <f t="array" ref="AS341">IFERROR(INDEX('ST Forecast'!$E$2:$RK$36,26,M341)+INDEX('ST Forecast'!$E$2:$RK$36,30,M341),"")</f>
        <v>64830.843000000008</v>
      </c>
      <c r="AT341" s="44" cm="1">
        <f t="array" ref="AT341">IFERROR(INDEX('ST Forecast'!$E$2:$RK$36,27,M341)+INDEX('ST Forecast'!$E$2:$RK$36,31,M341),"")</f>
        <v>13895.939999999999</v>
      </c>
      <c r="AU341" s="44" cm="1">
        <f t="array" ref="AU341">IFERROR(INDEX('ST Forecast'!$E$2:$RK$36,28,M341),"")</f>
        <v>9624.7469999999994</v>
      </c>
      <c r="AV341" s="44" cm="1">
        <f t="array" ref="AV341">IFERROR(INDEX('ST Forecast'!$E$2:$RK$36,29,M341),"")</f>
        <v>47602</v>
      </c>
      <c r="AW341" s="44">
        <f>DB[[#This Row],[Inbound FC]]-DB[[#This Row],[Inbound Act - Ultrafresh2]]</f>
        <v>143351.53</v>
      </c>
      <c r="AX341" s="178" t="e">
        <f>#REF!</f>
        <v>#REF!</v>
      </c>
      <c r="AY341" s="178" t="e">
        <f>#REF!</f>
        <v>#REF!</v>
      </c>
      <c r="AZ341" s="178" t="e">
        <f>#REF!</f>
        <v>#REF!</v>
      </c>
      <c r="BA341" s="178">
        <f>MONTH(DB[[#This Row],[Datum]])</f>
        <v>12</v>
      </c>
    </row>
    <row r="342" spans="1:53" x14ac:dyDescent="0.3">
      <c r="A342" s="44">
        <f t="shared" si="105"/>
        <v>49</v>
      </c>
      <c r="B342" t="str">
        <f t="shared" si="106"/>
        <v>Wk 49</v>
      </c>
      <c r="C342" t="s">
        <v>114</v>
      </c>
      <c r="D342" s="313">
        <v>44901</v>
      </c>
      <c r="E342" s="44">
        <f>DB[[#This Row],[Sales-FC-Orders-Collect]]+DB[[#This Row],[Sales-FC-Orders-HD]]</f>
        <v>3150</v>
      </c>
      <c r="F342" s="402">
        <f>INDEX('LT Collect Forecast'!$K$1:$Q$55,MATCH(B342,'LT Collect Forecast'!$A:$A,0),MATCH(C342,'LT Collect Forecast'!$K$2:$Q$2,0))</f>
        <v>750</v>
      </c>
      <c r="G342" s="44">
        <f>INDEX('LT HD Forecast'!$K$1:$Q$55,MATCH(B342,'LT HD Forecast'!$A:$A,0),MATCH(C342,'LT HD Forecast'!$K$2:$Q$2,0))</f>
        <v>2400</v>
      </c>
      <c r="H342" s="44" cm="1">
        <f t="array" ref="H342">IFERROR(INDEX('ST Forecast'!$E$2:$RK$36,6,M342),"")</f>
        <v>43.422563254430216</v>
      </c>
      <c r="I342" s="44" cm="1">
        <f t="array" ref="I342">IFERROR(INDEX('ST Forecast'!$E$2:$RK$36,7,M342),"")</f>
        <v>47.777988227021567</v>
      </c>
      <c r="J342" s="44">
        <f>SUM(DB[[#This Row],[Sales-FC-Picks-Collect]:[Sales-FC-Picks-HD]])</f>
        <v>147234.09418567442</v>
      </c>
      <c r="K342" s="44">
        <f t="shared" si="101"/>
        <v>32566.922440822662</v>
      </c>
      <c r="L342" s="44">
        <f t="shared" si="102"/>
        <v>114667.17174485176</v>
      </c>
      <c r="M342" s="403">
        <f>IFERROR(IF(B342=B341,M341+1,MATCH(B342,'ST Forecast'!$E$2:$RK$2,0)+1),"")</f>
        <v>387</v>
      </c>
      <c r="N342" s="44">
        <f>SUM(DB[[#This Row],[Ops-FC-Orders-Collect]:[Ops-FC-Orders-HD]])</f>
        <v>3150</v>
      </c>
      <c r="O342" s="44" cm="1">
        <f t="array" ref="O342">IFERROR(INDEX('ST Forecast'!$E$2:$RK$36,13,M342),"")</f>
        <v>750</v>
      </c>
      <c r="P342" s="44">
        <f t="shared" si="107"/>
        <v>2400</v>
      </c>
      <c r="Q342" s="44" cm="1">
        <f t="array" ref="Q342">IFERROR(INDEX('ST Forecast'!$E$2:$RK$36,14,M342),"")</f>
        <v>1275</v>
      </c>
      <c r="R342" s="44" cm="1">
        <f t="array" ref="R342">IFERROR(INDEX('ST Forecast'!$E$2:$RK$36,15,M342),"")</f>
        <v>1125</v>
      </c>
      <c r="S342" s="312">
        <f>SUM(DB[[#This Row],[Ops-FC-Picks-Collect]:[Ops-FC-Picks-HD]])</f>
        <v>144289.41230196093</v>
      </c>
      <c r="T342" s="44">
        <f t="shared" si="108"/>
        <v>31915.58399200621</v>
      </c>
      <c r="U342" s="44">
        <f t="shared" si="109"/>
        <v>112373.82830995473</v>
      </c>
      <c r="V342" s="44">
        <f t="shared" si="110"/>
        <v>59698.596289663452</v>
      </c>
      <c r="W342" s="404">
        <f t="shared" si="111"/>
        <v>52675.232020291274</v>
      </c>
      <c r="X342" s="44">
        <f>SUM(DB[[#This Row],[Capped-Orders-Collect]:[Capped-Orders-HD]])</f>
        <v>90</v>
      </c>
      <c r="Y342">
        <f>INDEX('Operations Forecast'!$A$2:$BGY$47,3,MATCH(DB!D342,'Operations Forecast'!$A$2:$BGY$2))</f>
        <v>0</v>
      </c>
      <c r="Z342">
        <f t="shared" si="112"/>
        <v>90</v>
      </c>
      <c r="AA342">
        <f>INDEX('Operations Forecast'!$A$2:$BGY$47,10,MATCH(DB!D342,'Operations Forecast'!$A$2:$BGY$2))</f>
        <v>90</v>
      </c>
      <c r="AB342">
        <f>INDEX('Operations Forecast'!$A$2:$BGY$47,21,MATCH(DB!D342,'Operations Forecast'!$A$2:$BGY$2))</f>
        <v>0</v>
      </c>
      <c r="AC342" s="312">
        <f>SUM(DB[[#This Row],[Act-Orders-Collect]:[Act-Orders-HD]])</f>
        <v>2959</v>
      </c>
      <c r="AD342" s="858">
        <f>IFERROR(INDEX('Operations Forecast_new'!$7:$7,MATCH(DB[[#This Row],[Datum]],'Operations Forecast_new'!$2:$2,0)),0)</f>
        <v>621</v>
      </c>
      <c r="AE342" s="312">
        <f t="shared" si="113"/>
        <v>2338</v>
      </c>
      <c r="AF342" s="858">
        <f>IFERROR(INDEX('Operations Forecast_new'!$13:$13,MATCH(DB[[#This Row],[Datum]],'Operations Forecast_new'!$2:$2,0)),0)</f>
        <v>1238</v>
      </c>
      <c r="AG342" s="858">
        <f>IFERROR(INDEX('Operations Forecast_new'!$19:$19,MATCH(DB[[#This Row],[Datum]],'Operations Forecast_new'!$2:$2,0)),0)</f>
        <v>1100</v>
      </c>
      <c r="AH342" s="312">
        <f t="shared" si="103"/>
        <v>142246.56599999999</v>
      </c>
      <c r="AI342" s="858">
        <f>IFERROR(INDEX('Operations Forecast_new'!$9:$9,MATCH(DB[[#This Row],[Datum]],'Operations Forecast_new'!$2:$2,0)),0)</f>
        <v>25821.18</v>
      </c>
      <c r="AJ342" s="312">
        <f t="shared" si="114"/>
        <v>116425.386</v>
      </c>
      <c r="AK342" s="858">
        <f>IFERROR(INDEX('Operations Forecast_new'!$15:$15,MATCH(DB[[#This Row],[Datum]],'Operations Forecast_new'!$2:$2,0)),0)</f>
        <v>61648.685999999994</v>
      </c>
      <c r="AL342" s="858">
        <f>IFERROR(INDEX('Operations Forecast_new'!$21:$21,MATCH(DB[[#This Row],[Datum]],'Operations Forecast_new'!$2:$2,0)),0)</f>
        <v>54776.7</v>
      </c>
      <c r="AM342" s="178">
        <f>IFERROR(INDEX('Operations Forecast_new'!$8:$8,MATCH(DB[[#This Row],[Datum]],'Operations Forecast_new'!$2:$2,0)),0)</f>
        <v>42</v>
      </c>
      <c r="AN342" s="859">
        <f>IFERROR(INDEX('Operations Forecast_new'!$20:$20,MATCH(DB[[#This Row],[Datum]],'Operations Forecast_new'!$2:$2,0)),0)</f>
        <v>50.3</v>
      </c>
      <c r="AO342" s="44">
        <f t="shared" si="115"/>
        <v>41.58</v>
      </c>
      <c r="AP342" s="404">
        <f t="shared" si="116"/>
        <v>49.796999999999997</v>
      </c>
      <c r="AQ342" s="44">
        <f t="shared" si="104"/>
        <v>148546.51444942487</v>
      </c>
      <c r="AR342" s="44" cm="1">
        <f t="array" ref="AR342">IFERROR(INDEX('ST Forecast'!$E$2:$RK$36,25,M342)+(INDEX('ST Forecast'!$E$2:$RK$36,29,M342)),"")</f>
        <v>68159.58</v>
      </c>
      <c r="AS342" s="44" cm="1">
        <f t="array" ref="AS342">IFERROR(INDEX('ST Forecast'!$E$2:$RK$36,26,M342)+INDEX('ST Forecast'!$E$2:$RK$36,30,M342),"")</f>
        <v>65114.580909447737</v>
      </c>
      <c r="AT342" s="44" cm="1">
        <f t="array" ref="AT342">IFERROR(INDEX('ST Forecast'!$E$2:$RK$36,27,M342)+INDEX('ST Forecast'!$E$2:$RK$36,31,M342),"")</f>
        <v>6473.1264494248671</v>
      </c>
      <c r="AU342" s="44" cm="1">
        <f t="array" ref="AU342">IFERROR(INDEX('ST Forecast'!$E$2:$RK$36,28,M342),"")</f>
        <v>8799.2270905522655</v>
      </c>
      <c r="AV342" s="44" cm="1">
        <f t="array" ref="AV342">IFERROR(INDEX('ST Forecast'!$E$2:$RK$36,29,M342),"")</f>
        <v>0</v>
      </c>
      <c r="AW342" s="44">
        <f>DB[[#This Row],[Inbound FC]]-DB[[#This Row],[Inbound Act - Ultrafresh2]]</f>
        <v>148546.51444942487</v>
      </c>
      <c r="AX342" s="178" t="e">
        <f>#REF!</f>
        <v>#REF!</v>
      </c>
      <c r="AY342" s="178" t="e">
        <f>#REF!</f>
        <v>#REF!</v>
      </c>
      <c r="AZ342" s="178" t="e">
        <f>#REF!</f>
        <v>#REF!</v>
      </c>
      <c r="BA342" s="178">
        <f>MONTH(DB[[#This Row],[Datum]])</f>
        <v>12</v>
      </c>
    </row>
    <row r="343" spans="1:53" x14ac:dyDescent="0.3">
      <c r="A343" s="44">
        <f t="shared" si="105"/>
        <v>49</v>
      </c>
      <c r="B343" t="str">
        <f t="shared" si="106"/>
        <v>Wk 49</v>
      </c>
      <c r="C343" t="s">
        <v>115</v>
      </c>
      <c r="D343" s="313">
        <v>44902</v>
      </c>
      <c r="E343" s="44">
        <f>DB[[#This Row],[Sales-FC-Orders-Collect]]+DB[[#This Row],[Sales-FC-Orders-HD]]</f>
        <v>3125</v>
      </c>
      <c r="F343" s="402">
        <f>INDEX('LT Collect Forecast'!$K$1:$Q$55,MATCH(B343,'LT Collect Forecast'!$A:$A,0),MATCH(C343,'LT Collect Forecast'!$K$2:$Q$2,0))</f>
        <v>725</v>
      </c>
      <c r="G343" s="44">
        <f>INDEX('LT HD Forecast'!$K$1:$Q$55,MATCH(B343,'LT HD Forecast'!$A:$A,0),MATCH(C343,'LT HD Forecast'!$K$2:$Q$2,0))</f>
        <v>2400</v>
      </c>
      <c r="H343" s="44" cm="1">
        <f t="array" ref="H343">IFERROR(INDEX('ST Forecast'!$E$2:$RK$36,6,M343),"")</f>
        <v>44.053031208971916</v>
      </c>
      <c r="I343" s="44" cm="1">
        <f t="array" ref="I343">IFERROR(INDEX('ST Forecast'!$E$2:$RK$36,7,M343),"")</f>
        <v>49.482723224697907</v>
      </c>
      <c r="J343" s="44">
        <f>SUM(DB[[#This Row],[Sales-FC-Picks-Collect]:[Sales-FC-Picks-HD]])</f>
        <v>150696.98336577963</v>
      </c>
      <c r="K343" s="44">
        <f t="shared" si="101"/>
        <v>31938.44762650464</v>
      </c>
      <c r="L343" s="44">
        <f t="shared" si="102"/>
        <v>118758.53573927497</v>
      </c>
      <c r="M343" s="403">
        <f>IFERROR(IF(B343=B342,M342+1,MATCH(B343,'ST Forecast'!$E$2:$RK$2,0)+1),"")</f>
        <v>388</v>
      </c>
      <c r="N343" s="44">
        <f>SUM(DB[[#This Row],[Ops-FC-Orders-Collect]:[Ops-FC-Orders-HD]])</f>
        <v>3125</v>
      </c>
      <c r="O343" s="44" cm="1">
        <f t="array" ref="O343">IFERROR(INDEX('ST Forecast'!$E$2:$RK$36,13,M343),"")</f>
        <v>725</v>
      </c>
      <c r="P343" s="44">
        <f t="shared" si="107"/>
        <v>2400</v>
      </c>
      <c r="Q343" s="44" cm="1">
        <f t="array" ref="Q343">IFERROR(INDEX('ST Forecast'!$E$2:$RK$36,14,M343),"")</f>
        <v>1275</v>
      </c>
      <c r="R343" s="44" cm="1">
        <f t="array" ref="R343">IFERROR(INDEX('ST Forecast'!$E$2:$RK$36,15,M343),"")</f>
        <v>1125</v>
      </c>
      <c r="S343" s="312">
        <f>SUM(DB[[#This Row],[Ops-FC-Picks-Collect]:[Ops-FC-Picks-HD]])</f>
        <v>147683.04369846403</v>
      </c>
      <c r="T343" s="44">
        <f t="shared" si="108"/>
        <v>31299.678673974548</v>
      </c>
      <c r="U343" s="44">
        <f t="shared" si="109"/>
        <v>116383.36502448947</v>
      </c>
      <c r="V343" s="44">
        <f t="shared" si="110"/>
        <v>61828.662669260033</v>
      </c>
      <c r="W343" s="404">
        <f t="shared" si="111"/>
        <v>54554.702355229441</v>
      </c>
      <c r="X343" s="44">
        <f>SUM(DB[[#This Row],[Capped-Orders-Collect]:[Capped-Orders-HD]])</f>
        <v>90</v>
      </c>
      <c r="Y343">
        <f>INDEX('Operations Forecast'!$A$2:$BGY$47,3,MATCH(DB!D343,'Operations Forecast'!$A$2:$BGY$2))</f>
        <v>0</v>
      </c>
      <c r="Z343">
        <f t="shared" si="112"/>
        <v>90</v>
      </c>
      <c r="AA343">
        <f>INDEX('Operations Forecast'!$A$2:$BGY$47,10,MATCH(DB!D343,'Operations Forecast'!$A$2:$BGY$2))</f>
        <v>90</v>
      </c>
      <c r="AB343">
        <f>INDEX('Operations Forecast'!$A$2:$BGY$47,21,MATCH(DB!D343,'Operations Forecast'!$A$2:$BGY$2))</f>
        <v>0</v>
      </c>
      <c r="AC343" s="312">
        <f>SUM(DB[[#This Row],[Act-Orders-Collect]:[Act-Orders-HD]])</f>
        <v>2719</v>
      </c>
      <c r="AD343" s="858">
        <f>IFERROR(INDEX('Operations Forecast_new'!$7:$7,MATCH(DB[[#This Row],[Datum]],'Operations Forecast_new'!$2:$2,0)),0)</f>
        <v>580</v>
      </c>
      <c r="AE343" s="312">
        <f t="shared" si="113"/>
        <v>2139</v>
      </c>
      <c r="AF343" s="858">
        <f>IFERROR(INDEX('Operations Forecast_new'!$13:$13,MATCH(DB[[#This Row],[Datum]],'Operations Forecast_new'!$2:$2,0)),0)</f>
        <v>1221</v>
      </c>
      <c r="AG343" s="858">
        <f>IFERROR(INDEX('Operations Forecast_new'!$19:$19,MATCH(DB[[#This Row],[Datum]],'Operations Forecast_new'!$2:$2,0)),0)</f>
        <v>918</v>
      </c>
      <c r="AH343" s="312">
        <f t="shared" si="103"/>
        <v>130606.93799999999</v>
      </c>
      <c r="AI343" s="858">
        <f>IFERROR(INDEX('Operations Forecast_new'!$9:$9,MATCH(DB[[#This Row],[Datum]],'Operations Forecast_new'!$2:$2,0)),0)</f>
        <v>25149.96</v>
      </c>
      <c r="AJ343" s="312">
        <f t="shared" si="114"/>
        <v>105456.978</v>
      </c>
      <c r="AK343" s="858">
        <f>IFERROR(INDEX('Operations Forecast_new'!$15:$15,MATCH(DB[[#This Row],[Datum]],'Operations Forecast_new'!$2:$2,0)),0)</f>
        <v>60197.741999999998</v>
      </c>
      <c r="AL343" s="858">
        <f>IFERROR(INDEX('Operations Forecast_new'!$21:$21,MATCH(DB[[#This Row],[Datum]],'Operations Forecast_new'!$2:$2,0)),0)</f>
        <v>45259.235999999997</v>
      </c>
      <c r="AM343" s="178">
        <f>IFERROR(INDEX('Operations Forecast_new'!$8:$8,MATCH(DB[[#This Row],[Datum]],'Operations Forecast_new'!$2:$2,0)),0)</f>
        <v>43.8</v>
      </c>
      <c r="AN343" s="859">
        <f>IFERROR(INDEX('Operations Forecast_new'!$20:$20,MATCH(DB[[#This Row],[Datum]],'Operations Forecast_new'!$2:$2,0)),0)</f>
        <v>49.8</v>
      </c>
      <c r="AO343" s="44">
        <f t="shared" si="115"/>
        <v>43.362000000000002</v>
      </c>
      <c r="AP343" s="404">
        <f t="shared" si="116"/>
        <v>49.302</v>
      </c>
      <c r="AQ343" s="44">
        <f t="shared" si="104"/>
        <v>141239.06135377733</v>
      </c>
      <c r="AR343" s="44" cm="1">
        <f t="array" ref="AR343">IFERROR(INDEX('ST Forecast'!$E$2:$RK$36,25,M343)+(INDEX('ST Forecast'!$E$2:$RK$36,29,M343)),"")</f>
        <v>67104.479999999996</v>
      </c>
      <c r="AS343" s="44" cm="1">
        <f t="array" ref="AS343">IFERROR(INDEX('ST Forecast'!$E$2:$RK$36,26,M343)+INDEX('ST Forecast'!$E$2:$RK$36,30,M343),"")</f>
        <v>59472.294397968304</v>
      </c>
      <c r="AT343" s="44" cm="1">
        <f t="array" ref="AT343">IFERROR(INDEX('ST Forecast'!$E$2:$RK$36,27,M343)+INDEX('ST Forecast'!$E$2:$RK$36,31,M343),"")</f>
        <v>5604.1013537773124</v>
      </c>
      <c r="AU343" s="44" cm="1">
        <f t="array" ref="AU343">IFERROR(INDEX('ST Forecast'!$E$2:$RK$36,28,M343),"")</f>
        <v>9058.1856020317045</v>
      </c>
      <c r="AV343" s="44" cm="1">
        <f t="array" ref="AV343">IFERROR(INDEX('ST Forecast'!$E$2:$RK$36,29,M343),"")</f>
        <v>0</v>
      </c>
      <c r="AW343" s="44">
        <f>DB[[#This Row],[Inbound FC]]-DB[[#This Row],[Inbound Act - Ultrafresh2]]</f>
        <v>141239.06135377733</v>
      </c>
      <c r="AX343" s="178" t="e">
        <f>#REF!</f>
        <v>#REF!</v>
      </c>
      <c r="AY343" s="178" t="e">
        <f>#REF!</f>
        <v>#REF!</v>
      </c>
      <c r="AZ343" s="178" t="e">
        <f>#REF!</f>
        <v>#REF!</v>
      </c>
      <c r="BA343" s="178">
        <f>MONTH(DB[[#This Row],[Datum]])</f>
        <v>12</v>
      </c>
    </row>
    <row r="344" spans="1:53" x14ac:dyDescent="0.3">
      <c r="A344" s="44">
        <f t="shared" si="105"/>
        <v>49</v>
      </c>
      <c r="B344" t="str">
        <f t="shared" si="106"/>
        <v>Wk 49</v>
      </c>
      <c r="C344" t="s">
        <v>116</v>
      </c>
      <c r="D344" s="313">
        <v>44903</v>
      </c>
      <c r="E344" s="44">
        <f>DB[[#This Row],[Sales-FC-Orders-Collect]]+DB[[#This Row],[Sales-FC-Orders-HD]]</f>
        <v>2825</v>
      </c>
      <c r="F344" s="402" cm="1">
        <f t="array" ref="F344">INDEX('LT Collect Forecast'!$K$1:$Q$55,MATCH(B344,'LT Collect Forecast'!$A:$A,0)+1,MATCH(C344,'LT Collect Forecast'!$K$2:$Q$2,0))</f>
        <v>625</v>
      </c>
      <c r="G344" s="44" cm="1">
        <f t="array" ref="G344">INDEX('LT HD Forecast'!$K$1:$Q$55,MATCH(B344,'LT HD Forecast'!$A:$A,0)+1,MATCH(C344,'LT HD Forecast'!$K$2:$Q$2,0))</f>
        <v>2200</v>
      </c>
      <c r="H344" s="44" cm="1">
        <f t="array" ref="H344">IFERROR(INDEX('ST Forecast'!$E$2:$RK$36,6,M344),"")</f>
        <v>41.340876081131235</v>
      </c>
      <c r="I344" s="44" cm="1">
        <f t="array" ref="I344">IFERROR(INDEX('ST Forecast'!$E$2:$RK$36,7,M344),"")</f>
        <v>49.409074952807366</v>
      </c>
      <c r="J344" s="44">
        <f>SUM(DB[[#This Row],[Sales-FC-Picks-Collect]:[Sales-FC-Picks-HD]])</f>
        <v>134538.01244688322</v>
      </c>
      <c r="K344" s="44">
        <f t="shared" si="101"/>
        <v>25838.047550707022</v>
      </c>
      <c r="L344" s="44">
        <f t="shared" si="102"/>
        <v>108699.9648961762</v>
      </c>
      <c r="M344" s="403">
        <f>IFERROR(IF(B344=B343,M343+1,MATCH(B344,'ST Forecast'!$E$2:$RK$2,0)+1),"")</f>
        <v>389</v>
      </c>
      <c r="N344" s="44">
        <f>SUM(DB[[#This Row],[Ops-FC-Orders-Collect]:[Ops-FC-Orders-HD]])</f>
        <v>2825</v>
      </c>
      <c r="O344" s="44" cm="1">
        <f t="array" ref="O344">IFERROR(INDEX('ST Forecast'!$E$2:$RK$36,13,M344),"")</f>
        <v>625</v>
      </c>
      <c r="P344" s="44">
        <f t="shared" si="107"/>
        <v>2200</v>
      </c>
      <c r="Q344" s="44" cm="1">
        <f t="array" ref="Q344">IFERROR(INDEX('ST Forecast'!$E$2:$RK$36,14,M344),"")</f>
        <v>1150</v>
      </c>
      <c r="R344" s="44" cm="1">
        <f t="array" ref="R344">IFERROR(INDEX('ST Forecast'!$E$2:$RK$36,15,M344),"")</f>
        <v>1050</v>
      </c>
      <c r="S344" s="312">
        <f>SUM(DB[[#This Row],[Ops-FC-Picks-Collect]:[Ops-FC-Picks-HD]])</f>
        <v>131847.25219794555</v>
      </c>
      <c r="T344" s="44">
        <f t="shared" si="108"/>
        <v>25321.286599692881</v>
      </c>
      <c r="U344" s="44">
        <f t="shared" si="109"/>
        <v>106525.96559825267</v>
      </c>
      <c r="V344" s="44">
        <f t="shared" si="110"/>
        <v>55684.027471813897</v>
      </c>
      <c r="W344" s="404">
        <f t="shared" si="111"/>
        <v>50841.938126438778</v>
      </c>
      <c r="X344" s="44">
        <f>SUM(DB[[#This Row],[Capped-Orders-Collect]:[Capped-Orders-HD]])</f>
        <v>90</v>
      </c>
      <c r="Y344">
        <f>INDEX('Operations Forecast'!$A$2:$BGY$47,3,MATCH(DB!D344,'Operations Forecast'!$A$2:$BGY$2))</f>
        <v>0</v>
      </c>
      <c r="Z344">
        <f t="shared" si="112"/>
        <v>90</v>
      </c>
      <c r="AA344">
        <f>INDEX('Operations Forecast'!$A$2:$BGY$47,10,MATCH(DB!D344,'Operations Forecast'!$A$2:$BGY$2))</f>
        <v>90</v>
      </c>
      <c r="AB344">
        <f>INDEX('Operations Forecast'!$A$2:$BGY$47,21,MATCH(DB!D344,'Operations Forecast'!$A$2:$BGY$2))</f>
        <v>0</v>
      </c>
      <c r="AC344" s="312">
        <f>SUM(DB[[#This Row],[Act-Orders-Collect]:[Act-Orders-HD]])</f>
        <v>2455</v>
      </c>
      <c r="AD344" s="858">
        <f>IFERROR(INDEX('Operations Forecast_new'!$7:$7,MATCH(DB[[#This Row],[Datum]],'Operations Forecast_new'!$2:$2,0)),0)</f>
        <v>550</v>
      </c>
      <c r="AE344" s="312">
        <f t="shared" si="113"/>
        <v>1905</v>
      </c>
      <c r="AF344" s="858">
        <f>IFERROR(INDEX('Operations Forecast_new'!$13:$13,MATCH(DB[[#This Row],[Datum]],'Operations Forecast_new'!$2:$2,0)),0)</f>
        <v>890</v>
      </c>
      <c r="AG344" s="858">
        <f>IFERROR(INDEX('Operations Forecast_new'!$19:$19,MATCH(DB[[#This Row],[Datum]],'Operations Forecast_new'!$2:$2,0)),0)</f>
        <v>1015</v>
      </c>
      <c r="AH344" s="312">
        <f t="shared" si="103"/>
        <v>115624.08</v>
      </c>
      <c r="AI344" s="858">
        <f>IFERROR(INDEX('Operations Forecast_new'!$9:$9,MATCH(DB[[#This Row],[Datum]],'Operations Forecast_new'!$2:$2,0)),0)</f>
        <v>22923.45</v>
      </c>
      <c r="AJ344" s="312">
        <f t="shared" si="114"/>
        <v>92700.63</v>
      </c>
      <c r="AK344" s="858">
        <f>IFERROR(INDEX('Operations Forecast_new'!$15:$15,MATCH(DB[[#This Row],[Datum]],'Operations Forecast_new'!$2:$2,0)),0)</f>
        <v>43262.01</v>
      </c>
      <c r="AL344" s="858">
        <f>IFERROR(INDEX('Operations Forecast_new'!$21:$21,MATCH(DB[[#This Row],[Datum]],'Operations Forecast_new'!$2:$2,0)),0)</f>
        <v>49438.62</v>
      </c>
      <c r="AM344" s="178">
        <f>IFERROR(INDEX('Operations Forecast_new'!$8:$8,MATCH(DB[[#This Row],[Datum]],'Operations Forecast_new'!$2:$2,0)),0)</f>
        <v>42.1</v>
      </c>
      <c r="AN344" s="859">
        <f>IFERROR(INDEX('Operations Forecast_new'!$20:$20,MATCH(DB[[#This Row],[Datum]],'Operations Forecast_new'!$2:$2,0)),0)</f>
        <v>49.2</v>
      </c>
      <c r="AO344" s="44">
        <f t="shared" si="115"/>
        <v>41.679000000000002</v>
      </c>
      <c r="AP344" s="404">
        <f t="shared" si="116"/>
        <v>48.661748031496067</v>
      </c>
      <c r="AQ344" s="44">
        <f t="shared" si="104"/>
        <v>140637.96071263062</v>
      </c>
      <c r="AR344" s="44" cm="1">
        <f t="array" ref="AR344">IFERROR(INDEX('ST Forecast'!$E$2:$RK$36,25,M344)+(INDEX('ST Forecast'!$E$2:$RK$36,29,M344)),"")</f>
        <v>56642.028999999995</v>
      </c>
      <c r="AS344" s="44" cm="1">
        <f t="array" ref="AS344">IFERROR(INDEX('ST Forecast'!$E$2:$RK$36,26,M344)+INDEX('ST Forecast'!$E$2:$RK$36,30,M344),"")</f>
        <v>69255.102000000014</v>
      </c>
      <c r="AT344" s="44" cm="1">
        <f t="array" ref="AT344">IFERROR(INDEX('ST Forecast'!$E$2:$RK$36,27,M344)+INDEX('ST Forecast'!$E$2:$RK$36,31,M344),"")</f>
        <v>5714.7327126306081</v>
      </c>
      <c r="AU344" s="44" cm="1">
        <f t="array" ref="AU344">IFERROR(INDEX('ST Forecast'!$E$2:$RK$36,28,M344),"")</f>
        <v>9026.0970000000016</v>
      </c>
      <c r="AV344" s="44" cm="1">
        <f t="array" ref="AV344">IFERROR(INDEX('ST Forecast'!$E$2:$RK$36,29,M344),"")</f>
        <v>0</v>
      </c>
      <c r="AW344" s="44">
        <f>DB[[#This Row],[Inbound FC]]-DB[[#This Row],[Inbound Act - Ultrafresh2]]</f>
        <v>140637.96071263062</v>
      </c>
      <c r="AX344" s="178" t="e">
        <f>#REF!</f>
        <v>#REF!</v>
      </c>
      <c r="AY344" s="178" t="e">
        <f>#REF!</f>
        <v>#REF!</v>
      </c>
      <c r="AZ344" s="178" t="e">
        <f>#REF!</f>
        <v>#REF!</v>
      </c>
      <c r="BA344" s="178">
        <f>MONTH(DB[[#This Row],[Datum]])</f>
        <v>12</v>
      </c>
    </row>
    <row r="345" spans="1:53" x14ac:dyDescent="0.3">
      <c r="A345" s="44">
        <f t="shared" si="105"/>
        <v>49</v>
      </c>
      <c r="B345" t="str">
        <f t="shared" si="106"/>
        <v>Wk 49</v>
      </c>
      <c r="C345" t="s">
        <v>117</v>
      </c>
      <c r="D345" s="313">
        <v>44904</v>
      </c>
      <c r="E345" s="44">
        <f>DB[[#This Row],[Sales-FC-Orders-Collect]]+DB[[#This Row],[Sales-FC-Orders-HD]]</f>
        <v>3275</v>
      </c>
      <c r="F345" s="402" cm="1">
        <f t="array" ref="F345">INDEX('LT Collect Forecast'!$K$1:$Q$55,MATCH(B345,'LT Collect Forecast'!$A:$A,0)+1,MATCH(C345,'LT Collect Forecast'!$K$2:$Q$2,0))</f>
        <v>975</v>
      </c>
      <c r="G345" s="44" cm="1">
        <f t="array" ref="G345">INDEX('LT HD Forecast'!$K$1:$Q$55,MATCH(B345,'LT HD Forecast'!$A:$A,0)+1,MATCH(C345,'LT HD Forecast'!$K$2:$Q$2,0))</f>
        <v>2300</v>
      </c>
      <c r="H345" s="44" cm="1">
        <f t="array" ref="H345">IFERROR(INDEX('ST Forecast'!$E$2:$RK$36,6,M345),"")</f>
        <v>47.857228818962689</v>
      </c>
      <c r="I345" s="44" cm="1">
        <f t="array" ref="I345">IFERROR(INDEX('ST Forecast'!$E$2:$RK$36,7,M345),"")</f>
        <v>48.414027999394968</v>
      </c>
      <c r="J345" s="44">
        <f>SUM(DB[[#This Row],[Sales-FC-Picks-Collect]:[Sales-FC-Picks-HD]])</f>
        <v>158013.06249709707</v>
      </c>
      <c r="K345" s="44">
        <f t="shared" si="101"/>
        <v>46660.798098488624</v>
      </c>
      <c r="L345" s="44">
        <f t="shared" si="102"/>
        <v>111352.26439860843</v>
      </c>
      <c r="M345" s="403">
        <f>IFERROR(IF(B345=B344,M344+1,MATCH(B345,'ST Forecast'!$E$2:$RK$2,0)+1),"")</f>
        <v>390</v>
      </c>
      <c r="N345" s="44">
        <f>SUM(DB[[#This Row],[Ops-FC-Orders-Collect]:[Ops-FC-Orders-HD]])</f>
        <v>3300</v>
      </c>
      <c r="O345" s="44" cm="1">
        <f t="array" ref="O345">IFERROR(INDEX('ST Forecast'!$E$2:$RK$36,13,M345),"")</f>
        <v>1000</v>
      </c>
      <c r="P345" s="44">
        <f t="shared" si="107"/>
        <v>2300</v>
      </c>
      <c r="Q345" s="44" cm="1">
        <f t="array" ref="Q345">IFERROR(INDEX('ST Forecast'!$E$2:$RK$36,14,M345),"")</f>
        <v>1200</v>
      </c>
      <c r="R345" s="44" cm="1">
        <f t="array" ref="R345">IFERROR(INDEX('ST Forecast'!$E$2:$RK$36,15,M345),"")</f>
        <v>1100</v>
      </c>
      <c r="S345" s="312">
        <f>SUM(DB[[#This Row],[Ops-FC-Picks-Collect]:[Ops-FC-Picks-HD]])</f>
        <v>156025.30335321967</v>
      </c>
      <c r="T345" s="44">
        <f t="shared" si="108"/>
        <v>46900.084242583434</v>
      </c>
      <c r="U345" s="44">
        <f t="shared" si="109"/>
        <v>109125.21911063624</v>
      </c>
      <c r="V345" s="44">
        <f t="shared" si="110"/>
        <v>56934.896927288479</v>
      </c>
      <c r="W345" s="404">
        <f t="shared" si="111"/>
        <v>52190.322183347773</v>
      </c>
      <c r="X345" s="44">
        <f>SUM(DB[[#This Row],[Capped-Orders-Collect]:[Capped-Orders-HD]])</f>
        <v>90</v>
      </c>
      <c r="Y345">
        <f>INDEX('Operations Forecast'!$A$2:$BGY$47,3,MATCH(DB!D345,'Operations Forecast'!$A$2:$BGY$2))</f>
        <v>0</v>
      </c>
      <c r="Z345">
        <f t="shared" si="112"/>
        <v>90</v>
      </c>
      <c r="AA345">
        <f>INDEX('Operations Forecast'!$A$2:$BGY$47,10,MATCH(DB!D345,'Operations Forecast'!$A$2:$BGY$2))</f>
        <v>90</v>
      </c>
      <c r="AB345">
        <f>INDEX('Operations Forecast'!$A$2:$BGY$47,21,MATCH(DB!D345,'Operations Forecast'!$A$2:$BGY$2))</f>
        <v>0</v>
      </c>
      <c r="AC345" s="312">
        <f>SUM(DB[[#This Row],[Act-Orders-Collect]:[Act-Orders-HD]])</f>
        <v>3185</v>
      </c>
      <c r="AD345" s="858">
        <f>IFERROR(INDEX('Operations Forecast_new'!$7:$7,MATCH(DB[[#This Row],[Datum]],'Operations Forecast_new'!$2:$2,0)),0)</f>
        <v>980</v>
      </c>
      <c r="AE345" s="312">
        <f t="shared" si="113"/>
        <v>2205</v>
      </c>
      <c r="AF345" s="858">
        <f>IFERROR(INDEX('Operations Forecast_new'!$13:$13,MATCH(DB[[#This Row],[Datum]],'Operations Forecast_new'!$2:$2,0)),0)</f>
        <v>1144</v>
      </c>
      <c r="AG345" s="858">
        <f>IFERROR(INDEX('Operations Forecast_new'!$19:$19,MATCH(DB[[#This Row],[Datum]],'Operations Forecast_new'!$2:$2,0)),0)</f>
        <v>1061</v>
      </c>
      <c r="AH345" s="312">
        <f t="shared" si="103"/>
        <v>155765.60999999999</v>
      </c>
      <c r="AI345" s="858">
        <f>IFERROR(INDEX('Operations Forecast_new'!$9:$9,MATCH(DB[[#This Row],[Datum]],'Operations Forecast_new'!$2:$2,0)),0)</f>
        <v>47054.7</v>
      </c>
      <c r="AJ345" s="312">
        <f t="shared" si="114"/>
        <v>108710.91</v>
      </c>
      <c r="AK345" s="858">
        <f>IFERROR(INDEX('Operations Forecast_new'!$15:$15,MATCH(DB[[#This Row],[Datum]],'Operations Forecast_new'!$2:$2,0)),0)</f>
        <v>56401.487999999998</v>
      </c>
      <c r="AL345" s="858">
        <f>IFERROR(INDEX('Operations Forecast_new'!$21:$21,MATCH(DB[[#This Row],[Datum]],'Operations Forecast_new'!$2:$2,0)),0)</f>
        <v>52309.421999999999</v>
      </c>
      <c r="AM345" s="178">
        <f>IFERROR(INDEX('Operations Forecast_new'!$8:$8,MATCH(DB[[#This Row],[Datum]],'Operations Forecast_new'!$2:$2,0)),0)</f>
        <v>48.5</v>
      </c>
      <c r="AN345" s="859">
        <f>IFERROR(INDEX('Operations Forecast_new'!$20:$20,MATCH(DB[[#This Row],[Datum]],'Operations Forecast_new'!$2:$2,0)),0)</f>
        <v>49.8</v>
      </c>
      <c r="AO345" s="44">
        <f t="shared" si="115"/>
        <v>48.015000000000001</v>
      </c>
      <c r="AP345" s="404">
        <f t="shared" si="116"/>
        <v>49.302</v>
      </c>
      <c r="AQ345" s="44">
        <f t="shared" si="104"/>
        <v>127696.96337721619</v>
      </c>
      <c r="AR345" s="44" cm="1">
        <f t="array" ref="AR345">IFERROR(INDEX('ST Forecast'!$E$2:$RK$36,25,M345)+(INDEX('ST Forecast'!$E$2:$RK$36,29,M345)),"")</f>
        <v>49260.162000000004</v>
      </c>
      <c r="AS345" s="44" cm="1">
        <f t="array" ref="AS345">IFERROR(INDEX('ST Forecast'!$E$2:$RK$36,26,M345)+INDEX('ST Forecast'!$E$2:$RK$36,30,M345),"")</f>
        <v>64056.116999999998</v>
      </c>
      <c r="AT345" s="44" cm="1">
        <f t="array" ref="AT345">IFERROR(INDEX('ST Forecast'!$E$2:$RK$36,27,M345)+INDEX('ST Forecast'!$E$2:$RK$36,31,M345),"")</f>
        <v>5575.1113772161816</v>
      </c>
      <c r="AU345" s="44" cm="1">
        <f t="array" ref="AU345">IFERROR(INDEX('ST Forecast'!$E$2:$RK$36,28,M345),"")</f>
        <v>8805.5730000000003</v>
      </c>
      <c r="AV345" s="44" cm="1">
        <f t="array" ref="AV345">IFERROR(INDEX('ST Forecast'!$E$2:$RK$36,29,M345),"")</f>
        <v>0</v>
      </c>
      <c r="AW345" s="44">
        <f>DB[[#This Row],[Inbound FC]]-DB[[#This Row],[Inbound Act - Ultrafresh2]]</f>
        <v>127696.96337721619</v>
      </c>
      <c r="AX345" s="178" t="e">
        <f>#REF!</f>
        <v>#REF!</v>
      </c>
      <c r="AY345" s="178" t="e">
        <f>#REF!</f>
        <v>#REF!</v>
      </c>
      <c r="AZ345" s="178" t="e">
        <f>#REF!</f>
        <v>#REF!</v>
      </c>
      <c r="BA345" s="178">
        <f>MONTH(DB[[#This Row],[Datum]])</f>
        <v>12</v>
      </c>
    </row>
    <row r="346" spans="1:53" x14ac:dyDescent="0.3">
      <c r="A346" s="44">
        <f t="shared" si="105"/>
        <v>49</v>
      </c>
      <c r="B346" t="str">
        <f t="shared" si="106"/>
        <v>Wk 49</v>
      </c>
      <c r="C346" t="s">
        <v>118</v>
      </c>
      <c r="D346" s="313">
        <v>44905</v>
      </c>
      <c r="E346" s="44">
        <f>DB[[#This Row],[Sales-FC-Orders-Collect]]+DB[[#This Row],[Sales-FC-Orders-HD]]</f>
        <v>3050</v>
      </c>
      <c r="F346" s="402" cm="1">
        <f t="array" ref="F346">INDEX('LT Collect Forecast'!$K$1:$Q$55,MATCH(B346,'LT Collect Forecast'!$A:$A,0)+1,MATCH(C346,'LT Collect Forecast'!$K$2:$Q$2,0))</f>
        <v>950</v>
      </c>
      <c r="G346" s="44" cm="1">
        <f t="array" ref="G346">INDEX('LT HD Forecast'!$K$1:$Q$55,MATCH(B346,'LT HD Forecast'!$A:$A,0)+1,MATCH(C346,'LT HD Forecast'!$K$2:$Q$2,0))</f>
        <v>2100</v>
      </c>
      <c r="H346" s="44" cm="1">
        <f t="array" ref="H346">IFERROR(INDEX('ST Forecast'!$E$2:$RK$36,6,M346),"")</f>
        <v>47.833988429279927</v>
      </c>
      <c r="I346" s="44" cm="1">
        <f t="array" ref="I346">IFERROR(INDEX('ST Forecast'!$E$2:$RK$36,7,M346),"")</f>
        <v>48.283550888571114</v>
      </c>
      <c r="J346" s="44">
        <f>SUM(DB[[#This Row],[Sales-FC-Picks-Collect]:[Sales-FC-Picks-HD]])</f>
        <v>146837.74587381526</v>
      </c>
      <c r="K346" s="44">
        <f t="shared" si="101"/>
        <v>45442.289007815933</v>
      </c>
      <c r="L346" s="44">
        <f t="shared" si="102"/>
        <v>101395.45686599934</v>
      </c>
      <c r="M346" s="403">
        <f>IFERROR(IF(B346=B345,M345+1,MATCH(B346,'ST Forecast'!$E$2:$RK$2,0)+1),"")</f>
        <v>391</v>
      </c>
      <c r="N346" s="44">
        <f>SUM(DB[[#This Row],[Ops-FC-Orders-Collect]:[Ops-FC-Orders-HD]])</f>
        <v>3050</v>
      </c>
      <c r="O346" s="44" cm="1">
        <f t="array" ref="O346">IFERROR(INDEX('ST Forecast'!$E$2:$RK$36,13,M346),"")</f>
        <v>950</v>
      </c>
      <c r="P346" s="44">
        <f t="shared" si="107"/>
        <v>2100</v>
      </c>
      <c r="Q346" s="44" cm="1">
        <f t="array" ref="Q346">IFERROR(INDEX('ST Forecast'!$E$2:$RK$36,14,M346),"")</f>
        <v>1150</v>
      </c>
      <c r="R346" s="44" cm="1">
        <f t="array" ref="R346">IFERROR(INDEX('ST Forecast'!$E$2:$RK$36,15,M346),"")</f>
        <v>950</v>
      </c>
      <c r="S346" s="312">
        <f>SUM(DB[[#This Row],[Ops-FC-Picks-Collect]:[Ops-FC-Picks-HD]])</f>
        <v>143900.99095633897</v>
      </c>
      <c r="T346" s="44">
        <f t="shared" si="108"/>
        <v>44533.443227659613</v>
      </c>
      <c r="U346" s="44">
        <f t="shared" si="109"/>
        <v>99367.547728679347</v>
      </c>
      <c r="V346" s="44">
        <f t="shared" si="110"/>
        <v>54415.561851419647</v>
      </c>
      <c r="W346" s="404">
        <f t="shared" si="111"/>
        <v>44951.985877259707</v>
      </c>
      <c r="X346" s="44">
        <f>SUM(DB[[#This Row],[Capped-Orders-Collect]:[Capped-Orders-HD]])</f>
        <v>90</v>
      </c>
      <c r="Y346">
        <f>INDEX('Operations Forecast'!$A$2:$BGY$47,3,MATCH(DB!D346,'Operations Forecast'!$A$2:$BGY$2))</f>
        <v>0</v>
      </c>
      <c r="Z346">
        <f t="shared" si="112"/>
        <v>90</v>
      </c>
      <c r="AA346">
        <f>INDEX('Operations Forecast'!$A$2:$BGY$47,10,MATCH(DB!D346,'Operations Forecast'!$A$2:$BGY$2))</f>
        <v>90</v>
      </c>
      <c r="AB346">
        <f>INDEX('Operations Forecast'!$A$2:$BGY$47,21,MATCH(DB!D346,'Operations Forecast'!$A$2:$BGY$2))</f>
        <v>0</v>
      </c>
      <c r="AC346" s="312">
        <f>SUM(DB[[#This Row],[Act-Orders-Collect]:[Act-Orders-HD]])</f>
        <v>2974</v>
      </c>
      <c r="AD346" s="858">
        <f>IFERROR(INDEX('Operations Forecast_new'!$7:$7,MATCH(DB[[#This Row],[Datum]],'Operations Forecast_new'!$2:$2,0)),0)</f>
        <v>988</v>
      </c>
      <c r="AE346" s="312">
        <f t="shared" si="113"/>
        <v>1986</v>
      </c>
      <c r="AF346" s="858">
        <f>IFERROR(INDEX('Operations Forecast_new'!$13:$13,MATCH(DB[[#This Row],[Datum]],'Operations Forecast_new'!$2:$2,0)),0)</f>
        <v>1122</v>
      </c>
      <c r="AG346" s="858">
        <f>IFERROR(INDEX('Operations Forecast_new'!$19:$19,MATCH(DB[[#This Row],[Datum]],'Operations Forecast_new'!$2:$2,0)),0)</f>
        <v>864</v>
      </c>
      <c r="AH346" s="312">
        <f t="shared" si="103"/>
        <v>145349.622</v>
      </c>
      <c r="AI346" s="858">
        <f>IFERROR(INDEX('Operations Forecast_new'!$9:$9,MATCH(DB[[#This Row],[Datum]],'Operations Forecast_new'!$2:$2,0)),0)</f>
        <v>48025.692000000003</v>
      </c>
      <c r="AJ346" s="312">
        <f t="shared" si="114"/>
        <v>97323.93</v>
      </c>
      <c r="AK346" s="858">
        <f>IFERROR(INDEX('Operations Forecast_new'!$15:$15,MATCH(DB[[#This Row],[Datum]],'Operations Forecast_new'!$2:$2,0)),0)</f>
        <v>54983.61</v>
      </c>
      <c r="AL346" s="858">
        <f>IFERROR(INDEX('Operations Forecast_new'!$21:$21,MATCH(DB[[#This Row],[Datum]],'Operations Forecast_new'!$2:$2,0)),0)</f>
        <v>42340.32</v>
      </c>
      <c r="AM346" s="178">
        <f>IFERROR(INDEX('Operations Forecast_new'!$8:$8,MATCH(DB[[#This Row],[Datum]],'Operations Forecast_new'!$2:$2,0)),0)</f>
        <v>49.1</v>
      </c>
      <c r="AN346" s="859">
        <f>IFERROR(INDEX('Operations Forecast_new'!$20:$20,MATCH(DB[[#This Row],[Datum]],'Operations Forecast_new'!$2:$2,0)),0)</f>
        <v>49.5</v>
      </c>
      <c r="AO346" s="44">
        <f t="shared" si="115"/>
        <v>48.609000000000002</v>
      </c>
      <c r="AP346" s="404">
        <f t="shared" si="116"/>
        <v>49.004999999999995</v>
      </c>
      <c r="AQ346" s="44">
        <f t="shared" si="104"/>
        <v>128474.00000000006</v>
      </c>
      <c r="AR346" s="44" cm="1">
        <f t="array" ref="AR346">IFERROR(INDEX('ST Forecast'!$E$2:$RK$36,25,M346)+(INDEX('ST Forecast'!$E$2:$RK$36,29,M346)),"")</f>
        <v>57896.305534717918</v>
      </c>
      <c r="AS346" s="44" cm="1">
        <f t="array" ref="AS346">IFERROR(INDEX('ST Forecast'!$E$2:$RK$36,26,M346)+INDEX('ST Forecast'!$E$2:$RK$36,30,M346),"")</f>
        <v>58798.391950253019</v>
      </c>
      <c r="AT346" s="44" cm="1">
        <f t="array" ref="AT346">IFERROR(INDEX('ST Forecast'!$E$2:$RK$36,27,M346)+INDEX('ST Forecast'!$E$2:$RK$36,31,M346),"")</f>
        <v>4970.1805150291239</v>
      </c>
      <c r="AU346" s="44" cm="1">
        <f t="array" ref="AU346">IFERROR(INDEX('ST Forecast'!$E$2:$RK$36,28,M346),"")</f>
        <v>6809.1219999999994</v>
      </c>
      <c r="AV346" s="44" cm="1">
        <f t="array" ref="AV346">IFERROR(INDEX('ST Forecast'!$E$2:$RK$36,29,M346),"")</f>
        <v>0</v>
      </c>
      <c r="AW346" s="44">
        <f>DB[[#This Row],[Inbound FC]]-DB[[#This Row],[Inbound Act - Ultrafresh2]]</f>
        <v>128474.00000000006</v>
      </c>
      <c r="AX346" s="178" t="e">
        <f>#REF!</f>
        <v>#REF!</v>
      </c>
      <c r="AY346" s="178" t="e">
        <f>#REF!</f>
        <v>#REF!</v>
      </c>
      <c r="AZ346" s="178" t="e">
        <f>#REF!</f>
        <v>#REF!</v>
      </c>
      <c r="BA346" s="178">
        <f>MONTH(DB[[#This Row],[Datum]])</f>
        <v>12</v>
      </c>
    </row>
    <row r="347" spans="1:53" x14ac:dyDescent="0.3">
      <c r="A347" s="44">
        <f t="shared" si="105"/>
        <v>49</v>
      </c>
      <c r="B347" t="str">
        <f t="shared" si="106"/>
        <v>Wk 49</v>
      </c>
      <c r="C347" t="s">
        <v>119</v>
      </c>
      <c r="D347" s="313">
        <v>44906</v>
      </c>
      <c r="E347" s="44">
        <f>DB[[#This Row],[Sales-FC-Orders-Collect]]+DB[[#This Row],[Sales-FC-Orders-HD]]</f>
        <v>0</v>
      </c>
      <c r="F347" s="402" cm="1">
        <f t="array" ref="F347">INDEX('LT Collect Forecast'!$K$1:$Q$55,MATCH(B347,'LT Collect Forecast'!$A:$A,0)+1,MATCH(C347,'LT Collect Forecast'!$K$2:$Q$2,0))</f>
        <v>0</v>
      </c>
      <c r="G347" s="44" cm="1">
        <f t="array" ref="G347">INDEX('LT HD Forecast'!$K$1:$Q$55,MATCH(B347,'LT HD Forecast'!$A:$A,0)+1,MATCH(C347,'LT HD Forecast'!$K$2:$Q$2,0))</f>
        <v>0</v>
      </c>
      <c r="H347" s="44" cm="1">
        <f t="array" ref="H347">IFERROR(INDEX('ST Forecast'!$E$2:$RK$36,6,M347),"")</f>
        <v>0</v>
      </c>
      <c r="I347" s="44" cm="1">
        <f t="array" ref="I347">IFERROR(INDEX('ST Forecast'!$E$2:$RK$36,7,M347),"")</f>
        <v>0</v>
      </c>
      <c r="J347" s="44">
        <f>SUM(DB[[#This Row],[Sales-FC-Picks-Collect]:[Sales-FC-Picks-HD]])</f>
        <v>0</v>
      </c>
      <c r="K347" s="44">
        <f t="shared" si="101"/>
        <v>0</v>
      </c>
      <c r="L347" s="44">
        <f t="shared" si="102"/>
        <v>0</v>
      </c>
      <c r="M347" s="403">
        <f>IFERROR(IF(B347=B346,M346+1,MATCH(B347,'ST Forecast'!$E$2:$RK$2,0)+1),"")</f>
        <v>392</v>
      </c>
      <c r="N347" s="44">
        <f>SUM(DB[[#This Row],[Ops-FC-Orders-Collect]:[Ops-FC-Orders-HD]])</f>
        <v>0</v>
      </c>
      <c r="O347" s="44" cm="1">
        <f t="array" ref="O347">IFERROR(INDEX('ST Forecast'!$E$2:$RK$36,13,M347),"")</f>
        <v>0</v>
      </c>
      <c r="P347" s="44">
        <f t="shared" si="107"/>
        <v>0</v>
      </c>
      <c r="Q347" s="44" cm="1">
        <f t="array" ref="Q347">IFERROR(INDEX('ST Forecast'!$E$2:$RK$36,14,M347),"")</f>
        <v>0</v>
      </c>
      <c r="R347" s="44" cm="1">
        <f t="array" ref="R347">IFERROR(INDEX('ST Forecast'!$E$2:$RK$36,15,M347),"")</f>
        <v>0</v>
      </c>
      <c r="S347" s="312">
        <f>SUM(DB[[#This Row],[Ops-FC-Picks-Collect]:[Ops-FC-Picks-HD]])</f>
        <v>0</v>
      </c>
      <c r="T347" s="44">
        <f t="shared" si="108"/>
        <v>0</v>
      </c>
      <c r="U347" s="44">
        <f t="shared" si="109"/>
        <v>0</v>
      </c>
      <c r="V347" s="44">
        <f t="shared" si="110"/>
        <v>0</v>
      </c>
      <c r="W347" s="404">
        <f t="shared" si="111"/>
        <v>0</v>
      </c>
      <c r="X347" s="44">
        <f>SUM(DB[[#This Row],[Capped-Orders-Collect]:[Capped-Orders-HD]])</f>
        <v>90</v>
      </c>
      <c r="Y347">
        <f>INDEX('Operations Forecast'!$A$2:$BGY$47,3,MATCH(DB!D347,'Operations Forecast'!$A$2:$BGY$2))</f>
        <v>0</v>
      </c>
      <c r="Z347">
        <f t="shared" si="112"/>
        <v>90</v>
      </c>
      <c r="AA347">
        <f>INDEX('Operations Forecast'!$A$2:$BGY$47,10,MATCH(DB!D347,'Operations Forecast'!$A$2:$BGY$2))</f>
        <v>90</v>
      </c>
      <c r="AB347">
        <f>INDEX('Operations Forecast'!$A$2:$BGY$47,21,MATCH(DB!D347,'Operations Forecast'!$A$2:$BGY$2))</f>
        <v>0</v>
      </c>
      <c r="AC347" s="312">
        <f>SUM(DB[[#This Row],[Act-Orders-Collect]:[Act-Orders-HD]])</f>
        <v>0</v>
      </c>
      <c r="AD347" s="858">
        <f>IFERROR(INDEX('Operations Forecast_new'!$7:$7,MATCH(DB[[#This Row],[Datum]],'Operations Forecast_new'!$2:$2,0)),0)</f>
        <v>0</v>
      </c>
      <c r="AE347" s="312">
        <f t="shared" si="113"/>
        <v>0</v>
      </c>
      <c r="AF347" s="858">
        <f>IFERROR(INDEX('Operations Forecast_new'!$13:$13,MATCH(DB[[#This Row],[Datum]],'Operations Forecast_new'!$2:$2,0)),0)</f>
        <v>0</v>
      </c>
      <c r="AG347" s="858">
        <f>IFERROR(INDEX('Operations Forecast_new'!$19:$19,MATCH(DB[[#This Row],[Datum]],'Operations Forecast_new'!$2:$2,0)),0)</f>
        <v>0</v>
      </c>
      <c r="AH347" s="312">
        <f t="shared" si="103"/>
        <v>0</v>
      </c>
      <c r="AI347" s="858">
        <f>IFERROR(INDEX('Operations Forecast_new'!$9:$9,MATCH(DB[[#This Row],[Datum]],'Operations Forecast_new'!$2:$2,0)),0)</f>
        <v>0</v>
      </c>
      <c r="AJ347" s="312">
        <f t="shared" si="114"/>
        <v>0</v>
      </c>
      <c r="AK347" s="858">
        <f>IFERROR(INDEX('Operations Forecast_new'!$15:$15,MATCH(DB[[#This Row],[Datum]],'Operations Forecast_new'!$2:$2,0)),0)</f>
        <v>0</v>
      </c>
      <c r="AL347" s="858">
        <f>IFERROR(INDEX('Operations Forecast_new'!$21:$21,MATCH(DB[[#This Row],[Datum]],'Operations Forecast_new'!$2:$2,0)),0)</f>
        <v>0</v>
      </c>
      <c r="AM347" s="178">
        <f>IFERROR(INDEX('Operations Forecast_new'!$8:$8,MATCH(DB[[#This Row],[Datum]],'Operations Forecast_new'!$2:$2,0)),0)</f>
        <v>0</v>
      </c>
      <c r="AN347" s="859">
        <f>IFERROR(INDEX('Operations Forecast_new'!$20:$20,MATCH(DB[[#This Row],[Datum]],'Operations Forecast_new'!$2:$2,0)),0)</f>
        <v>0</v>
      </c>
      <c r="AO347" s="44" t="str">
        <f t="shared" si="115"/>
        <v>-</v>
      </c>
      <c r="AP347" s="404" t="str">
        <f t="shared" si="116"/>
        <v>-</v>
      </c>
      <c r="AQ347" s="44">
        <f t="shared" si="104"/>
        <v>0</v>
      </c>
      <c r="AR347" s="44" cm="1">
        <f t="array" ref="AR347">IFERROR(INDEX('ST Forecast'!$E$2:$RK$36,25,M347)+(INDEX('ST Forecast'!$E$2:$RK$36,29,M347)),"")</f>
        <v>0</v>
      </c>
      <c r="AS347" s="44" cm="1">
        <f t="array" ref="AS347">IFERROR(INDEX('ST Forecast'!$E$2:$RK$36,26,M347)+INDEX('ST Forecast'!$E$2:$RK$36,30,M347),"")</f>
        <v>0</v>
      </c>
      <c r="AT347" s="44" cm="1">
        <f t="array" ref="AT347">IFERROR(INDEX('ST Forecast'!$E$2:$RK$36,27,M347)+INDEX('ST Forecast'!$E$2:$RK$36,31,M347),"")</f>
        <v>0</v>
      </c>
      <c r="AU347" s="44" cm="1">
        <f t="array" ref="AU347">IFERROR(INDEX('ST Forecast'!$E$2:$RK$36,28,M347),"")</f>
        <v>0</v>
      </c>
      <c r="AV347" s="44" cm="1">
        <f t="array" ref="AV347">IFERROR(INDEX('ST Forecast'!$E$2:$RK$36,29,M347),"")</f>
        <v>0</v>
      </c>
      <c r="AW347" s="44">
        <f>DB[[#This Row],[Inbound FC]]-DB[[#This Row],[Inbound Act - Ultrafresh2]]</f>
        <v>0</v>
      </c>
      <c r="AX347" s="178" t="e">
        <f>#REF!</f>
        <v>#REF!</v>
      </c>
      <c r="AY347" s="178" t="e">
        <f>#REF!</f>
        <v>#REF!</v>
      </c>
      <c r="AZ347" s="178" t="e">
        <f>#REF!</f>
        <v>#REF!</v>
      </c>
      <c r="BA347" s="178">
        <f>MONTH(DB[[#This Row],[Datum]])</f>
        <v>12</v>
      </c>
    </row>
    <row r="348" spans="1:53" x14ac:dyDescent="0.3">
      <c r="A348" s="44">
        <f t="shared" si="105"/>
        <v>50</v>
      </c>
      <c r="B348" t="str">
        <f t="shared" si="106"/>
        <v>Wk 50</v>
      </c>
      <c r="C348" t="s">
        <v>113</v>
      </c>
      <c r="D348" s="313">
        <v>44907</v>
      </c>
      <c r="E348" s="44">
        <f>DB[[#This Row],[Sales-FC-Orders-Collect]]+DB[[#This Row],[Sales-FC-Orders-HD]]</f>
        <v>2830</v>
      </c>
      <c r="F348" s="402">
        <f>INDEX('LT Collect Forecast'!$K$1:$Q$55,MATCH(B348,'LT Collect Forecast'!$A:$A,0),MATCH(C348,'LT Collect Forecast'!$K$2:$Q$2,0))</f>
        <v>830</v>
      </c>
      <c r="G348" s="44">
        <f>INDEX('LT HD Forecast'!$K$1:$Q$55,MATCH(B348,'LT HD Forecast'!$A:$A,0),MATCH(C348,'LT HD Forecast'!$K$2:$Q$2,0))</f>
        <v>2000</v>
      </c>
      <c r="H348" s="44" cm="1">
        <f t="array" ref="H348">IFERROR(INDEX('ST Forecast'!$E$2:$RK$36,6,M348),"")</f>
        <v>44.908657780783749</v>
      </c>
      <c r="I348" s="44" cm="1">
        <f t="array" ref="I348">IFERROR(INDEX('ST Forecast'!$E$2:$RK$36,7,M348),"")</f>
        <v>47.737769298598167</v>
      </c>
      <c r="J348" s="44">
        <f>SUM(DB[[#This Row],[Sales-FC-Picks-Collect]:[Sales-FC-Picks-HD]])</f>
        <v>132749.72455524685</v>
      </c>
      <c r="K348" s="44">
        <f t="shared" si="101"/>
        <v>37274.185958050512</v>
      </c>
      <c r="L348" s="44">
        <f t="shared" si="102"/>
        <v>95475.538597196341</v>
      </c>
      <c r="M348" s="403">
        <f>IFERROR(IF(B348=B347,M347+1,MATCH(B348,'ST Forecast'!$E$2:$RK$2,0)+1),"")</f>
        <v>394</v>
      </c>
      <c r="N348" s="44">
        <f>SUM(DB[[#This Row],[Ops-FC-Orders-Collect]:[Ops-FC-Orders-HD]])</f>
        <v>2700</v>
      </c>
      <c r="O348" s="44" cm="1">
        <f t="array" ref="O348">IFERROR(INDEX('ST Forecast'!$E$2:$RK$36,13,M348),"")</f>
        <v>750</v>
      </c>
      <c r="P348" s="44">
        <f t="shared" si="107"/>
        <v>1950</v>
      </c>
      <c r="Q348" s="44" cm="1">
        <f t="array" ref="Q348">IFERROR(INDEX('ST Forecast'!$E$2:$RK$36,14,M348),"")</f>
        <v>850</v>
      </c>
      <c r="R348" s="44" cm="1">
        <f t="array" ref="R348">IFERROR(INDEX('ST Forecast'!$E$2:$RK$36,15,M348),"")</f>
        <v>1100</v>
      </c>
      <c r="S348" s="312">
        <f>SUM(DB[[#This Row],[Ops-FC-Picks-Collect]:[Ops-FC-Picks-HD]])</f>
        <v>124234.74059849716</v>
      </c>
      <c r="T348" s="44">
        <f t="shared" si="108"/>
        <v>33007.86346887605</v>
      </c>
      <c r="U348" s="44">
        <f t="shared" si="109"/>
        <v>91226.877129621105</v>
      </c>
      <c r="V348" s="44">
        <f t="shared" si="110"/>
        <v>39765.561825732271</v>
      </c>
      <c r="W348" s="404">
        <f t="shared" si="111"/>
        <v>51461.315303888827</v>
      </c>
      <c r="X348" s="44">
        <f>SUM(DB[[#This Row],[Capped-Orders-Collect]:[Capped-Orders-HD]])</f>
        <v>90</v>
      </c>
      <c r="Y348">
        <f>INDEX('Operations Forecast'!$A$2:$BGY$47,3,MATCH(DB!D348,'Operations Forecast'!$A$2:$BGY$2))</f>
        <v>0</v>
      </c>
      <c r="Z348">
        <f t="shared" si="112"/>
        <v>90</v>
      </c>
      <c r="AA348">
        <f>INDEX('Operations Forecast'!$A$2:$BGY$47,10,MATCH(DB!D348,'Operations Forecast'!$A$2:$BGY$2))</f>
        <v>90</v>
      </c>
      <c r="AB348">
        <f>INDEX('Operations Forecast'!$A$2:$BGY$47,21,MATCH(DB!D348,'Operations Forecast'!$A$2:$BGY$2))</f>
        <v>0</v>
      </c>
      <c r="AC348" s="312">
        <f>SUM(DB[[#This Row],[Act-Orders-Collect]:[Act-Orders-HD]])</f>
        <v>2693</v>
      </c>
      <c r="AD348" s="858">
        <f>IFERROR(INDEX('Operations Forecast_new'!$7:$7,MATCH(DB[[#This Row],[Datum]],'Operations Forecast_new'!$2:$2,0)),0)</f>
        <v>770</v>
      </c>
      <c r="AE348" s="312">
        <f t="shared" si="113"/>
        <v>1923</v>
      </c>
      <c r="AF348" s="858">
        <f>IFERROR(INDEX('Operations Forecast_new'!$13:$13,MATCH(DB[[#This Row],[Datum]],'Operations Forecast_new'!$2:$2,0)),0)</f>
        <v>776</v>
      </c>
      <c r="AG348" s="858">
        <f>IFERROR(INDEX('Operations Forecast_new'!$19:$19,MATCH(DB[[#This Row],[Datum]],'Operations Forecast_new'!$2:$2,0)),0)</f>
        <v>1147</v>
      </c>
      <c r="AH348" s="312">
        <f t="shared" si="103"/>
        <v>127856.02499999999</v>
      </c>
      <c r="AI348" s="858">
        <f>IFERROR(INDEX('Operations Forecast_new'!$9:$9,MATCH(DB[[#This Row],[Datum]],'Operations Forecast_new'!$2:$2,0)),0)</f>
        <v>35523.18</v>
      </c>
      <c r="AJ348" s="312">
        <f t="shared" si="114"/>
        <v>92332.845000000001</v>
      </c>
      <c r="AK348" s="858">
        <f>IFERROR(INDEX('Operations Forecast_new'!$15:$15,MATCH(DB[[#This Row],[Datum]],'Operations Forecast_new'!$2:$2,0)),0)</f>
        <v>37259.64</v>
      </c>
      <c r="AL348" s="858">
        <f>IFERROR(INDEX('Operations Forecast_new'!$21:$21,MATCH(DB[[#This Row],[Datum]],'Operations Forecast_new'!$2:$2,0)),0)</f>
        <v>55073.205000000002</v>
      </c>
      <c r="AM348" s="178">
        <f>IFERROR(INDEX('Operations Forecast_new'!$8:$8,MATCH(DB[[#This Row],[Datum]],'Operations Forecast_new'!$2:$2,0)),0)</f>
        <v>46.6</v>
      </c>
      <c r="AN348" s="859">
        <f>IFERROR(INDEX('Operations Forecast_new'!$20:$20,MATCH(DB[[#This Row],[Datum]],'Operations Forecast_new'!$2:$2,0)),0)</f>
        <v>48.5</v>
      </c>
      <c r="AO348" s="44">
        <f t="shared" si="115"/>
        <v>46.134</v>
      </c>
      <c r="AP348" s="404">
        <f t="shared" si="116"/>
        <v>48.015000000000001</v>
      </c>
      <c r="AQ348" s="44">
        <f t="shared" si="104"/>
        <v>215140.64499999999</v>
      </c>
      <c r="AR348" s="44" cm="1">
        <f t="array" ref="AR348">IFERROR(INDEX('ST Forecast'!$E$2:$RK$36,25,M348)+(INDEX('ST Forecast'!$E$2:$RK$36,29,M348)),"")</f>
        <v>127238</v>
      </c>
      <c r="AS348" s="44" cm="1">
        <f t="array" ref="AS348">IFERROR(INDEX('ST Forecast'!$E$2:$RK$36,26,M348)+INDEX('ST Forecast'!$E$2:$RK$36,30,M348),"")</f>
        <v>61429.698000000004</v>
      </c>
      <c r="AT348" s="44" cm="1">
        <f t="array" ref="AT348">IFERROR(INDEX('ST Forecast'!$E$2:$RK$36,27,M348)+INDEX('ST Forecast'!$E$2:$RK$36,31,M348),"")</f>
        <v>16953.14</v>
      </c>
      <c r="AU348" s="44" cm="1">
        <f t="array" ref="AU348">IFERROR(INDEX('ST Forecast'!$E$2:$RK$36,28,M348),"")</f>
        <v>9519.8069999999989</v>
      </c>
      <c r="AV348" s="44" cm="1">
        <f t="array" ref="AV348">IFERROR(INDEX('ST Forecast'!$E$2:$RK$36,29,M348),"")</f>
        <v>75238</v>
      </c>
      <c r="AW348" s="44">
        <f>DB[[#This Row],[Inbound FC]]-DB[[#This Row],[Inbound Act - Ultrafresh2]]</f>
        <v>139902.64499999999</v>
      </c>
      <c r="AX348" s="178" t="e">
        <f>#REF!</f>
        <v>#REF!</v>
      </c>
      <c r="AY348" s="178" t="e">
        <f>#REF!</f>
        <v>#REF!</v>
      </c>
      <c r="AZ348" s="178" t="e">
        <f>#REF!</f>
        <v>#REF!</v>
      </c>
      <c r="BA348" s="178">
        <f>MONTH(DB[[#This Row],[Datum]])</f>
        <v>12</v>
      </c>
    </row>
    <row r="349" spans="1:53" x14ac:dyDescent="0.3">
      <c r="A349" s="44">
        <f t="shared" si="105"/>
        <v>50</v>
      </c>
      <c r="B349" t="str">
        <f t="shared" si="106"/>
        <v>Wk 50</v>
      </c>
      <c r="C349" t="s">
        <v>114</v>
      </c>
      <c r="D349" s="313">
        <v>44908</v>
      </c>
      <c r="E349" s="44">
        <f>DB[[#This Row],[Sales-FC-Orders-Collect]]+DB[[#This Row],[Sales-FC-Orders-HD]]</f>
        <v>2850</v>
      </c>
      <c r="F349" s="402">
        <f>INDEX('LT Collect Forecast'!$K$1:$Q$55,MATCH(B349,'LT Collect Forecast'!$A:$A,0),MATCH(C349,'LT Collect Forecast'!$K$2:$Q$2,0))</f>
        <v>600</v>
      </c>
      <c r="G349" s="44">
        <f>INDEX('LT HD Forecast'!$K$1:$Q$55,MATCH(B349,'LT HD Forecast'!$A:$A,0),MATCH(C349,'LT HD Forecast'!$K$2:$Q$2,0))</f>
        <v>2250</v>
      </c>
      <c r="H349" s="44" cm="1">
        <f t="array" ref="H349">IFERROR(INDEX('ST Forecast'!$E$2:$RK$36,6,M349),"")</f>
        <v>42.269814580550147</v>
      </c>
      <c r="I349" s="44" cm="1">
        <f t="array" ref="I349">IFERROR(INDEX('ST Forecast'!$E$2:$RK$36,7,M349),"")</f>
        <v>48.315151322211342</v>
      </c>
      <c r="J349" s="44">
        <f>SUM(DB[[#This Row],[Sales-FC-Picks-Collect]:[Sales-FC-Picks-HD]])</f>
        <v>134070.97922330559</v>
      </c>
      <c r="K349" s="44">
        <f t="shared" si="101"/>
        <v>25361.88874833009</v>
      </c>
      <c r="L349" s="44">
        <f t="shared" si="102"/>
        <v>108709.09047497551</v>
      </c>
      <c r="M349" s="403">
        <f>IFERROR(IF(B349=B348,M348+1,MATCH(B349,'ST Forecast'!$E$2:$RK$2,0)+1),"")</f>
        <v>395</v>
      </c>
      <c r="N349" s="44">
        <f>SUM(DB[[#This Row],[Ops-FC-Orders-Collect]:[Ops-FC-Orders-HD]])</f>
        <v>2950</v>
      </c>
      <c r="O349" s="44" cm="1">
        <f t="array" ref="O349">IFERROR(INDEX('ST Forecast'!$E$2:$RK$36,13,M349),"")</f>
        <v>700</v>
      </c>
      <c r="P349" s="44">
        <f t="shared" si="107"/>
        <v>2250</v>
      </c>
      <c r="Q349" s="44" cm="1">
        <f t="array" ref="Q349">IFERROR(INDEX('ST Forecast'!$E$2:$RK$36,14,M349),"")</f>
        <v>1150</v>
      </c>
      <c r="R349" s="44" cm="1">
        <f t="array" ref="R349">IFERROR(INDEX('ST Forecast'!$E$2:$RK$36,15,M349),"")</f>
        <v>1100</v>
      </c>
      <c r="S349" s="312">
        <f>SUM(DB[[#This Row],[Ops-FC-Picks-Collect]:[Ops-FC-Picks-HD]])</f>
        <v>135532.00146773341</v>
      </c>
      <c r="T349" s="44">
        <f t="shared" si="108"/>
        <v>28997.092802257397</v>
      </c>
      <c r="U349" s="44">
        <f t="shared" si="109"/>
        <v>106534.90866547602</v>
      </c>
      <c r="V349" s="44">
        <f t="shared" si="110"/>
        <v>54451.175540132186</v>
      </c>
      <c r="W349" s="404">
        <f t="shared" si="111"/>
        <v>52083.733125343824</v>
      </c>
      <c r="X349" s="44">
        <f>SUM(DB[[#This Row],[Capped-Orders-Collect]:[Capped-Orders-HD]])</f>
        <v>90</v>
      </c>
      <c r="Y349">
        <f>INDEX('Operations Forecast'!$A$2:$BGY$47,3,MATCH(DB!D349,'Operations Forecast'!$A$2:$BGY$2))</f>
        <v>0</v>
      </c>
      <c r="Z349">
        <f t="shared" si="112"/>
        <v>90</v>
      </c>
      <c r="AA349">
        <f>INDEX('Operations Forecast'!$A$2:$BGY$47,10,MATCH(DB!D349,'Operations Forecast'!$A$2:$BGY$2))</f>
        <v>90</v>
      </c>
      <c r="AB349">
        <f>INDEX('Operations Forecast'!$A$2:$BGY$47,21,MATCH(DB!D349,'Operations Forecast'!$A$2:$BGY$2))</f>
        <v>0</v>
      </c>
      <c r="AC349" s="312">
        <f>SUM(DB[[#This Row],[Act-Orders-Collect]:[Act-Orders-HD]])</f>
        <v>2949</v>
      </c>
      <c r="AD349" s="858">
        <f>IFERROR(INDEX('Operations Forecast_new'!$7:$7,MATCH(DB[[#This Row],[Datum]],'Operations Forecast_new'!$2:$2,0)),0)</f>
        <v>700</v>
      </c>
      <c r="AE349" s="312">
        <f t="shared" si="113"/>
        <v>2249</v>
      </c>
      <c r="AF349" s="858">
        <f>IFERROR(INDEX('Operations Forecast_new'!$13:$13,MATCH(DB[[#This Row],[Datum]],'Operations Forecast_new'!$2:$2,0)),0)</f>
        <v>1152</v>
      </c>
      <c r="AG349" s="858">
        <f>IFERROR(INDEX('Operations Forecast_new'!$19:$19,MATCH(DB[[#This Row],[Datum]],'Operations Forecast_new'!$2:$2,0)),0)</f>
        <v>1097</v>
      </c>
      <c r="AH349" s="312">
        <f t="shared" si="103"/>
        <v>135726.32699999999</v>
      </c>
      <c r="AI349" s="858">
        <f>IFERROR(INDEX('Operations Forecast_new'!$9:$9,MATCH(DB[[#This Row],[Datum]],'Operations Forecast_new'!$2:$2,0)),0)</f>
        <v>29521.8</v>
      </c>
      <c r="AJ349" s="312">
        <f t="shared" si="114"/>
        <v>106204.527</v>
      </c>
      <c r="AK349" s="858">
        <f>IFERROR(INDEX('Operations Forecast_new'!$15:$15,MATCH(DB[[#This Row],[Datum]],'Operations Forecast_new'!$2:$2,0)),0)</f>
        <v>54400.896000000001</v>
      </c>
      <c r="AL349" s="858">
        <f>IFERROR(INDEX('Operations Forecast_new'!$21:$21,MATCH(DB[[#This Row],[Datum]],'Operations Forecast_new'!$2:$2,0)),0)</f>
        <v>51803.631000000001</v>
      </c>
      <c r="AM349" s="178">
        <f>IFERROR(INDEX('Operations Forecast_new'!$8:$8,MATCH(DB[[#This Row],[Datum]],'Operations Forecast_new'!$2:$2,0)),0)</f>
        <v>42.6</v>
      </c>
      <c r="AN349" s="859">
        <f>IFERROR(INDEX('Operations Forecast_new'!$20:$20,MATCH(DB[[#This Row],[Datum]],'Operations Forecast_new'!$2:$2,0)),0)</f>
        <v>47.7</v>
      </c>
      <c r="AO349" s="44">
        <f t="shared" si="115"/>
        <v>42.173999999999999</v>
      </c>
      <c r="AP349" s="404">
        <f t="shared" si="116"/>
        <v>47.222999999999999</v>
      </c>
      <c r="AQ349" s="44">
        <f t="shared" si="104"/>
        <v>146511.02142876477</v>
      </c>
      <c r="AR349" s="44" cm="1">
        <f t="array" ref="AR349">IFERROR(INDEX('ST Forecast'!$E$2:$RK$36,25,M349)+(INDEX('ST Forecast'!$E$2:$RK$36,29,M349)),"")</f>
        <v>69614.574999999997</v>
      </c>
      <c r="AS349" s="44" cm="1">
        <f t="array" ref="AS349">IFERROR(INDEX('ST Forecast'!$E$2:$RK$36,26,M349)+INDEX('ST Forecast'!$E$2:$RK$36,30,M349),"")</f>
        <v>61790.655780276647</v>
      </c>
      <c r="AT349" s="44" cm="1">
        <f t="array" ref="AT349">IFERROR(INDEX('ST Forecast'!$E$2:$RK$36,27,M349)+INDEX('ST Forecast'!$E$2:$RK$36,31,M349),"")</f>
        <v>6402.5294287647566</v>
      </c>
      <c r="AU349" s="44" cm="1">
        <f t="array" ref="AU349">IFERROR(INDEX('ST Forecast'!$E$2:$RK$36,28,M349),"")</f>
        <v>8703.2612197233539</v>
      </c>
      <c r="AV349" s="44" cm="1">
        <f t="array" ref="AV349">IFERROR(INDEX('ST Forecast'!$E$2:$RK$36,29,M349),"")</f>
        <v>0</v>
      </c>
      <c r="AW349" s="44">
        <f>DB[[#This Row],[Inbound FC]]-DB[[#This Row],[Inbound Act - Ultrafresh2]]</f>
        <v>146511.02142876477</v>
      </c>
      <c r="AX349" s="178" t="e">
        <f>#REF!</f>
        <v>#REF!</v>
      </c>
      <c r="AY349" s="178" t="e">
        <f>#REF!</f>
        <v>#REF!</v>
      </c>
      <c r="AZ349" s="178" t="e">
        <f>#REF!</f>
        <v>#REF!</v>
      </c>
      <c r="BA349" s="178">
        <f>MONTH(DB[[#This Row],[Datum]])</f>
        <v>12</v>
      </c>
    </row>
    <row r="350" spans="1:53" x14ac:dyDescent="0.3">
      <c r="A350" s="44">
        <f t="shared" si="105"/>
        <v>50</v>
      </c>
      <c r="B350" t="str">
        <f t="shared" si="106"/>
        <v>Wk 50</v>
      </c>
      <c r="C350" t="s">
        <v>115</v>
      </c>
      <c r="D350" s="313">
        <v>44909</v>
      </c>
      <c r="E350" s="44">
        <f>DB[[#This Row],[Sales-FC-Orders-Collect]]+DB[[#This Row],[Sales-FC-Orders-HD]]</f>
        <v>2750</v>
      </c>
      <c r="F350" s="402">
        <f>INDEX('LT Collect Forecast'!$K$1:$Q$55,MATCH(B350,'LT Collect Forecast'!$A:$A,0),MATCH(C350,'LT Collect Forecast'!$K$2:$Q$2,0))</f>
        <v>600</v>
      </c>
      <c r="G350" s="44">
        <f>INDEX('LT HD Forecast'!$K$1:$Q$55,MATCH(B350,'LT HD Forecast'!$A:$A,0),MATCH(C350,'LT HD Forecast'!$K$2:$Q$2,0))</f>
        <v>2150</v>
      </c>
      <c r="H350" s="44" cm="1">
        <f t="array" ref="H350">IFERROR(INDEX('ST Forecast'!$E$2:$RK$36,6,M350),"")</f>
        <v>41.806874001157375</v>
      </c>
      <c r="I350" s="44" cm="1">
        <f t="array" ref="I350">IFERROR(INDEX('ST Forecast'!$E$2:$RK$36,7,M350),"")</f>
        <v>48.839263491810826</v>
      </c>
      <c r="J350" s="44">
        <f>SUM(DB[[#This Row],[Sales-FC-Picks-Collect]:[Sales-FC-Picks-HD]])</f>
        <v>130088.54090808771</v>
      </c>
      <c r="K350" s="44">
        <f t="shared" si="101"/>
        <v>25084.124400694425</v>
      </c>
      <c r="L350" s="44">
        <f t="shared" si="102"/>
        <v>105004.41650739328</v>
      </c>
      <c r="M350" s="403">
        <f>IFERROR(IF(B350=B349,M349+1,MATCH(B350,'ST Forecast'!$E$2:$RK$2,0)+1),"")</f>
        <v>396</v>
      </c>
      <c r="N350" s="44">
        <f>SUM(DB[[#This Row],[Ops-FC-Orders-Collect]:[Ops-FC-Orders-HD]])</f>
        <v>2800</v>
      </c>
      <c r="O350" s="44" cm="1">
        <f t="array" ref="O350">IFERROR(INDEX('ST Forecast'!$E$2:$RK$36,13,M350),"")</f>
        <v>650</v>
      </c>
      <c r="P350" s="44">
        <f t="shared" si="107"/>
        <v>2150</v>
      </c>
      <c r="Q350" s="44" cm="1">
        <f t="array" ref="Q350">IFERROR(INDEX('ST Forecast'!$E$2:$RK$36,14,M350),"")</f>
        <v>1150</v>
      </c>
      <c r="R350" s="44" cm="1">
        <f t="array" ref="R350">IFERROR(INDEX('ST Forecast'!$E$2:$RK$36,15,M350),"")</f>
        <v>1000</v>
      </c>
      <c r="S350" s="312">
        <f>SUM(DB[[#This Row],[Ops-FC-Picks-Collect]:[Ops-FC-Picks-HD]])</f>
        <v>129535.30691598266</v>
      </c>
      <c r="T350" s="44">
        <f t="shared" si="108"/>
        <v>26630.978738737245</v>
      </c>
      <c r="U350" s="44">
        <f t="shared" si="109"/>
        <v>102904.32817724541</v>
      </c>
      <c r="V350" s="44">
        <f t="shared" si="110"/>
        <v>55041.849955270802</v>
      </c>
      <c r="W350" s="404">
        <f t="shared" si="111"/>
        <v>47862.478221974605</v>
      </c>
      <c r="X350" s="44">
        <f>SUM(DB[[#This Row],[Capped-Orders-Collect]:[Capped-Orders-HD]])</f>
        <v>90</v>
      </c>
      <c r="Y350">
        <f>INDEX('Operations Forecast'!$A$2:$BGY$47,3,MATCH(DB!D350,'Operations Forecast'!$A$2:$BGY$2))</f>
        <v>0</v>
      </c>
      <c r="Z350">
        <f t="shared" si="112"/>
        <v>90</v>
      </c>
      <c r="AA350">
        <f>INDEX('Operations Forecast'!$A$2:$BGY$47,10,MATCH(DB!D350,'Operations Forecast'!$A$2:$BGY$2))</f>
        <v>90</v>
      </c>
      <c r="AB350">
        <f>INDEX('Operations Forecast'!$A$2:$BGY$47,21,MATCH(DB!D350,'Operations Forecast'!$A$2:$BGY$2))</f>
        <v>0</v>
      </c>
      <c r="AC350" s="312">
        <f>SUM(DB[[#This Row],[Act-Orders-Collect]:[Act-Orders-HD]])</f>
        <v>2769</v>
      </c>
      <c r="AD350" s="858">
        <f>IFERROR(INDEX('Operations Forecast_new'!$7:$7,MATCH(DB[[#This Row],[Datum]],'Operations Forecast_new'!$2:$2,0)),0)</f>
        <v>610</v>
      </c>
      <c r="AE350" s="312">
        <f t="shared" si="113"/>
        <v>2159</v>
      </c>
      <c r="AF350" s="858">
        <f>IFERROR(INDEX('Operations Forecast_new'!$13:$13,MATCH(DB[[#This Row],[Datum]],'Operations Forecast_new'!$2:$2,0)),0)</f>
        <v>1194</v>
      </c>
      <c r="AG350" s="858">
        <f>IFERROR(INDEX('Operations Forecast_new'!$19:$19,MATCH(DB[[#This Row],[Datum]],'Operations Forecast_new'!$2:$2,0)),0)</f>
        <v>965</v>
      </c>
      <c r="AH350" s="312">
        <f t="shared" si="103"/>
        <v>128150.15399999999</v>
      </c>
      <c r="AI350" s="858">
        <f>IFERROR(INDEX('Operations Forecast_new'!$9:$9,MATCH(DB[[#This Row],[Datum]],'Operations Forecast_new'!$2:$2,0)),0)</f>
        <v>24699.51</v>
      </c>
      <c r="AJ350" s="312">
        <f t="shared" si="114"/>
        <v>103450.644</v>
      </c>
      <c r="AK350" s="858">
        <f>IFERROR(INDEX('Operations Forecast_new'!$15:$15,MATCH(DB[[#This Row],[Datum]],'Operations Forecast_new'!$2:$2,0)),0)</f>
        <v>57211.703999999998</v>
      </c>
      <c r="AL350" s="858">
        <f>IFERROR(INDEX('Operations Forecast_new'!$21:$21,MATCH(DB[[#This Row],[Datum]],'Operations Forecast_new'!$2:$2,0)),0)</f>
        <v>46238.94</v>
      </c>
      <c r="AM350" s="178">
        <f>IFERROR(INDEX('Operations Forecast_new'!$8:$8,MATCH(DB[[#This Row],[Datum]],'Operations Forecast_new'!$2:$2,0)),0)</f>
        <v>40.9</v>
      </c>
      <c r="AN350" s="859">
        <f>IFERROR(INDEX('Operations Forecast_new'!$20:$20,MATCH(DB[[#This Row],[Datum]],'Operations Forecast_new'!$2:$2,0)),0)</f>
        <v>48.4</v>
      </c>
      <c r="AO350" s="44">
        <f t="shared" si="115"/>
        <v>40.491</v>
      </c>
      <c r="AP350" s="404">
        <f t="shared" si="116"/>
        <v>47.915999999999997</v>
      </c>
      <c r="AQ350" s="44">
        <f t="shared" si="104"/>
        <v>158778.92987043201</v>
      </c>
      <c r="AR350" s="44" cm="1">
        <f t="array" ref="AR350">IFERROR(INDEX('ST Forecast'!$E$2:$RK$36,25,M350)+(INDEX('ST Forecast'!$E$2:$RK$36,29,M350)),"")</f>
        <v>68447.115000000005</v>
      </c>
      <c r="AS350" s="44" cm="1">
        <f t="array" ref="AS350">IFERROR(INDEX('ST Forecast'!$E$2:$RK$36,26,M350)+INDEX('ST Forecast'!$E$2:$RK$36,30,M350),"")</f>
        <v>75829.364577598608</v>
      </c>
      <c r="AT350" s="44" cm="1">
        <f t="array" ref="AT350">IFERROR(INDEX('ST Forecast'!$E$2:$RK$36,27,M350)+INDEX('ST Forecast'!$E$2:$RK$36,31,M350),"")</f>
        <v>5543.0098704320098</v>
      </c>
      <c r="AU350" s="44" cm="1">
        <f t="array" ref="AU350">IFERROR(INDEX('ST Forecast'!$E$2:$RK$36,28,M350),"")</f>
        <v>8959.4404224013979</v>
      </c>
      <c r="AV350" s="44" cm="1">
        <f t="array" ref="AV350">IFERROR(INDEX('ST Forecast'!$E$2:$RK$36,29,M350),"")</f>
        <v>0</v>
      </c>
      <c r="AW350" s="44">
        <f>DB[[#This Row],[Inbound FC]]-DB[[#This Row],[Inbound Act - Ultrafresh2]]</f>
        <v>158778.92987043201</v>
      </c>
      <c r="AX350" s="178" t="e">
        <f>#REF!</f>
        <v>#REF!</v>
      </c>
      <c r="AY350" s="178" t="e">
        <f>#REF!</f>
        <v>#REF!</v>
      </c>
      <c r="AZ350" s="178" t="e">
        <f>#REF!</f>
        <v>#REF!</v>
      </c>
      <c r="BA350" s="178">
        <f>MONTH(DB[[#This Row],[Datum]])</f>
        <v>12</v>
      </c>
    </row>
    <row r="351" spans="1:53" x14ac:dyDescent="0.3">
      <c r="A351" s="44">
        <f t="shared" si="105"/>
        <v>50</v>
      </c>
      <c r="B351" t="str">
        <f t="shared" si="106"/>
        <v>Wk 50</v>
      </c>
      <c r="C351" t="s">
        <v>116</v>
      </c>
      <c r="D351" s="313">
        <v>44910</v>
      </c>
      <c r="E351" s="44">
        <f>DB[[#This Row],[Sales-FC-Orders-Collect]]+DB[[#This Row],[Sales-FC-Orders-HD]]</f>
        <v>2725</v>
      </c>
      <c r="F351" s="402" cm="1">
        <f t="array" ref="F351">INDEX('LT Collect Forecast'!$K$1:$Q$55,MATCH(B351,'LT Collect Forecast'!$A:$A,0)+1,MATCH(C351,'LT Collect Forecast'!$K$2:$Q$2,0))</f>
        <v>575</v>
      </c>
      <c r="G351" s="44" cm="1">
        <f t="array" ref="G351">INDEX('LT HD Forecast'!$K$1:$Q$55,MATCH(B351,'LT HD Forecast'!$A:$A,0)+1,MATCH(C351,'LT HD Forecast'!$K$2:$Q$2,0))</f>
        <v>2150</v>
      </c>
      <c r="H351" s="44" cm="1">
        <f t="array" ref="H351">IFERROR(INDEX('ST Forecast'!$E$2:$RK$36,6,M351),"")</f>
        <v>42.356060263398483</v>
      </c>
      <c r="I351" s="44" cm="1">
        <f t="array" ref="I351">IFERROR(INDEX('ST Forecast'!$E$2:$RK$36,7,M351),"")</f>
        <v>47.233679975222273</v>
      </c>
      <c r="J351" s="44">
        <f>SUM(DB[[#This Row],[Sales-FC-Picks-Collect]:[Sales-FC-Picks-HD]])</f>
        <v>125907.14659818202</v>
      </c>
      <c r="K351" s="44">
        <f t="shared" si="101"/>
        <v>24354.734651454128</v>
      </c>
      <c r="L351" s="44">
        <f t="shared" si="102"/>
        <v>101552.41194672789</v>
      </c>
      <c r="M351" s="403">
        <f>IFERROR(IF(B351=B350,M350+1,MATCH(B351,'ST Forecast'!$E$2:$RK$2,0)+1),"")</f>
        <v>397</v>
      </c>
      <c r="N351" s="44">
        <f>SUM(DB[[#This Row],[Ops-FC-Orders-Collect]:[Ops-FC-Orders-HD]])</f>
        <v>2725</v>
      </c>
      <c r="O351" s="44" cm="1">
        <f t="array" ref="O351">IFERROR(INDEX('ST Forecast'!$E$2:$RK$36,13,M351),"")</f>
        <v>575</v>
      </c>
      <c r="P351" s="44">
        <f t="shared" si="107"/>
        <v>2150</v>
      </c>
      <c r="Q351" s="44" cm="1">
        <f t="array" ref="Q351">IFERROR(INDEX('ST Forecast'!$E$2:$RK$36,14,M351),"")</f>
        <v>1150</v>
      </c>
      <c r="R351" s="44" cm="1">
        <f t="array" ref="R351">IFERROR(INDEX('ST Forecast'!$E$2:$RK$36,15,M351),"")</f>
        <v>1000</v>
      </c>
      <c r="S351" s="312">
        <f>SUM(DB[[#This Row],[Ops-FC-Picks-Collect]:[Ops-FC-Picks-HD]])</f>
        <v>123389.00366621837</v>
      </c>
      <c r="T351" s="44">
        <f t="shared" si="108"/>
        <v>23867.639958425043</v>
      </c>
      <c r="U351" s="44">
        <f t="shared" si="109"/>
        <v>99521.363707793324</v>
      </c>
      <c r="V351" s="44">
        <f t="shared" si="110"/>
        <v>53232.357332075502</v>
      </c>
      <c r="W351" s="404">
        <f t="shared" si="111"/>
        <v>46289.006375717829</v>
      </c>
      <c r="X351" s="44">
        <f>SUM(DB[[#This Row],[Capped-Orders-Collect]:[Capped-Orders-HD]])</f>
        <v>90</v>
      </c>
      <c r="Y351">
        <f>INDEX('Operations Forecast'!$A$2:$BGY$47,3,MATCH(DB!D351,'Operations Forecast'!$A$2:$BGY$2))</f>
        <v>0</v>
      </c>
      <c r="Z351">
        <f t="shared" si="112"/>
        <v>90</v>
      </c>
      <c r="AA351">
        <f>INDEX('Operations Forecast'!$A$2:$BGY$47,10,MATCH(DB!D351,'Operations Forecast'!$A$2:$BGY$2))</f>
        <v>90</v>
      </c>
      <c r="AB351">
        <f>INDEX('Operations Forecast'!$A$2:$BGY$47,21,MATCH(DB!D351,'Operations Forecast'!$A$2:$BGY$2))</f>
        <v>0</v>
      </c>
      <c r="AC351" s="312">
        <f>SUM(DB[[#This Row],[Act-Orders-Collect]:[Act-Orders-HD]])</f>
        <v>2581</v>
      </c>
      <c r="AD351" s="858">
        <f>IFERROR(INDEX('Operations Forecast_new'!$7:$7,MATCH(DB[[#This Row],[Datum]],'Operations Forecast_new'!$2:$2,0)),0)</f>
        <v>587</v>
      </c>
      <c r="AE351" s="312">
        <f t="shared" si="113"/>
        <v>1994</v>
      </c>
      <c r="AF351" s="858">
        <f>IFERROR(INDEX('Operations Forecast_new'!$13:$13,MATCH(DB[[#This Row],[Datum]],'Operations Forecast_new'!$2:$2,0)),0)</f>
        <v>947</v>
      </c>
      <c r="AG351" s="858">
        <f>IFERROR(INDEX('Operations Forecast_new'!$19:$19,MATCH(DB[[#This Row],[Datum]],'Operations Forecast_new'!$2:$2,0)),0)</f>
        <v>1047</v>
      </c>
      <c r="AH351" s="312">
        <f t="shared" si="103"/>
        <v>121391.91900000002</v>
      </c>
      <c r="AI351" s="858">
        <f>IFERROR(INDEX('Operations Forecast_new'!$9:$9,MATCH(DB[[#This Row],[Datum]],'Operations Forecast_new'!$2:$2,0)),0)</f>
        <v>24465.573</v>
      </c>
      <c r="AJ351" s="312">
        <f t="shared" si="114"/>
        <v>96926.34600000002</v>
      </c>
      <c r="AK351" s="858">
        <f>IFERROR(INDEX('Operations Forecast_new'!$15:$15,MATCH(DB[[#This Row],[Datum]],'Operations Forecast_new'!$2:$2,0)),0)</f>
        <v>46032.723000000005</v>
      </c>
      <c r="AL351" s="858">
        <f>IFERROR(INDEX('Operations Forecast_new'!$21:$21,MATCH(DB[[#This Row],[Datum]],'Operations Forecast_new'!$2:$2,0)),0)</f>
        <v>50893.623000000007</v>
      </c>
      <c r="AM351" s="178">
        <f>IFERROR(INDEX('Operations Forecast_new'!$8:$8,MATCH(DB[[#This Row],[Datum]],'Operations Forecast_new'!$2:$2,0)),0)</f>
        <v>42.1</v>
      </c>
      <c r="AN351" s="859">
        <f>IFERROR(INDEX('Operations Forecast_new'!$20:$20,MATCH(DB[[#This Row],[Datum]],'Operations Forecast_new'!$2:$2,0)),0)</f>
        <v>49.1</v>
      </c>
      <c r="AO351" s="44">
        <f t="shared" si="115"/>
        <v>41.679000000000002</v>
      </c>
      <c r="AP351" s="404">
        <f t="shared" si="116"/>
        <v>48.609000000000009</v>
      </c>
      <c r="AQ351" s="44">
        <f t="shared" si="104"/>
        <v>130380.40808425107</v>
      </c>
      <c r="AR351" s="44" cm="1">
        <f t="array" ref="AR351">IFERROR(INDEX('ST Forecast'!$E$2:$RK$36,25,M351)+(INDEX('ST Forecast'!$E$2:$RK$36,29,M351)),"")</f>
        <v>57965.375999999997</v>
      </c>
      <c r="AS351" s="44" cm="1">
        <f t="array" ref="AS351">IFERROR(INDEX('ST Forecast'!$E$2:$RK$36,26,M351)+INDEX('ST Forecast'!$E$2:$RK$36,30,M351),"")</f>
        <v>57834.893000000004</v>
      </c>
      <c r="AT351" s="44" cm="1">
        <f t="array" ref="AT351">IFERROR(INDEX('ST Forecast'!$E$2:$RK$36,27,M351)+INDEX('ST Forecast'!$E$2:$RK$36,31,M351),"")</f>
        <v>5652.4360842510805</v>
      </c>
      <c r="AU351" s="44" cm="1">
        <f t="array" ref="AU351">IFERROR(INDEX('ST Forecast'!$E$2:$RK$36,28,M351),"")</f>
        <v>8927.7030000000013</v>
      </c>
      <c r="AV351" s="44" cm="1">
        <f t="array" ref="AV351">IFERROR(INDEX('ST Forecast'!$E$2:$RK$36,29,M351),"")</f>
        <v>0</v>
      </c>
      <c r="AW351" s="44">
        <f>DB[[#This Row],[Inbound FC]]-DB[[#This Row],[Inbound Act - Ultrafresh2]]</f>
        <v>130380.40808425107</v>
      </c>
      <c r="AX351" s="178" t="e">
        <f>#REF!</f>
        <v>#REF!</v>
      </c>
      <c r="AY351" s="178" t="e">
        <f>#REF!</f>
        <v>#REF!</v>
      </c>
      <c r="AZ351" s="178" t="e">
        <f>#REF!</f>
        <v>#REF!</v>
      </c>
      <c r="BA351" s="178">
        <f>MONTH(DB[[#This Row],[Datum]])</f>
        <v>12</v>
      </c>
    </row>
    <row r="352" spans="1:53" x14ac:dyDescent="0.3">
      <c r="A352" s="44">
        <f t="shared" si="105"/>
        <v>50</v>
      </c>
      <c r="B352" t="str">
        <f t="shared" si="106"/>
        <v>Wk 50</v>
      </c>
      <c r="C352" t="s">
        <v>117</v>
      </c>
      <c r="D352" s="313">
        <v>44911</v>
      </c>
      <c r="E352" s="44">
        <f>DB[[#This Row],[Sales-FC-Orders-Collect]]+DB[[#This Row],[Sales-FC-Orders-HD]]</f>
        <v>3125</v>
      </c>
      <c r="F352" s="402" cm="1">
        <f t="array" ref="F352">INDEX('LT Collect Forecast'!$K$1:$Q$55,MATCH(B352,'LT Collect Forecast'!$A:$A,0)+1,MATCH(C352,'LT Collect Forecast'!$K$2:$Q$2,0))</f>
        <v>1175</v>
      </c>
      <c r="G352" s="44" cm="1">
        <f t="array" ref="G352">INDEX('LT HD Forecast'!$K$1:$Q$55,MATCH(B352,'LT HD Forecast'!$A:$A,0)+1,MATCH(C352,'LT HD Forecast'!$K$2:$Q$2,0))</f>
        <v>1950</v>
      </c>
      <c r="H352" s="44" cm="1">
        <f t="array" ref="H352">IFERROR(INDEX('ST Forecast'!$E$2:$RK$36,6,M352),"")</f>
        <v>50.102915825782908</v>
      </c>
      <c r="I352" s="44" cm="1">
        <f t="array" ref="I352">IFERROR(INDEX('ST Forecast'!$E$2:$RK$36,7,M352),"")</f>
        <v>48.463883542058802</v>
      </c>
      <c r="J352" s="44">
        <f>SUM(DB[[#This Row],[Sales-FC-Picks-Collect]:[Sales-FC-Picks-HD]])</f>
        <v>153375.49900230957</v>
      </c>
      <c r="K352" s="44">
        <f t="shared" si="101"/>
        <v>58870.926095294919</v>
      </c>
      <c r="L352" s="44">
        <f t="shared" si="102"/>
        <v>94504.572907014663</v>
      </c>
      <c r="M352" s="403">
        <f>IFERROR(IF(B352=B351,M351+1,MATCH(B352,'ST Forecast'!$E$2:$RK$2,0)+1),"")</f>
        <v>398</v>
      </c>
      <c r="N352" s="44">
        <f>SUM(DB[[#This Row],[Ops-FC-Orders-Collect]:[Ops-FC-Orders-HD]])</f>
        <v>3350</v>
      </c>
      <c r="O352" s="44" cm="1">
        <f t="array" ref="O352">IFERROR(INDEX('ST Forecast'!$E$2:$RK$36,13,M352),"")</f>
        <v>1150</v>
      </c>
      <c r="P352" s="44">
        <f t="shared" si="107"/>
        <v>2200</v>
      </c>
      <c r="Q352" s="44" cm="1">
        <f t="array" ref="Q352">IFERROR(INDEX('ST Forecast'!$E$2:$RK$36,14,M352),"")</f>
        <v>1200</v>
      </c>
      <c r="R352" s="44" cm="1">
        <f t="array" ref="R352">IFERROR(INDEX('ST Forecast'!$E$2:$RK$36,15,M352),"")</f>
        <v>1000</v>
      </c>
      <c r="S352" s="312">
        <f>SUM(DB[[#This Row],[Ops-FC-Picks-Collect]:[Ops-FC-Picks-HD]])</f>
        <v>160954.11905233611</v>
      </c>
      <c r="T352" s="44">
        <f t="shared" si="108"/>
        <v>56465.986135657338</v>
      </c>
      <c r="U352" s="44">
        <f t="shared" si="109"/>
        <v>104488.13291667878</v>
      </c>
      <c r="V352" s="44">
        <f t="shared" si="110"/>
        <v>56993.527045461153</v>
      </c>
      <c r="W352" s="404">
        <f t="shared" si="111"/>
        <v>47494.605871217624</v>
      </c>
      <c r="X352" s="44">
        <f>SUM(DB[[#This Row],[Capped-Orders-Collect]:[Capped-Orders-HD]])</f>
        <v>90</v>
      </c>
      <c r="Y352">
        <f>INDEX('Operations Forecast'!$A$2:$BGY$47,3,MATCH(DB!D352,'Operations Forecast'!$A$2:$BGY$2))</f>
        <v>0</v>
      </c>
      <c r="Z352">
        <f t="shared" si="112"/>
        <v>90</v>
      </c>
      <c r="AA352">
        <f>INDEX('Operations Forecast'!$A$2:$BGY$47,10,MATCH(DB!D352,'Operations Forecast'!$A$2:$BGY$2))</f>
        <v>90</v>
      </c>
      <c r="AB352">
        <f>INDEX('Operations Forecast'!$A$2:$BGY$47,21,MATCH(DB!D352,'Operations Forecast'!$A$2:$BGY$2))</f>
        <v>0</v>
      </c>
      <c r="AC352" s="312">
        <f>SUM(DB[[#This Row],[Act-Orders-Collect]:[Act-Orders-HD]])</f>
        <v>3033</v>
      </c>
      <c r="AD352" s="858">
        <f>IFERROR(INDEX('Operations Forecast_new'!$7:$7,MATCH(DB[[#This Row],[Datum]],'Operations Forecast_new'!$2:$2,0)),0)</f>
        <v>958</v>
      </c>
      <c r="AE352" s="312">
        <f t="shared" si="113"/>
        <v>2075</v>
      </c>
      <c r="AF352" s="858">
        <f>IFERROR(INDEX('Operations Forecast_new'!$13:$13,MATCH(DB[[#This Row],[Datum]],'Operations Forecast_new'!$2:$2,0)),0)</f>
        <v>1140</v>
      </c>
      <c r="AG352" s="858">
        <f>IFERROR(INDEX('Operations Forecast_new'!$19:$19,MATCH(DB[[#This Row],[Datum]],'Operations Forecast_new'!$2:$2,0)),0)</f>
        <v>935</v>
      </c>
      <c r="AH352" s="312">
        <f t="shared" si="103"/>
        <v>143385.16499999998</v>
      </c>
      <c r="AI352" s="858">
        <f>IFERROR(INDEX('Operations Forecast_new'!$9:$9,MATCH(DB[[#This Row],[Datum]],'Operations Forecast_new'!$2:$2,0)),0)</f>
        <v>44575.74</v>
      </c>
      <c r="AJ352" s="312">
        <f t="shared" si="114"/>
        <v>98809.424999999988</v>
      </c>
      <c r="AK352" s="858">
        <f>IFERROR(INDEX('Operations Forecast_new'!$15:$15,MATCH(DB[[#This Row],[Datum]],'Operations Forecast_new'!$2:$2,0)),0)</f>
        <v>54285.659999999996</v>
      </c>
      <c r="AL352" s="858">
        <f>IFERROR(INDEX('Operations Forecast_new'!$21:$21,MATCH(DB[[#This Row],[Datum]],'Operations Forecast_new'!$2:$2,0)),0)</f>
        <v>44523.764999999999</v>
      </c>
      <c r="AM352" s="178">
        <f>IFERROR(INDEX('Operations Forecast_new'!$8:$8,MATCH(DB[[#This Row],[Datum]],'Operations Forecast_new'!$2:$2,0)),0)</f>
        <v>47</v>
      </c>
      <c r="AN352" s="859">
        <f>IFERROR(INDEX('Operations Forecast_new'!$20:$20,MATCH(DB[[#This Row],[Datum]],'Operations Forecast_new'!$2:$2,0)),0)</f>
        <v>48.1</v>
      </c>
      <c r="AO352" s="44">
        <f t="shared" si="115"/>
        <v>46.53</v>
      </c>
      <c r="AP352" s="404">
        <f t="shared" si="116"/>
        <v>47.618999999999993</v>
      </c>
      <c r="AQ352" s="44">
        <f t="shared" si="104"/>
        <v>129145.39976846729</v>
      </c>
      <c r="AR352" s="44" cm="1">
        <f t="array" ref="AR352">IFERROR(INDEX('ST Forecast'!$E$2:$RK$36,25,M352)+(INDEX('ST Forecast'!$E$2:$RK$36,29,M352)),"")</f>
        <v>50616.626000000004</v>
      </c>
      <c r="AS352" s="44" cm="1">
        <f t="array" ref="AS352">IFERROR(INDEX('ST Forecast'!$E$2:$RK$36,26,M352)+INDEX('ST Forecast'!$E$2:$RK$36,30,M352),"")</f>
        <v>64304.83600000001</v>
      </c>
      <c r="AT352" s="44" cm="1">
        <f t="array" ref="AT352">IFERROR(INDEX('ST Forecast'!$E$2:$RK$36,27,M352)+INDEX('ST Forecast'!$E$2:$RK$36,31,M352),"")</f>
        <v>5514.3437684672872</v>
      </c>
      <c r="AU352" s="44" cm="1">
        <f t="array" ref="AU352">IFERROR(INDEX('ST Forecast'!$E$2:$RK$36,28,M352),"")</f>
        <v>8709.594000000001</v>
      </c>
      <c r="AV352" s="44" cm="1">
        <f t="array" ref="AV352">IFERROR(INDEX('ST Forecast'!$E$2:$RK$36,29,M352),"")</f>
        <v>0</v>
      </c>
      <c r="AW352" s="44">
        <f>DB[[#This Row],[Inbound FC]]-DB[[#This Row],[Inbound Act - Ultrafresh2]]</f>
        <v>129145.39976846729</v>
      </c>
      <c r="AX352" s="178" t="e">
        <f>#REF!</f>
        <v>#REF!</v>
      </c>
      <c r="AY352" s="178" t="e">
        <f>#REF!</f>
        <v>#REF!</v>
      </c>
      <c r="AZ352" s="178" t="e">
        <f>#REF!</f>
        <v>#REF!</v>
      </c>
      <c r="BA352" s="178">
        <f>MONTH(DB[[#This Row],[Datum]])</f>
        <v>12</v>
      </c>
    </row>
    <row r="353" spans="1:53" x14ac:dyDescent="0.3">
      <c r="A353" s="44">
        <f t="shared" si="105"/>
        <v>50</v>
      </c>
      <c r="B353" t="str">
        <f t="shared" si="106"/>
        <v>Wk 50</v>
      </c>
      <c r="C353" t="s">
        <v>118</v>
      </c>
      <c r="D353" s="313">
        <v>44912</v>
      </c>
      <c r="E353" s="44">
        <f>DB[[#This Row],[Sales-FC-Orders-Collect]]+DB[[#This Row],[Sales-FC-Orders-HD]]</f>
        <v>2850</v>
      </c>
      <c r="F353" s="402" cm="1">
        <f t="array" ref="F353">INDEX('LT Collect Forecast'!$K$1:$Q$55,MATCH(B353,'LT Collect Forecast'!$A:$A,0)+1,MATCH(C353,'LT Collect Forecast'!$K$2:$Q$2,0))</f>
        <v>1000</v>
      </c>
      <c r="G353" s="44" cm="1">
        <f t="array" ref="G353">INDEX('LT HD Forecast'!$K$1:$Q$55,MATCH(B353,'LT HD Forecast'!$A:$A,0)+1,MATCH(C353,'LT HD Forecast'!$K$2:$Q$2,0))</f>
        <v>1850</v>
      </c>
      <c r="H353" s="44" cm="1">
        <f t="array" ref="H353">IFERROR(INDEX('ST Forecast'!$E$2:$RK$36,6,M353),"")</f>
        <v>51.776169028955216</v>
      </c>
      <c r="I353" s="44" cm="1">
        <f t="array" ref="I353">IFERROR(INDEX('ST Forecast'!$E$2:$RK$36,7,M353),"")</f>
        <v>51.062105146553321</v>
      </c>
      <c r="J353" s="44">
        <f>SUM(DB[[#This Row],[Sales-FC-Picks-Collect]:[Sales-FC-Picks-HD]])</f>
        <v>146241.06355007886</v>
      </c>
      <c r="K353" s="44">
        <f t="shared" si="101"/>
        <v>51776.169028955213</v>
      </c>
      <c r="L353" s="44">
        <f t="shared" si="102"/>
        <v>94464.894521123642</v>
      </c>
      <c r="M353" s="403">
        <f>IFERROR(IF(B353=B352,M352+1,MATCH(B353,'ST Forecast'!$E$2:$RK$2,0)+1),"")</f>
        <v>399</v>
      </c>
      <c r="N353" s="44">
        <f>SUM(DB[[#This Row],[Ops-FC-Orders-Collect]:[Ops-FC-Orders-HD]])</f>
        <v>2850</v>
      </c>
      <c r="O353" s="44" cm="1">
        <f t="array" ref="O353">IFERROR(INDEX('ST Forecast'!$E$2:$RK$36,13,M353),"")</f>
        <v>1000</v>
      </c>
      <c r="P353" s="44">
        <f t="shared" si="107"/>
        <v>1850</v>
      </c>
      <c r="Q353" s="44" cm="1">
        <f t="array" ref="Q353">IFERROR(INDEX('ST Forecast'!$E$2:$RK$36,14,M353),"")</f>
        <v>1000</v>
      </c>
      <c r="R353" s="44" cm="1">
        <f t="array" ref="R353">IFERROR(INDEX('ST Forecast'!$E$2:$RK$36,15,M353),"")</f>
        <v>850</v>
      </c>
      <c r="S353" s="312">
        <f>SUM(DB[[#This Row],[Ops-FC-Picks-Collect]:[Ops-FC-Picks-HD]])</f>
        <v>143316.2422790773</v>
      </c>
      <c r="T353" s="44">
        <f t="shared" si="108"/>
        <v>50740.645648376107</v>
      </c>
      <c r="U353" s="44">
        <f t="shared" si="109"/>
        <v>92575.596630701184</v>
      </c>
      <c r="V353" s="44">
        <f t="shared" si="110"/>
        <v>50040.863043622259</v>
      </c>
      <c r="W353" s="404">
        <f t="shared" si="111"/>
        <v>42534.733587078917</v>
      </c>
      <c r="X353" s="44">
        <f>SUM(DB[[#This Row],[Capped-Orders-Collect]:[Capped-Orders-HD]])</f>
        <v>90</v>
      </c>
      <c r="Y353">
        <f>INDEX('Operations Forecast'!$A$2:$BGY$47,3,MATCH(DB!D353,'Operations Forecast'!$A$2:$BGY$2))</f>
        <v>0</v>
      </c>
      <c r="Z353">
        <f t="shared" si="112"/>
        <v>90</v>
      </c>
      <c r="AA353">
        <f>INDEX('Operations Forecast'!$A$2:$BGY$47,10,MATCH(DB!D353,'Operations Forecast'!$A$2:$BGY$2))</f>
        <v>90</v>
      </c>
      <c r="AB353">
        <f>INDEX('Operations Forecast'!$A$2:$BGY$47,21,MATCH(DB!D353,'Operations Forecast'!$A$2:$BGY$2))</f>
        <v>0</v>
      </c>
      <c r="AC353" s="312">
        <f>SUM(DB[[#This Row],[Act-Orders-Collect]:[Act-Orders-HD]])</f>
        <v>2813</v>
      </c>
      <c r="AD353" s="858">
        <f>IFERROR(INDEX('Operations Forecast_new'!$7:$7,MATCH(DB[[#This Row],[Datum]],'Operations Forecast_new'!$2:$2,0)),0)</f>
        <v>972</v>
      </c>
      <c r="AE353" s="312">
        <f t="shared" si="113"/>
        <v>1841</v>
      </c>
      <c r="AF353" s="858">
        <f>IFERROR(INDEX('Operations Forecast_new'!$13:$13,MATCH(DB[[#This Row],[Datum]],'Operations Forecast_new'!$2:$2,0)),0)</f>
        <v>1014</v>
      </c>
      <c r="AG353" s="858">
        <f>IFERROR(INDEX('Operations Forecast_new'!$19:$19,MATCH(DB[[#This Row],[Datum]],'Operations Forecast_new'!$2:$2,0)),0)</f>
        <v>827</v>
      </c>
      <c r="AH353" s="312">
        <f t="shared" si="103"/>
        <v>134265.78</v>
      </c>
      <c r="AI353" s="858">
        <f>IFERROR(INDEX('Operations Forecast_new'!$9:$9,MATCH(DB[[#This Row],[Datum]],'Operations Forecast_new'!$2:$2,0)),0)</f>
        <v>45323.388000000006</v>
      </c>
      <c r="AJ353" s="312">
        <f t="shared" si="114"/>
        <v>88942.391999999993</v>
      </c>
      <c r="AK353" s="858">
        <f>IFERROR(INDEX('Operations Forecast_new'!$15:$15,MATCH(DB[[#This Row],[Datum]],'Operations Forecast_new'!$2:$2,0)),0)</f>
        <v>48988.367999999995</v>
      </c>
      <c r="AL353" s="858">
        <f>IFERROR(INDEX('Operations Forecast_new'!$21:$21,MATCH(DB[[#This Row],[Datum]],'Operations Forecast_new'!$2:$2,0)),0)</f>
        <v>39954.023999999998</v>
      </c>
      <c r="AM353" s="178">
        <f>IFERROR(INDEX('Operations Forecast_new'!$8:$8,MATCH(DB[[#This Row],[Datum]],'Operations Forecast_new'!$2:$2,0)),0)</f>
        <v>47.1</v>
      </c>
      <c r="AN353" s="859">
        <f>IFERROR(INDEX('Operations Forecast_new'!$20:$20,MATCH(DB[[#This Row],[Datum]],'Operations Forecast_new'!$2:$2,0)),0)</f>
        <v>48.8</v>
      </c>
      <c r="AO353" s="44">
        <f t="shared" si="115"/>
        <v>46.629000000000005</v>
      </c>
      <c r="AP353" s="404">
        <f t="shared" si="116"/>
        <v>48.311999999999998</v>
      </c>
      <c r="AQ353" s="44">
        <f t="shared" si="104"/>
        <v>127073.00000000009</v>
      </c>
      <c r="AR353" s="44" cm="1">
        <f t="array" ref="AR353">IFERROR(INDEX('ST Forecast'!$E$2:$RK$36,25,M353)+(INDEX('ST Forecast'!$E$2:$RK$36,29,M353)),"")</f>
        <v>59171.045365157232</v>
      </c>
      <c r="AS353" s="44" cm="1">
        <f t="array" ref="AS353">IFERROR(INDEX('ST Forecast'!$E$2:$RK$36,26,M353)+INDEX('ST Forecast'!$E$2:$RK$36,30,M353),"")</f>
        <v>56251.104591314222</v>
      </c>
      <c r="AT353" s="44" cm="1">
        <f t="array" ref="AT353">IFERROR(INDEX('ST Forecast'!$E$2:$RK$36,27,M353)+INDEX('ST Forecast'!$E$2:$RK$36,31,M353),"")</f>
        <v>4915.981043528619</v>
      </c>
      <c r="AU353" s="44" cm="1">
        <f t="array" ref="AU353">IFERROR(INDEX('ST Forecast'!$E$2:$RK$36,28,M353),"")</f>
        <v>6734.8689999999997</v>
      </c>
      <c r="AV353" s="44" cm="1">
        <f t="array" ref="AV353">IFERROR(INDEX('ST Forecast'!$E$2:$RK$36,29,M353),"")</f>
        <v>0</v>
      </c>
      <c r="AW353" s="44">
        <f>DB[[#This Row],[Inbound FC]]-DB[[#This Row],[Inbound Act - Ultrafresh2]]</f>
        <v>127073.00000000009</v>
      </c>
      <c r="AX353" s="178" t="e">
        <f>#REF!</f>
        <v>#REF!</v>
      </c>
      <c r="AY353" s="178" t="e">
        <f>#REF!</f>
        <v>#REF!</v>
      </c>
      <c r="AZ353" s="178" t="e">
        <f>#REF!</f>
        <v>#REF!</v>
      </c>
      <c r="BA353" s="178">
        <f>MONTH(DB[[#This Row],[Datum]])</f>
        <v>12</v>
      </c>
    </row>
    <row r="354" spans="1:53" x14ac:dyDescent="0.3">
      <c r="A354" s="44">
        <f t="shared" si="105"/>
        <v>50</v>
      </c>
      <c r="B354" t="str">
        <f t="shared" si="106"/>
        <v>Wk 50</v>
      </c>
      <c r="C354" t="s">
        <v>119</v>
      </c>
      <c r="D354" s="313">
        <v>44913</v>
      </c>
      <c r="E354" s="44">
        <f>DB[[#This Row],[Sales-FC-Orders-Collect]]+DB[[#This Row],[Sales-FC-Orders-HD]]</f>
        <v>0</v>
      </c>
      <c r="F354" s="402" cm="1">
        <f t="array" ref="F354">INDEX('LT Collect Forecast'!$K$1:$Q$55,MATCH(B354,'LT Collect Forecast'!$A:$A,0)+1,MATCH(C354,'LT Collect Forecast'!$K$2:$Q$2,0))</f>
        <v>0</v>
      </c>
      <c r="G354" s="44" cm="1">
        <f t="array" ref="G354">INDEX('LT HD Forecast'!$K$1:$Q$55,MATCH(B354,'LT HD Forecast'!$A:$A,0)+1,MATCH(C354,'LT HD Forecast'!$K$2:$Q$2,0))</f>
        <v>0</v>
      </c>
      <c r="H354" s="44" cm="1">
        <f t="array" ref="H354">IFERROR(INDEX('ST Forecast'!$E$2:$RK$36,6,M354),"")</f>
        <v>0</v>
      </c>
      <c r="I354" s="44" cm="1">
        <f t="array" ref="I354">IFERROR(INDEX('ST Forecast'!$E$2:$RK$36,7,M354),"")</f>
        <v>0</v>
      </c>
      <c r="J354" s="44">
        <f>SUM(DB[[#This Row],[Sales-FC-Picks-Collect]:[Sales-FC-Picks-HD]])</f>
        <v>0</v>
      </c>
      <c r="K354" s="44">
        <f t="shared" si="101"/>
        <v>0</v>
      </c>
      <c r="L354" s="44">
        <f t="shared" si="102"/>
        <v>0</v>
      </c>
      <c r="M354" s="403">
        <f>IFERROR(IF(B354=B353,M353+1,MATCH(B354,'ST Forecast'!$E$2:$RK$2,0)+1),"")</f>
        <v>400</v>
      </c>
      <c r="N354" s="44">
        <f>SUM(DB[[#This Row],[Ops-FC-Orders-Collect]:[Ops-FC-Orders-HD]])</f>
        <v>0</v>
      </c>
      <c r="O354" s="44" cm="1">
        <f t="array" ref="O354">IFERROR(INDEX('ST Forecast'!$E$2:$RK$36,13,M354),"")</f>
        <v>0</v>
      </c>
      <c r="P354" s="44">
        <f t="shared" si="107"/>
        <v>0</v>
      </c>
      <c r="Q354" s="44" cm="1">
        <f t="array" ref="Q354">IFERROR(INDEX('ST Forecast'!$E$2:$RK$36,14,M354),"")</f>
        <v>0</v>
      </c>
      <c r="R354" s="44" cm="1">
        <f t="array" ref="R354">IFERROR(INDEX('ST Forecast'!$E$2:$RK$36,15,M354),"")</f>
        <v>0</v>
      </c>
      <c r="S354" s="312">
        <f>SUM(DB[[#This Row],[Ops-FC-Picks-Collect]:[Ops-FC-Picks-HD]])</f>
        <v>0</v>
      </c>
      <c r="T354" s="44">
        <f t="shared" si="108"/>
        <v>0</v>
      </c>
      <c r="U354" s="44">
        <f t="shared" si="109"/>
        <v>0</v>
      </c>
      <c r="V354" s="44">
        <f t="shared" si="110"/>
        <v>0</v>
      </c>
      <c r="W354" s="404">
        <f t="shared" si="111"/>
        <v>0</v>
      </c>
      <c r="X354" s="44">
        <f>SUM(DB[[#This Row],[Capped-Orders-Collect]:[Capped-Orders-HD]])</f>
        <v>90</v>
      </c>
      <c r="Y354">
        <f>INDEX('Operations Forecast'!$A$2:$BGY$47,3,MATCH(DB!D354,'Operations Forecast'!$A$2:$BGY$2))</f>
        <v>0</v>
      </c>
      <c r="Z354">
        <f t="shared" si="112"/>
        <v>90</v>
      </c>
      <c r="AA354">
        <f>INDEX('Operations Forecast'!$A$2:$BGY$47,10,MATCH(DB!D354,'Operations Forecast'!$A$2:$BGY$2))</f>
        <v>90</v>
      </c>
      <c r="AB354">
        <f>INDEX('Operations Forecast'!$A$2:$BGY$47,21,MATCH(DB!D354,'Operations Forecast'!$A$2:$BGY$2))</f>
        <v>0</v>
      </c>
      <c r="AC354" s="312">
        <f>SUM(DB[[#This Row],[Act-Orders-Collect]:[Act-Orders-HD]])</f>
        <v>0</v>
      </c>
      <c r="AD354" s="858">
        <f>IFERROR(INDEX('Operations Forecast_new'!$7:$7,MATCH(DB[[#This Row],[Datum]],'Operations Forecast_new'!$2:$2,0)),0)</f>
        <v>0</v>
      </c>
      <c r="AE354" s="312">
        <f t="shared" si="113"/>
        <v>0</v>
      </c>
      <c r="AF354" s="858">
        <f>IFERROR(INDEX('Operations Forecast_new'!$13:$13,MATCH(DB[[#This Row],[Datum]],'Operations Forecast_new'!$2:$2,0)),0)</f>
        <v>0</v>
      </c>
      <c r="AG354" s="858">
        <f>IFERROR(INDEX('Operations Forecast_new'!$19:$19,MATCH(DB[[#This Row],[Datum]],'Operations Forecast_new'!$2:$2,0)),0)</f>
        <v>0</v>
      </c>
      <c r="AH354" s="312">
        <f t="shared" si="103"/>
        <v>0</v>
      </c>
      <c r="AI354" s="858">
        <f>IFERROR(INDEX('Operations Forecast_new'!$9:$9,MATCH(DB[[#This Row],[Datum]],'Operations Forecast_new'!$2:$2,0)),0)</f>
        <v>0</v>
      </c>
      <c r="AJ354" s="312">
        <f t="shared" si="114"/>
        <v>0</v>
      </c>
      <c r="AK354" s="858">
        <f>IFERROR(INDEX('Operations Forecast_new'!$15:$15,MATCH(DB[[#This Row],[Datum]],'Operations Forecast_new'!$2:$2,0)),0)</f>
        <v>0</v>
      </c>
      <c r="AL354" s="858">
        <f>IFERROR(INDEX('Operations Forecast_new'!$21:$21,MATCH(DB[[#This Row],[Datum]],'Operations Forecast_new'!$2:$2,0)),0)</f>
        <v>0</v>
      </c>
      <c r="AM354" s="178">
        <f>IFERROR(INDEX('Operations Forecast_new'!$8:$8,MATCH(DB[[#This Row],[Datum]],'Operations Forecast_new'!$2:$2,0)),0)</f>
        <v>0</v>
      </c>
      <c r="AN354" s="859">
        <f>IFERROR(INDEX('Operations Forecast_new'!$20:$20,MATCH(DB[[#This Row],[Datum]],'Operations Forecast_new'!$2:$2,0)),0)</f>
        <v>0</v>
      </c>
      <c r="AO354" s="44" t="str">
        <f t="shared" si="115"/>
        <v>-</v>
      </c>
      <c r="AP354" s="404" t="str">
        <f t="shared" si="116"/>
        <v>-</v>
      </c>
      <c r="AQ354" s="44">
        <f t="shared" si="104"/>
        <v>0</v>
      </c>
      <c r="AR354" s="44" cm="1">
        <f t="array" ref="AR354">IFERROR(INDEX('ST Forecast'!$E$2:$RK$36,25,M354)+(INDEX('ST Forecast'!$E$2:$RK$36,29,M354)),"")</f>
        <v>0</v>
      </c>
      <c r="AS354" s="44" cm="1">
        <f t="array" ref="AS354">IFERROR(INDEX('ST Forecast'!$E$2:$RK$36,26,M354)+INDEX('ST Forecast'!$E$2:$RK$36,30,M354),"")</f>
        <v>0</v>
      </c>
      <c r="AT354" s="44" cm="1">
        <f t="array" ref="AT354">IFERROR(INDEX('ST Forecast'!$E$2:$RK$36,27,M354)+INDEX('ST Forecast'!$E$2:$RK$36,31,M354),"")</f>
        <v>0</v>
      </c>
      <c r="AU354" s="44" cm="1">
        <f t="array" ref="AU354">IFERROR(INDEX('ST Forecast'!$E$2:$RK$36,28,M354),"")</f>
        <v>0</v>
      </c>
      <c r="AV354" s="44" cm="1">
        <f t="array" ref="AV354">IFERROR(INDEX('ST Forecast'!$E$2:$RK$36,29,M354),"")</f>
        <v>0</v>
      </c>
      <c r="AW354" s="44">
        <f>DB[[#This Row],[Inbound FC]]-DB[[#This Row],[Inbound Act - Ultrafresh2]]</f>
        <v>0</v>
      </c>
      <c r="AX354" s="178" t="e">
        <f>#REF!</f>
        <v>#REF!</v>
      </c>
      <c r="AY354" s="178" t="e">
        <f>#REF!</f>
        <v>#REF!</v>
      </c>
      <c r="AZ354" s="178" t="e">
        <f>#REF!</f>
        <v>#REF!</v>
      </c>
      <c r="BA354" s="178">
        <f>MONTH(DB[[#This Row],[Datum]])</f>
        <v>12</v>
      </c>
    </row>
    <row r="355" spans="1:53" x14ac:dyDescent="0.3">
      <c r="A355" s="44">
        <f t="shared" si="105"/>
        <v>51</v>
      </c>
      <c r="B355" t="str">
        <f t="shared" si="106"/>
        <v>Wk 51</v>
      </c>
      <c r="C355" t="s">
        <v>113</v>
      </c>
      <c r="D355" s="313">
        <v>44914</v>
      </c>
      <c r="E355" s="44">
        <f>DB[[#This Row],[Sales-FC-Orders-Collect]]+DB[[#This Row],[Sales-FC-Orders-HD]]</f>
        <v>2650</v>
      </c>
      <c r="F355" s="402">
        <f>INDEX('LT Collect Forecast'!$K$1:$Q$55,MATCH(B355,'LT Collect Forecast'!$A:$A,0),MATCH(C355,'LT Collect Forecast'!$K$2:$Q$2,0))</f>
        <v>750</v>
      </c>
      <c r="G355" s="44">
        <f>INDEX('LT HD Forecast'!$K$1:$Q$55,MATCH(B355,'LT HD Forecast'!$A:$A,0),MATCH(C355,'LT HD Forecast'!$K$2:$Q$2,0))</f>
        <v>1900</v>
      </c>
      <c r="H355" s="44" cm="1">
        <f t="array" ref="H355">IFERROR(INDEX('ST Forecast'!$E$2:$RK$36,6,M355),"")</f>
        <v>47.769999999999996</v>
      </c>
      <c r="I355" s="44" cm="1">
        <f t="array" ref="I355">IFERROR(INDEX('ST Forecast'!$E$2:$RK$36,7,M355),"")</f>
        <v>52.5</v>
      </c>
      <c r="J355" s="44">
        <f>SUM(DB[[#This Row],[Sales-FC-Picks-Collect]:[Sales-FC-Picks-HD]])</f>
        <v>135577.5</v>
      </c>
      <c r="K355" s="44">
        <f t="shared" si="101"/>
        <v>35827.5</v>
      </c>
      <c r="L355" s="44">
        <f t="shared" si="102"/>
        <v>99750</v>
      </c>
      <c r="M355" s="403">
        <f>IFERROR(IF(B355=B354,M354+1,MATCH(B355,'ST Forecast'!$E$2:$RK$2,0)+1),"")</f>
        <v>402</v>
      </c>
      <c r="N355" s="44">
        <f>SUM(DB[[#This Row],[Ops-FC-Orders-Collect]:[Ops-FC-Orders-HD]])</f>
        <v>2650</v>
      </c>
      <c r="O355" s="44" cm="1">
        <f t="array" ref="O355">IFERROR(INDEX('ST Forecast'!$E$2:$RK$36,13,M355),"")</f>
        <v>750</v>
      </c>
      <c r="P355" s="44">
        <f t="shared" si="107"/>
        <v>1900</v>
      </c>
      <c r="Q355" s="44" cm="1">
        <f t="array" ref="Q355">IFERROR(INDEX('ST Forecast'!$E$2:$RK$36,14,M355),"")</f>
        <v>800</v>
      </c>
      <c r="R355" s="44" cm="1">
        <f t="array" ref="R355">IFERROR(INDEX('ST Forecast'!$E$2:$RK$36,15,M355),"")</f>
        <v>1100</v>
      </c>
      <c r="S355" s="312">
        <f>SUM(DB[[#This Row],[Ops-FC-Picks-Collect]:[Ops-FC-Picks-HD]])</f>
        <v>132865.95000000001</v>
      </c>
      <c r="T355" s="44">
        <f t="shared" si="108"/>
        <v>35110.949999999997</v>
      </c>
      <c r="U355" s="44">
        <f t="shared" si="109"/>
        <v>97755</v>
      </c>
      <c r="V355" s="44">
        <f t="shared" si="110"/>
        <v>41160</v>
      </c>
      <c r="W355" s="404">
        <f t="shared" si="111"/>
        <v>56595</v>
      </c>
      <c r="X355" s="44">
        <f>SUM(DB[[#This Row],[Capped-Orders-Collect]:[Capped-Orders-HD]])</f>
        <v>90</v>
      </c>
      <c r="Y355">
        <f>INDEX('Operations Forecast'!$A$2:$BGY$47,3,MATCH(DB!D355,'Operations Forecast'!$A$2:$BGY$2))</f>
        <v>0</v>
      </c>
      <c r="Z355">
        <f t="shared" si="112"/>
        <v>90</v>
      </c>
      <c r="AA355">
        <f>INDEX('Operations Forecast'!$A$2:$BGY$47,10,MATCH(DB!D355,'Operations Forecast'!$A$2:$BGY$2))</f>
        <v>90</v>
      </c>
      <c r="AB355">
        <f>INDEX('Operations Forecast'!$A$2:$BGY$47,21,MATCH(DB!D355,'Operations Forecast'!$A$2:$BGY$2))</f>
        <v>0</v>
      </c>
      <c r="AC355" s="312">
        <f>SUM(DB[[#This Row],[Act-Orders-Collect]:[Act-Orders-HD]])</f>
        <v>2630</v>
      </c>
      <c r="AD355" s="858">
        <f>IFERROR(INDEX('Operations Forecast_new'!$7:$7,MATCH(DB[[#This Row],[Datum]],'Operations Forecast_new'!$2:$2,0)),0)</f>
        <v>775</v>
      </c>
      <c r="AE355" s="312">
        <f t="shared" si="113"/>
        <v>1855</v>
      </c>
      <c r="AF355" s="858">
        <f>IFERROR(INDEX('Operations Forecast_new'!$13:$13,MATCH(DB[[#This Row],[Datum]],'Operations Forecast_new'!$2:$2,0)),0)</f>
        <v>801</v>
      </c>
      <c r="AG355" s="858">
        <f>IFERROR(INDEX('Operations Forecast_new'!$19:$19,MATCH(DB[[#This Row],[Datum]],'Operations Forecast_new'!$2:$2,0)),0)</f>
        <v>1054</v>
      </c>
      <c r="AH355" s="312">
        <f t="shared" si="103"/>
        <v>123254.505</v>
      </c>
      <c r="AI355" s="858">
        <f>IFERROR(INDEX('Operations Forecast_new'!$9:$9,MATCH(DB[[#This Row],[Datum]],'Operations Forecast_new'!$2:$2,0)),0)</f>
        <v>33452.1</v>
      </c>
      <c r="AJ355" s="312">
        <f t="shared" si="114"/>
        <v>89802.404999999999</v>
      </c>
      <c r="AK355" s="858">
        <f>IFERROR(INDEX('Operations Forecast_new'!$15:$15,MATCH(DB[[#This Row],[Datum]],'Operations Forecast_new'!$2:$2,0)),0)</f>
        <v>38777.211000000003</v>
      </c>
      <c r="AL355" s="858">
        <f>IFERROR(INDEX('Operations Forecast_new'!$21:$21,MATCH(DB[[#This Row],[Datum]],'Operations Forecast_new'!$2:$2,0)),0)</f>
        <v>51025.193999999996</v>
      </c>
      <c r="AM355" s="178">
        <f>IFERROR(INDEX('Operations Forecast_new'!$8:$8,MATCH(DB[[#This Row],[Datum]],'Operations Forecast_new'!$2:$2,0)),0)</f>
        <v>43.6</v>
      </c>
      <c r="AN355" s="859">
        <f>IFERROR(INDEX('Operations Forecast_new'!$20:$20,MATCH(DB[[#This Row],[Datum]],'Operations Forecast_new'!$2:$2,0)),0)</f>
        <v>48.9</v>
      </c>
      <c r="AO355" s="44">
        <f t="shared" si="115"/>
        <v>43.164000000000001</v>
      </c>
      <c r="AP355" s="404">
        <f t="shared" si="116"/>
        <v>48.411000000000001</v>
      </c>
      <c r="AQ355" s="44">
        <f t="shared" si="104"/>
        <v>158932.94499999998</v>
      </c>
      <c r="AR355" s="44" cm="1">
        <f t="array" ref="AR355">IFERROR(INDEX('ST Forecast'!$E$2:$RK$36,25,M355)+(INDEX('ST Forecast'!$E$2:$RK$36,29,M355)),"")</f>
        <v>80000</v>
      </c>
      <c r="AS355" s="44" cm="1">
        <f t="array" ref="AS355">IFERROR(INDEX('ST Forecast'!$E$2:$RK$36,26,M355)+INDEX('ST Forecast'!$E$2:$RK$36,30,M355),"")</f>
        <v>59329.817999999999</v>
      </c>
      <c r="AT355" s="44" cm="1">
        <f t="array" ref="AT355">IFERROR(INDEX('ST Forecast'!$E$2:$RK$36,27,M355)+INDEX('ST Forecast'!$E$2:$RK$36,31,M355),"")</f>
        <v>10408.74</v>
      </c>
      <c r="AU355" s="44" cm="1">
        <f t="array" ref="AU355">IFERROR(INDEX('ST Forecast'!$E$2:$RK$36,28,M355),"")</f>
        <v>9194.3870000000006</v>
      </c>
      <c r="AV355" s="44" cm="1">
        <f t="array" ref="AV355">IFERROR(INDEX('ST Forecast'!$E$2:$RK$36,29,M355),"")</f>
        <v>0</v>
      </c>
      <c r="AW355" s="44">
        <f>DB[[#This Row],[Inbound FC]]-DB[[#This Row],[Inbound Act - Ultrafresh2]]</f>
        <v>158932.94499999998</v>
      </c>
      <c r="AX355" s="178" t="e">
        <f>#REF!</f>
        <v>#REF!</v>
      </c>
      <c r="AY355" s="178" t="e">
        <f>#REF!</f>
        <v>#REF!</v>
      </c>
      <c r="AZ355" s="178" t="e">
        <f>#REF!</f>
        <v>#REF!</v>
      </c>
      <c r="BA355" s="178">
        <f>MONTH(DB[[#This Row],[Datum]])</f>
        <v>12</v>
      </c>
    </row>
    <row r="356" spans="1:53" x14ac:dyDescent="0.3">
      <c r="A356" s="44">
        <f t="shared" si="105"/>
        <v>51</v>
      </c>
      <c r="B356" t="str">
        <f t="shared" si="106"/>
        <v>Wk 51</v>
      </c>
      <c r="C356" t="s">
        <v>114</v>
      </c>
      <c r="D356" s="313">
        <v>44915</v>
      </c>
      <c r="E356" s="44">
        <f>DB[[#This Row],[Sales-FC-Orders-Collect]]+DB[[#This Row],[Sales-FC-Orders-HD]]</f>
        <v>3400</v>
      </c>
      <c r="F356" s="402">
        <f>INDEX('LT Collect Forecast'!$K$1:$Q$55,MATCH(B356,'LT Collect Forecast'!$A:$A,0),MATCH(C356,'LT Collect Forecast'!$K$2:$Q$2,0))</f>
        <v>900</v>
      </c>
      <c r="G356" s="44">
        <f>INDEX('LT HD Forecast'!$K$1:$Q$55,MATCH(B356,'LT HD Forecast'!$A:$A,0),MATCH(C356,'LT HD Forecast'!$K$2:$Q$2,0))</f>
        <v>2500</v>
      </c>
      <c r="H356" s="44" cm="1">
        <f t="array" ref="H356">IFERROR(INDEX('ST Forecast'!$E$2:$RK$36,6,M356),"")</f>
        <v>45.47</v>
      </c>
      <c r="I356" s="44" cm="1">
        <f t="array" ref="I356">IFERROR(INDEX('ST Forecast'!$E$2:$RK$36,7,M356),"")</f>
        <v>49.85</v>
      </c>
      <c r="J356" s="44">
        <f>SUM(DB[[#This Row],[Sales-FC-Picks-Collect]:[Sales-FC-Picks-HD]])</f>
        <v>165548</v>
      </c>
      <c r="K356" s="44">
        <f t="shared" si="101"/>
        <v>40923</v>
      </c>
      <c r="L356" s="44">
        <f t="shared" si="102"/>
        <v>124625</v>
      </c>
      <c r="M356" s="403">
        <f>IFERROR(IF(B356=B355,M355+1,MATCH(B356,'ST Forecast'!$E$2:$RK$2,0)+1),"")</f>
        <v>403</v>
      </c>
      <c r="N356" s="44">
        <f>SUM(DB[[#This Row],[Ops-FC-Orders-Collect]:[Ops-FC-Orders-HD]])</f>
        <v>3400</v>
      </c>
      <c r="O356" s="44" cm="1">
        <f t="array" ref="O356">IFERROR(INDEX('ST Forecast'!$E$2:$RK$36,13,M356),"")</f>
        <v>900</v>
      </c>
      <c r="P356" s="44">
        <f t="shared" si="107"/>
        <v>2500</v>
      </c>
      <c r="Q356" s="44" cm="1">
        <f t="array" ref="Q356">IFERROR(INDEX('ST Forecast'!$E$2:$RK$36,14,M356),"")</f>
        <v>1300</v>
      </c>
      <c r="R356" s="44" cm="1">
        <f t="array" ref="R356">IFERROR(INDEX('ST Forecast'!$E$2:$RK$36,15,M356),"")</f>
        <v>1200</v>
      </c>
      <c r="S356" s="312">
        <f>SUM(DB[[#This Row],[Ops-FC-Picks-Collect]:[Ops-FC-Picks-HD]])</f>
        <v>162237.04</v>
      </c>
      <c r="T356" s="44">
        <f t="shared" si="108"/>
        <v>40104.54</v>
      </c>
      <c r="U356" s="44">
        <f t="shared" si="109"/>
        <v>122132.5</v>
      </c>
      <c r="V356" s="44">
        <f t="shared" si="110"/>
        <v>63508.9</v>
      </c>
      <c r="W356" s="404">
        <f t="shared" si="111"/>
        <v>58623.6</v>
      </c>
      <c r="X356" s="44">
        <f>SUM(DB[[#This Row],[Capped-Orders-Collect]:[Capped-Orders-HD]])</f>
        <v>90</v>
      </c>
      <c r="Y356">
        <f>INDEX('Operations Forecast'!$A$2:$BGY$47,3,MATCH(DB!D356,'Operations Forecast'!$A$2:$BGY$2))</f>
        <v>0</v>
      </c>
      <c r="Z356">
        <f t="shared" si="112"/>
        <v>90</v>
      </c>
      <c r="AA356">
        <f>INDEX('Operations Forecast'!$A$2:$BGY$47,10,MATCH(DB!D356,'Operations Forecast'!$A$2:$BGY$2))</f>
        <v>90</v>
      </c>
      <c r="AB356">
        <f>INDEX('Operations Forecast'!$A$2:$BGY$47,21,MATCH(DB!D356,'Operations Forecast'!$A$2:$BGY$2))</f>
        <v>0</v>
      </c>
      <c r="AC356" s="312">
        <f>SUM(DB[[#This Row],[Act-Orders-Collect]:[Act-Orders-HD]])</f>
        <v>3102</v>
      </c>
      <c r="AD356" s="858">
        <f>IFERROR(INDEX('Operations Forecast_new'!$7:$7,MATCH(DB[[#This Row],[Datum]],'Operations Forecast_new'!$2:$2,0)),0)</f>
        <v>780</v>
      </c>
      <c r="AE356" s="312">
        <f t="shared" si="113"/>
        <v>2322</v>
      </c>
      <c r="AF356" s="858">
        <f>IFERROR(INDEX('Operations Forecast_new'!$13:$13,MATCH(DB[[#This Row],[Datum]],'Operations Forecast_new'!$2:$2,0)),0)</f>
        <v>1222</v>
      </c>
      <c r="AG356" s="858">
        <f>IFERROR(INDEX('Operations Forecast_new'!$19:$19,MATCH(DB[[#This Row],[Datum]],'Operations Forecast_new'!$2:$2,0)),0)</f>
        <v>1100</v>
      </c>
      <c r="AH356" s="312">
        <f t="shared" si="103"/>
        <v>141148.65599999999</v>
      </c>
      <c r="AI356" s="858">
        <f>IFERROR(INDEX('Operations Forecast_new'!$9:$9,MATCH(DB[[#This Row],[Datum]],'Operations Forecast_new'!$2:$2,0)),0)</f>
        <v>30347.459999999995</v>
      </c>
      <c r="AJ356" s="312">
        <f t="shared" si="114"/>
        <v>110801.196</v>
      </c>
      <c r="AK356" s="858">
        <f>IFERROR(INDEX('Operations Forecast_new'!$15:$15,MATCH(DB[[#This Row],[Datum]],'Operations Forecast_new'!$2:$2,0)),0)</f>
        <v>58311.396000000001</v>
      </c>
      <c r="AL356" s="858">
        <f>IFERROR(INDEX('Operations Forecast_new'!$21:$21,MATCH(DB[[#This Row],[Datum]],'Operations Forecast_new'!$2:$2,0)),0)</f>
        <v>52489.8</v>
      </c>
      <c r="AM356" s="178">
        <f>IFERROR(INDEX('Operations Forecast_new'!$8:$8,MATCH(DB[[#This Row],[Datum]],'Operations Forecast_new'!$2:$2,0)),0)</f>
        <v>39.299999999999997</v>
      </c>
      <c r="AN356" s="859">
        <f>IFERROR(INDEX('Operations Forecast_new'!$20:$20,MATCH(DB[[#This Row],[Datum]],'Operations Forecast_new'!$2:$2,0)),0)</f>
        <v>48.2</v>
      </c>
      <c r="AO356" s="44">
        <f t="shared" si="115"/>
        <v>38.906999999999996</v>
      </c>
      <c r="AP356" s="404">
        <f t="shared" si="116"/>
        <v>47.717999999999996</v>
      </c>
      <c r="AQ356" s="44">
        <f t="shared" si="104"/>
        <v>170405.51712646379</v>
      </c>
      <c r="AR356" s="44" cm="1">
        <f t="array" ref="AR356">IFERROR(INDEX('ST Forecast'!$E$2:$RK$36,25,M356)+(INDEX('ST Forecast'!$E$2:$RK$36,29,M356)),"")</f>
        <v>77948.45</v>
      </c>
      <c r="AS356" s="44" cm="1">
        <f t="array" ref="AS356">IFERROR(INDEX('ST Forecast'!$E$2:$RK$36,26,M356)+INDEX('ST Forecast'!$E$2:$RK$36,30,M356),"")</f>
        <v>75542.894094822899</v>
      </c>
      <c r="AT356" s="44" cm="1">
        <f t="array" ref="AT356">IFERROR(INDEX('ST Forecast'!$E$2:$RK$36,27,M356)+INDEX('ST Forecast'!$E$2:$RK$36,31,M356),"")</f>
        <v>7169.0051264637932</v>
      </c>
      <c r="AU356" s="44" cm="1">
        <f t="array" ref="AU356">IFERROR(INDEX('ST Forecast'!$E$2:$RK$36,28,M356),"")</f>
        <v>9745.1679051771098</v>
      </c>
      <c r="AV356" s="44" cm="1">
        <f t="array" ref="AV356">IFERROR(INDEX('ST Forecast'!$E$2:$RK$36,29,M356),"")</f>
        <v>0</v>
      </c>
      <c r="AW356" s="44">
        <f>DB[[#This Row],[Inbound FC]]-DB[[#This Row],[Inbound Act - Ultrafresh2]]</f>
        <v>170405.51712646379</v>
      </c>
      <c r="AX356" s="178" t="e">
        <f>#REF!</f>
        <v>#REF!</v>
      </c>
      <c r="AY356" s="178" t="e">
        <f>#REF!</f>
        <v>#REF!</v>
      </c>
      <c r="AZ356" s="178" t="e">
        <f>#REF!</f>
        <v>#REF!</v>
      </c>
      <c r="BA356" s="178">
        <f>MONTH(DB[[#This Row],[Datum]])</f>
        <v>12</v>
      </c>
    </row>
    <row r="357" spans="1:53" x14ac:dyDescent="0.3">
      <c r="A357" s="44">
        <f t="shared" si="105"/>
        <v>51</v>
      </c>
      <c r="B357" t="str">
        <f t="shared" si="106"/>
        <v>Wk 51</v>
      </c>
      <c r="C357" t="s">
        <v>115</v>
      </c>
      <c r="D357" s="313">
        <v>44916</v>
      </c>
      <c r="E357" s="44">
        <f>DB[[#This Row],[Sales-FC-Orders-Collect]]+DB[[#This Row],[Sales-FC-Orders-HD]]</f>
        <v>3400</v>
      </c>
      <c r="F357" s="402">
        <f>INDEX('LT Collect Forecast'!$K$1:$Q$55,MATCH(B357,'LT Collect Forecast'!$A:$A,0),MATCH(C357,'LT Collect Forecast'!$K$2:$Q$2,0))</f>
        <v>900</v>
      </c>
      <c r="G357" s="44">
        <f>INDEX('LT HD Forecast'!$K$1:$Q$55,MATCH(B357,'LT HD Forecast'!$A:$A,0),MATCH(C357,'LT HD Forecast'!$K$2:$Q$2,0))</f>
        <v>2500</v>
      </c>
      <c r="H357" s="44" cm="1">
        <f t="array" ref="H357">IFERROR(INDEX('ST Forecast'!$E$2:$RK$36,6,M357),"")</f>
        <v>41.73</v>
      </c>
      <c r="I357" s="44" cm="1">
        <f t="array" ref="I357">IFERROR(INDEX('ST Forecast'!$E$2:$RK$36,7,M357),"")</f>
        <v>48.95</v>
      </c>
      <c r="J357" s="44">
        <f>SUM(DB[[#This Row],[Sales-FC-Picks-Collect]:[Sales-FC-Picks-HD]])</f>
        <v>159932</v>
      </c>
      <c r="K357" s="44">
        <f t="shared" si="101"/>
        <v>37557</v>
      </c>
      <c r="L357" s="44">
        <f t="shared" si="102"/>
        <v>122375</v>
      </c>
      <c r="M357" s="403">
        <f>IFERROR(IF(B357=B356,M356+1,MATCH(B357,'ST Forecast'!$E$2:$RK$2,0)+1),"")</f>
        <v>404</v>
      </c>
      <c r="N357" s="44">
        <f>SUM(DB[[#This Row],[Ops-FC-Orders-Collect]:[Ops-FC-Orders-HD]])</f>
        <v>3400</v>
      </c>
      <c r="O357" s="44" cm="1">
        <f t="array" ref="O357">IFERROR(INDEX('ST Forecast'!$E$2:$RK$36,13,M357),"")</f>
        <v>900</v>
      </c>
      <c r="P357" s="44">
        <f t="shared" si="107"/>
        <v>2500</v>
      </c>
      <c r="Q357" s="44" cm="1">
        <f t="array" ref="Q357">IFERROR(INDEX('ST Forecast'!$E$2:$RK$36,14,M357),"")</f>
        <v>1300</v>
      </c>
      <c r="R357" s="44" cm="1">
        <f t="array" ref="R357">IFERROR(INDEX('ST Forecast'!$E$2:$RK$36,15,M357),"")</f>
        <v>1200</v>
      </c>
      <c r="S357" s="312">
        <f>SUM(DB[[#This Row],[Ops-FC-Picks-Collect]:[Ops-FC-Picks-HD]])</f>
        <v>156733.35999999999</v>
      </c>
      <c r="T357" s="44">
        <f t="shared" si="108"/>
        <v>36805.86</v>
      </c>
      <c r="U357" s="44">
        <f t="shared" si="109"/>
        <v>119927.5</v>
      </c>
      <c r="V357" s="44">
        <f t="shared" si="110"/>
        <v>62362.3</v>
      </c>
      <c r="W357" s="404">
        <f t="shared" si="111"/>
        <v>57565.2</v>
      </c>
      <c r="X357" s="44">
        <f>SUM(DB[[#This Row],[Capped-Orders-Collect]:[Capped-Orders-HD]])</f>
        <v>90</v>
      </c>
      <c r="Y357">
        <f>INDEX('Operations Forecast'!$A$2:$BGY$47,3,MATCH(DB!D357,'Operations Forecast'!$A$2:$BGY$2))</f>
        <v>0</v>
      </c>
      <c r="Z357">
        <f t="shared" si="112"/>
        <v>90</v>
      </c>
      <c r="AA357">
        <f>INDEX('Operations Forecast'!$A$2:$BGY$47,10,MATCH(DB!D357,'Operations Forecast'!$A$2:$BGY$2))</f>
        <v>90</v>
      </c>
      <c r="AB357">
        <f>INDEX('Operations Forecast'!$A$2:$BGY$47,21,MATCH(DB!D357,'Operations Forecast'!$A$2:$BGY$2))</f>
        <v>0</v>
      </c>
      <c r="AC357" s="312">
        <f>SUM(DB[[#This Row],[Act-Orders-Collect]:[Act-Orders-HD]])</f>
        <v>3500</v>
      </c>
      <c r="AD357" s="858">
        <f>IFERROR(INDEX('Operations Forecast_new'!$7:$7,MATCH(DB[[#This Row],[Datum]],'Operations Forecast_new'!$2:$2,0)),0)</f>
        <v>1070</v>
      </c>
      <c r="AE357" s="312">
        <f t="shared" si="113"/>
        <v>2430</v>
      </c>
      <c r="AF357" s="858">
        <f>IFERROR(INDEX('Operations Forecast_new'!$13:$13,MATCH(DB[[#This Row],[Datum]],'Operations Forecast_new'!$2:$2,0)),0)</f>
        <v>1305</v>
      </c>
      <c r="AG357" s="858">
        <f>IFERROR(INDEX('Operations Forecast_new'!$19:$19,MATCH(DB[[#This Row],[Datum]],'Operations Forecast_new'!$2:$2,0)),0)</f>
        <v>1125</v>
      </c>
      <c r="AH357" s="312">
        <f t="shared" si="103"/>
        <v>164409.30000000002</v>
      </c>
      <c r="AI357" s="858">
        <f>IFERROR(INDEX('Operations Forecast_new'!$9:$9,MATCH(DB[[#This Row],[Datum]],'Operations Forecast_new'!$2:$2,0)),0)</f>
        <v>43643.159999999996</v>
      </c>
      <c r="AJ357" s="312">
        <f t="shared" si="114"/>
        <v>120766.14000000001</v>
      </c>
      <c r="AK357" s="858">
        <f>IFERROR(INDEX('Operations Forecast_new'!$15:$15,MATCH(DB[[#This Row],[Datum]],'Operations Forecast_new'!$2:$2,0)),0)</f>
        <v>64855.890000000007</v>
      </c>
      <c r="AL357" s="858">
        <f>IFERROR(INDEX('Operations Forecast_new'!$21:$21,MATCH(DB[[#This Row],[Datum]],'Operations Forecast_new'!$2:$2,0)),0)</f>
        <v>55910.25</v>
      </c>
      <c r="AM357" s="178">
        <f>IFERROR(INDEX('Operations Forecast_new'!$8:$8,MATCH(DB[[#This Row],[Datum]],'Operations Forecast_new'!$2:$2,0)),0)</f>
        <v>41.2</v>
      </c>
      <c r="AN357" s="859">
        <f>IFERROR(INDEX('Operations Forecast_new'!$20:$20,MATCH(DB[[#This Row],[Datum]],'Operations Forecast_new'!$2:$2,0)),0)</f>
        <v>50.2</v>
      </c>
      <c r="AO357" s="44">
        <f t="shared" si="115"/>
        <v>40.787999999999997</v>
      </c>
      <c r="AP357" s="404">
        <f t="shared" si="116"/>
        <v>49.698000000000008</v>
      </c>
      <c r="AQ357" s="44">
        <f t="shared" si="104"/>
        <v>159752.34883800431</v>
      </c>
      <c r="AR357" s="44" cm="1">
        <f t="array" ref="AR357">IFERROR(INDEX('ST Forecast'!$E$2:$RK$36,25,M357)+(INDEX('ST Forecast'!$E$2:$RK$36,29,M357)),"")</f>
        <v>76588.38</v>
      </c>
      <c r="AS357" s="44" cm="1">
        <f t="array" ref="AS357">IFERROR(INDEX('ST Forecast'!$E$2:$RK$36,26,M357)+INDEX('ST Forecast'!$E$2:$RK$36,30,M357),"")</f>
        <v>66936.562117375754</v>
      </c>
      <c r="AT357" s="44" cm="1">
        <f t="array" ref="AT357">IFERROR(INDEX('ST Forecast'!$E$2:$RK$36,27,M357)+INDEX('ST Forecast'!$E$2:$RK$36,31,M357),"")</f>
        <v>6202.3088380043127</v>
      </c>
      <c r="AU357" s="44" cm="1">
        <f t="array" ref="AU357">IFERROR(INDEX('ST Forecast'!$E$2:$RK$36,28,M357),"")</f>
        <v>10025.097882624254</v>
      </c>
      <c r="AV357" s="44" cm="1">
        <f t="array" ref="AV357">IFERROR(INDEX('ST Forecast'!$E$2:$RK$36,29,M357),"")</f>
        <v>0</v>
      </c>
      <c r="AW357" s="44">
        <f>DB[[#This Row],[Inbound FC]]-DB[[#This Row],[Inbound Act - Ultrafresh2]]</f>
        <v>159752.34883800431</v>
      </c>
      <c r="AX357" s="178" t="e">
        <f>#REF!</f>
        <v>#REF!</v>
      </c>
      <c r="AY357" s="178" t="e">
        <f>#REF!</f>
        <v>#REF!</v>
      </c>
      <c r="AZ357" s="178" t="e">
        <f>#REF!</f>
        <v>#REF!</v>
      </c>
      <c r="BA357" s="178">
        <f>MONTH(DB[[#This Row],[Datum]])</f>
        <v>12</v>
      </c>
    </row>
    <row r="358" spans="1:53" x14ac:dyDescent="0.3">
      <c r="A358" s="44">
        <f t="shared" si="105"/>
        <v>51</v>
      </c>
      <c r="B358" t="str">
        <f t="shared" si="106"/>
        <v>Wk 51</v>
      </c>
      <c r="C358" t="s">
        <v>116</v>
      </c>
      <c r="D358" s="313">
        <v>44917</v>
      </c>
      <c r="E358" s="44">
        <f>DB[[#This Row],[Sales-FC-Orders-Collect]]+DB[[#This Row],[Sales-FC-Orders-HD]]</f>
        <v>4025</v>
      </c>
      <c r="F358" s="402" cm="1">
        <f t="array" ref="F358">INDEX('LT Collect Forecast'!$K$1:$Q$55,MATCH(B358,'LT Collect Forecast'!$A:$A,0)+1,MATCH(C358,'LT Collect Forecast'!$K$2:$Q$2,0))</f>
        <v>1550</v>
      </c>
      <c r="G358" s="44" cm="1">
        <f t="array" ref="G358">INDEX('LT HD Forecast'!$K$1:$Q$55,MATCH(B358,'LT HD Forecast'!$A:$A,0)+1,MATCH(C358,'LT HD Forecast'!$K$2:$Q$2,0))</f>
        <v>2475</v>
      </c>
      <c r="H358" s="44" cm="1">
        <f t="array" ref="H358">IFERROR(INDEX('ST Forecast'!$E$2:$RK$36,6,M358),"")</f>
        <v>43.099999999999994</v>
      </c>
      <c r="I358" s="44" cm="1">
        <f t="array" ref="I358">IFERROR(INDEX('ST Forecast'!$E$2:$RK$36,7,M358),"")</f>
        <v>50.17</v>
      </c>
      <c r="J358" s="44">
        <f>SUM(DB[[#This Row],[Sales-FC-Picks-Collect]:[Sales-FC-Picks-HD]])</f>
        <v>190975.75</v>
      </c>
      <c r="K358" s="44">
        <f t="shared" si="101"/>
        <v>66804.999999999985</v>
      </c>
      <c r="L358" s="44">
        <f t="shared" si="102"/>
        <v>124170.75</v>
      </c>
      <c r="M358" s="403">
        <f>IFERROR(IF(B358=B357,M357+1,MATCH(B358,'ST Forecast'!$E$2:$RK$2,0)+1),"")</f>
        <v>405</v>
      </c>
      <c r="N358" s="44">
        <f>SUM(DB[[#This Row],[Ops-FC-Orders-Collect]:[Ops-FC-Orders-HD]])</f>
        <v>4050</v>
      </c>
      <c r="O358" s="44" cm="1">
        <f t="array" ref="O358">IFERROR(INDEX('ST Forecast'!$E$2:$RK$36,13,M358),"")</f>
        <v>1550</v>
      </c>
      <c r="P358" s="44">
        <f t="shared" si="107"/>
        <v>2500</v>
      </c>
      <c r="Q358" s="44" cm="1">
        <f t="array" ref="Q358">IFERROR(INDEX('ST Forecast'!$E$2:$RK$36,14,M358),"")</f>
        <v>1300</v>
      </c>
      <c r="R358" s="44" cm="1">
        <f t="array" ref="R358">IFERROR(INDEX('ST Forecast'!$E$2:$RK$36,15,M358),"")</f>
        <v>1200</v>
      </c>
      <c r="S358" s="312">
        <f>SUM(DB[[#This Row],[Ops-FC-Picks-Collect]:[Ops-FC-Picks-HD]])</f>
        <v>188385.4</v>
      </c>
      <c r="T358" s="44">
        <f t="shared" si="108"/>
        <v>65468.899999999987</v>
      </c>
      <c r="U358" s="44">
        <f t="shared" si="109"/>
        <v>122916.5</v>
      </c>
      <c r="V358" s="44">
        <f t="shared" si="110"/>
        <v>63916.58</v>
      </c>
      <c r="W358" s="404">
        <f t="shared" si="111"/>
        <v>58999.92</v>
      </c>
      <c r="X358" s="44">
        <f>SUM(DB[[#This Row],[Capped-Orders-Collect]:[Capped-Orders-HD]])</f>
        <v>90</v>
      </c>
      <c r="Y358">
        <f>INDEX('Operations Forecast'!$A$2:$BGY$47,3,MATCH(DB!D358,'Operations Forecast'!$A$2:$BGY$2))</f>
        <v>0</v>
      </c>
      <c r="Z358">
        <f t="shared" si="112"/>
        <v>90</v>
      </c>
      <c r="AA358">
        <f>INDEX('Operations Forecast'!$A$2:$BGY$47,10,MATCH(DB!D358,'Operations Forecast'!$A$2:$BGY$2))</f>
        <v>90</v>
      </c>
      <c r="AB358">
        <f>INDEX('Operations Forecast'!$A$2:$BGY$47,21,MATCH(DB!D358,'Operations Forecast'!$A$2:$BGY$2))</f>
        <v>0</v>
      </c>
      <c r="AC358" s="312">
        <f>SUM(DB[[#This Row],[Act-Orders-Collect]:[Act-Orders-HD]])</f>
        <v>4025</v>
      </c>
      <c r="AD358" s="858">
        <f>IFERROR(INDEX('Operations Forecast_new'!$7:$7,MATCH(DB[[#This Row],[Datum]],'Operations Forecast_new'!$2:$2,0)),0)</f>
        <v>1480</v>
      </c>
      <c r="AE358" s="312">
        <f t="shared" si="113"/>
        <v>2545</v>
      </c>
      <c r="AF358" s="858">
        <f>IFERROR(INDEX('Operations Forecast_new'!$13:$13,MATCH(DB[[#This Row],[Datum]],'Operations Forecast_new'!$2:$2,0)),0)</f>
        <v>1360</v>
      </c>
      <c r="AG358" s="858">
        <f>IFERROR(INDEX('Operations Forecast_new'!$19:$19,MATCH(DB[[#This Row],[Datum]],'Operations Forecast_new'!$2:$2,0)),0)</f>
        <v>1185</v>
      </c>
      <c r="AH358" s="312">
        <f t="shared" si="103"/>
        <v>180055.755</v>
      </c>
      <c r="AI358" s="858">
        <f>IFERROR(INDEX('Operations Forecast_new'!$9:$9,MATCH(DB[[#This Row],[Datum]],'Operations Forecast_new'!$2:$2,0)),0)</f>
        <v>56849.759999999995</v>
      </c>
      <c r="AJ358" s="312">
        <f t="shared" si="114"/>
        <v>123205.995</v>
      </c>
      <c r="AK358" s="858">
        <f>IFERROR(INDEX('Operations Forecast_new'!$15:$15,MATCH(DB[[#This Row],[Datum]],'Operations Forecast_new'!$2:$2,0)),0)</f>
        <v>65838.960000000006</v>
      </c>
      <c r="AL358" s="858">
        <f>IFERROR(INDEX('Operations Forecast_new'!$21:$21,MATCH(DB[[#This Row],[Datum]],'Operations Forecast_new'!$2:$2,0)),0)</f>
        <v>57367.034999999996</v>
      </c>
      <c r="AM358" s="178">
        <f>IFERROR(INDEX('Operations Forecast_new'!$8:$8,MATCH(DB[[#This Row],[Datum]],'Operations Forecast_new'!$2:$2,0)),0)</f>
        <v>38.799999999999997</v>
      </c>
      <c r="AN358" s="859">
        <f>IFERROR(INDEX('Operations Forecast_new'!$20:$20,MATCH(DB[[#This Row],[Datum]],'Operations Forecast_new'!$2:$2,0)),0)</f>
        <v>48.9</v>
      </c>
      <c r="AO358" s="44">
        <f t="shared" si="115"/>
        <v>38.411999999999999</v>
      </c>
      <c r="AP358" s="404">
        <f t="shared" si="116"/>
        <v>48.411000000000001</v>
      </c>
      <c r="AQ358" s="44">
        <f t="shared" si="104"/>
        <v>162624.45923800432</v>
      </c>
      <c r="AR358" s="44" cm="1">
        <f t="array" ref="AR358">IFERROR(INDEX('ST Forecast'!$E$2:$RK$36,25,M358)+(INDEX('ST Forecast'!$E$2:$RK$36,29,M358)),"")</f>
        <v>69316.351999999999</v>
      </c>
      <c r="AS358" s="44" cm="1">
        <f t="array" ref="AS358">IFERROR(INDEX('ST Forecast'!$E$2:$RK$36,26,M358)+INDEX('ST Forecast'!$E$2:$RK$36,30,M358),"")</f>
        <v>75872.835999999996</v>
      </c>
      <c r="AT358" s="44" cm="1">
        <f t="array" ref="AT358">IFERROR(INDEX('ST Forecast'!$E$2:$RK$36,27,M358)+INDEX('ST Forecast'!$E$2:$RK$36,31,M358),"")</f>
        <v>6759.3152380043139</v>
      </c>
      <c r="AU358" s="44" cm="1">
        <f t="array" ref="AU358">IFERROR(INDEX('ST Forecast'!$E$2:$RK$36,28,M358),"")</f>
        <v>10675.956</v>
      </c>
      <c r="AV358" s="44" cm="1">
        <f t="array" ref="AV358">IFERROR(INDEX('ST Forecast'!$E$2:$RK$36,29,M358),"")</f>
        <v>0</v>
      </c>
      <c r="AW358" s="44">
        <f>DB[[#This Row],[Inbound FC]]-DB[[#This Row],[Inbound Act - Ultrafresh2]]</f>
        <v>162624.45923800432</v>
      </c>
      <c r="AX358" s="178" t="e">
        <f>#REF!</f>
        <v>#REF!</v>
      </c>
      <c r="AY358" s="178" t="e">
        <f>#REF!</f>
        <v>#REF!</v>
      </c>
      <c r="AZ358" s="178" t="e">
        <f>#REF!</f>
        <v>#REF!</v>
      </c>
      <c r="BA358" s="178">
        <f>MONTH(DB[[#This Row],[Datum]])</f>
        <v>12</v>
      </c>
    </row>
    <row r="359" spans="1:53" x14ac:dyDescent="0.3">
      <c r="A359" s="44">
        <f t="shared" si="105"/>
        <v>51</v>
      </c>
      <c r="B359" t="str">
        <f t="shared" si="106"/>
        <v>Wk 51</v>
      </c>
      <c r="C359" t="s">
        <v>117</v>
      </c>
      <c r="D359" s="313">
        <v>44918</v>
      </c>
      <c r="E359" s="44">
        <f>DB[[#This Row],[Sales-FC-Orders-Collect]]+DB[[#This Row],[Sales-FC-Orders-HD]]</f>
        <v>4325</v>
      </c>
      <c r="F359" s="402" cm="1">
        <f t="array" ref="F359">INDEX('LT Collect Forecast'!$K$1:$Q$55,MATCH(B359,'LT Collect Forecast'!$A:$A,0)+1,MATCH(C359,'LT Collect Forecast'!$K$2:$Q$2,0))</f>
        <v>1925</v>
      </c>
      <c r="G359" s="44" cm="1">
        <f t="array" ref="G359">INDEX('LT HD Forecast'!$K$1:$Q$55,MATCH(B359,'LT HD Forecast'!$A:$A,0)+1,MATCH(C359,'LT HD Forecast'!$K$2:$Q$2,0))</f>
        <v>2400</v>
      </c>
      <c r="H359" s="44" cm="1">
        <f t="array" ref="H359">IFERROR(INDEX('ST Forecast'!$E$2:$RK$36,6,M359),"")</f>
        <v>41.7</v>
      </c>
      <c r="I359" s="44" cm="1">
        <f t="array" ref="I359">IFERROR(INDEX('ST Forecast'!$E$2:$RK$36,7,M359),"")</f>
        <v>49.55</v>
      </c>
      <c r="J359" s="44">
        <f>SUM(DB[[#This Row],[Sales-FC-Picks-Collect]:[Sales-FC-Picks-HD]])</f>
        <v>199192.5</v>
      </c>
      <c r="K359" s="44">
        <f t="shared" si="101"/>
        <v>80272.5</v>
      </c>
      <c r="L359" s="44">
        <f t="shared" si="102"/>
        <v>118920</v>
      </c>
      <c r="M359" s="403">
        <f>IFERROR(IF(B359=B358,M358+1,MATCH(B359,'ST Forecast'!$E$2:$RK$2,0)+1),"")</f>
        <v>406</v>
      </c>
      <c r="N359" s="44">
        <f>SUM(DB[[#This Row],[Ops-FC-Orders-Collect]:[Ops-FC-Orders-HD]])</f>
        <v>4375</v>
      </c>
      <c r="O359" s="44" cm="1">
        <f t="array" ref="O359">IFERROR(INDEX('ST Forecast'!$E$2:$RK$36,13,M359),"")</f>
        <v>1925</v>
      </c>
      <c r="P359" s="44">
        <f t="shared" si="107"/>
        <v>2450</v>
      </c>
      <c r="Q359" s="44" cm="1">
        <f t="array" ref="Q359">IFERROR(INDEX('ST Forecast'!$E$2:$RK$36,14,M359),"")</f>
        <v>1275</v>
      </c>
      <c r="R359" s="44" cm="1">
        <f t="array" ref="R359">IFERROR(INDEX('ST Forecast'!$E$2:$RK$36,15,M359),"")</f>
        <v>1175</v>
      </c>
      <c r="S359" s="312">
        <f>SUM(DB[[#This Row],[Ops-FC-Picks-Collect]:[Ops-FC-Picks-HD]])</f>
        <v>197636.59999999998</v>
      </c>
      <c r="T359" s="44">
        <f t="shared" si="108"/>
        <v>78667.05</v>
      </c>
      <c r="U359" s="44">
        <f t="shared" si="109"/>
        <v>118969.54999999999</v>
      </c>
      <c r="V359" s="44">
        <f t="shared" si="110"/>
        <v>61912.724999999999</v>
      </c>
      <c r="W359" s="404">
        <f t="shared" si="111"/>
        <v>57056.824999999997</v>
      </c>
      <c r="X359" s="44">
        <f>SUM(DB[[#This Row],[Capped-Orders-Collect]:[Capped-Orders-HD]])</f>
        <v>90</v>
      </c>
      <c r="Y359">
        <f>INDEX('Operations Forecast'!$A$2:$BGY$47,3,MATCH(DB!D359,'Operations Forecast'!$A$2:$BGY$2))</f>
        <v>0</v>
      </c>
      <c r="Z359">
        <f t="shared" si="112"/>
        <v>90</v>
      </c>
      <c r="AA359">
        <f>INDEX('Operations Forecast'!$A$2:$BGY$47,10,MATCH(DB!D359,'Operations Forecast'!$A$2:$BGY$2))</f>
        <v>90</v>
      </c>
      <c r="AB359">
        <f>INDEX('Operations Forecast'!$A$2:$BGY$47,21,MATCH(DB!D359,'Operations Forecast'!$A$2:$BGY$2))</f>
        <v>0</v>
      </c>
      <c r="AC359" s="312">
        <f>SUM(DB[[#This Row],[Act-Orders-Collect]:[Act-Orders-HD]])</f>
        <v>4544</v>
      </c>
      <c r="AD359" s="858">
        <f>IFERROR(INDEX('Operations Forecast_new'!$7:$7,MATCH(DB[[#This Row],[Datum]],'Operations Forecast_new'!$2:$2,0)),0)</f>
        <v>2005</v>
      </c>
      <c r="AE359" s="312">
        <f t="shared" si="113"/>
        <v>2539</v>
      </c>
      <c r="AF359" s="858">
        <f>IFERROR(INDEX('Operations Forecast_new'!$13:$13,MATCH(DB[[#This Row],[Datum]],'Operations Forecast_new'!$2:$2,0)),0)</f>
        <v>1324</v>
      </c>
      <c r="AG359" s="858">
        <f>IFERROR(INDEX('Operations Forecast_new'!$19:$19,MATCH(DB[[#This Row],[Datum]],'Operations Forecast_new'!$2:$2,0)),0)</f>
        <v>1215</v>
      </c>
      <c r="AH359" s="312">
        <f t="shared" si="103"/>
        <v>201136.51799999998</v>
      </c>
      <c r="AI359" s="858">
        <f>IFERROR(INDEX('Operations Forecast_new'!$9:$9,MATCH(DB[[#This Row],[Datum]],'Operations Forecast_new'!$2:$2,0)),0)</f>
        <v>80985.960000000006</v>
      </c>
      <c r="AJ359" s="312">
        <f t="shared" si="114"/>
        <v>120150.55799999999</v>
      </c>
      <c r="AK359" s="858">
        <f>IFERROR(INDEX('Operations Forecast_new'!$15:$15,MATCH(DB[[#This Row],[Datum]],'Operations Forecast_new'!$2:$2,0)),0)</f>
        <v>62654.327999999994</v>
      </c>
      <c r="AL359" s="858">
        <f>IFERROR(INDEX('Operations Forecast_new'!$21:$21,MATCH(DB[[#This Row],[Datum]],'Operations Forecast_new'!$2:$2,0)),0)</f>
        <v>57496.229999999996</v>
      </c>
      <c r="AM359" s="178">
        <f>IFERROR(INDEX('Operations Forecast_new'!$8:$8,MATCH(DB[[#This Row],[Datum]],'Operations Forecast_new'!$2:$2,0)),0)</f>
        <v>40.799999999999997</v>
      </c>
      <c r="AN359" s="859">
        <f>IFERROR(INDEX('Operations Forecast_new'!$20:$20,MATCH(DB[[#This Row],[Datum]],'Operations Forecast_new'!$2:$2,0)),0)</f>
        <v>47.8</v>
      </c>
      <c r="AO359" s="44">
        <f t="shared" si="115"/>
        <v>40.392000000000003</v>
      </c>
      <c r="AP359" s="404">
        <f t="shared" si="116"/>
        <v>47.321999999999996</v>
      </c>
      <c r="AQ359" s="44">
        <f t="shared" si="104"/>
        <v>141766.87177786542</v>
      </c>
      <c r="AR359" s="44" cm="1">
        <f t="array" ref="AR359">IFERROR(INDEX('ST Forecast'!$E$2:$RK$36,25,M359)+(INDEX('ST Forecast'!$E$2:$RK$36,29,M359)),"")</f>
        <v>56404.259000000005</v>
      </c>
      <c r="AS359" s="44" cm="1">
        <f t="array" ref="AS359">IFERROR(INDEX('ST Forecast'!$E$2:$RK$36,26,M359)+INDEX('ST Forecast'!$E$2:$RK$36,30,M359),"")</f>
        <v>69512.274000000005</v>
      </c>
      <c r="AT359" s="44" cm="1">
        <f t="array" ref="AT359">IFERROR(INDEX('ST Forecast'!$E$2:$RK$36,27,M359)+INDEX('ST Forecast'!$E$2:$RK$36,31,M359),"")</f>
        <v>6144.8677778654164</v>
      </c>
      <c r="AU359" s="44" cm="1">
        <f t="array" ref="AU359">IFERROR(INDEX('ST Forecast'!$E$2:$RK$36,28,M359),"")</f>
        <v>9705.4710000000014</v>
      </c>
      <c r="AV359" s="44" cm="1">
        <f t="array" ref="AV359">IFERROR(INDEX('ST Forecast'!$E$2:$RK$36,29,M359),"")</f>
        <v>0</v>
      </c>
      <c r="AW359" s="44">
        <f>DB[[#This Row],[Inbound FC]]-DB[[#This Row],[Inbound Act - Ultrafresh2]]</f>
        <v>141766.87177786542</v>
      </c>
      <c r="AX359" s="178" t="e">
        <f>#REF!</f>
        <v>#REF!</v>
      </c>
      <c r="AY359" s="178" t="e">
        <f>#REF!</f>
        <v>#REF!</v>
      </c>
      <c r="AZ359" s="178" t="e">
        <f>#REF!</f>
        <v>#REF!</v>
      </c>
      <c r="BA359" s="178">
        <f>MONTH(DB[[#This Row],[Datum]])</f>
        <v>12</v>
      </c>
    </row>
    <row r="360" spans="1:53" x14ac:dyDescent="0.3">
      <c r="A360" s="44">
        <f t="shared" si="105"/>
        <v>51</v>
      </c>
      <c r="B360" t="str">
        <f t="shared" si="106"/>
        <v>Wk 51</v>
      </c>
      <c r="C360" t="s">
        <v>118</v>
      </c>
      <c r="D360" s="313">
        <v>44919</v>
      </c>
      <c r="E360" s="44">
        <f>DB[[#This Row],[Sales-FC-Orders-Collect]]+DB[[#This Row],[Sales-FC-Orders-HD]]</f>
        <v>3750</v>
      </c>
      <c r="F360" s="402" cm="1">
        <f t="array" ref="F360">INDEX('LT Collect Forecast'!$K$1:$Q$55,MATCH(B360,'LT Collect Forecast'!$A:$A,0)+1,MATCH(C360,'LT Collect Forecast'!$K$2:$Q$2,0))</f>
        <v>1975</v>
      </c>
      <c r="G360" s="44" cm="1">
        <f t="array" ref="G360">INDEX('LT HD Forecast'!$K$1:$Q$55,MATCH(B360,'LT HD Forecast'!$A:$A,0)+1,MATCH(C360,'LT HD Forecast'!$K$2:$Q$2,0))</f>
        <v>1775</v>
      </c>
      <c r="H360" s="44" cm="1">
        <f t="array" ref="H360">IFERROR(INDEX('ST Forecast'!$E$2:$RK$36,6,M360),"")</f>
        <v>36.61</v>
      </c>
      <c r="I360" s="44" cm="1">
        <f t="array" ref="I360">IFERROR(INDEX('ST Forecast'!$E$2:$RK$36,7,M360),"")</f>
        <v>45.69</v>
      </c>
      <c r="J360" s="44">
        <f>SUM(DB[[#This Row],[Sales-FC-Picks-Collect]:[Sales-FC-Picks-HD]])</f>
        <v>153404.5</v>
      </c>
      <c r="K360" s="44">
        <f t="shared" si="101"/>
        <v>72304.75</v>
      </c>
      <c r="L360" s="44">
        <f t="shared" si="102"/>
        <v>81099.75</v>
      </c>
      <c r="M360" s="403">
        <f>IFERROR(IF(B360=B359,M359+1,MATCH(B360,'ST Forecast'!$E$2:$RK$2,0)+1),"")</f>
        <v>407</v>
      </c>
      <c r="N360" s="44">
        <f>SUM(DB[[#This Row],[Ops-FC-Orders-Collect]:[Ops-FC-Orders-HD]])</f>
        <v>3275</v>
      </c>
      <c r="O360" s="44" cm="1">
        <f t="array" ref="O360">IFERROR(INDEX('ST Forecast'!$E$2:$RK$36,13,M360),"")</f>
        <v>1975</v>
      </c>
      <c r="P360" s="44">
        <f t="shared" si="107"/>
        <v>1300</v>
      </c>
      <c r="Q360" s="44" cm="1">
        <f t="array" ref="Q360">IFERROR(INDEX('ST Forecast'!$E$2:$RK$36,14,M360),"")</f>
        <v>1300</v>
      </c>
      <c r="R360" s="44" cm="1">
        <f t="array" ref="R360">IFERROR(INDEX('ST Forecast'!$E$2:$RK$36,15,M360),"")</f>
        <v>0</v>
      </c>
      <c r="S360" s="312">
        <f>SUM(DB[[#This Row],[Ops-FC-Picks-Collect]:[Ops-FC-Picks-HD]])</f>
        <v>129067.715</v>
      </c>
      <c r="T360" s="44">
        <f t="shared" si="108"/>
        <v>70858.654999999999</v>
      </c>
      <c r="U360" s="44">
        <f t="shared" si="109"/>
        <v>58209.06</v>
      </c>
      <c r="V360" s="44">
        <f t="shared" si="110"/>
        <v>58209.06</v>
      </c>
      <c r="W360" s="404">
        <f t="shared" si="111"/>
        <v>0</v>
      </c>
      <c r="X360" s="44">
        <f>SUM(DB[[#This Row],[Capped-Orders-Collect]:[Capped-Orders-HD]])</f>
        <v>90</v>
      </c>
      <c r="Y360">
        <f>INDEX('Operations Forecast'!$A$2:$BGY$47,3,MATCH(DB!D360,'Operations Forecast'!$A$2:$BGY$2))</f>
        <v>0</v>
      </c>
      <c r="Z360">
        <f t="shared" si="112"/>
        <v>90</v>
      </c>
      <c r="AA360">
        <f>INDEX('Operations Forecast'!$A$2:$BGY$47,10,MATCH(DB!D360,'Operations Forecast'!$A$2:$BGY$2))</f>
        <v>90</v>
      </c>
      <c r="AB360">
        <f>INDEX('Operations Forecast'!$A$2:$BGY$47,21,MATCH(DB!D360,'Operations Forecast'!$A$2:$BGY$2))</f>
        <v>0</v>
      </c>
      <c r="AC360" s="312">
        <f>SUM(DB[[#This Row],[Act-Orders-Collect]:[Act-Orders-HD]])</f>
        <v>2897</v>
      </c>
      <c r="AD360" s="858">
        <f>IFERROR(INDEX('Operations Forecast_new'!$7:$7,MATCH(DB[[#This Row],[Datum]],'Operations Forecast_new'!$2:$2,0)),0)</f>
        <v>1525</v>
      </c>
      <c r="AE360" s="312">
        <f t="shared" si="113"/>
        <v>1372</v>
      </c>
      <c r="AF360" s="858">
        <f>IFERROR(INDEX('Operations Forecast_new'!$13:$13,MATCH(DB[[#This Row],[Datum]],'Operations Forecast_new'!$2:$2,0)),0)</f>
        <v>1372</v>
      </c>
      <c r="AG360" s="858">
        <f>IFERROR(INDEX('Operations Forecast_new'!$19:$19,MATCH(DB[[#This Row],[Datum]],'Operations Forecast_new'!$2:$2,0)),0)</f>
        <v>0</v>
      </c>
      <c r="AH360" s="312">
        <f t="shared" si="103"/>
        <v>113691.69899999999</v>
      </c>
      <c r="AI360" s="858">
        <f>IFERROR(INDEX('Operations Forecast_new'!$9:$9,MATCH(DB[[#This Row],[Datum]],'Operations Forecast_new'!$2:$2,0)),0)</f>
        <v>51482.474999999999</v>
      </c>
      <c r="AJ360" s="312">
        <f t="shared" si="114"/>
        <v>62209.223999999995</v>
      </c>
      <c r="AK360" s="858">
        <f>IFERROR(INDEX('Operations Forecast_new'!$15:$15,MATCH(DB[[#This Row],[Datum]],'Operations Forecast_new'!$2:$2,0)),0)</f>
        <v>62209.223999999995</v>
      </c>
      <c r="AL360" s="858">
        <f>IFERROR(INDEX('Operations Forecast_new'!$21:$21,MATCH(DB[[#This Row],[Datum]],'Operations Forecast_new'!$2:$2,0)),0)</f>
        <v>0</v>
      </c>
      <c r="AM360" s="178">
        <f>IFERROR(INDEX('Operations Forecast_new'!$8:$8,MATCH(DB[[#This Row],[Datum]],'Operations Forecast_new'!$2:$2,0)),0)</f>
        <v>34.1</v>
      </c>
      <c r="AN360" s="859">
        <f>IFERROR(INDEX('Operations Forecast_new'!$20:$20,MATCH(DB[[#This Row],[Datum]],'Operations Forecast_new'!$2:$2,0)),0)</f>
        <v>45.69</v>
      </c>
      <c r="AO360" s="44">
        <f t="shared" si="115"/>
        <v>33.759</v>
      </c>
      <c r="AP360" s="404">
        <f t="shared" si="116"/>
        <v>45.341999999999999</v>
      </c>
      <c r="AQ360" s="44">
        <f t="shared" si="104"/>
        <v>150036.00000000009</v>
      </c>
      <c r="AR360" s="44" cm="1">
        <f t="array" ref="AR360">IFERROR(INDEX('ST Forecast'!$E$2:$RK$36,25,M360)+(INDEX('ST Forecast'!$E$2:$RK$36,29,M360)),"")</f>
        <v>69863.676488370707</v>
      </c>
      <c r="AS360" s="44" cm="1">
        <f t="array" ref="AS360">IFERROR(INDEX('ST Forecast'!$E$2:$RK$36,26,M360)+INDEX('ST Forecast'!$E$2:$RK$36,30,M360),"")</f>
        <v>66416.08153157965</v>
      </c>
      <c r="AT360" s="44" cm="1">
        <f t="array" ref="AT360">IFERROR(INDEX('ST Forecast'!$E$2:$RK$36,27,M360)+INDEX('ST Forecast'!$E$2:$RK$36,31,M360),"")</f>
        <v>5804.3339800497342</v>
      </c>
      <c r="AU360" s="44" cm="1">
        <f t="array" ref="AU360">IFERROR(INDEX('ST Forecast'!$E$2:$RK$36,28,M360),"")</f>
        <v>7951.9079999999994</v>
      </c>
      <c r="AV360" s="44" cm="1">
        <f t="array" ref="AV360">IFERROR(INDEX('ST Forecast'!$E$2:$RK$36,29,M360),"")</f>
        <v>0</v>
      </c>
      <c r="AW360" s="44">
        <f>DB[[#This Row],[Inbound FC]]-DB[[#This Row],[Inbound Act - Ultrafresh2]]</f>
        <v>150036.00000000009</v>
      </c>
      <c r="AX360" s="178" t="e">
        <f>#REF!</f>
        <v>#REF!</v>
      </c>
      <c r="AY360" s="178" t="e">
        <f>#REF!</f>
        <v>#REF!</v>
      </c>
      <c r="AZ360" s="178" t="e">
        <f>#REF!</f>
        <v>#REF!</v>
      </c>
      <c r="BA360" s="178">
        <f>MONTH(DB[[#This Row],[Datum]])</f>
        <v>12</v>
      </c>
    </row>
    <row r="361" spans="1:53" x14ac:dyDescent="0.3">
      <c r="A361" s="44">
        <f t="shared" si="105"/>
        <v>51</v>
      </c>
      <c r="B361" t="str">
        <f t="shared" si="106"/>
        <v>Wk 51</v>
      </c>
      <c r="C361" t="s">
        <v>119</v>
      </c>
      <c r="D361" s="313">
        <v>44920</v>
      </c>
      <c r="E361" s="44">
        <f>DB[[#This Row],[Sales-FC-Orders-Collect]]+DB[[#This Row],[Sales-FC-Orders-HD]]</f>
        <v>0</v>
      </c>
      <c r="F361" s="402" cm="1">
        <f t="array" ref="F361">INDEX('LT Collect Forecast'!$K$1:$Q$55,MATCH(B361,'LT Collect Forecast'!$A:$A,0)+1,MATCH(C361,'LT Collect Forecast'!$K$2:$Q$2,0))</f>
        <v>0</v>
      </c>
      <c r="G361" s="44" cm="1">
        <f t="array" ref="G361">INDEX('LT HD Forecast'!$K$1:$Q$55,MATCH(B361,'LT HD Forecast'!$A:$A,0)+1,MATCH(C361,'LT HD Forecast'!$K$2:$Q$2,0))</f>
        <v>0</v>
      </c>
      <c r="H361" s="44" cm="1">
        <f t="array" ref="H361">IFERROR(INDEX('ST Forecast'!$E$2:$RK$36,6,M361),"")</f>
        <v>0</v>
      </c>
      <c r="I361" s="44" cm="1">
        <f t="array" ref="I361">IFERROR(INDEX('ST Forecast'!$E$2:$RK$36,7,M361),"")</f>
        <v>0</v>
      </c>
      <c r="J361" s="44">
        <f>SUM(DB[[#This Row],[Sales-FC-Picks-Collect]:[Sales-FC-Picks-HD]])</f>
        <v>0</v>
      </c>
      <c r="K361" s="44">
        <f t="shared" si="101"/>
        <v>0</v>
      </c>
      <c r="L361" s="44">
        <f t="shared" si="102"/>
        <v>0</v>
      </c>
      <c r="M361" s="403">
        <f>IFERROR(IF(B361=B360,M360+1,MATCH(B361,'ST Forecast'!$E$2:$RK$2,0)+1),"")</f>
        <v>408</v>
      </c>
      <c r="N361" s="44">
        <f>SUM(DB[[#This Row],[Ops-FC-Orders-Collect]:[Ops-FC-Orders-HD]])</f>
        <v>0</v>
      </c>
      <c r="O361" s="44" cm="1">
        <f t="array" ref="O361">IFERROR(INDEX('ST Forecast'!$E$2:$RK$36,13,M361),"")</f>
        <v>0</v>
      </c>
      <c r="P361" s="44">
        <f t="shared" si="107"/>
        <v>0</v>
      </c>
      <c r="Q361" s="44" cm="1">
        <f t="array" ref="Q361">IFERROR(INDEX('ST Forecast'!$E$2:$RK$36,14,M361),"")</f>
        <v>0</v>
      </c>
      <c r="R361" s="44" cm="1">
        <f t="array" ref="R361">IFERROR(INDEX('ST Forecast'!$E$2:$RK$36,15,M361),"")</f>
        <v>0</v>
      </c>
      <c r="S361" s="312">
        <f>SUM(DB[[#This Row],[Ops-FC-Picks-Collect]:[Ops-FC-Picks-HD]])</f>
        <v>0</v>
      </c>
      <c r="T361" s="44">
        <f t="shared" si="108"/>
        <v>0</v>
      </c>
      <c r="U361" s="44">
        <f t="shared" si="109"/>
        <v>0</v>
      </c>
      <c r="V361" s="44">
        <f t="shared" si="110"/>
        <v>0</v>
      </c>
      <c r="W361" s="404">
        <f t="shared" si="111"/>
        <v>0</v>
      </c>
      <c r="X361" s="44">
        <f>SUM(DB[[#This Row],[Capped-Orders-Collect]:[Capped-Orders-HD]])</f>
        <v>90</v>
      </c>
      <c r="Y361">
        <f>INDEX('Operations Forecast'!$A$2:$BGY$47,3,MATCH(DB!D361,'Operations Forecast'!$A$2:$BGY$2))</f>
        <v>0</v>
      </c>
      <c r="Z361">
        <f t="shared" si="112"/>
        <v>90</v>
      </c>
      <c r="AA361">
        <f>INDEX('Operations Forecast'!$A$2:$BGY$47,10,MATCH(DB!D361,'Operations Forecast'!$A$2:$BGY$2))</f>
        <v>90</v>
      </c>
      <c r="AB361">
        <f>INDEX('Operations Forecast'!$A$2:$BGY$47,21,MATCH(DB!D361,'Operations Forecast'!$A$2:$BGY$2))</f>
        <v>0</v>
      </c>
      <c r="AC361" s="312">
        <f>SUM(DB[[#This Row],[Act-Orders-Collect]:[Act-Orders-HD]])</f>
        <v>0</v>
      </c>
      <c r="AD361" s="858">
        <f>IFERROR(INDEX('Operations Forecast_new'!$7:$7,MATCH(DB[[#This Row],[Datum]],'Operations Forecast_new'!$2:$2,0)),0)</f>
        <v>0</v>
      </c>
      <c r="AE361" s="312">
        <f t="shared" si="113"/>
        <v>0</v>
      </c>
      <c r="AF361" s="858">
        <f>IFERROR(INDEX('Operations Forecast_new'!$13:$13,MATCH(DB[[#This Row],[Datum]],'Operations Forecast_new'!$2:$2,0)),0)</f>
        <v>0</v>
      </c>
      <c r="AG361" s="858">
        <f>IFERROR(INDEX('Operations Forecast_new'!$19:$19,MATCH(DB[[#This Row],[Datum]],'Operations Forecast_new'!$2:$2,0)),0)</f>
        <v>0</v>
      </c>
      <c r="AH361" s="312">
        <f t="shared" si="103"/>
        <v>0</v>
      </c>
      <c r="AI361" s="858">
        <f>IFERROR(INDEX('Operations Forecast_new'!$9:$9,MATCH(DB[[#This Row],[Datum]],'Operations Forecast_new'!$2:$2,0)),0)</f>
        <v>0</v>
      </c>
      <c r="AJ361" s="312">
        <f t="shared" si="114"/>
        <v>0</v>
      </c>
      <c r="AK361" s="858">
        <f>IFERROR(INDEX('Operations Forecast_new'!$15:$15,MATCH(DB[[#This Row],[Datum]],'Operations Forecast_new'!$2:$2,0)),0)</f>
        <v>0</v>
      </c>
      <c r="AL361" s="858">
        <f>IFERROR(INDEX('Operations Forecast_new'!$21:$21,MATCH(DB[[#This Row],[Datum]],'Operations Forecast_new'!$2:$2,0)),0)</f>
        <v>0</v>
      </c>
      <c r="AM361" s="178">
        <f>IFERROR(INDEX('Operations Forecast_new'!$8:$8,MATCH(DB[[#This Row],[Datum]],'Operations Forecast_new'!$2:$2,0)),0)</f>
        <v>0</v>
      </c>
      <c r="AN361" s="859">
        <f>IFERROR(INDEX('Operations Forecast_new'!$20:$20,MATCH(DB[[#This Row],[Datum]],'Operations Forecast_new'!$2:$2,0)),0)</f>
        <v>0</v>
      </c>
      <c r="AO361" s="44" t="str">
        <f t="shared" si="115"/>
        <v>-</v>
      </c>
      <c r="AP361" s="404" t="str">
        <f t="shared" si="116"/>
        <v>-</v>
      </c>
      <c r="AQ361" s="44">
        <f t="shared" si="104"/>
        <v>0</v>
      </c>
      <c r="AR361" s="44" cm="1">
        <f t="array" ref="AR361">IFERROR(INDEX('ST Forecast'!$E$2:$RK$36,25,M361)+(INDEX('ST Forecast'!$E$2:$RK$36,29,M361)),"")</f>
        <v>0</v>
      </c>
      <c r="AS361" s="44" cm="1">
        <f t="array" ref="AS361">IFERROR(INDEX('ST Forecast'!$E$2:$RK$36,26,M361)+INDEX('ST Forecast'!$E$2:$RK$36,30,M361),"")</f>
        <v>0</v>
      </c>
      <c r="AT361" s="44" cm="1">
        <f t="array" ref="AT361">IFERROR(INDEX('ST Forecast'!$E$2:$RK$36,27,M361)+INDEX('ST Forecast'!$E$2:$RK$36,31,M361),"")</f>
        <v>0</v>
      </c>
      <c r="AU361" s="44" cm="1">
        <f t="array" ref="AU361">IFERROR(INDEX('ST Forecast'!$E$2:$RK$36,28,M361),"")</f>
        <v>0</v>
      </c>
      <c r="AV361" s="44" cm="1">
        <f t="array" ref="AV361">IFERROR(INDEX('ST Forecast'!$E$2:$RK$36,29,M361),"")</f>
        <v>0</v>
      </c>
      <c r="AW361" s="44">
        <f>DB[[#This Row],[Inbound FC]]-DB[[#This Row],[Inbound Act - Ultrafresh2]]</f>
        <v>0</v>
      </c>
      <c r="AX361" s="178" t="e">
        <f>#REF!</f>
        <v>#REF!</v>
      </c>
      <c r="AY361" s="178" t="e">
        <f>#REF!</f>
        <v>#REF!</v>
      </c>
      <c r="AZ361" s="178" t="e">
        <f>#REF!</f>
        <v>#REF!</v>
      </c>
      <c r="BA361" s="178">
        <f>MONTH(DB[[#This Row],[Datum]])</f>
        <v>12</v>
      </c>
    </row>
    <row r="362" spans="1:53" x14ac:dyDescent="0.3">
      <c r="A362" s="44">
        <f t="shared" si="105"/>
        <v>52</v>
      </c>
      <c r="B362" t="str">
        <f t="shared" si="106"/>
        <v>Wk 52</v>
      </c>
      <c r="C362" t="s">
        <v>113</v>
      </c>
      <c r="D362" s="313">
        <v>44921</v>
      </c>
      <c r="E362" s="44">
        <f>DB[[#This Row],[Sales-FC-Orders-Collect]]+DB[[#This Row],[Sales-FC-Orders-HD]]</f>
        <v>2825</v>
      </c>
      <c r="F362" s="402">
        <f>INDEX('LT Collect Forecast'!$K$1:$Q$55,MATCH(B362,'LT Collect Forecast'!$A:$A,0),MATCH(C362,'LT Collect Forecast'!$K$2:$Q$2,0))</f>
        <v>775</v>
      </c>
      <c r="G362" s="44">
        <f>INDEX('LT HD Forecast'!$K$1:$Q$55,MATCH(B362,'LT HD Forecast'!$A:$A,0),MATCH(C362,'LT HD Forecast'!$K$2:$Q$2,0))</f>
        <v>2050</v>
      </c>
      <c r="H362" s="44" cm="1">
        <f t="array" ref="H362">IFERROR(INDEX('ST Forecast'!$E$2:$RK$36,6,M362),"")</f>
        <v>41.71</v>
      </c>
      <c r="I362" s="44" cm="1">
        <f t="array" ref="I362">IFERROR(INDEX('ST Forecast'!$E$2:$RK$36,7,M362),"")</f>
        <v>47.21</v>
      </c>
      <c r="J362" s="44">
        <f>SUM(DB[[#This Row],[Sales-FC-Picks-Collect]:[Sales-FC-Picks-HD]])</f>
        <v>129105.75</v>
      </c>
      <c r="K362" s="44">
        <f t="shared" si="101"/>
        <v>32325.25</v>
      </c>
      <c r="L362" s="44">
        <f t="shared" si="102"/>
        <v>96780.5</v>
      </c>
      <c r="M362" s="403">
        <f>IFERROR(IF(B362=B361,M361+1,MATCH(B362,'ST Forecast'!$E$2:$RK$2,0)+1),"")</f>
        <v>410</v>
      </c>
      <c r="N362" s="44">
        <f>SUM(DB[[#This Row],[Ops-FC-Orders-Collect]:[Ops-FC-Orders-HD]])</f>
        <v>2375</v>
      </c>
      <c r="O362" s="44" cm="1">
        <f t="array" ref="O362">IFERROR(INDEX('ST Forecast'!$E$2:$RK$36,13,M362),"")</f>
        <v>800</v>
      </c>
      <c r="P362" s="44">
        <f t="shared" si="107"/>
        <v>1575</v>
      </c>
      <c r="Q362" s="44" cm="1">
        <f t="array" ref="Q362">IFERROR(INDEX('ST Forecast'!$E$2:$RK$36,14,M362),"")</f>
        <v>400</v>
      </c>
      <c r="R362" s="44" cm="1">
        <f t="array" ref="R362">IFERROR(INDEX('ST Forecast'!$E$2:$RK$36,15,M362),"")</f>
        <v>1175</v>
      </c>
      <c r="S362" s="312">
        <f>SUM(DB[[#This Row],[Ops-FC-Picks-Collect]:[Ops-FC-Picks-HD]])</f>
        <v>105569.27500000001</v>
      </c>
      <c r="T362" s="44">
        <f t="shared" si="108"/>
        <v>32700.639999999999</v>
      </c>
      <c r="U362" s="44">
        <f t="shared" si="109"/>
        <v>72868.635000000009</v>
      </c>
      <c r="V362" s="44">
        <f t="shared" si="110"/>
        <v>18506.32</v>
      </c>
      <c r="W362" s="404">
        <f t="shared" si="111"/>
        <v>54362.315000000002</v>
      </c>
      <c r="X362" s="44">
        <f>SUM(DB[[#This Row],[Capped-Orders-Collect]:[Capped-Orders-HD]])</f>
        <v>90</v>
      </c>
      <c r="Y362">
        <f>INDEX('Operations Forecast'!$A$2:$BGY$47,3,MATCH(DB!D362,'Operations Forecast'!$A$2:$BGY$2))</f>
        <v>0</v>
      </c>
      <c r="Z362">
        <f t="shared" si="112"/>
        <v>90</v>
      </c>
      <c r="AA362">
        <f>INDEX('Operations Forecast'!$A$2:$BGY$47,10,MATCH(DB!D362,'Operations Forecast'!$A$2:$BGY$2))</f>
        <v>90</v>
      </c>
      <c r="AB362">
        <f>INDEX('Operations Forecast'!$A$2:$BGY$47,21,MATCH(DB!D362,'Operations Forecast'!$A$2:$BGY$2))</f>
        <v>0</v>
      </c>
      <c r="AC362" s="312">
        <f>SUM(DB[[#This Row],[Act-Orders-Collect]:[Act-Orders-HD]])</f>
        <v>1596</v>
      </c>
      <c r="AD362" s="858">
        <f>IFERROR(INDEX('Operations Forecast_new'!$7:$7,MATCH(DB[[#This Row],[Datum]],'Operations Forecast_new'!$2:$2,0)),0)</f>
        <v>420</v>
      </c>
      <c r="AE362" s="312">
        <f t="shared" si="113"/>
        <v>1176</v>
      </c>
      <c r="AF362" s="858">
        <f>IFERROR(INDEX('Operations Forecast_new'!$13:$13,MATCH(DB[[#This Row],[Datum]],'Operations Forecast_new'!$2:$2,0)),0)</f>
        <v>328</v>
      </c>
      <c r="AG362" s="858">
        <f>IFERROR(INDEX('Operations Forecast_new'!$19:$19,MATCH(DB[[#This Row],[Datum]],'Operations Forecast_new'!$2:$2,0)),0)</f>
        <v>848</v>
      </c>
      <c r="AH362" s="312">
        <f t="shared" si="103"/>
        <v>69139.224000000002</v>
      </c>
      <c r="AI362" s="858">
        <f>IFERROR(INDEX('Operations Forecast_new'!$9:$9,MATCH(DB[[#This Row],[Datum]],'Operations Forecast_new'!$2:$2,0)),0)</f>
        <v>16632</v>
      </c>
      <c r="AJ362" s="312">
        <f t="shared" si="114"/>
        <v>52507.224000000002</v>
      </c>
      <c r="AK362" s="858">
        <f>IFERROR(INDEX('Operations Forecast_new'!$15:$15,MATCH(DB[[#This Row],[Datum]],'Operations Forecast_new'!$2:$2,0)),0)</f>
        <v>14644.872000000001</v>
      </c>
      <c r="AL362" s="858">
        <f>IFERROR(INDEX('Operations Forecast_new'!$21:$21,MATCH(DB[[#This Row],[Datum]],'Operations Forecast_new'!$2:$2,0)),0)</f>
        <v>37862.351999999999</v>
      </c>
      <c r="AM362" s="178">
        <f>IFERROR(INDEX('Operations Forecast_new'!$8:$8,MATCH(DB[[#This Row],[Datum]],'Operations Forecast_new'!$2:$2,0)),0)</f>
        <v>40</v>
      </c>
      <c r="AN362" s="859">
        <f>IFERROR(INDEX('Operations Forecast_new'!$20:$20,MATCH(DB[[#This Row],[Datum]],'Operations Forecast_new'!$2:$2,0)),0)</f>
        <v>45.1</v>
      </c>
      <c r="AO362" s="44">
        <f t="shared" si="115"/>
        <v>39.6</v>
      </c>
      <c r="AP362" s="404">
        <f t="shared" si="116"/>
        <v>44.649000000000001</v>
      </c>
      <c r="AQ362" s="44">
        <f t="shared" si="104"/>
        <v>176958</v>
      </c>
      <c r="AR362" s="44" cm="1">
        <f t="array" ref="AR362">IFERROR(INDEX('ST Forecast'!$E$2:$RK$36,25,M362)+(INDEX('ST Forecast'!$E$2:$RK$36,29,M362)),"")</f>
        <v>95488</v>
      </c>
      <c r="AS362" s="44" cm="1">
        <f t="array" ref="AS362">IFERROR(INDEX('ST Forecast'!$E$2:$RK$36,26,M362)+INDEX('ST Forecast'!$E$2:$RK$36,30,M362),"")</f>
        <v>59808</v>
      </c>
      <c r="AT362" s="44" cm="1">
        <f t="array" ref="AT362">IFERROR(INDEX('ST Forecast'!$E$2:$RK$36,27,M362)+INDEX('ST Forecast'!$E$2:$RK$36,31,M362),"")</f>
        <v>11162</v>
      </c>
      <c r="AU362" s="44" cm="1">
        <f t="array" ref="AU362">IFERROR(INDEX('ST Forecast'!$E$2:$RK$36,28,M362),"")</f>
        <v>10500</v>
      </c>
      <c r="AV362" s="44" cm="1">
        <f t="array" ref="AV362">IFERROR(INDEX('ST Forecast'!$E$2:$RK$36,29,M362),"")</f>
        <v>35488</v>
      </c>
      <c r="AW362" s="44">
        <f>DB[[#This Row],[Inbound FC]]-DB[[#This Row],[Inbound Act - Ultrafresh2]]</f>
        <v>141470</v>
      </c>
      <c r="AX362" s="178" t="e">
        <f>#REF!</f>
        <v>#REF!</v>
      </c>
      <c r="AY362" s="178" t="e">
        <f>#REF!</f>
        <v>#REF!</v>
      </c>
      <c r="AZ362" s="178" t="e">
        <f>#REF!</f>
        <v>#REF!</v>
      </c>
      <c r="BA362" s="178">
        <f>MONTH(DB[[#This Row],[Datum]])</f>
        <v>12</v>
      </c>
    </row>
    <row r="363" spans="1:53" x14ac:dyDescent="0.3">
      <c r="A363" s="44">
        <f t="shared" si="105"/>
        <v>52</v>
      </c>
      <c r="B363" t="str">
        <f t="shared" si="106"/>
        <v>Wk 52</v>
      </c>
      <c r="C363" t="s">
        <v>114</v>
      </c>
      <c r="D363" s="313">
        <v>44922</v>
      </c>
      <c r="E363" s="44">
        <f>DB[[#This Row],[Sales-FC-Orders-Collect]]+DB[[#This Row],[Sales-FC-Orders-HD]]</f>
        <v>3500</v>
      </c>
      <c r="F363" s="402">
        <f>INDEX('LT Collect Forecast'!$K$1:$Q$55,MATCH(B363,'LT Collect Forecast'!$A:$A,0),MATCH(C363,'LT Collect Forecast'!$K$2:$Q$2,0))</f>
        <v>900</v>
      </c>
      <c r="G363" s="44">
        <f>INDEX('LT HD Forecast'!$K$1:$Q$55,MATCH(B363,'LT HD Forecast'!$A:$A,0),MATCH(C363,'LT HD Forecast'!$K$2:$Q$2,0))</f>
        <v>2600</v>
      </c>
      <c r="H363" s="44" cm="1">
        <f t="array" ref="H363">IFERROR(INDEX('ST Forecast'!$E$2:$RK$36,6,M363),"")</f>
        <v>42.59</v>
      </c>
      <c r="I363" s="44" cm="1">
        <f t="array" ref="I363">IFERROR(INDEX('ST Forecast'!$E$2:$RK$36,7,M363),"")</f>
        <v>45.68</v>
      </c>
      <c r="J363" s="44">
        <f>SUM(DB[[#This Row],[Sales-FC-Picks-Collect]:[Sales-FC-Picks-HD]])</f>
        <v>157099</v>
      </c>
      <c r="K363" s="44">
        <f t="shared" si="101"/>
        <v>38331</v>
      </c>
      <c r="L363" s="44">
        <f t="shared" si="102"/>
        <v>118768</v>
      </c>
      <c r="M363" s="403">
        <f>IFERROR(IF(B363=B362,M362+1,MATCH(B363,'ST Forecast'!$E$2:$RK$2,0)+1),"")</f>
        <v>411</v>
      </c>
      <c r="N363" s="44">
        <f>SUM(DB[[#This Row],[Ops-FC-Orders-Collect]:[Ops-FC-Orders-HD]])</f>
        <v>3500</v>
      </c>
      <c r="O363" s="44" cm="1">
        <f t="array" ref="O363">IFERROR(INDEX('ST Forecast'!$E$2:$RK$36,13,M363),"")</f>
        <v>900</v>
      </c>
      <c r="P363" s="44">
        <f t="shared" si="107"/>
        <v>2600</v>
      </c>
      <c r="Q363" s="44" cm="1">
        <f t="array" ref="Q363">IFERROR(INDEX('ST Forecast'!$E$2:$RK$36,14,M363),"")</f>
        <v>1350</v>
      </c>
      <c r="R363" s="44" cm="1">
        <f t="array" ref="R363">IFERROR(INDEX('ST Forecast'!$E$2:$RK$36,15,M363),"")</f>
        <v>1250</v>
      </c>
      <c r="S363" s="312">
        <f>SUM(DB[[#This Row],[Ops-FC-Picks-Collect]:[Ops-FC-Picks-HD]])</f>
        <v>153957.01999999999</v>
      </c>
      <c r="T363" s="44">
        <f t="shared" si="108"/>
        <v>37564.379999999997</v>
      </c>
      <c r="U363" s="44">
        <f t="shared" si="109"/>
        <v>116392.64</v>
      </c>
      <c r="V363" s="44">
        <f t="shared" si="110"/>
        <v>60434.64</v>
      </c>
      <c r="W363" s="404">
        <f t="shared" si="111"/>
        <v>55958</v>
      </c>
      <c r="X363" s="44">
        <f>SUM(DB[[#This Row],[Capped-Orders-Collect]:[Capped-Orders-HD]])</f>
        <v>90</v>
      </c>
      <c r="Y363">
        <f>INDEX('Operations Forecast'!$A$2:$BGY$47,3,MATCH(DB!D363,'Operations Forecast'!$A$2:$BGY$2))</f>
        <v>0</v>
      </c>
      <c r="Z363">
        <f t="shared" si="112"/>
        <v>90</v>
      </c>
      <c r="AA363">
        <f>INDEX('Operations Forecast'!$A$2:$BGY$47,10,MATCH(DB!D363,'Operations Forecast'!$A$2:$BGY$2))</f>
        <v>90</v>
      </c>
      <c r="AB363">
        <f>INDEX('Operations Forecast'!$A$2:$BGY$47,21,MATCH(DB!D363,'Operations Forecast'!$A$2:$BGY$2))</f>
        <v>0</v>
      </c>
      <c r="AC363" s="312">
        <f>SUM(DB[[#This Row],[Act-Orders-Collect]:[Act-Orders-HD]])</f>
        <v>2200</v>
      </c>
      <c r="AD363" s="858">
        <f>IFERROR(INDEX('Operations Forecast_new'!$7:$7,MATCH(DB[[#This Row],[Datum]],'Operations Forecast_new'!$2:$2,0)),0)</f>
        <v>505</v>
      </c>
      <c r="AE363" s="312">
        <f t="shared" si="113"/>
        <v>1695</v>
      </c>
      <c r="AF363" s="858">
        <f>IFERROR(INDEX('Operations Forecast_new'!$13:$13,MATCH(DB[[#This Row],[Datum]],'Operations Forecast_new'!$2:$2,0)),0)</f>
        <v>1022</v>
      </c>
      <c r="AG363" s="858">
        <f>IFERROR(INDEX('Operations Forecast_new'!$19:$19,MATCH(DB[[#This Row],[Datum]],'Operations Forecast_new'!$2:$2,0)),0)</f>
        <v>673</v>
      </c>
      <c r="AH363" s="312">
        <f t="shared" si="103"/>
        <v>95963.67</v>
      </c>
      <c r="AI363" s="858">
        <f>IFERROR(INDEX('Operations Forecast_new'!$9:$9,MATCH(DB[[#This Row],[Datum]],'Operations Forecast_new'!$2:$2,0)),0)</f>
        <v>19948.005000000001</v>
      </c>
      <c r="AJ363" s="312">
        <f t="shared" si="114"/>
        <v>76015.664999999994</v>
      </c>
      <c r="AK363" s="858">
        <f>IFERROR(INDEX('Operations Forecast_new'!$15:$15,MATCH(DB[[#This Row],[Datum]],'Operations Forecast_new'!$2:$2,0)),0)</f>
        <v>45833.633999999998</v>
      </c>
      <c r="AL363" s="858">
        <f>IFERROR(INDEX('Operations Forecast_new'!$21:$21,MATCH(DB[[#This Row],[Datum]],'Operations Forecast_new'!$2:$2,0)),0)</f>
        <v>30182.030999999999</v>
      </c>
      <c r="AM363" s="178">
        <f>IFERROR(INDEX('Operations Forecast_new'!$8:$8,MATCH(DB[[#This Row],[Datum]],'Operations Forecast_new'!$2:$2,0)),0)</f>
        <v>39.9</v>
      </c>
      <c r="AN363" s="859">
        <f>IFERROR(INDEX('Operations Forecast_new'!$20:$20,MATCH(DB[[#This Row],[Datum]],'Operations Forecast_new'!$2:$2,0)),0)</f>
        <v>45.3</v>
      </c>
      <c r="AO363" s="44">
        <f t="shared" si="115"/>
        <v>39.501000000000005</v>
      </c>
      <c r="AP363" s="404">
        <f t="shared" si="116"/>
        <v>44.846999999999994</v>
      </c>
      <c r="AQ363" s="44">
        <f t="shared" si="104"/>
        <v>154180.30096174745</v>
      </c>
      <c r="AR363" s="44" cm="1">
        <f t="array" ref="AR363">IFERROR(INDEX('ST Forecast'!$E$2:$RK$36,25,M363)+(INDEX('ST Forecast'!$E$2:$RK$36,29,M363)),"")</f>
        <v>71459.26999999999</v>
      </c>
      <c r="AS363" s="44" cm="1">
        <f t="array" ref="AS363">IFERROR(INDEX('ST Forecast'!$E$2:$RK$36,26,M363)+INDEX('ST Forecast'!$E$2:$RK$36,30,M363),"")</f>
        <v>67049.998421597353</v>
      </c>
      <c r="AT363" s="44" cm="1">
        <f t="array" ref="AT363">IFERROR(INDEX('ST Forecast'!$E$2:$RK$36,27,M363)+INDEX('ST Forecast'!$E$2:$RK$36,31,M363),"")</f>
        <v>6642.1049617474591</v>
      </c>
      <c r="AU363" s="44" cm="1">
        <f t="array" ref="AU363">IFERROR(INDEX('ST Forecast'!$E$2:$RK$36,28,M363),"")</f>
        <v>9028.9275784026577</v>
      </c>
      <c r="AV363" s="44" cm="1">
        <f t="array" ref="AV363">IFERROR(INDEX('ST Forecast'!$E$2:$RK$36,29,M363),"")</f>
        <v>0</v>
      </c>
      <c r="AW363" s="44">
        <f>DB[[#This Row],[Inbound FC]]-DB[[#This Row],[Inbound Act - Ultrafresh2]]</f>
        <v>154180.30096174745</v>
      </c>
      <c r="AX363" s="178" t="e">
        <f>#REF!</f>
        <v>#REF!</v>
      </c>
      <c r="AY363" s="178" t="e">
        <f>#REF!</f>
        <v>#REF!</v>
      </c>
      <c r="AZ363" s="178" t="e">
        <f>#REF!</f>
        <v>#REF!</v>
      </c>
      <c r="BA363" s="178">
        <f>MONTH(DB[[#This Row],[Datum]])</f>
        <v>12</v>
      </c>
    </row>
    <row r="364" spans="1:53" x14ac:dyDescent="0.3">
      <c r="A364" s="44">
        <f t="shared" si="105"/>
        <v>52</v>
      </c>
      <c r="B364" t="str">
        <f t="shared" si="106"/>
        <v>Wk 52</v>
      </c>
      <c r="C364" t="s">
        <v>115</v>
      </c>
      <c r="D364" s="313">
        <v>44923</v>
      </c>
      <c r="E364" s="44">
        <f>DB[[#This Row],[Sales-FC-Orders-Collect]]+DB[[#This Row],[Sales-FC-Orders-HD]]</f>
        <v>3500</v>
      </c>
      <c r="F364" s="402">
        <f>INDEX('LT Collect Forecast'!$K$1:$Q$55,MATCH(B364,'LT Collect Forecast'!$A:$A,0),MATCH(C364,'LT Collect Forecast'!$K$2:$Q$2,0))</f>
        <v>900</v>
      </c>
      <c r="G364" s="44">
        <f>INDEX('LT HD Forecast'!$K$1:$Q$55,MATCH(B364,'LT HD Forecast'!$A:$A,0),MATCH(C364,'LT HD Forecast'!$K$2:$Q$2,0))</f>
        <v>2600</v>
      </c>
      <c r="H364" s="44" cm="1">
        <f t="array" ref="H364">IFERROR(INDEX('ST Forecast'!$E$2:$RK$36,6,M364),"")</f>
        <v>41.52</v>
      </c>
      <c r="I364" s="44" cm="1">
        <f t="array" ref="I364">IFERROR(INDEX('ST Forecast'!$E$2:$RK$36,7,M364),"")</f>
        <v>45.79</v>
      </c>
      <c r="J364" s="44">
        <f>SUM(DB[[#This Row],[Sales-FC-Picks-Collect]:[Sales-FC-Picks-HD]])</f>
        <v>156422</v>
      </c>
      <c r="K364" s="44">
        <f t="shared" si="101"/>
        <v>37368</v>
      </c>
      <c r="L364" s="44">
        <f t="shared" si="102"/>
        <v>119054</v>
      </c>
      <c r="M364" s="403">
        <f>IFERROR(IF(B364=B363,M363+1,MATCH(B364,'ST Forecast'!$E$2:$RK$2,0)+1),"")</f>
        <v>412</v>
      </c>
      <c r="N364" s="44">
        <f>SUM(DB[[#This Row],[Ops-FC-Orders-Collect]:[Ops-FC-Orders-HD]])</f>
        <v>3575</v>
      </c>
      <c r="O364" s="44" cm="1">
        <f t="array" ref="O364">IFERROR(INDEX('ST Forecast'!$E$2:$RK$36,13,M364),"")</f>
        <v>950</v>
      </c>
      <c r="P364" s="44">
        <f t="shared" si="107"/>
        <v>2625</v>
      </c>
      <c r="Q364" s="44" cm="1">
        <f t="array" ref="Q364">IFERROR(INDEX('ST Forecast'!$E$2:$RK$36,14,M364),"")</f>
        <v>1375</v>
      </c>
      <c r="R364" s="44" cm="1">
        <f t="array" ref="R364">IFERROR(INDEX('ST Forecast'!$E$2:$RK$36,15,M364),"")</f>
        <v>1250</v>
      </c>
      <c r="S364" s="312">
        <f>SUM(DB[[#This Row],[Ops-FC-Picks-Collect]:[Ops-FC-Picks-HD]])</f>
        <v>156449.89499999999</v>
      </c>
      <c r="T364" s="44">
        <f t="shared" si="108"/>
        <v>38655.120000000003</v>
      </c>
      <c r="U364" s="44">
        <f t="shared" si="109"/>
        <v>117794.77499999999</v>
      </c>
      <c r="V364" s="44">
        <f t="shared" si="110"/>
        <v>61702.025000000001</v>
      </c>
      <c r="W364" s="404">
        <f t="shared" si="111"/>
        <v>56092.75</v>
      </c>
      <c r="X364" s="44">
        <f>SUM(DB[[#This Row],[Capped-Orders-Collect]:[Capped-Orders-HD]])</f>
        <v>90</v>
      </c>
      <c r="Y364">
        <f>INDEX('Operations Forecast'!$A$2:$BGY$47,3,MATCH(DB!D364,'Operations Forecast'!$A$2:$BGY$2))</f>
        <v>0</v>
      </c>
      <c r="Z364">
        <f t="shared" si="112"/>
        <v>90</v>
      </c>
      <c r="AA364">
        <f>INDEX('Operations Forecast'!$A$2:$BGY$47,10,MATCH(DB!D364,'Operations Forecast'!$A$2:$BGY$2))</f>
        <v>90</v>
      </c>
      <c r="AB364">
        <f>INDEX('Operations Forecast'!$A$2:$BGY$47,21,MATCH(DB!D364,'Operations Forecast'!$A$2:$BGY$2))</f>
        <v>0</v>
      </c>
      <c r="AC364" s="312">
        <f>SUM(DB[[#This Row],[Act-Orders-Collect]:[Act-Orders-HD]])</f>
        <v>2847</v>
      </c>
      <c r="AD364" s="858">
        <f>IFERROR(INDEX('Operations Forecast_new'!$7:$7,MATCH(DB[[#This Row],[Datum]],'Operations Forecast_new'!$2:$2,0)),0)</f>
        <v>725</v>
      </c>
      <c r="AE364" s="312">
        <f t="shared" si="113"/>
        <v>2122</v>
      </c>
      <c r="AF364" s="858">
        <f>IFERROR(INDEX('Operations Forecast_new'!$13:$13,MATCH(DB[[#This Row],[Datum]],'Operations Forecast_new'!$2:$2,0)),0)</f>
        <v>1260</v>
      </c>
      <c r="AG364" s="858">
        <f>IFERROR(INDEX('Operations Forecast_new'!$19:$19,MATCH(DB[[#This Row],[Datum]],'Operations Forecast_new'!$2:$2,0)),0)</f>
        <v>862</v>
      </c>
      <c r="AH364" s="312">
        <f t="shared" si="103"/>
        <v>125433.39600000001</v>
      </c>
      <c r="AI364" s="858">
        <f>IFERROR(INDEX('Operations Forecast_new'!$9:$9,MATCH(DB[[#This Row],[Datum]],'Operations Forecast_new'!$2:$2,0)),0)</f>
        <v>29427.75</v>
      </c>
      <c r="AJ364" s="312">
        <f t="shared" si="114"/>
        <v>96005.646000000008</v>
      </c>
      <c r="AK364" s="858">
        <f>IFERROR(INDEX('Operations Forecast_new'!$15:$15,MATCH(DB[[#This Row],[Datum]],'Operations Forecast_new'!$2:$2,0)),0)</f>
        <v>57006.18</v>
      </c>
      <c r="AL364" s="858">
        <f>IFERROR(INDEX('Operations Forecast_new'!$21:$21,MATCH(DB[[#This Row],[Datum]],'Operations Forecast_new'!$2:$2,0)),0)</f>
        <v>38999.466</v>
      </c>
      <c r="AM364" s="178">
        <f>IFERROR(INDEX('Operations Forecast_new'!$8:$8,MATCH(DB[[#This Row],[Datum]],'Operations Forecast_new'!$2:$2,0)),0)</f>
        <v>41</v>
      </c>
      <c r="AN364" s="859">
        <f>IFERROR(INDEX('Operations Forecast_new'!$20:$20,MATCH(DB[[#This Row],[Datum]],'Operations Forecast_new'!$2:$2,0)),0)</f>
        <v>45.7</v>
      </c>
      <c r="AO364" s="44">
        <f t="shared" si="115"/>
        <v>40.590000000000003</v>
      </c>
      <c r="AP364" s="404">
        <f t="shared" si="116"/>
        <v>45.243000000000002</v>
      </c>
      <c r="AQ364" s="44">
        <f t="shared" si="104"/>
        <v>149715.66243282371</v>
      </c>
      <c r="AR364" s="44" cm="1">
        <f t="array" ref="AR364">IFERROR(INDEX('ST Forecast'!$E$2:$RK$36,25,M364)+(INDEX('ST Forecast'!$E$2:$RK$36,29,M364)),"")</f>
        <v>71916.319999999992</v>
      </c>
      <c r="AS364" s="44" cm="1">
        <f t="array" ref="AS364">IFERROR(INDEX('ST Forecast'!$E$2:$RK$36,26,M364)+INDEX('ST Forecast'!$E$2:$RK$36,30,M364),"")</f>
        <v>62406.358606311915</v>
      </c>
      <c r="AT364" s="44" cm="1">
        <f t="array" ref="AT364">IFERROR(INDEX('ST Forecast'!$E$2:$RK$36,27,M364)+INDEX('ST Forecast'!$E$2:$RK$36,31,M364),"")</f>
        <v>5883.3824328237179</v>
      </c>
      <c r="AU364" s="44" cm="1">
        <f t="array" ref="AU364">IFERROR(INDEX('ST Forecast'!$E$2:$RK$36,28,M364),"")</f>
        <v>9509.6013936880936</v>
      </c>
      <c r="AV364" s="44" cm="1">
        <f t="array" ref="AV364">IFERROR(INDEX('ST Forecast'!$E$2:$RK$36,29,M364),"")</f>
        <v>0</v>
      </c>
      <c r="AW364" s="44">
        <f>DB[[#This Row],[Inbound FC]]-DB[[#This Row],[Inbound Act - Ultrafresh2]]</f>
        <v>149715.66243282371</v>
      </c>
      <c r="AX364" s="178" t="e">
        <f>#REF!</f>
        <v>#REF!</v>
      </c>
      <c r="AY364" s="178" t="e">
        <f>#REF!</f>
        <v>#REF!</v>
      </c>
      <c r="AZ364" s="178" t="e">
        <f>#REF!</f>
        <v>#REF!</v>
      </c>
      <c r="BA364" s="178">
        <f>MONTH(DB[[#This Row],[Datum]])</f>
        <v>12</v>
      </c>
    </row>
    <row r="365" spans="1:53" x14ac:dyDescent="0.3">
      <c r="A365" s="44">
        <f t="shared" si="105"/>
        <v>52</v>
      </c>
      <c r="B365" t="str">
        <f t="shared" si="106"/>
        <v>Wk 52</v>
      </c>
      <c r="C365" t="s">
        <v>116</v>
      </c>
      <c r="D365" s="313">
        <v>44924</v>
      </c>
      <c r="E365" s="44">
        <f>DB[[#This Row],[Sales-FC-Orders-Collect]]+DB[[#This Row],[Sales-FC-Orders-HD]]</f>
        <v>3750</v>
      </c>
      <c r="F365" s="402" cm="1">
        <f t="array" ref="F365">INDEX('LT Collect Forecast'!$K$1:$Q$55,MATCH(B365,'LT Collect Forecast'!$A:$A,0)+1,MATCH(C365,'LT Collect Forecast'!$K$2:$Q$2,0))</f>
        <v>1150</v>
      </c>
      <c r="G365" s="44" cm="1">
        <f t="array" ref="G365">INDEX('LT HD Forecast'!$K$1:$Q$55,MATCH(B365,'LT HD Forecast'!$A:$A,0)+1,MATCH(C365,'LT HD Forecast'!$K$2:$Q$2,0))</f>
        <v>2600</v>
      </c>
      <c r="H365" s="44" cm="1">
        <f t="array" ref="H365">IFERROR(INDEX('ST Forecast'!$E$2:$RK$36,6,M365),"")</f>
        <v>40.799999999999997</v>
      </c>
      <c r="I365" s="44" cm="1">
        <f t="array" ref="I365">IFERROR(INDEX('ST Forecast'!$E$2:$RK$36,7,M365),"")</f>
        <v>46.05</v>
      </c>
      <c r="J365" s="44">
        <f>SUM(DB[[#This Row],[Sales-FC-Picks-Collect]:[Sales-FC-Picks-HD]])</f>
        <v>166650</v>
      </c>
      <c r="K365" s="44">
        <f t="shared" si="101"/>
        <v>46920</v>
      </c>
      <c r="L365" s="44">
        <f t="shared" si="102"/>
        <v>119729.99999999999</v>
      </c>
      <c r="M365" s="403">
        <f>IFERROR(IF(B365=B364,M364+1,MATCH(B365,'ST Forecast'!$E$2:$RK$2,0)+1),"")</f>
        <v>413</v>
      </c>
      <c r="N365" s="44">
        <f>SUM(DB[[#This Row],[Ops-FC-Orders-Collect]:[Ops-FC-Orders-HD]])</f>
        <v>4025</v>
      </c>
      <c r="O365" s="44" cm="1">
        <f t="array" ref="O365">IFERROR(INDEX('ST Forecast'!$E$2:$RK$36,13,M365),"")</f>
        <v>1400</v>
      </c>
      <c r="P365" s="44">
        <f t="shared" si="107"/>
        <v>2625</v>
      </c>
      <c r="Q365" s="44" cm="1">
        <f t="array" ref="Q365">IFERROR(INDEX('ST Forecast'!$E$2:$RK$36,14,M365),"")</f>
        <v>1375</v>
      </c>
      <c r="R365" s="44" cm="1">
        <f t="array" ref="R365">IFERROR(INDEX('ST Forecast'!$E$2:$RK$36,15,M365),"")</f>
        <v>1250</v>
      </c>
      <c r="S365" s="312">
        <f>SUM(DB[[#This Row],[Ops-FC-Picks-Collect]:[Ops-FC-Picks-HD]])</f>
        <v>174441.22499999998</v>
      </c>
      <c r="T365" s="44">
        <f t="shared" si="108"/>
        <v>55977.599999999991</v>
      </c>
      <c r="U365" s="44">
        <f t="shared" si="109"/>
        <v>118463.625</v>
      </c>
      <c r="V365" s="44">
        <f t="shared" si="110"/>
        <v>62052.374999999993</v>
      </c>
      <c r="W365" s="404">
        <f t="shared" si="111"/>
        <v>56411.25</v>
      </c>
      <c r="X365" s="44">
        <f>SUM(DB[[#This Row],[Capped-Orders-Collect]:[Capped-Orders-HD]])</f>
        <v>90</v>
      </c>
      <c r="Y365">
        <f>INDEX('Operations Forecast'!$A$2:$BGY$47,3,MATCH(DB!D365,'Operations Forecast'!$A$2:$BGY$2))</f>
        <v>0</v>
      </c>
      <c r="Z365">
        <f t="shared" si="112"/>
        <v>90</v>
      </c>
      <c r="AA365">
        <f>INDEX('Operations Forecast'!$A$2:$BGY$47,10,MATCH(DB!D365,'Operations Forecast'!$A$2:$BGY$2))</f>
        <v>90</v>
      </c>
      <c r="AB365">
        <f>INDEX('Operations Forecast'!$A$2:$BGY$47,21,MATCH(DB!D365,'Operations Forecast'!$A$2:$BGY$2))</f>
        <v>0</v>
      </c>
      <c r="AC365" s="312">
        <f>SUM(DB[[#This Row],[Act-Orders-Collect]:[Act-Orders-HD]])</f>
        <v>2768</v>
      </c>
      <c r="AD365" s="858">
        <f>IFERROR(INDEX('Operations Forecast_new'!$7:$7,MATCH(DB[[#This Row],[Datum]],'Operations Forecast_new'!$2:$2,0)),0)</f>
        <v>895</v>
      </c>
      <c r="AE365" s="312">
        <f t="shared" si="113"/>
        <v>1873</v>
      </c>
      <c r="AF365" s="858">
        <f>IFERROR(INDEX('Operations Forecast_new'!$13:$13,MATCH(DB[[#This Row],[Datum]],'Operations Forecast_new'!$2:$2,0)),0)</f>
        <v>831</v>
      </c>
      <c r="AG365" s="858">
        <f>IFERROR(INDEX('Operations Forecast_new'!$19:$19,MATCH(DB[[#This Row],[Datum]],'Operations Forecast_new'!$2:$2,0)),0)</f>
        <v>1042</v>
      </c>
      <c r="AH365" s="312">
        <f t="shared" si="103"/>
        <v>118828.413</v>
      </c>
      <c r="AI365" s="858">
        <f>IFERROR(INDEX('Operations Forecast_new'!$9:$9,MATCH(DB[[#This Row],[Datum]],'Operations Forecast_new'!$2:$2,0)),0)</f>
        <v>34644.555</v>
      </c>
      <c r="AJ365" s="312">
        <f t="shared" si="114"/>
        <v>84183.858000000007</v>
      </c>
      <c r="AK365" s="858">
        <f>IFERROR(INDEX('Operations Forecast_new'!$15:$15,MATCH(DB[[#This Row],[Datum]],'Operations Forecast_new'!$2:$2,0)),0)</f>
        <v>37350.126000000004</v>
      </c>
      <c r="AL365" s="858">
        <f>IFERROR(INDEX('Operations Forecast_new'!$21:$21,MATCH(DB[[#This Row],[Datum]],'Operations Forecast_new'!$2:$2,0)),0)</f>
        <v>46833.731999999996</v>
      </c>
      <c r="AM365" s="178">
        <f>IFERROR(INDEX('Operations Forecast_new'!$8:$8,MATCH(DB[[#This Row],[Datum]],'Operations Forecast_new'!$2:$2,0)),0)</f>
        <v>39.1</v>
      </c>
      <c r="AN365" s="859">
        <f>IFERROR(INDEX('Operations Forecast_new'!$20:$20,MATCH(DB[[#This Row],[Datum]],'Operations Forecast_new'!$2:$2,0)),0)</f>
        <v>45.4</v>
      </c>
      <c r="AO365" s="44">
        <f t="shared" si="115"/>
        <v>38.709000000000003</v>
      </c>
      <c r="AP365" s="404">
        <f t="shared" si="116"/>
        <v>44.946000000000005</v>
      </c>
      <c r="AQ365" s="44">
        <f t="shared" si="104"/>
        <v>152316.26377497622</v>
      </c>
      <c r="AR365" s="44" cm="1">
        <f t="array" ref="AR365">IFERROR(INDEX('ST Forecast'!$E$2:$RK$36,25,M365)+(INDEX('ST Forecast'!$E$2:$RK$36,29,M365)),"")</f>
        <v>60346.34599999999</v>
      </c>
      <c r="AS365" s="44" cm="1">
        <f t="array" ref="AS365">IFERROR(INDEX('ST Forecast'!$E$2:$RK$36,26,M365)+INDEX('ST Forecast'!$E$2:$RK$36,30,M365),"")</f>
        <v>76619.567999999999</v>
      </c>
      <c r="AT365" s="44" cm="1">
        <f t="array" ref="AT365">IFERROR(INDEX('ST Forecast'!$E$2:$RK$36,27,M365)+INDEX('ST Forecast'!$E$2:$RK$36,31,M365),"")</f>
        <v>5951.0317749762389</v>
      </c>
      <c r="AU365" s="44" cm="1">
        <f t="array" ref="AU365">IFERROR(INDEX('ST Forecast'!$E$2:$RK$36,28,M365),"")</f>
        <v>9399.3180000000011</v>
      </c>
      <c r="AV365" s="44" cm="1">
        <f t="array" ref="AV365">IFERROR(INDEX('ST Forecast'!$E$2:$RK$36,29,M365),"")</f>
        <v>0</v>
      </c>
      <c r="AW365" s="44">
        <f>DB[[#This Row],[Inbound FC]]-DB[[#This Row],[Inbound Act - Ultrafresh2]]</f>
        <v>152316.26377497622</v>
      </c>
      <c r="AX365" s="178" t="e">
        <f>#REF!</f>
        <v>#REF!</v>
      </c>
      <c r="AY365" s="178" t="e">
        <f>#REF!</f>
        <v>#REF!</v>
      </c>
      <c r="AZ365" s="178" t="e">
        <f>#REF!</f>
        <v>#REF!</v>
      </c>
      <c r="BA365" s="178">
        <f>MONTH(DB[[#This Row],[Datum]])</f>
        <v>12</v>
      </c>
    </row>
    <row r="366" spans="1:53" x14ac:dyDescent="0.3">
      <c r="A366" s="44">
        <f t="shared" si="105"/>
        <v>52</v>
      </c>
      <c r="B366" t="str">
        <f t="shared" si="106"/>
        <v>Wk 52</v>
      </c>
      <c r="C366" t="s">
        <v>117</v>
      </c>
      <c r="D366" s="313">
        <v>44925</v>
      </c>
      <c r="E366" s="44">
        <f>DB[[#This Row],[Sales-FC-Orders-Collect]]+DB[[#This Row],[Sales-FC-Orders-HD]]</f>
        <v>4450</v>
      </c>
      <c r="F366" s="402" cm="1">
        <f t="array" ref="F366">INDEX('LT Collect Forecast'!$K$1:$Q$55,MATCH(B366,'LT Collect Forecast'!$A:$A,0)+1,MATCH(C366,'LT Collect Forecast'!$K$2:$Q$2,0))</f>
        <v>1850</v>
      </c>
      <c r="G366" s="44" cm="1">
        <f t="array" ref="G366">INDEX('LT HD Forecast'!$K$1:$Q$55,MATCH(B366,'LT HD Forecast'!$A:$A,0)+1,MATCH(C366,'LT HD Forecast'!$K$2:$Q$2,0))</f>
        <v>2600</v>
      </c>
      <c r="H366" s="44" cm="1">
        <f t="array" ref="H366">IFERROR(INDEX('ST Forecast'!$E$2:$RK$36,6,M366),"")</f>
        <v>40.35</v>
      </c>
      <c r="I366" s="44" cm="1">
        <f t="array" ref="I366">IFERROR(INDEX('ST Forecast'!$E$2:$RK$36,7,M366),"")</f>
        <v>45.55</v>
      </c>
      <c r="J366" s="44">
        <f>SUM(DB[[#This Row],[Sales-FC-Picks-Collect]:[Sales-FC-Picks-HD]])</f>
        <v>193077.5</v>
      </c>
      <c r="K366" s="44">
        <f t="shared" si="101"/>
        <v>74647.5</v>
      </c>
      <c r="L366" s="44">
        <f t="shared" si="102"/>
        <v>118429.99999999999</v>
      </c>
      <c r="M366" s="403">
        <f>IFERROR(IF(B366=B365,M365+1,MATCH(B366,'ST Forecast'!$E$2:$RK$2,0)+1),"")</f>
        <v>414</v>
      </c>
      <c r="N366" s="44">
        <f>SUM(DB[[#This Row],[Ops-FC-Orders-Collect]:[Ops-FC-Orders-HD]])</f>
        <v>4575</v>
      </c>
      <c r="O366" s="44" cm="1">
        <f t="array" ref="O366">IFERROR(INDEX('ST Forecast'!$E$2:$RK$36,13,M366),"")</f>
        <v>1950</v>
      </c>
      <c r="P366" s="44">
        <f t="shared" si="107"/>
        <v>2625</v>
      </c>
      <c r="Q366" s="44" cm="1">
        <f t="array" ref="Q366">IFERROR(INDEX('ST Forecast'!$E$2:$RK$36,14,M366),"")</f>
        <v>1375</v>
      </c>
      <c r="R366" s="44" cm="1">
        <f t="array" ref="R366">IFERROR(INDEX('ST Forecast'!$E$2:$RK$36,15,M366),"")</f>
        <v>1250</v>
      </c>
      <c r="S366" s="312">
        <f>SUM(DB[[#This Row],[Ops-FC-Picks-Collect]:[Ops-FC-Picks-HD]])</f>
        <v>194286.22500000001</v>
      </c>
      <c r="T366" s="44">
        <f t="shared" si="108"/>
        <v>77108.850000000006</v>
      </c>
      <c r="U366" s="44">
        <f t="shared" si="109"/>
        <v>117177.375</v>
      </c>
      <c r="V366" s="44">
        <f t="shared" si="110"/>
        <v>61378.624999999993</v>
      </c>
      <c r="W366" s="404">
        <f t="shared" si="111"/>
        <v>55798.75</v>
      </c>
      <c r="X366" s="44">
        <f>SUM(DB[[#This Row],[Capped-Orders-Collect]:[Capped-Orders-HD]])</f>
        <v>90</v>
      </c>
      <c r="Y366">
        <f>INDEX('Operations Forecast'!$A$2:$BGY$47,3,MATCH(DB!D366,'Operations Forecast'!$A$2:$BGY$2))</f>
        <v>0</v>
      </c>
      <c r="Z366">
        <f t="shared" si="112"/>
        <v>90</v>
      </c>
      <c r="AA366">
        <f>INDEX('Operations Forecast'!$A$2:$BGY$47,10,MATCH(DB!D366,'Operations Forecast'!$A$2:$BGY$2))</f>
        <v>90</v>
      </c>
      <c r="AB366">
        <f>INDEX('Operations Forecast'!$A$2:$BGY$47,21,MATCH(DB!D366,'Operations Forecast'!$A$2:$BGY$2))</f>
        <v>0</v>
      </c>
      <c r="AC366" s="312">
        <f>SUM(DB[[#This Row],[Act-Orders-Collect]:[Act-Orders-HD]])</f>
        <v>3922</v>
      </c>
      <c r="AD366" s="858">
        <f>IFERROR(INDEX('Operations Forecast_new'!$7:$7,MATCH(DB[[#This Row],[Datum]],'Operations Forecast_new'!$2:$2,0)),0)</f>
        <v>1539</v>
      </c>
      <c r="AE366" s="312">
        <f t="shared" si="113"/>
        <v>2383</v>
      </c>
      <c r="AF366" s="858">
        <f>IFERROR(INDEX('Operations Forecast_new'!$13:$13,MATCH(DB[[#This Row],[Datum]],'Operations Forecast_new'!$2:$2,0)),0)</f>
        <v>1311</v>
      </c>
      <c r="AG366" s="858">
        <f>IFERROR(INDEX('Operations Forecast_new'!$19:$19,MATCH(DB[[#This Row],[Datum]],'Operations Forecast_new'!$2:$2,0)),0)</f>
        <v>1072</v>
      </c>
      <c r="AH366" s="312">
        <f t="shared" si="103"/>
        <v>172071.10800000001</v>
      </c>
      <c r="AI366" s="858">
        <f>IFERROR(INDEX('Operations Forecast_new'!$9:$9,MATCH(DB[[#This Row],[Datum]],'Operations Forecast_new'!$2:$2,0)),0)</f>
        <v>63077.453999999998</v>
      </c>
      <c r="AJ366" s="312">
        <f t="shared" si="114"/>
        <v>108993.65400000001</v>
      </c>
      <c r="AK366" s="858">
        <f>IFERROR(INDEX('Operations Forecast_new'!$15:$15,MATCH(DB[[#This Row],[Datum]],'Operations Forecast_new'!$2:$2,0)),0)</f>
        <v>59962.518000000004</v>
      </c>
      <c r="AL366" s="858">
        <f>IFERROR(INDEX('Operations Forecast_new'!$21:$21,MATCH(DB[[#This Row],[Datum]],'Operations Forecast_new'!$2:$2,0)),0)</f>
        <v>49031.135999999999</v>
      </c>
      <c r="AM366" s="178">
        <f>IFERROR(INDEX('Operations Forecast_new'!$8:$8,MATCH(DB[[#This Row],[Datum]],'Operations Forecast_new'!$2:$2,0)),0)</f>
        <v>41.4</v>
      </c>
      <c r="AN366" s="859">
        <f>IFERROR(INDEX('Operations Forecast_new'!$20:$20,MATCH(DB[[#This Row],[Datum]],'Operations Forecast_new'!$2:$2,0)),0)</f>
        <v>46.2</v>
      </c>
      <c r="AO366" s="44">
        <f t="shared" si="115"/>
        <v>40.985999999999997</v>
      </c>
      <c r="AP366" s="404">
        <f t="shared" si="116"/>
        <v>45.738000000000007</v>
      </c>
      <c r="AQ366" s="44">
        <f t="shared" si="104"/>
        <v>132065.64228191899</v>
      </c>
      <c r="AR366" s="44" cm="1">
        <f t="array" ref="AR366">IFERROR(INDEX('ST Forecast'!$E$2:$RK$36,25,M366)+(INDEX('ST Forecast'!$E$2:$RK$36,29,M366)),"")</f>
        <v>52203.887999999999</v>
      </c>
      <c r="AS366" s="44" cm="1">
        <f t="array" ref="AS366">IFERROR(INDEX('ST Forecast'!$E$2:$RK$36,26,M366)+INDEX('ST Forecast'!$E$2:$RK$36,30,M366),"")</f>
        <v>65006.54800000001</v>
      </c>
      <c r="AT366" s="44" cm="1">
        <f t="array" ref="AT366">IFERROR(INDEX('ST Forecast'!$E$2:$RK$36,27,M366)+INDEX('ST Forecast'!$E$2:$RK$36,31,M366),"")</f>
        <v>5759.0742819189827</v>
      </c>
      <c r="AU366" s="44" cm="1">
        <f t="array" ref="AU366">IFERROR(INDEX('ST Forecast'!$E$2:$RK$36,28,M366),"")</f>
        <v>9096.1320000000014</v>
      </c>
      <c r="AV366" s="44" cm="1">
        <f t="array" ref="AV366">IFERROR(INDEX('ST Forecast'!$E$2:$RK$36,29,M366),"")</f>
        <v>0</v>
      </c>
      <c r="AW366" s="44">
        <f>DB[[#This Row],[Inbound FC]]-DB[[#This Row],[Inbound Act - Ultrafresh2]]</f>
        <v>132065.64228191899</v>
      </c>
      <c r="AX366" s="178" t="e">
        <f>#REF!</f>
        <v>#REF!</v>
      </c>
      <c r="AY366" s="178" t="e">
        <f>#REF!</f>
        <v>#REF!</v>
      </c>
      <c r="AZ366" s="178" t="e">
        <f>#REF!</f>
        <v>#REF!</v>
      </c>
      <c r="BA366" s="178">
        <f>MONTH(DB[[#This Row],[Datum]])</f>
        <v>12</v>
      </c>
    </row>
    <row r="367" spans="1:53" x14ac:dyDescent="0.3">
      <c r="A367" s="44">
        <f t="shared" si="105"/>
        <v>52</v>
      </c>
      <c r="B367" t="str">
        <f t="shared" si="106"/>
        <v>Wk 52</v>
      </c>
      <c r="C367" t="s">
        <v>118</v>
      </c>
      <c r="D367" s="313">
        <v>44926</v>
      </c>
      <c r="E367" s="44">
        <f>DB[[#This Row],[Sales-FC-Orders-Collect]]+DB[[#This Row],[Sales-FC-Orders-HD]]</f>
        <v>3600</v>
      </c>
      <c r="F367" s="402" cm="1">
        <f t="array" ref="F367">INDEX('LT Collect Forecast'!$K$1:$Q$55,MATCH(B367,'LT Collect Forecast'!$A:$A,0)+1,MATCH(C367,'LT Collect Forecast'!$K$2:$Q$2,0))</f>
        <v>1950</v>
      </c>
      <c r="G367" s="44" cm="1">
        <f t="array" ref="G367">INDEX('LT HD Forecast'!$K$1:$Q$55,MATCH(B367,'LT HD Forecast'!$A:$A,0)+1,MATCH(C367,'LT HD Forecast'!$K$2:$Q$2,0))</f>
        <v>1650</v>
      </c>
      <c r="H367" s="44" cm="1">
        <f t="array" ref="H367">IFERROR(INDEX('ST Forecast'!$E$2:$RK$36,6,M367),"")</f>
        <v>35.340000000000003</v>
      </c>
      <c r="I367" s="44" cm="1">
        <f t="array" ref="I367">IFERROR(INDEX('ST Forecast'!$E$2:$RK$36,7,M367),"")</f>
        <v>45.09</v>
      </c>
      <c r="J367" s="44">
        <f>SUM(DB[[#This Row],[Sales-FC-Picks-Collect]:[Sales-FC-Picks-HD]])</f>
        <v>143311.5</v>
      </c>
      <c r="K367" s="44">
        <f t="shared" si="101"/>
        <v>68913</v>
      </c>
      <c r="L367" s="44">
        <f t="shared" si="102"/>
        <v>74398.5</v>
      </c>
      <c r="M367" s="403">
        <f>IFERROR(IF(B367=B366,M366+1,MATCH(B367,'ST Forecast'!$E$2:$RK$2,0)+1),"")</f>
        <v>415</v>
      </c>
      <c r="N367" s="44">
        <f>SUM(DB[[#This Row],[Ops-FC-Orders-Collect]:[Ops-FC-Orders-HD]])</f>
        <v>3150</v>
      </c>
      <c r="O367" s="44" cm="1">
        <f t="array" ref="O367">IFERROR(INDEX('ST Forecast'!$E$2:$RK$36,13,M367),"")</f>
        <v>1850</v>
      </c>
      <c r="P367" s="44">
        <f t="shared" si="107"/>
        <v>1300</v>
      </c>
      <c r="Q367" s="44" cm="1">
        <f t="array" ref="Q367">IFERROR(INDEX('ST Forecast'!$E$2:$RK$36,14,M367),"")</f>
        <v>1300</v>
      </c>
      <c r="R367" s="44" cm="1">
        <f t="array" ref="R367">IFERROR(INDEX('ST Forecast'!$E$2:$RK$36,15,M367),"")</f>
        <v>0</v>
      </c>
      <c r="S367" s="312">
        <f>SUM(DB[[#This Row],[Ops-FC-Picks-Collect]:[Ops-FC-Picks-HD]])</f>
        <v>121516.08000000002</v>
      </c>
      <c r="T367" s="44">
        <f t="shared" si="108"/>
        <v>64071.420000000006</v>
      </c>
      <c r="U367" s="44">
        <f t="shared" si="109"/>
        <v>57444.66</v>
      </c>
      <c r="V367" s="44">
        <f t="shared" si="110"/>
        <v>57444.66</v>
      </c>
      <c r="W367" s="404">
        <f t="shared" si="111"/>
        <v>0</v>
      </c>
      <c r="X367" s="44">
        <f>SUM(DB[[#This Row],[Capped-Orders-Collect]:[Capped-Orders-HD]])</f>
        <v>90</v>
      </c>
      <c r="Y367">
        <f>INDEX('Operations Forecast'!$A$2:$BGY$47,3,MATCH(DB!D367,'Operations Forecast'!$A$2:$BGY$2))</f>
        <v>0</v>
      </c>
      <c r="Z367">
        <f t="shared" si="112"/>
        <v>90</v>
      </c>
      <c r="AA367">
        <f>INDEX('Operations Forecast'!$A$2:$BGY$47,10,MATCH(DB!D367,'Operations Forecast'!$A$2:$BGY$2))</f>
        <v>90</v>
      </c>
      <c r="AB367">
        <f>INDEX('Operations Forecast'!$A$2:$BGY$47,21,MATCH(DB!D367,'Operations Forecast'!$A$2:$BGY$2))</f>
        <v>0</v>
      </c>
      <c r="AC367" s="312">
        <f>SUM(DB[[#This Row],[Act-Orders-Collect]:[Act-Orders-HD]])</f>
        <v>2611</v>
      </c>
      <c r="AD367" s="858">
        <f>IFERROR(INDEX('Operations Forecast_new'!$7:$7,MATCH(DB[[#This Row],[Datum]],'Operations Forecast_new'!$2:$2,0)),0)</f>
        <v>1300</v>
      </c>
      <c r="AE367" s="312">
        <f t="shared" si="113"/>
        <v>1311</v>
      </c>
      <c r="AF367" s="858">
        <f>IFERROR(INDEX('Operations Forecast_new'!$13:$13,MATCH(DB[[#This Row],[Datum]],'Operations Forecast_new'!$2:$2,0)),0)</f>
        <v>1311</v>
      </c>
      <c r="AG367" s="858">
        <f>IFERROR(INDEX('Operations Forecast_new'!$19:$19,MATCH(DB[[#This Row],[Datum]],'Operations Forecast_new'!$2:$2,0)),0)</f>
        <v>0</v>
      </c>
      <c r="AH367" s="312">
        <f t="shared" si="103"/>
        <v>99710.126999999979</v>
      </c>
      <c r="AI367" s="858">
        <f>IFERROR(INDEX('Operations Forecast_new'!$9:$9,MATCH(DB[[#This Row],[Datum]],'Operations Forecast_new'!$2:$2,0)),0)</f>
        <v>42213.599999999991</v>
      </c>
      <c r="AJ367" s="312">
        <f t="shared" si="114"/>
        <v>57496.526999999995</v>
      </c>
      <c r="AK367" s="858">
        <f>IFERROR(INDEX('Operations Forecast_new'!$15:$15,MATCH(DB[[#This Row],[Datum]],'Operations Forecast_new'!$2:$2,0)),0)</f>
        <v>57496.526999999995</v>
      </c>
      <c r="AL367" s="858">
        <f>IFERROR(INDEX('Operations Forecast_new'!$21:$21,MATCH(DB[[#This Row],[Datum]],'Operations Forecast_new'!$2:$2,0)),0)</f>
        <v>0</v>
      </c>
      <c r="AM367" s="178">
        <f>IFERROR(INDEX('Operations Forecast_new'!$8:$8,MATCH(DB[[#This Row],[Datum]],'Operations Forecast_new'!$2:$2,0)),0)</f>
        <v>32.799999999999997</v>
      </c>
      <c r="AN367" s="859">
        <f>IFERROR(INDEX('Operations Forecast_new'!$20:$20,MATCH(DB[[#This Row],[Datum]],'Operations Forecast_new'!$2:$2,0)),0)</f>
        <v>45.09</v>
      </c>
      <c r="AO367" s="44">
        <f t="shared" si="115"/>
        <v>32.471999999999994</v>
      </c>
      <c r="AP367" s="404">
        <f t="shared" si="116"/>
        <v>43.856999999999999</v>
      </c>
      <c r="AQ367" s="44">
        <f t="shared" si="104"/>
        <v>136222.00000000006</v>
      </c>
      <c r="AR367" s="44" cm="1">
        <f t="array" ref="AR367">IFERROR(INDEX('ST Forecast'!$E$2:$RK$36,25,M367)+(INDEX('ST Forecast'!$E$2:$RK$36,29,M367)),"")</f>
        <v>62750.131426049978</v>
      </c>
      <c r="AS367" s="44" cm="1">
        <f t="array" ref="AS367">IFERROR(INDEX('ST Forecast'!$E$2:$RK$36,26,M367)+INDEX('ST Forecast'!$E$2:$RK$36,30,M367),"")</f>
        <v>60982.180798973859</v>
      </c>
      <c r="AT367" s="44" cm="1">
        <f t="array" ref="AT367">IFERROR(INDEX('ST Forecast'!$E$2:$RK$36,27,M367)+INDEX('ST Forecast'!$E$2:$RK$36,31,M367),"")</f>
        <v>5269.9217749762383</v>
      </c>
      <c r="AU367" s="44" cm="1">
        <f t="array" ref="AU367">IFERROR(INDEX('ST Forecast'!$E$2:$RK$36,28,M367),"")</f>
        <v>7219.7659999999996</v>
      </c>
      <c r="AV367" s="44" cm="1">
        <f t="array" ref="AV367">IFERROR(INDEX('ST Forecast'!$E$2:$RK$36,29,M367),"")</f>
        <v>0</v>
      </c>
      <c r="AW367" s="44">
        <f>DB[[#This Row],[Inbound FC]]-DB[[#This Row],[Inbound Act - Ultrafresh2]]</f>
        <v>136222.00000000006</v>
      </c>
      <c r="AX367" s="178" t="e">
        <f>#REF!</f>
        <v>#REF!</v>
      </c>
      <c r="AY367" s="178" t="e">
        <f>#REF!</f>
        <v>#REF!</v>
      </c>
      <c r="AZ367" s="178" t="e">
        <f>#REF!</f>
        <v>#REF!</v>
      </c>
      <c r="BA367" s="178">
        <f>MONTH(DB[[#This Row],[Datum]])</f>
        <v>12</v>
      </c>
    </row>
  </sheetData>
  <phoneticPr fontId="32" type="noConversion"/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15A5-FD9E-48EA-A95F-58E255A73EC0}">
  <dimension ref="B2:Z693"/>
  <sheetViews>
    <sheetView topLeftCell="A568" zoomScale="85" zoomScaleNormal="85" workbookViewId="0">
      <selection activeCell="J602" sqref="J602"/>
    </sheetView>
  </sheetViews>
  <sheetFormatPr defaultRowHeight="14.4" x14ac:dyDescent="0.3"/>
  <cols>
    <col min="1" max="1" width="13.44140625" bestFit="1" customWidth="1"/>
    <col min="2" max="2" width="12.88671875" bestFit="1" customWidth="1"/>
    <col min="3" max="3" width="17.88671875" bestFit="1" customWidth="1"/>
    <col min="4" max="4" width="19.6640625" bestFit="1" customWidth="1"/>
    <col min="5" max="8" width="9.5546875" bestFit="1" customWidth="1"/>
    <col min="9" max="9" width="8.5546875" bestFit="1" customWidth="1"/>
    <col min="10" max="10" width="11.44140625" bestFit="1" customWidth="1"/>
    <col min="11" max="11" width="22.44140625" bestFit="1" customWidth="1"/>
    <col min="12" max="12" width="19.44140625" bestFit="1" customWidth="1"/>
    <col min="13" max="13" width="22.44140625" bestFit="1" customWidth="1"/>
    <col min="14" max="14" width="19.44140625" bestFit="1" customWidth="1"/>
    <col min="15" max="15" width="22.44140625" bestFit="1" customWidth="1"/>
    <col min="16" max="16" width="19.44140625" bestFit="1" customWidth="1"/>
    <col min="17" max="17" width="27.44140625" bestFit="1" customWidth="1"/>
    <col min="18" max="18" width="24" bestFit="1" customWidth="1"/>
    <col min="19" max="19" width="17.5546875" customWidth="1"/>
    <col min="20" max="21" width="20.5546875" bestFit="1" customWidth="1"/>
  </cols>
  <sheetData>
    <row r="2" spans="2:11" x14ac:dyDescent="0.3">
      <c r="B2" s="893" t="s">
        <v>369</v>
      </c>
      <c r="C2" t="s">
        <v>370</v>
      </c>
      <c r="D2" t="s">
        <v>371</v>
      </c>
      <c r="E2" t="s">
        <v>372</v>
      </c>
      <c r="F2" t="s">
        <v>373</v>
      </c>
      <c r="G2" t="s">
        <v>374</v>
      </c>
      <c r="H2" t="s">
        <v>375</v>
      </c>
    </row>
    <row r="3" spans="2:11" x14ac:dyDescent="0.3">
      <c r="B3" s="836">
        <v>1</v>
      </c>
      <c r="C3">
        <v>3316853.959528395</v>
      </c>
      <c r="D3">
        <v>67664</v>
      </c>
      <c r="E3" s="64">
        <v>0</v>
      </c>
      <c r="F3">
        <f>ROUNDUP((D3*(1-E3)/1000),0)</f>
        <v>68</v>
      </c>
      <c r="G3" s="64">
        <v>0.05</v>
      </c>
      <c r="H3">
        <f>ROUNDUP(D3*(1+G3)/1000,0)</f>
        <v>72</v>
      </c>
      <c r="I3">
        <f t="shared" ref="I3:I17" si="0">ROUNDUP(D3/1000,0)</f>
        <v>68</v>
      </c>
    </row>
    <row r="4" spans="2:11" x14ac:dyDescent="0.3">
      <c r="B4" s="836">
        <v>2</v>
      </c>
      <c r="C4">
        <v>3248972.1566118561</v>
      </c>
      <c r="D4">
        <v>61920</v>
      </c>
      <c r="E4" s="64">
        <v>0</v>
      </c>
      <c r="F4">
        <f t="shared" ref="F4:F17" si="1">ROUNDUP((D4*(1-E4)/1000),0)</f>
        <v>62</v>
      </c>
      <c r="G4" s="64">
        <v>0.05</v>
      </c>
      <c r="H4">
        <f t="shared" ref="H4:H17" si="2">ROUNDUP(D4*(1+G4)/1000,0)</f>
        <v>66</v>
      </c>
      <c r="I4">
        <f t="shared" si="0"/>
        <v>62</v>
      </c>
    </row>
    <row r="5" spans="2:11" x14ac:dyDescent="0.3">
      <c r="B5" s="836">
        <v>3</v>
      </c>
      <c r="C5">
        <v>3503529.0285975849</v>
      </c>
      <c r="D5">
        <v>67504</v>
      </c>
      <c r="E5" s="64">
        <v>0</v>
      </c>
      <c r="F5">
        <f t="shared" si="1"/>
        <v>68</v>
      </c>
      <c r="G5" s="64">
        <v>0.05</v>
      </c>
      <c r="H5">
        <f t="shared" si="2"/>
        <v>71</v>
      </c>
      <c r="I5">
        <f t="shared" si="0"/>
        <v>68</v>
      </c>
    </row>
    <row r="6" spans="2:11" x14ac:dyDescent="0.3">
      <c r="B6" s="836">
        <v>4</v>
      </c>
      <c r="C6">
        <v>3303935.1578091183</v>
      </c>
      <c r="D6">
        <v>66166.109037546354</v>
      </c>
      <c r="E6" s="64">
        <v>0</v>
      </c>
      <c r="F6">
        <f t="shared" si="1"/>
        <v>67</v>
      </c>
      <c r="G6" s="64">
        <v>0.05</v>
      </c>
      <c r="H6">
        <f t="shared" si="2"/>
        <v>70</v>
      </c>
      <c r="I6">
        <f t="shared" si="0"/>
        <v>67</v>
      </c>
    </row>
    <row r="7" spans="2:11" x14ac:dyDescent="0.3">
      <c r="B7" s="836">
        <v>5</v>
      </c>
      <c r="C7">
        <v>3438139.8966995403</v>
      </c>
      <c r="D7">
        <v>67588.748360746438</v>
      </c>
      <c r="E7" s="64">
        <v>0</v>
      </c>
      <c r="F7">
        <f t="shared" si="1"/>
        <v>68</v>
      </c>
      <c r="G7" s="64">
        <v>0.05</v>
      </c>
      <c r="H7">
        <f t="shared" si="2"/>
        <v>71</v>
      </c>
      <c r="I7">
        <f t="shared" si="0"/>
        <v>68</v>
      </c>
    </row>
    <row r="8" spans="2:11" x14ac:dyDescent="0.3">
      <c r="B8" s="836">
        <v>6</v>
      </c>
      <c r="C8">
        <v>3194774.0894189025</v>
      </c>
      <c r="D8">
        <v>62157.823556051684</v>
      </c>
      <c r="E8" s="64">
        <v>0.05</v>
      </c>
      <c r="F8">
        <f t="shared" si="1"/>
        <v>60</v>
      </c>
      <c r="G8" s="64">
        <v>0.05</v>
      </c>
      <c r="H8">
        <f t="shared" si="2"/>
        <v>66</v>
      </c>
      <c r="I8">
        <f t="shared" si="0"/>
        <v>63</v>
      </c>
    </row>
    <row r="9" spans="2:11" x14ac:dyDescent="0.3">
      <c r="B9" s="836">
        <v>7</v>
      </c>
      <c r="C9">
        <v>2681008.7847342654</v>
      </c>
      <c r="D9">
        <v>53833.316585302484</v>
      </c>
      <c r="E9" s="64">
        <v>0.05</v>
      </c>
      <c r="F9">
        <f t="shared" si="1"/>
        <v>52</v>
      </c>
      <c r="G9" s="64">
        <v>0.05</v>
      </c>
      <c r="H9">
        <f t="shared" si="2"/>
        <v>57</v>
      </c>
      <c r="I9">
        <f t="shared" si="0"/>
        <v>54</v>
      </c>
    </row>
    <row r="10" spans="2:11" x14ac:dyDescent="0.3">
      <c r="B10" s="836">
        <v>8</v>
      </c>
      <c r="C10">
        <v>2841972.7574284379</v>
      </c>
      <c r="D10">
        <v>57727.718470565364</v>
      </c>
      <c r="E10" s="64">
        <v>0.05</v>
      </c>
      <c r="F10">
        <f t="shared" si="1"/>
        <v>55</v>
      </c>
      <c r="G10" s="64">
        <v>0.05</v>
      </c>
      <c r="H10">
        <f t="shared" si="2"/>
        <v>61</v>
      </c>
      <c r="I10">
        <f t="shared" si="0"/>
        <v>58</v>
      </c>
    </row>
    <row r="11" spans="2:11" x14ac:dyDescent="0.3">
      <c r="B11" s="836">
        <v>9</v>
      </c>
      <c r="C11">
        <v>3500692.6278039515</v>
      </c>
      <c r="D11">
        <v>69769.451874466264</v>
      </c>
      <c r="E11" s="64">
        <v>0.05</v>
      </c>
      <c r="F11">
        <f t="shared" si="1"/>
        <v>67</v>
      </c>
      <c r="G11" s="64">
        <v>0.05</v>
      </c>
      <c r="H11">
        <f t="shared" si="2"/>
        <v>74</v>
      </c>
      <c r="I11">
        <f t="shared" si="0"/>
        <v>70</v>
      </c>
    </row>
    <row r="12" spans="2:11" x14ac:dyDescent="0.3">
      <c r="B12" s="836">
        <v>10</v>
      </c>
      <c r="C12">
        <v>3850717.0563691552</v>
      </c>
      <c r="D12">
        <v>73239.466213859196</v>
      </c>
      <c r="E12" s="64">
        <v>0.05</v>
      </c>
      <c r="F12">
        <f t="shared" si="1"/>
        <v>70</v>
      </c>
      <c r="G12" s="64">
        <v>0.05</v>
      </c>
      <c r="H12">
        <f t="shared" si="2"/>
        <v>77</v>
      </c>
      <c r="I12">
        <f t="shared" si="0"/>
        <v>74</v>
      </c>
    </row>
    <row r="13" spans="2:11" x14ac:dyDescent="0.3">
      <c r="B13" s="836">
        <v>11</v>
      </c>
      <c r="C13">
        <v>3630028.3562863632</v>
      </c>
      <c r="D13">
        <v>71089.904556167618</v>
      </c>
      <c r="E13" s="64">
        <v>0.05</v>
      </c>
      <c r="F13">
        <f t="shared" si="1"/>
        <v>68</v>
      </c>
      <c r="G13" s="64">
        <v>0.05</v>
      </c>
      <c r="H13">
        <f t="shared" si="2"/>
        <v>75</v>
      </c>
      <c r="I13">
        <f t="shared" si="0"/>
        <v>72</v>
      </c>
    </row>
    <row r="14" spans="2:11" x14ac:dyDescent="0.3">
      <c r="B14" s="836">
        <v>12</v>
      </c>
      <c r="C14">
        <v>3894455.7673652661</v>
      </c>
      <c r="D14">
        <v>75654.338962275622</v>
      </c>
      <c r="E14" s="64">
        <v>0.05</v>
      </c>
      <c r="F14">
        <f t="shared" si="1"/>
        <v>72</v>
      </c>
      <c r="G14" s="64">
        <v>0.05</v>
      </c>
      <c r="H14">
        <f t="shared" si="2"/>
        <v>80</v>
      </c>
      <c r="I14">
        <f t="shared" si="0"/>
        <v>76</v>
      </c>
      <c r="K14" t="s">
        <v>376</v>
      </c>
    </row>
    <row r="15" spans="2:11" x14ac:dyDescent="0.3">
      <c r="B15" s="836" t="s">
        <v>377</v>
      </c>
      <c r="D15">
        <v>0</v>
      </c>
      <c r="E15" s="64">
        <v>0.05</v>
      </c>
      <c r="F15">
        <f t="shared" si="1"/>
        <v>0</v>
      </c>
      <c r="G15" s="64">
        <v>0.05</v>
      </c>
      <c r="H15">
        <f t="shared" si="2"/>
        <v>0</v>
      </c>
      <c r="I15">
        <f t="shared" si="0"/>
        <v>0</v>
      </c>
    </row>
    <row r="16" spans="2:11" x14ac:dyDescent="0.3">
      <c r="B16" s="836" t="s">
        <v>378</v>
      </c>
      <c r="C16">
        <v>40405079.638652839</v>
      </c>
      <c r="D16">
        <v>794314.87761698104</v>
      </c>
      <c r="E16" s="64">
        <v>0.05</v>
      </c>
      <c r="F16">
        <f t="shared" si="1"/>
        <v>755</v>
      </c>
      <c r="G16" s="64">
        <v>0.05</v>
      </c>
      <c r="H16">
        <f t="shared" si="2"/>
        <v>835</v>
      </c>
      <c r="I16">
        <f t="shared" si="0"/>
        <v>795</v>
      </c>
    </row>
    <row r="17" spans="4:9" x14ac:dyDescent="0.3">
      <c r="D17" s="44">
        <v>911398.16806578822</v>
      </c>
      <c r="E17" s="64">
        <v>0.05</v>
      </c>
      <c r="F17">
        <f t="shared" si="1"/>
        <v>866</v>
      </c>
      <c r="G17" s="64">
        <v>0.05</v>
      </c>
      <c r="H17">
        <f t="shared" si="2"/>
        <v>957</v>
      </c>
      <c r="I17">
        <f t="shared" si="0"/>
        <v>912</v>
      </c>
    </row>
    <row r="45" spans="2:14" x14ac:dyDescent="0.3">
      <c r="B45" s="893" t="s">
        <v>370</v>
      </c>
      <c r="C45" s="893" t="s">
        <v>379</v>
      </c>
    </row>
    <row r="46" spans="2:14" ht="15.6" x14ac:dyDescent="0.3">
      <c r="B46" s="893" t="s">
        <v>369</v>
      </c>
      <c r="C46" t="s">
        <v>113</v>
      </c>
      <c r="D46" t="s">
        <v>114</v>
      </c>
      <c r="E46" t="s">
        <v>115</v>
      </c>
      <c r="F46" t="s">
        <v>116</v>
      </c>
      <c r="G46" t="s">
        <v>117</v>
      </c>
      <c r="H46" t="s">
        <v>118</v>
      </c>
      <c r="I46" t="s">
        <v>119</v>
      </c>
      <c r="J46" t="s">
        <v>378</v>
      </c>
      <c r="M46" s="821" t="s">
        <v>380</v>
      </c>
      <c r="N46" s="821" t="s">
        <v>381</v>
      </c>
    </row>
    <row r="47" spans="2:14" ht="15.6" x14ac:dyDescent="0.3">
      <c r="B47" s="742">
        <v>42</v>
      </c>
      <c r="C47" s="44">
        <v>138502.48785368496</v>
      </c>
      <c r="D47" s="44">
        <v>138922.5055885473</v>
      </c>
      <c r="E47" s="44">
        <v>136707.86306337776</v>
      </c>
      <c r="F47" s="44">
        <v>118415.20239582437</v>
      </c>
      <c r="G47" s="44">
        <v>160508.09249865962</v>
      </c>
      <c r="H47" s="44">
        <v>145928.9269360342</v>
      </c>
      <c r="I47" s="44">
        <v>18382.990707451481</v>
      </c>
      <c r="J47" s="44">
        <v>857368.06904357974</v>
      </c>
      <c r="M47" s="822">
        <v>1</v>
      </c>
      <c r="N47" s="823">
        <v>759</v>
      </c>
    </row>
    <row r="48" spans="2:14" ht="15.6" x14ac:dyDescent="0.3">
      <c r="B48" s="742">
        <v>43</v>
      </c>
      <c r="C48" s="44">
        <v>125428.40087417976</v>
      </c>
      <c r="D48" s="44">
        <v>125050.04327443727</v>
      </c>
      <c r="E48" s="44">
        <v>123292.60306954564</v>
      </c>
      <c r="F48" s="44">
        <v>178160.07278170442</v>
      </c>
      <c r="G48" s="44">
        <v>170609.39121466377</v>
      </c>
      <c r="H48" s="44">
        <v>171581.21176988271</v>
      </c>
      <c r="I48" s="44">
        <v>17590.781043498318</v>
      </c>
      <c r="J48" s="44">
        <v>911712.50402791193</v>
      </c>
      <c r="M48" s="822">
        <v>2</v>
      </c>
      <c r="N48" s="823">
        <v>773</v>
      </c>
    </row>
    <row r="49" spans="2:14" ht="15.6" x14ac:dyDescent="0.3">
      <c r="B49" s="742">
        <v>44</v>
      </c>
      <c r="C49" s="44">
        <v>105052.78426282172</v>
      </c>
      <c r="D49" s="44">
        <v>0</v>
      </c>
      <c r="E49" s="44">
        <v>86183.005644519566</v>
      </c>
      <c r="F49" s="44">
        <v>126833.68946455278</v>
      </c>
      <c r="G49" s="44">
        <v>174869.22556926828</v>
      </c>
      <c r="H49" s="44">
        <v>158750.85329122777</v>
      </c>
      <c r="I49" s="44">
        <v>17928.843292545957</v>
      </c>
      <c r="J49" s="44">
        <v>669618.40152493608</v>
      </c>
      <c r="M49" s="822">
        <v>3</v>
      </c>
      <c r="N49" s="823">
        <v>780</v>
      </c>
    </row>
    <row r="50" spans="2:14" ht="15.6" x14ac:dyDescent="0.3">
      <c r="B50" s="742">
        <v>45</v>
      </c>
      <c r="C50" s="44">
        <v>135746.45062790212</v>
      </c>
      <c r="D50" s="44">
        <v>136286.74156479572</v>
      </c>
      <c r="E50" s="44">
        <v>132027.69133289825</v>
      </c>
      <c r="F50" s="44">
        <v>140587.18608080698</v>
      </c>
      <c r="G50" s="44">
        <v>0</v>
      </c>
      <c r="H50" s="44">
        <v>176109.50764171116</v>
      </c>
      <c r="I50" s="44">
        <v>16903.403521508735</v>
      </c>
      <c r="J50" s="44">
        <v>737660.98076962307</v>
      </c>
      <c r="M50" s="822">
        <v>4</v>
      </c>
      <c r="N50" s="823">
        <v>795</v>
      </c>
    </row>
    <row r="51" spans="2:14" ht="15.6" x14ac:dyDescent="0.3">
      <c r="B51" s="742">
        <v>46</v>
      </c>
      <c r="C51" s="44">
        <v>126721.82551640195</v>
      </c>
      <c r="D51" s="44">
        <v>119523.77008119533</v>
      </c>
      <c r="E51" s="44">
        <v>132133.53274962967</v>
      </c>
      <c r="F51" s="44">
        <v>126263.12987780044</v>
      </c>
      <c r="G51" s="44">
        <v>170409.74248451009</v>
      </c>
      <c r="H51" s="44">
        <v>154851.59467715179</v>
      </c>
      <c r="I51" s="44">
        <v>17269.79082339046</v>
      </c>
      <c r="J51" s="44">
        <v>847173.38621007965</v>
      </c>
      <c r="M51" s="822">
        <v>5</v>
      </c>
      <c r="N51" s="823">
        <v>803</v>
      </c>
    </row>
    <row r="52" spans="2:14" ht="15.6" x14ac:dyDescent="0.3">
      <c r="B52" s="742">
        <v>47</v>
      </c>
      <c r="C52" s="44">
        <v>133431.99693135393</v>
      </c>
      <c r="D52" s="44">
        <v>137643.15948529914</v>
      </c>
      <c r="E52" s="44">
        <v>131927.28134080145</v>
      </c>
      <c r="F52" s="44">
        <v>155568.46247970749</v>
      </c>
      <c r="G52" s="44">
        <v>213371.37021661949</v>
      </c>
      <c r="H52" s="44">
        <v>193537.96131817892</v>
      </c>
      <c r="I52" s="44">
        <v>17134.711755962995</v>
      </c>
      <c r="J52" s="44">
        <v>982614.94352792343</v>
      </c>
      <c r="M52" s="822">
        <v>6</v>
      </c>
      <c r="N52" s="823">
        <v>799</v>
      </c>
    </row>
    <row r="53" spans="2:14" ht="15.6" x14ac:dyDescent="0.3">
      <c r="B53" s="742">
        <v>48</v>
      </c>
      <c r="C53" s="44">
        <v>166296.56901275722</v>
      </c>
      <c r="D53" s="44">
        <v>169166.99274986313</v>
      </c>
      <c r="E53" s="44">
        <v>162549.86675400182</v>
      </c>
      <c r="F53" s="44">
        <v>128543.79313699578</v>
      </c>
      <c r="G53" s="44">
        <v>175073.53965255985</v>
      </c>
      <c r="H53" s="44">
        <v>158924.87525152249</v>
      </c>
      <c r="I53" s="44">
        <v>18276.180617846145</v>
      </c>
      <c r="J53" s="44">
        <v>978831.81717554654</v>
      </c>
      <c r="M53" s="822">
        <v>7</v>
      </c>
      <c r="N53" s="823">
        <v>810</v>
      </c>
    </row>
    <row r="54" spans="2:14" ht="15.6" x14ac:dyDescent="0.3">
      <c r="B54" s="742">
        <v>49</v>
      </c>
      <c r="C54" s="44">
        <v>136297.71788384204</v>
      </c>
      <c r="D54" s="44">
        <v>141100.23885447026</v>
      </c>
      <c r="E54" s="44">
        <v>134096.52375900082</v>
      </c>
      <c r="F54" s="44">
        <v>120408.29176540294</v>
      </c>
      <c r="G54" s="44">
        <v>161969.16542363734</v>
      </c>
      <c r="H54" s="44">
        <v>147043.63690203088</v>
      </c>
      <c r="I54" s="44">
        <v>17937.195691056677</v>
      </c>
      <c r="J54" s="44">
        <v>858852.77027944091</v>
      </c>
      <c r="M54" s="822">
        <v>8</v>
      </c>
      <c r="N54" s="823">
        <v>822</v>
      </c>
    </row>
    <row r="55" spans="2:14" ht="15.6" x14ac:dyDescent="0.3">
      <c r="B55" s="742">
        <v>50</v>
      </c>
      <c r="C55" s="44">
        <v>126942.68353561679</v>
      </c>
      <c r="D55" s="44">
        <v>132691.21641932134</v>
      </c>
      <c r="E55" s="44">
        <v>125923.22298679146</v>
      </c>
      <c r="F55" s="44">
        <v>120556.77089566385</v>
      </c>
      <c r="G55" s="44">
        <v>167038.33625855201</v>
      </c>
      <c r="H55" s="44">
        <v>183782.52425792924</v>
      </c>
      <c r="I55" s="44">
        <v>18184.56936136185</v>
      </c>
      <c r="J55" s="44">
        <v>875119.32371523674</v>
      </c>
      <c r="M55" s="822">
        <v>9</v>
      </c>
      <c r="N55" s="823">
        <v>834</v>
      </c>
    </row>
    <row r="56" spans="2:14" ht="15.6" x14ac:dyDescent="0.3">
      <c r="B56" s="742">
        <v>51</v>
      </c>
      <c r="C56" s="44">
        <v>144185.54976858996</v>
      </c>
      <c r="D56" s="44">
        <v>146456.02331219427</v>
      </c>
      <c r="E56" s="44">
        <v>163891.73274766569</v>
      </c>
      <c r="F56" s="44">
        <v>192807.98697506951</v>
      </c>
      <c r="G56" s="44">
        <v>202374.023365095</v>
      </c>
      <c r="H56" s="44">
        <v>101061.80347981898</v>
      </c>
      <c r="I56" s="44">
        <v>0</v>
      </c>
      <c r="J56" s="44">
        <v>950777.11964843341</v>
      </c>
      <c r="M56" s="822">
        <v>10</v>
      </c>
      <c r="N56" s="823">
        <v>871</v>
      </c>
    </row>
    <row r="57" spans="2:14" ht="15.6" x14ac:dyDescent="0.3">
      <c r="B57" s="742">
        <v>52</v>
      </c>
      <c r="C57" s="44">
        <v>137190.92283856226</v>
      </c>
      <c r="D57" s="44">
        <v>112403.2278706752</v>
      </c>
      <c r="E57" s="44">
        <v>117415.62703507158</v>
      </c>
      <c r="F57" s="44">
        <v>156815.10090422176</v>
      </c>
      <c r="G57" s="44">
        <v>128760.90467209453</v>
      </c>
      <c r="H57" s="44">
        <v>76302.381742605823</v>
      </c>
      <c r="I57" s="44"/>
      <c r="J57" s="44">
        <v>728888.16506323114</v>
      </c>
      <c r="M57" s="822">
        <v>11</v>
      </c>
      <c r="N57" s="823">
        <v>855</v>
      </c>
    </row>
    <row r="58" spans="2:14" ht="15.6" x14ac:dyDescent="0.3">
      <c r="B58" s="742" t="s">
        <v>378</v>
      </c>
      <c r="C58" s="44">
        <v>1475797.3891057125</v>
      </c>
      <c r="D58" s="44">
        <v>1359243.919200799</v>
      </c>
      <c r="E58" s="44">
        <v>1446148.9504833037</v>
      </c>
      <c r="F58" s="44">
        <v>1564959.6867577503</v>
      </c>
      <c r="G58" s="44">
        <v>1724983.79135566</v>
      </c>
      <c r="H58" s="44">
        <v>1667875.277268094</v>
      </c>
      <c r="I58" s="44">
        <v>159608.4668146226</v>
      </c>
      <c r="J58" s="44">
        <v>9398617.4809859432</v>
      </c>
      <c r="M58" s="822">
        <v>12</v>
      </c>
      <c r="N58" s="823">
        <v>875</v>
      </c>
    </row>
    <row r="59" spans="2:14" ht="15.6" x14ac:dyDescent="0.3">
      <c r="M59" s="822">
        <v>13</v>
      </c>
      <c r="N59" s="823">
        <v>889</v>
      </c>
    </row>
    <row r="60" spans="2:14" ht="15.6" x14ac:dyDescent="0.3">
      <c r="M60" s="822">
        <v>14</v>
      </c>
      <c r="N60" s="823">
        <v>924</v>
      </c>
    </row>
    <row r="61" spans="2:14" ht="15.6" x14ac:dyDescent="0.3">
      <c r="M61" s="822">
        <v>15</v>
      </c>
      <c r="N61" s="823">
        <v>912</v>
      </c>
    </row>
    <row r="62" spans="2:14" x14ac:dyDescent="0.3">
      <c r="M62" s="44"/>
    </row>
    <row r="63" spans="2:14" x14ac:dyDescent="0.3">
      <c r="M63" s="44"/>
    </row>
    <row r="64" spans="2:14" x14ac:dyDescent="0.3">
      <c r="M64" s="44"/>
    </row>
    <row r="65" spans="2:13" x14ac:dyDescent="0.3">
      <c r="M65" s="44"/>
    </row>
    <row r="66" spans="2:13" x14ac:dyDescent="0.3">
      <c r="M66" s="44"/>
    </row>
    <row r="67" spans="2:13" x14ac:dyDescent="0.3">
      <c r="M67" s="44"/>
    </row>
    <row r="68" spans="2:13" x14ac:dyDescent="0.3">
      <c r="M68" s="44"/>
    </row>
    <row r="69" spans="2:13" x14ac:dyDescent="0.3">
      <c r="M69" s="44"/>
    </row>
    <row r="70" spans="2:13" x14ac:dyDescent="0.3">
      <c r="M70" s="44"/>
    </row>
    <row r="71" spans="2:13" x14ac:dyDescent="0.3">
      <c r="M71" s="44"/>
    </row>
    <row r="72" spans="2:13" x14ac:dyDescent="0.3">
      <c r="M72" s="44"/>
    </row>
    <row r="73" spans="2:13" x14ac:dyDescent="0.3">
      <c r="M73" s="44"/>
    </row>
    <row r="74" spans="2:13" x14ac:dyDescent="0.3">
      <c r="B74" s="742"/>
      <c r="M74" s="44"/>
    </row>
    <row r="75" spans="2:13" x14ac:dyDescent="0.3">
      <c r="B75" s="742"/>
      <c r="M75" s="44"/>
    </row>
    <row r="76" spans="2:13" x14ac:dyDescent="0.3">
      <c r="B76" s="742"/>
      <c r="M76" s="44"/>
    </row>
    <row r="77" spans="2:13" x14ac:dyDescent="0.3">
      <c r="B77" s="742"/>
      <c r="M77" s="44"/>
    </row>
    <row r="78" spans="2:13" x14ac:dyDescent="0.3">
      <c r="B78" s="742"/>
      <c r="M78" s="44"/>
    </row>
    <row r="79" spans="2:13" x14ac:dyDescent="0.3">
      <c r="B79" s="742"/>
      <c r="M79" s="44"/>
    </row>
    <row r="80" spans="2:13" x14ac:dyDescent="0.3">
      <c r="B80" s="742"/>
      <c r="M80" s="44"/>
    </row>
    <row r="81" spans="2:25" x14ac:dyDescent="0.3">
      <c r="B81" s="742"/>
      <c r="M81" s="44"/>
    </row>
    <row r="82" spans="2:25" x14ac:dyDescent="0.3">
      <c r="B82" s="742"/>
      <c r="M82" s="44"/>
    </row>
    <row r="86" spans="2:25" x14ac:dyDescent="0.3">
      <c r="C86" t="s">
        <v>382</v>
      </c>
      <c r="D86" t="s">
        <v>113</v>
      </c>
      <c r="E86" t="s">
        <v>114</v>
      </c>
      <c r="F86" t="s">
        <v>115</v>
      </c>
      <c r="G86" t="s">
        <v>116</v>
      </c>
      <c r="H86" t="s">
        <v>117</v>
      </c>
      <c r="I86" t="s">
        <v>118</v>
      </c>
      <c r="J86" t="s">
        <v>119</v>
      </c>
      <c r="K86" t="s">
        <v>383</v>
      </c>
      <c r="L86" t="s">
        <v>384</v>
      </c>
      <c r="M86" t="s">
        <v>385</v>
      </c>
      <c r="N86" t="s">
        <v>386</v>
      </c>
      <c r="O86" s="64">
        <v>-0.05</v>
      </c>
      <c r="P86" s="64">
        <v>0.05</v>
      </c>
      <c r="S86" t="s">
        <v>387</v>
      </c>
      <c r="T86" t="s">
        <v>388</v>
      </c>
      <c r="U86" t="s">
        <v>389</v>
      </c>
      <c r="V86" t="s">
        <v>390</v>
      </c>
      <c r="W86" t="s">
        <v>391</v>
      </c>
      <c r="X86" t="s">
        <v>392</v>
      </c>
      <c r="Y86" t="s">
        <v>393</v>
      </c>
    </row>
    <row r="87" spans="2:25" x14ac:dyDescent="0.3">
      <c r="B87" s="1024" t="s">
        <v>394</v>
      </c>
      <c r="C87">
        <v>14</v>
      </c>
      <c r="D87" s="44">
        <v>117396.31712858821</v>
      </c>
      <c r="E87" s="44">
        <v>117105.95908875699</v>
      </c>
      <c r="F87" s="44">
        <v>113557.75928984708</v>
      </c>
      <c r="G87" s="44">
        <v>122101.05603146706</v>
      </c>
      <c r="H87" s="44">
        <v>152349.65212999858</v>
      </c>
      <c r="I87" s="44">
        <v>135806.80809087632</v>
      </c>
      <c r="J87" s="44">
        <v>5762.0872201375005</v>
      </c>
      <c r="K87" s="44">
        <f t="shared" ref="K87:K98" si="3">SUM(D87:J87)</f>
        <v>764079.63897967164</v>
      </c>
      <c r="L87" s="44">
        <v>764079.63897967164</v>
      </c>
      <c r="M87" s="44">
        <f t="shared" ref="M87:M98" si="4">L87-K87</f>
        <v>0</v>
      </c>
      <c r="O87" s="44">
        <f t="shared" ref="O87:O98" si="5">L87*(1+$O$86)</f>
        <v>725875.65703068802</v>
      </c>
      <c r="P87" s="44">
        <f t="shared" ref="P87:P98" si="6">L87*(1+$P$86)</f>
        <v>802283.62092865526</v>
      </c>
      <c r="S87" s="824">
        <f t="shared" ref="S87:S98" si="7">D87/$K87</f>
        <v>0.15364408517069716</v>
      </c>
      <c r="T87" s="824">
        <f t="shared" ref="T87:T98" si="8">E87/$K87</f>
        <v>0.15326407499241398</v>
      </c>
      <c r="U87" s="824">
        <f t="shared" ref="U87:U98" si="9">F87/$K87</f>
        <v>0.1486203184807916</v>
      </c>
      <c r="V87" s="824">
        <f t="shared" ref="V87:V98" si="10">G87/$K87</f>
        <v>0.15980147854026974</v>
      </c>
      <c r="W87" s="824">
        <f t="shared" ref="W87:W98" si="11">H87/$K87</f>
        <v>0.19938975514835286</v>
      </c>
      <c r="X87" s="824">
        <f t="shared" ref="X87:X98" si="12">I87/$K87</f>
        <v>0.17773907478051443</v>
      </c>
      <c r="Y87" s="824">
        <f t="shared" ref="Y87:Y98" si="13">J87/$K87</f>
        <v>7.5412128869603353E-3</v>
      </c>
    </row>
    <row r="88" spans="2:25" x14ac:dyDescent="0.3">
      <c r="B88" s="1024"/>
      <c r="C88">
        <v>15</v>
      </c>
      <c r="D88" s="44">
        <v>113069.74766816973</v>
      </c>
      <c r="E88" s="44">
        <v>113274.69278103438</v>
      </c>
      <c r="F88" s="44">
        <v>109565.80598494658</v>
      </c>
      <c r="G88" s="44">
        <v>123306.62669159991</v>
      </c>
      <c r="H88" s="44">
        <v>155402.8789113547</v>
      </c>
      <c r="I88" s="44">
        <v>151176.88578113756</v>
      </c>
      <c r="J88" s="44">
        <v>18628.703378096201</v>
      </c>
      <c r="K88" s="44">
        <f t="shared" si="3"/>
        <v>784425.34119633911</v>
      </c>
      <c r="L88" s="44">
        <v>784425.34119633911</v>
      </c>
      <c r="M88" s="44">
        <f t="shared" si="4"/>
        <v>0</v>
      </c>
      <c r="N88" s="44">
        <f t="shared" ref="N88:N98" si="14">K88-K87</f>
        <v>20345.702216667472</v>
      </c>
      <c r="O88" s="44">
        <f t="shared" si="5"/>
        <v>745204.07413652213</v>
      </c>
      <c r="P88" s="44">
        <f t="shared" si="6"/>
        <v>823646.60825615609</v>
      </c>
      <c r="S88" s="824">
        <f t="shared" si="7"/>
        <v>0.14414341522384441</v>
      </c>
      <c r="T88" s="824">
        <f t="shared" si="8"/>
        <v>0.1444046830617142</v>
      </c>
      <c r="U88" s="824">
        <f t="shared" si="9"/>
        <v>0.13967652526095867</v>
      </c>
      <c r="V88" s="824">
        <f t="shared" si="10"/>
        <v>0.15719357880960741</v>
      </c>
      <c r="W88" s="824">
        <f t="shared" si="11"/>
        <v>0.1981104775049049</v>
      </c>
      <c r="X88" s="824">
        <f t="shared" si="12"/>
        <v>0.19272310294128869</v>
      </c>
      <c r="Y88" s="824">
        <f t="shared" si="13"/>
        <v>2.3748217197681654E-2</v>
      </c>
    </row>
    <row r="89" spans="2:25" x14ac:dyDescent="0.3">
      <c r="B89" s="1024"/>
      <c r="C89">
        <v>16</v>
      </c>
      <c r="D89" s="44">
        <v>113069.74766816973</v>
      </c>
      <c r="E89" s="44">
        <v>113274.69278103438</v>
      </c>
      <c r="F89" s="44">
        <v>136862.06154373227</v>
      </c>
      <c r="G89" s="44">
        <v>127712.49071780215</v>
      </c>
      <c r="H89" s="44">
        <v>154683.19689394167</v>
      </c>
      <c r="I89" s="44">
        <v>132140.12948306403</v>
      </c>
      <c r="J89" s="44">
        <v>5596.5274400302487</v>
      </c>
      <c r="K89" s="44">
        <f t="shared" si="3"/>
        <v>783338.84652777447</v>
      </c>
      <c r="L89" s="44">
        <v>633314.46472041821</v>
      </c>
      <c r="M89" s="44">
        <f t="shared" si="4"/>
        <v>-150024.38180735626</v>
      </c>
      <c r="N89" s="44">
        <f t="shared" si="14"/>
        <v>-1086.4946685646428</v>
      </c>
      <c r="O89" s="44">
        <f t="shared" si="5"/>
        <v>601648.74148439732</v>
      </c>
      <c r="P89" s="44">
        <f t="shared" si="6"/>
        <v>664980.1879564391</v>
      </c>
      <c r="S89" s="824">
        <f t="shared" si="7"/>
        <v>0.14434334281947381</v>
      </c>
      <c r="T89" s="824">
        <f t="shared" si="8"/>
        <v>0.14460497303706493</v>
      </c>
      <c r="U89" s="824">
        <f t="shared" si="9"/>
        <v>0.17471629570062389</v>
      </c>
      <c r="V89" s="824">
        <f t="shared" si="10"/>
        <v>0.16303607472538886</v>
      </c>
      <c r="W89" s="824">
        <f t="shared" si="11"/>
        <v>0.19746652113525323</v>
      </c>
      <c r="X89" s="824">
        <f t="shared" si="12"/>
        <v>0.16868833975078343</v>
      </c>
      <c r="Y89" s="824">
        <f t="shared" si="13"/>
        <v>7.1444528314118473E-3</v>
      </c>
    </row>
    <row r="90" spans="2:25" x14ac:dyDescent="0.3">
      <c r="B90" s="1024"/>
      <c r="C90">
        <v>17</v>
      </c>
      <c r="D90" s="44">
        <v>119110.10280911546</v>
      </c>
      <c r="E90" s="44">
        <v>123629.78316272164</v>
      </c>
      <c r="F90" s="44">
        <v>112681.48286963804</v>
      </c>
      <c r="G90" s="44">
        <v>126166.38279726428</v>
      </c>
      <c r="H90" s="44">
        <v>171295.28323625523</v>
      </c>
      <c r="I90" s="44">
        <v>155730.01363834355</v>
      </c>
      <c r="J90" s="44">
        <v>5596.5274400302487</v>
      </c>
      <c r="K90" s="44">
        <f>SUM(D90:J90)</f>
        <v>814209.57595336833</v>
      </c>
      <c r="L90" s="44">
        <v>808613.04851333809</v>
      </c>
      <c r="M90" s="44">
        <f t="shared" si="4"/>
        <v>-5596.5274400302442</v>
      </c>
      <c r="N90" s="44">
        <f t="shared" si="14"/>
        <v>30870.729425593861</v>
      </c>
      <c r="O90" s="44">
        <f t="shared" si="5"/>
        <v>768182.39608767116</v>
      </c>
      <c r="P90" s="44">
        <f t="shared" si="6"/>
        <v>849043.70093900501</v>
      </c>
      <c r="S90" s="824">
        <f t="shared" si="7"/>
        <v>0.14628924336789817</v>
      </c>
      <c r="T90" s="824">
        <f t="shared" si="8"/>
        <v>0.15184024704936927</v>
      </c>
      <c r="U90" s="824">
        <f t="shared" si="9"/>
        <v>0.13839370869311857</v>
      </c>
      <c r="V90" s="824">
        <f t="shared" si="10"/>
        <v>0.15495566070877323</v>
      </c>
      <c r="W90" s="824">
        <f t="shared" si="11"/>
        <v>0.21038229995721114</v>
      </c>
      <c r="X90" s="824">
        <f t="shared" si="12"/>
        <v>0.19126526908750402</v>
      </c>
      <c r="Y90" s="824">
        <f t="shared" si="13"/>
        <v>6.8735711361257376E-3</v>
      </c>
    </row>
    <row r="91" spans="2:25" x14ac:dyDescent="0.3">
      <c r="B91" s="1024" t="s">
        <v>395</v>
      </c>
      <c r="C91">
        <v>18</v>
      </c>
      <c r="D91" s="44">
        <v>122357.19226648574</v>
      </c>
      <c r="E91" s="44">
        <v>133527.07937720939</v>
      </c>
      <c r="F91" s="44">
        <v>128874.06491323162</v>
      </c>
      <c r="G91" s="44">
        <v>125043.12949907858</v>
      </c>
      <c r="H91" s="44">
        <v>170571.41671622498</v>
      </c>
      <c r="I91" s="44">
        <v>155072.30581523228</v>
      </c>
      <c r="J91" s="44">
        <v>11892.477629028761</v>
      </c>
      <c r="K91" s="44">
        <f t="shared" si="3"/>
        <v>847337.66621649126</v>
      </c>
      <c r="L91" s="44">
        <v>847337.66621649126</v>
      </c>
      <c r="M91" s="44">
        <f t="shared" si="4"/>
        <v>0</v>
      </c>
      <c r="N91" s="44">
        <f t="shared" si="14"/>
        <v>33128.090263122926</v>
      </c>
      <c r="O91" s="44">
        <f t="shared" si="5"/>
        <v>804970.78290566662</v>
      </c>
      <c r="P91" s="44">
        <f t="shared" si="6"/>
        <v>889704.54952731589</v>
      </c>
      <c r="S91" s="824">
        <f t="shared" si="7"/>
        <v>0.14440192752534145</v>
      </c>
      <c r="T91" s="824">
        <f t="shared" si="8"/>
        <v>0.15758426032614697</v>
      </c>
      <c r="U91" s="824">
        <f t="shared" si="9"/>
        <v>0.15209292593904922</v>
      </c>
      <c r="V91" s="824">
        <f t="shared" si="10"/>
        <v>0.14757178216497527</v>
      </c>
      <c r="W91" s="824">
        <f t="shared" si="11"/>
        <v>0.20130276690974422</v>
      </c>
      <c r="X91" s="824">
        <f t="shared" si="12"/>
        <v>0.18301122680838308</v>
      </c>
      <c r="Y91" s="824">
        <f t="shared" si="13"/>
        <v>1.4035110326359884E-2</v>
      </c>
    </row>
    <row r="92" spans="2:25" x14ac:dyDescent="0.3">
      <c r="B92" s="1024"/>
      <c r="C92">
        <v>19</v>
      </c>
      <c r="D92" s="44">
        <v>133296.73737702123</v>
      </c>
      <c r="E92" s="44">
        <v>133151.15264073753</v>
      </c>
      <c r="F92" s="44">
        <v>130681.56937825229</v>
      </c>
      <c r="G92" s="44">
        <v>129366.8371474297</v>
      </c>
      <c r="H92" s="44">
        <v>177566.23796728998</v>
      </c>
      <c r="I92" s="44">
        <v>161613.21470028788</v>
      </c>
      <c r="J92" s="44">
        <v>11678.191497244143</v>
      </c>
      <c r="K92" s="44">
        <f t="shared" si="3"/>
        <v>877353.94070826285</v>
      </c>
      <c r="L92" s="44">
        <v>877353.94070826285</v>
      </c>
      <c r="M92" s="44">
        <f t="shared" si="4"/>
        <v>0</v>
      </c>
      <c r="N92" s="44">
        <f t="shared" si="14"/>
        <v>30016.27449177159</v>
      </c>
      <c r="O92" s="44">
        <f t="shared" si="5"/>
        <v>833486.24367284961</v>
      </c>
      <c r="P92" s="44">
        <f t="shared" si="6"/>
        <v>921221.63774367608</v>
      </c>
      <c r="S92" s="824">
        <f t="shared" si="7"/>
        <v>0.15193040253448292</v>
      </c>
      <c r="T92" s="824">
        <f t="shared" si="8"/>
        <v>0.15176446638314339</v>
      </c>
      <c r="U92" s="824">
        <f t="shared" si="9"/>
        <v>0.14894965795988421</v>
      </c>
      <c r="V92" s="824">
        <f t="shared" si="10"/>
        <v>0.14745113818374775</v>
      </c>
      <c r="W92" s="824">
        <f t="shared" si="11"/>
        <v>0.20238837455263017</v>
      </c>
      <c r="X92" s="824">
        <f t="shared" si="12"/>
        <v>0.18420526449088737</v>
      </c>
      <c r="Y92" s="824">
        <f t="shared" si="13"/>
        <v>1.3310695895224078E-2</v>
      </c>
    </row>
    <row r="93" spans="2:25" x14ac:dyDescent="0.3">
      <c r="B93" s="1024"/>
      <c r="C93">
        <v>20</v>
      </c>
      <c r="D93" s="44">
        <v>138730.28736353345</v>
      </c>
      <c r="E93" s="44">
        <v>136718.70019189006</v>
      </c>
      <c r="F93" s="44">
        <v>134339.80659824412</v>
      </c>
      <c r="G93" s="44">
        <v>119277.46945848674</v>
      </c>
      <c r="H93" s="44">
        <v>166265.66802469781</v>
      </c>
      <c r="I93" s="44">
        <v>150598.13244280685</v>
      </c>
      <c r="J93" s="44">
        <v>11588.18070421128</v>
      </c>
      <c r="K93" s="44">
        <f t="shared" si="3"/>
        <v>857518.24478387029</v>
      </c>
      <c r="L93" s="44">
        <v>857518.24478387029</v>
      </c>
      <c r="M93" s="44">
        <f t="shared" si="4"/>
        <v>0</v>
      </c>
      <c r="N93" s="44">
        <f t="shared" si="14"/>
        <v>-19835.695924392552</v>
      </c>
      <c r="O93" s="44">
        <f t="shared" si="5"/>
        <v>814642.33254467673</v>
      </c>
      <c r="P93" s="44">
        <f t="shared" si="6"/>
        <v>900394.15702306386</v>
      </c>
      <c r="S93" s="824">
        <f t="shared" si="7"/>
        <v>0.16178114950603664</v>
      </c>
      <c r="T93" s="824">
        <f t="shared" si="8"/>
        <v>0.15943532516482933</v>
      </c>
      <c r="U93" s="824">
        <f t="shared" si="9"/>
        <v>0.15666116425558183</v>
      </c>
      <c r="V93" s="824">
        <f t="shared" si="10"/>
        <v>0.1390961302386628</v>
      </c>
      <c r="W93" s="824">
        <f t="shared" si="11"/>
        <v>0.19389169739076928</v>
      </c>
      <c r="X93" s="824">
        <f t="shared" si="12"/>
        <v>0.17562090761201674</v>
      </c>
      <c r="Y93" s="824">
        <f t="shared" si="13"/>
        <v>1.3513625832103403E-2</v>
      </c>
    </row>
    <row r="94" spans="2:25" x14ac:dyDescent="0.3">
      <c r="B94" s="1024"/>
      <c r="C94">
        <v>21</v>
      </c>
      <c r="D94" s="44">
        <v>128773.00381264328</v>
      </c>
      <c r="E94" s="44">
        <v>127193.26770242047</v>
      </c>
      <c r="F94" s="44">
        <v>124303.79593423587</v>
      </c>
      <c r="G94" s="44">
        <v>119277.46945848674</v>
      </c>
      <c r="H94" s="44">
        <v>166265.66802469781</v>
      </c>
      <c r="I94" s="44">
        <v>151265.57412141314</v>
      </c>
      <c r="J94" s="44">
        <v>12194.473835169347</v>
      </c>
      <c r="K94" s="44">
        <f t="shared" si="3"/>
        <v>829273.2528890667</v>
      </c>
      <c r="L94" s="44">
        <v>662467.54953427252</v>
      </c>
      <c r="M94" s="44">
        <f t="shared" si="4"/>
        <v>-166805.70335479418</v>
      </c>
      <c r="N94" s="44">
        <f t="shared" si="14"/>
        <v>-28244.991894803592</v>
      </c>
      <c r="O94" s="44">
        <f t="shared" si="5"/>
        <v>629344.1720575589</v>
      </c>
      <c r="P94" s="44">
        <f t="shared" si="6"/>
        <v>695590.92701098614</v>
      </c>
      <c r="S94" s="824">
        <f t="shared" si="7"/>
        <v>0.15528416401230472</v>
      </c>
      <c r="T94" s="824">
        <f t="shared" si="8"/>
        <v>0.15337919950908549</v>
      </c>
      <c r="U94" s="824">
        <f t="shared" si="9"/>
        <v>0.14989485733584151</v>
      </c>
      <c r="V94" s="824">
        <f t="shared" si="10"/>
        <v>0.14383373519276244</v>
      </c>
      <c r="W94" s="824">
        <f t="shared" si="11"/>
        <v>0.20049563572134099</v>
      </c>
      <c r="X94" s="824">
        <f t="shared" si="12"/>
        <v>0.18240739538436337</v>
      </c>
      <c r="Y94" s="824">
        <f t="shared" si="13"/>
        <v>1.4705012844301422E-2</v>
      </c>
    </row>
    <row r="95" spans="2:25" x14ac:dyDescent="0.3">
      <c r="B95" s="1024" t="s">
        <v>396</v>
      </c>
      <c r="C95">
        <v>22</v>
      </c>
      <c r="D95" s="44">
        <v>128773.00381264328</v>
      </c>
      <c r="E95" s="44">
        <v>127193.26770242047</v>
      </c>
      <c r="F95" s="44">
        <v>124303.79593423587</v>
      </c>
      <c r="G95" s="44">
        <v>114890.59528305035</v>
      </c>
      <c r="H95" s="44">
        <v>167721.46497779182</v>
      </c>
      <c r="I95" s="44">
        <v>152056.43995720471</v>
      </c>
      <c r="J95" s="44">
        <v>12489.171645971957</v>
      </c>
      <c r="K95" s="44">
        <f t="shared" si="3"/>
        <v>827427.73931331839</v>
      </c>
      <c r="L95" s="44">
        <v>742579.34209390357</v>
      </c>
      <c r="M95" s="44">
        <f t="shared" si="4"/>
        <v>-84848.397219414823</v>
      </c>
      <c r="N95" s="44">
        <f t="shared" si="14"/>
        <v>-1845.5135757483076</v>
      </c>
      <c r="O95" s="44">
        <f t="shared" si="5"/>
        <v>705450.37498920842</v>
      </c>
      <c r="P95" s="44">
        <f t="shared" si="6"/>
        <v>779708.30919859873</v>
      </c>
      <c r="S95" s="824">
        <f t="shared" si="7"/>
        <v>0.15563051332979469</v>
      </c>
      <c r="T95" s="824">
        <f t="shared" si="8"/>
        <v>0.15372129995058911</v>
      </c>
      <c r="U95" s="824">
        <f t="shared" si="9"/>
        <v>0.15022918622162157</v>
      </c>
      <c r="V95" s="824">
        <f t="shared" si="10"/>
        <v>0.13885272371747889</v>
      </c>
      <c r="W95" s="824">
        <f t="shared" si="11"/>
        <v>0.20270225061222111</v>
      </c>
      <c r="X95" s="824">
        <f t="shared" si="12"/>
        <v>0.18377005354376472</v>
      </c>
      <c r="Y95" s="824">
        <f t="shared" si="13"/>
        <v>1.509397262452998E-2</v>
      </c>
    </row>
    <row r="96" spans="2:25" x14ac:dyDescent="0.3">
      <c r="B96" s="1024"/>
      <c r="C96">
        <v>23</v>
      </c>
      <c r="D96" s="44">
        <v>128773.00381264328</v>
      </c>
      <c r="E96" s="44">
        <v>127193.26770242047</v>
      </c>
      <c r="F96" s="44">
        <v>118041.14277600085</v>
      </c>
      <c r="G96" s="44">
        <v>114269.05830095391</v>
      </c>
      <c r="H96" s="44">
        <v>158449.95557405427</v>
      </c>
      <c r="I96" s="44">
        <v>143872.12348046325</v>
      </c>
      <c r="J96" s="44">
        <v>12053.009316289663</v>
      </c>
      <c r="K96" s="44">
        <f t="shared" si="3"/>
        <v>802651.56096282578</v>
      </c>
      <c r="L96" s="44">
        <v>602597.80432399746</v>
      </c>
      <c r="M96" s="44">
        <f t="shared" si="4"/>
        <v>-200053.75663882832</v>
      </c>
      <c r="N96" s="44">
        <f t="shared" si="14"/>
        <v>-24776.178350492613</v>
      </c>
      <c r="O96" s="44">
        <f t="shared" si="5"/>
        <v>572467.91410779755</v>
      </c>
      <c r="P96" s="44">
        <f t="shared" si="6"/>
        <v>632727.69454019738</v>
      </c>
      <c r="S96" s="824">
        <f t="shared" si="7"/>
        <v>0.16043450243611662</v>
      </c>
      <c r="T96" s="824">
        <f t="shared" si="8"/>
        <v>0.15846635562490527</v>
      </c>
      <c r="U96" s="824">
        <f t="shared" si="9"/>
        <v>0.14706399204457268</v>
      </c>
      <c r="V96" s="824">
        <f t="shared" si="10"/>
        <v>0.14236446281108797</v>
      </c>
      <c r="W96" s="824">
        <f t="shared" si="11"/>
        <v>0.19740814480443372</v>
      </c>
      <c r="X96" s="824">
        <f t="shared" si="12"/>
        <v>0.17924605205760832</v>
      </c>
      <c r="Y96" s="824">
        <f t="shared" si="13"/>
        <v>1.5016490221275342E-2</v>
      </c>
    </row>
    <row r="97" spans="2:25" x14ac:dyDescent="0.3">
      <c r="B97" s="1024"/>
      <c r="C97">
        <v>24</v>
      </c>
      <c r="D97" s="44">
        <v>123046.80196688289</v>
      </c>
      <c r="E97" s="44">
        <v>123415.19664036391</v>
      </c>
      <c r="F97" s="44">
        <v>119152.81880288482</v>
      </c>
      <c r="G97" s="44">
        <v>114938.52546269639</v>
      </c>
      <c r="H97" s="44">
        <v>158098.77635684717</v>
      </c>
      <c r="I97" s="44">
        <v>143926.66043714219</v>
      </c>
      <c r="J97" s="44">
        <v>11610.502585729009</v>
      </c>
      <c r="K97" s="44">
        <f t="shared" si="3"/>
        <v>794189.28225254628</v>
      </c>
      <c r="L97" s="44">
        <v>794189.28225254628</v>
      </c>
      <c r="M97" s="44">
        <f t="shared" si="4"/>
        <v>0</v>
      </c>
      <c r="N97" s="44">
        <f t="shared" si="14"/>
        <v>-8462.2787102794973</v>
      </c>
      <c r="O97" s="44">
        <f t="shared" si="5"/>
        <v>754479.81813991896</v>
      </c>
      <c r="P97" s="44">
        <f t="shared" si="6"/>
        <v>833898.7463651736</v>
      </c>
      <c r="S97" s="824">
        <f t="shared" si="7"/>
        <v>0.15493384853782871</v>
      </c>
      <c r="T97" s="824">
        <f t="shared" si="8"/>
        <v>0.15539771109769118</v>
      </c>
      <c r="U97" s="824">
        <f t="shared" si="9"/>
        <v>0.15003075647776762</v>
      </c>
      <c r="V97" s="824">
        <f t="shared" si="10"/>
        <v>0.14472434724464942</v>
      </c>
      <c r="W97" s="824">
        <f t="shared" si="11"/>
        <v>0.19906939049647479</v>
      </c>
      <c r="X97" s="824">
        <f t="shared" si="12"/>
        <v>0.18122463202843195</v>
      </c>
      <c r="Y97" s="824">
        <f t="shared" si="13"/>
        <v>1.4619314117156463E-2</v>
      </c>
    </row>
    <row r="98" spans="2:25" x14ac:dyDescent="0.3">
      <c r="B98" s="1024"/>
      <c r="C98">
        <v>25</v>
      </c>
      <c r="D98" s="44">
        <v>122660.79171961363</v>
      </c>
      <c r="E98" s="44">
        <v>124765.93771674298</v>
      </c>
      <c r="F98" s="44">
        <v>119639.8794533636</v>
      </c>
      <c r="G98" s="44">
        <v>113174.51485063072</v>
      </c>
      <c r="H98" s="44">
        <v>154254.9148649291</v>
      </c>
      <c r="I98" s="44">
        <v>140131.63104645963</v>
      </c>
      <c r="J98" s="44">
        <v>11514.89938858288</v>
      </c>
      <c r="K98" s="44">
        <f t="shared" si="3"/>
        <v>786142.56904032256</v>
      </c>
      <c r="L98" s="44">
        <v>786142.56904032256</v>
      </c>
      <c r="M98" s="44">
        <f t="shared" si="4"/>
        <v>0</v>
      </c>
      <c r="N98" s="44">
        <f t="shared" si="14"/>
        <v>-8046.7132122237235</v>
      </c>
      <c r="O98" s="44">
        <f t="shared" si="5"/>
        <v>746835.4405883064</v>
      </c>
      <c r="P98" s="44">
        <f t="shared" si="6"/>
        <v>825449.69749233872</v>
      </c>
      <c r="S98" s="824">
        <f t="shared" si="7"/>
        <v>0.15602868557207231</v>
      </c>
      <c r="T98" s="824">
        <f t="shared" si="8"/>
        <v>0.15870650265008551</v>
      </c>
      <c r="U98" s="824">
        <f t="shared" si="9"/>
        <v>0.1521859827529923</v>
      </c>
      <c r="V98" s="824">
        <f t="shared" si="10"/>
        <v>0.14396181978643852</v>
      </c>
      <c r="W98" s="824">
        <f t="shared" si="11"/>
        <v>0.19621748133196068</v>
      </c>
      <c r="X98" s="824">
        <f t="shared" si="12"/>
        <v>0.17825218550055652</v>
      </c>
      <c r="Y98" s="824">
        <f t="shared" si="13"/>
        <v>1.4647342405894142E-2</v>
      </c>
    </row>
    <row r="99" spans="2:25" x14ac:dyDescent="0.3">
      <c r="B99" t="s">
        <v>397</v>
      </c>
      <c r="C99" s="44">
        <v>1331419.1857788383</v>
      </c>
      <c r="D99" s="44">
        <v>1488023.1451258487</v>
      </c>
      <c r="E99" s="44">
        <v>1568078.1009119037</v>
      </c>
      <c r="F99" s="44">
        <v>1432031.0242949217</v>
      </c>
      <c r="G99" s="44">
        <v>2044872.374542725</v>
      </c>
      <c r="H99" s="44">
        <v>1900052.118307356</v>
      </c>
      <c r="I99" s="44">
        <v>136775.33989878249</v>
      </c>
      <c r="J99" s="44">
        <f>SUM(C99:I99)</f>
        <v>9901251.2888603769</v>
      </c>
      <c r="K99" s="44"/>
      <c r="M99" s="44" t="e">
        <f>J99-#REF!</f>
        <v>#REF!</v>
      </c>
      <c r="N99" s="44">
        <f>K99*(1+$O$86)</f>
        <v>0</v>
      </c>
      <c r="O99" s="44">
        <f>K99*(1+$P$86)</f>
        <v>0</v>
      </c>
      <c r="S99" s="824">
        <f t="shared" ref="S99:Y99" si="15">C99/$J99</f>
        <v>0.13446979042707269</v>
      </c>
      <c r="T99" s="824">
        <f t="shared" si="15"/>
        <v>0.15028637307690415</v>
      </c>
      <c r="U99" s="824">
        <f t="shared" si="15"/>
        <v>0.15837171031868516</v>
      </c>
      <c r="V99" s="824">
        <f t="shared" si="15"/>
        <v>0.14463131805432108</v>
      </c>
      <c r="W99" s="824">
        <f t="shared" si="15"/>
        <v>0.20652666161936059</v>
      </c>
      <c r="X99" s="824">
        <f t="shared" si="15"/>
        <v>0.19190020158816209</v>
      </c>
      <c r="Y99" s="824">
        <f t="shared" si="15"/>
        <v>1.3813944915494128E-2</v>
      </c>
    </row>
    <row r="100" spans="2:25" x14ac:dyDescent="0.3">
      <c r="M100" s="824"/>
      <c r="N100" s="824"/>
      <c r="O100" s="824"/>
      <c r="P100" s="824"/>
      <c r="Q100" s="824"/>
      <c r="R100" s="824"/>
      <c r="S100" s="824" t="e">
        <f>I100/$J100</f>
        <v>#DIV/0!</v>
      </c>
    </row>
    <row r="101" spans="2:25" x14ac:dyDescent="0.3">
      <c r="M101" s="824"/>
      <c r="N101" s="824"/>
      <c r="O101" s="824"/>
      <c r="P101" s="824"/>
      <c r="Q101" s="824"/>
      <c r="R101" s="824"/>
      <c r="S101" s="824" t="e">
        <f>I101/$J101</f>
        <v>#DIV/0!</v>
      </c>
    </row>
    <row r="102" spans="2:25" x14ac:dyDescent="0.3">
      <c r="M102" s="824"/>
      <c r="N102" s="824"/>
      <c r="O102" s="824"/>
      <c r="P102" s="824"/>
      <c r="Q102" s="824"/>
      <c r="R102" s="824"/>
      <c r="S102" s="824" t="e">
        <f>I102/$J102</f>
        <v>#DIV/0!</v>
      </c>
    </row>
    <row r="104" spans="2:25" x14ac:dyDescent="0.3">
      <c r="M104" t="s">
        <v>387</v>
      </c>
      <c r="N104" t="s">
        <v>388</v>
      </c>
      <c r="O104" t="s">
        <v>389</v>
      </c>
      <c r="P104" t="s">
        <v>390</v>
      </c>
      <c r="Q104" t="s">
        <v>391</v>
      </c>
      <c r="R104" t="s">
        <v>392</v>
      </c>
      <c r="S104" t="s">
        <v>393</v>
      </c>
    </row>
    <row r="105" spans="2:25" x14ac:dyDescent="0.3">
      <c r="M105" s="824">
        <v>0.12708559362638946</v>
      </c>
      <c r="N105" s="824">
        <v>0.16251888284890789</v>
      </c>
      <c r="O105" s="824">
        <v>0.16201443651991093</v>
      </c>
      <c r="P105" s="824">
        <v>0.16040051220475698</v>
      </c>
      <c r="Q105" s="824">
        <v>0.19017188059728982</v>
      </c>
      <c r="R105" s="824">
        <v>0.18626220953167313</v>
      </c>
      <c r="S105" s="824">
        <v>1.1546484671071671E-2</v>
      </c>
    </row>
    <row r="111" spans="2:25" x14ac:dyDescent="0.3">
      <c r="B111" t="s">
        <v>382</v>
      </c>
      <c r="C111" t="s">
        <v>370</v>
      </c>
      <c r="D111" t="s">
        <v>398</v>
      </c>
      <c r="F111" s="33" t="s">
        <v>399</v>
      </c>
      <c r="G111" s="33" t="s">
        <v>400</v>
      </c>
      <c r="H111" s="33" t="s">
        <v>401</v>
      </c>
      <c r="I111" s="33" t="s">
        <v>402</v>
      </c>
    </row>
    <row r="112" spans="2:25" x14ac:dyDescent="0.3">
      <c r="B112" s="836">
        <v>1</v>
      </c>
      <c r="C112">
        <v>3316853.959528395</v>
      </c>
      <c r="D112">
        <v>65389</v>
      </c>
      <c r="E112" s="735" t="s">
        <v>403</v>
      </c>
      <c r="F112" s="33">
        <v>63697</v>
      </c>
      <c r="G112" s="837">
        <v>3280521.1014676127</v>
      </c>
      <c r="H112" s="33">
        <v>59444</v>
      </c>
      <c r="I112" s="837">
        <v>3095914.4909238708</v>
      </c>
    </row>
    <row r="113" spans="2:9" x14ac:dyDescent="0.3">
      <c r="B113" s="836">
        <v>2</v>
      </c>
      <c r="C113">
        <v>3248972.1566118561</v>
      </c>
      <c r="D113">
        <v>65000</v>
      </c>
      <c r="E113" s="735" t="s">
        <v>404</v>
      </c>
      <c r="F113" s="33">
        <v>64468.59828736831</v>
      </c>
      <c r="G113" s="837">
        <v>3321001.654923059</v>
      </c>
      <c r="H113" s="33">
        <v>62067</v>
      </c>
      <c r="I113" s="837">
        <v>3249471</v>
      </c>
    </row>
    <row r="114" spans="2:9" x14ac:dyDescent="0.3">
      <c r="B114" s="836">
        <v>3</v>
      </c>
      <c r="C114">
        <v>3503529.0285975849</v>
      </c>
      <c r="D114">
        <v>69178.043771687429</v>
      </c>
      <c r="E114" s="735" t="s">
        <v>405</v>
      </c>
      <c r="F114" s="33">
        <v>74810.035674981686</v>
      </c>
      <c r="G114" s="837">
        <v>3895132.394110939</v>
      </c>
      <c r="H114" s="33">
        <v>69744</v>
      </c>
      <c r="I114" s="837">
        <v>3661725.1</v>
      </c>
    </row>
    <row r="115" spans="2:9" x14ac:dyDescent="0.3">
      <c r="B115" s="836">
        <v>4</v>
      </c>
      <c r="C115">
        <v>3303935.1578091183</v>
      </c>
      <c r="D115">
        <v>66224.289038877323</v>
      </c>
      <c r="E115" s="735" t="s">
        <v>406</v>
      </c>
      <c r="F115" s="33">
        <v>75202.785941700175</v>
      </c>
      <c r="G115" s="837">
        <v>3847991.8378919968</v>
      </c>
      <c r="H115" s="33">
        <v>67877</v>
      </c>
      <c r="I115" s="837">
        <v>3559941</v>
      </c>
    </row>
    <row r="116" spans="2:9" x14ac:dyDescent="0.3">
      <c r="B116" s="836">
        <v>5</v>
      </c>
      <c r="C116">
        <v>3438139.8966995403</v>
      </c>
      <c r="D116">
        <v>67488.748360746424</v>
      </c>
      <c r="E116" s="735" t="s">
        <v>407</v>
      </c>
      <c r="F116" s="33">
        <v>68882.337316406047</v>
      </c>
      <c r="G116" s="837">
        <v>3573119.8910274939</v>
      </c>
      <c r="H116" s="33">
        <v>61726</v>
      </c>
      <c r="I116" s="837">
        <v>3235419.9488583049</v>
      </c>
    </row>
    <row r="117" spans="2:9" x14ac:dyDescent="0.3">
      <c r="B117" s="836">
        <v>6</v>
      </c>
      <c r="C117">
        <v>3194774.0894189025</v>
      </c>
      <c r="D117">
        <v>62237.823556051684</v>
      </c>
      <c r="E117" s="735" t="s">
        <v>408</v>
      </c>
      <c r="F117" s="33">
        <v>67655.936995433978</v>
      </c>
      <c r="G117" s="837">
        <v>3558918.4258516994</v>
      </c>
      <c r="H117" s="33">
        <v>63500</v>
      </c>
      <c r="I117" s="837">
        <v>3281807.8191676396</v>
      </c>
    </row>
    <row r="118" spans="2:9" x14ac:dyDescent="0.3">
      <c r="B118" s="836">
        <v>7</v>
      </c>
      <c r="C118">
        <v>2681008.7847342654</v>
      </c>
      <c r="D118">
        <v>53933.316585302484</v>
      </c>
      <c r="E118" s="735" t="s">
        <v>409</v>
      </c>
      <c r="F118" s="33">
        <v>59338.242765778436</v>
      </c>
      <c r="G118" s="837">
        <v>2998632.0505736698</v>
      </c>
      <c r="H118" s="33">
        <v>50475</v>
      </c>
      <c r="I118" s="837">
        <v>2498926.0787990815</v>
      </c>
    </row>
    <row r="119" spans="2:9" x14ac:dyDescent="0.3">
      <c r="B119" s="836">
        <v>8</v>
      </c>
      <c r="C119">
        <v>2841972.7574284379</v>
      </c>
      <c r="D119">
        <v>57807.718470565364</v>
      </c>
      <c r="E119" s="735" t="s">
        <v>410</v>
      </c>
      <c r="F119" s="33">
        <v>62649.688960870546</v>
      </c>
      <c r="G119" s="837">
        <v>3133701.3702599565</v>
      </c>
      <c r="H119" s="33">
        <v>50055</v>
      </c>
      <c r="I119" s="837">
        <v>2471154.1897815787</v>
      </c>
    </row>
    <row r="120" spans="2:9" x14ac:dyDescent="0.3">
      <c r="B120" s="836">
        <v>9</v>
      </c>
      <c r="C120">
        <v>3500692.6278039515</v>
      </c>
      <c r="D120">
        <v>70249.451874466264</v>
      </c>
      <c r="E120" s="735" t="s">
        <v>411</v>
      </c>
      <c r="F120" s="33">
        <v>75818.464252835707</v>
      </c>
      <c r="G120" s="837">
        <v>3845538.2597578568</v>
      </c>
      <c r="H120" s="33">
        <v>55515</v>
      </c>
      <c r="I120" s="837">
        <v>2792773.7806943967</v>
      </c>
    </row>
    <row r="121" spans="2:9" x14ac:dyDescent="0.3">
      <c r="B121" s="836">
        <v>10</v>
      </c>
      <c r="C121">
        <v>3850717.0563691552</v>
      </c>
      <c r="D121">
        <v>73839.466213859196</v>
      </c>
      <c r="E121" s="735" t="s">
        <v>412</v>
      </c>
      <c r="F121" s="33">
        <v>81293.945599578918</v>
      </c>
      <c r="G121" s="837">
        <v>4322418.532655159</v>
      </c>
      <c r="H121" s="33">
        <v>59390</v>
      </c>
      <c r="I121" s="837">
        <v>3044822.4029561416</v>
      </c>
    </row>
    <row r="122" spans="2:9" x14ac:dyDescent="0.3">
      <c r="B122" s="836">
        <v>11</v>
      </c>
      <c r="C122">
        <v>3630028.3562863632</v>
      </c>
      <c r="D122">
        <v>71569.904556167618</v>
      </c>
      <c r="E122" s="735" t="s">
        <v>413</v>
      </c>
      <c r="F122" s="33">
        <v>78865.626421623921</v>
      </c>
      <c r="G122" s="837">
        <v>4063364.5779240527</v>
      </c>
      <c r="H122" s="33">
        <v>58155</v>
      </c>
      <c r="I122" s="837">
        <v>3073381.436600145</v>
      </c>
    </row>
    <row r="123" spans="2:9" x14ac:dyDescent="0.3">
      <c r="B123" s="836">
        <v>12</v>
      </c>
      <c r="C123">
        <v>3894455.7673652661</v>
      </c>
      <c r="D123">
        <v>75834.338962275622</v>
      </c>
      <c r="E123" s="735" t="s">
        <v>414</v>
      </c>
      <c r="F123" s="33">
        <v>85474.12403726163</v>
      </c>
      <c r="G123" s="837">
        <v>4446732.0238460172</v>
      </c>
      <c r="H123" s="33">
        <v>71210</v>
      </c>
      <c r="I123" s="837">
        <v>3490504.4730124236</v>
      </c>
    </row>
    <row r="124" spans="2:9" x14ac:dyDescent="0.3">
      <c r="B124" s="836" t="s">
        <v>415</v>
      </c>
    </row>
    <row r="125" spans="2:9" x14ac:dyDescent="0.3">
      <c r="B125" s="836" t="s">
        <v>397</v>
      </c>
      <c r="C125" s="850">
        <v>40405079.638652839</v>
      </c>
      <c r="D125">
        <v>798752.1013899995</v>
      </c>
    </row>
    <row r="129" spans="2:9" x14ac:dyDescent="0.3">
      <c r="B129" t="s">
        <v>382</v>
      </c>
      <c r="C129" t="s">
        <v>370</v>
      </c>
      <c r="D129" t="s">
        <v>398</v>
      </c>
      <c r="H129">
        <v>1.25</v>
      </c>
      <c r="I129">
        <v>1.3</v>
      </c>
    </row>
    <row r="130" spans="2:9" x14ac:dyDescent="0.3">
      <c r="B130" s="742">
        <v>10</v>
      </c>
      <c r="C130">
        <v>782920.5103456754</v>
      </c>
      <c r="D130">
        <v>15353.698630136987</v>
      </c>
      <c r="F130">
        <v>1</v>
      </c>
      <c r="G130">
        <v>764376.78934883536</v>
      </c>
      <c r="H130">
        <f t="shared" ref="H130:H161" si="16">G130*$H$129</f>
        <v>955470.98668604414</v>
      </c>
      <c r="I130">
        <f t="shared" ref="I130:I161" si="17">G130*$I$129</f>
        <v>993689.82615348604</v>
      </c>
    </row>
    <row r="131" spans="2:9" x14ac:dyDescent="0.3">
      <c r="B131" s="742">
        <v>11</v>
      </c>
      <c r="C131">
        <v>765087.21355714614</v>
      </c>
      <c r="D131">
        <v>15319.212279179323</v>
      </c>
      <c r="F131">
        <v>2</v>
      </c>
      <c r="G131">
        <v>827404.01544842636</v>
      </c>
      <c r="H131">
        <f t="shared" si="16"/>
        <v>1034255.019310533</v>
      </c>
      <c r="I131">
        <f t="shared" si="17"/>
        <v>1075625.2200829543</v>
      </c>
    </row>
    <row r="132" spans="2:9" x14ac:dyDescent="0.3">
      <c r="B132" s="742">
        <v>12</v>
      </c>
      <c r="C132">
        <v>794834.69266861514</v>
      </c>
      <c r="D132">
        <v>15601.003579144755</v>
      </c>
      <c r="F132">
        <v>3</v>
      </c>
      <c r="G132">
        <v>818035.58632682776</v>
      </c>
      <c r="H132">
        <f t="shared" si="16"/>
        <v>1022544.4829085347</v>
      </c>
      <c r="I132">
        <f t="shared" si="17"/>
        <v>1063446.2622248761</v>
      </c>
    </row>
    <row r="133" spans="2:9" x14ac:dyDescent="0.3">
      <c r="B133" s="742">
        <v>13</v>
      </c>
      <c r="C133">
        <v>795724.79603410745</v>
      </c>
      <c r="D133">
        <v>15474.806013412515</v>
      </c>
      <c r="F133">
        <v>4</v>
      </c>
      <c r="G133">
        <v>791894.32183630986</v>
      </c>
      <c r="H133">
        <f t="shared" si="16"/>
        <v>989867.90229538735</v>
      </c>
      <c r="I133">
        <f t="shared" si="17"/>
        <v>1029462.6183872028</v>
      </c>
    </row>
    <row r="134" spans="2:9" x14ac:dyDescent="0.3">
      <c r="B134" s="742">
        <v>14</v>
      </c>
      <c r="C134">
        <v>764079.63897967164</v>
      </c>
      <c r="D134">
        <v>15436.201301779389</v>
      </c>
      <c r="F134">
        <v>5</v>
      </c>
      <c r="G134">
        <v>818224.2703582067</v>
      </c>
      <c r="H134">
        <f t="shared" si="16"/>
        <v>1022780.3379477584</v>
      </c>
      <c r="I134">
        <f t="shared" si="17"/>
        <v>1063691.5514656687</v>
      </c>
    </row>
    <row r="135" spans="2:9" x14ac:dyDescent="0.3">
      <c r="B135" s="742">
        <v>15</v>
      </c>
      <c r="C135">
        <v>784425.34119633911</v>
      </c>
      <c r="D135">
        <v>15708.765455460103</v>
      </c>
      <c r="F135">
        <v>6</v>
      </c>
      <c r="G135">
        <v>829672.64401856659</v>
      </c>
      <c r="H135">
        <f t="shared" si="16"/>
        <v>1037090.8050232083</v>
      </c>
      <c r="I135">
        <f t="shared" si="17"/>
        <v>1078574.4372241367</v>
      </c>
    </row>
    <row r="136" spans="2:9" x14ac:dyDescent="0.3">
      <c r="B136" s="742">
        <v>16</v>
      </c>
      <c r="C136">
        <v>633314.46472041821</v>
      </c>
      <c r="D136">
        <v>12807.509636046836</v>
      </c>
      <c r="F136">
        <v>7</v>
      </c>
      <c r="G136">
        <v>849097.6030923482</v>
      </c>
      <c r="H136">
        <f t="shared" si="16"/>
        <v>1061372.0038654353</v>
      </c>
      <c r="I136">
        <f t="shared" si="17"/>
        <v>1103826.8840200526</v>
      </c>
    </row>
    <row r="137" spans="2:9" x14ac:dyDescent="0.3">
      <c r="B137" s="742">
        <v>17</v>
      </c>
      <c r="C137">
        <v>808613.0485133382</v>
      </c>
      <c r="D137">
        <v>16239.833946039411</v>
      </c>
      <c r="F137">
        <v>8</v>
      </c>
      <c r="G137">
        <v>855385.93089157483</v>
      </c>
      <c r="H137">
        <f t="shared" si="16"/>
        <v>1069232.4136144686</v>
      </c>
      <c r="I137">
        <f t="shared" si="17"/>
        <v>1112001.7101590473</v>
      </c>
    </row>
    <row r="138" spans="2:9" x14ac:dyDescent="0.3">
      <c r="B138" s="742">
        <v>18</v>
      </c>
      <c r="C138">
        <v>847337.66621649149</v>
      </c>
      <c r="D138">
        <v>16619.816130603951</v>
      </c>
      <c r="F138">
        <v>9</v>
      </c>
      <c r="G138">
        <v>881276.41907112871</v>
      </c>
      <c r="H138">
        <f t="shared" si="16"/>
        <v>1101595.523838911</v>
      </c>
      <c r="I138">
        <f t="shared" si="17"/>
        <v>1145659.3447924673</v>
      </c>
    </row>
    <row r="139" spans="2:9" x14ac:dyDescent="0.3">
      <c r="B139" s="742">
        <v>19</v>
      </c>
      <c r="C139">
        <v>877353.94070826285</v>
      </c>
      <c r="D139">
        <v>17142.571315873538</v>
      </c>
      <c r="F139">
        <v>10</v>
      </c>
      <c r="G139">
        <v>913587.52083217539</v>
      </c>
      <c r="H139">
        <f t="shared" si="16"/>
        <v>1141984.4010402192</v>
      </c>
      <c r="I139">
        <f t="shared" si="17"/>
        <v>1187663.7770818281</v>
      </c>
    </row>
    <row r="140" spans="2:9" x14ac:dyDescent="0.3">
      <c r="B140" s="742">
        <v>20</v>
      </c>
      <c r="C140">
        <v>857518.24478387018</v>
      </c>
      <c r="D140">
        <v>17043.374581137901</v>
      </c>
      <c r="F140">
        <v>11</v>
      </c>
      <c r="G140">
        <v>901184.24651457637</v>
      </c>
      <c r="H140">
        <f t="shared" si="16"/>
        <v>1126480.3081432204</v>
      </c>
      <c r="I140">
        <f t="shared" si="17"/>
        <v>1171539.5204689493</v>
      </c>
    </row>
    <row r="141" spans="2:9" x14ac:dyDescent="0.3">
      <c r="B141" s="742">
        <v>21</v>
      </c>
      <c r="C141">
        <v>662467.5495342724</v>
      </c>
      <c r="D141">
        <v>12920.966346633253</v>
      </c>
      <c r="F141">
        <v>12</v>
      </c>
      <c r="G141">
        <v>925626.57604887639</v>
      </c>
      <c r="H141">
        <f t="shared" si="16"/>
        <v>1157033.2200610954</v>
      </c>
      <c r="I141">
        <f t="shared" si="17"/>
        <v>1203314.5488635392</v>
      </c>
    </row>
    <row r="142" spans="2:9" x14ac:dyDescent="0.3">
      <c r="B142" s="742">
        <v>22</v>
      </c>
      <c r="C142">
        <v>742579.34209390345</v>
      </c>
      <c r="D142">
        <v>13729.756931376607</v>
      </c>
      <c r="F142">
        <v>13</v>
      </c>
      <c r="G142">
        <v>932654.11384716001</v>
      </c>
      <c r="H142">
        <f t="shared" si="16"/>
        <v>1165817.64230895</v>
      </c>
      <c r="I142">
        <f t="shared" si="17"/>
        <v>1212450.348001308</v>
      </c>
    </row>
    <row r="143" spans="2:9" x14ac:dyDescent="0.3">
      <c r="B143" s="742">
        <v>23</v>
      </c>
      <c r="C143">
        <v>602597.80432399746</v>
      </c>
      <c r="D143">
        <v>11465.834772114482</v>
      </c>
      <c r="F143">
        <v>14</v>
      </c>
      <c r="G143">
        <v>939261.68739412574</v>
      </c>
      <c r="H143">
        <f t="shared" si="16"/>
        <v>1174077.1092426572</v>
      </c>
      <c r="I143">
        <f t="shared" si="17"/>
        <v>1221040.1936123634</v>
      </c>
    </row>
    <row r="144" spans="2:9" x14ac:dyDescent="0.3">
      <c r="B144" s="742">
        <v>24</v>
      </c>
      <c r="C144">
        <v>794189.2822525464</v>
      </c>
      <c r="D144">
        <v>15628.975684846204</v>
      </c>
      <c r="F144">
        <v>15</v>
      </c>
      <c r="G144">
        <v>919265.90828567173</v>
      </c>
      <c r="H144">
        <f t="shared" si="16"/>
        <v>1149082.3853570896</v>
      </c>
      <c r="I144">
        <f t="shared" si="17"/>
        <v>1195045.6807713732</v>
      </c>
    </row>
    <row r="145" spans="2:9" x14ac:dyDescent="0.3">
      <c r="B145" s="742">
        <v>25</v>
      </c>
      <c r="C145">
        <v>786142.56904032244</v>
      </c>
      <c r="D145">
        <v>15753.641389336526</v>
      </c>
      <c r="F145">
        <v>16</v>
      </c>
      <c r="G145">
        <v>740485.62131810922</v>
      </c>
      <c r="H145">
        <f t="shared" si="16"/>
        <v>925607.02664763655</v>
      </c>
      <c r="I145">
        <f t="shared" si="17"/>
        <v>962631.30771354202</v>
      </c>
    </row>
    <row r="146" spans="2:9" x14ac:dyDescent="0.3">
      <c r="B146" s="742">
        <v>26</v>
      </c>
      <c r="C146">
        <v>740632.39649694215</v>
      </c>
      <c r="D146">
        <v>14767.980684789065</v>
      </c>
      <c r="F146">
        <v>17</v>
      </c>
      <c r="G146">
        <v>920848.15959087026</v>
      </c>
      <c r="H146">
        <f t="shared" si="16"/>
        <v>1151060.1994885879</v>
      </c>
      <c r="I146">
        <f t="shared" si="17"/>
        <v>1197102.6074681315</v>
      </c>
    </row>
    <row r="147" spans="2:9" x14ac:dyDescent="0.3">
      <c r="B147" s="742" t="s">
        <v>397</v>
      </c>
      <c r="C147" s="850">
        <v>13039818.50146592</v>
      </c>
      <c r="D147">
        <v>257013.94867791084</v>
      </c>
      <c r="F147">
        <v>18</v>
      </c>
      <c r="G147">
        <v>958196.82308703091</v>
      </c>
      <c r="H147">
        <f t="shared" si="16"/>
        <v>1197746.0288587885</v>
      </c>
      <c r="I147">
        <f t="shared" si="17"/>
        <v>1245655.8700131401</v>
      </c>
    </row>
    <row r="148" spans="2:9" x14ac:dyDescent="0.3">
      <c r="F148">
        <v>19</v>
      </c>
      <c r="G148">
        <v>950346.41812766087</v>
      </c>
      <c r="H148">
        <f t="shared" si="16"/>
        <v>1187933.022659576</v>
      </c>
      <c r="I148">
        <f t="shared" si="17"/>
        <v>1235450.3435659593</v>
      </c>
    </row>
    <row r="149" spans="2:9" x14ac:dyDescent="0.3">
      <c r="F149">
        <v>20</v>
      </c>
      <c r="G149">
        <v>967909.12587049452</v>
      </c>
      <c r="H149">
        <f t="shared" si="16"/>
        <v>1209886.4073381182</v>
      </c>
      <c r="I149">
        <f t="shared" si="17"/>
        <v>1258281.8636316429</v>
      </c>
    </row>
    <row r="150" spans="2:9" x14ac:dyDescent="0.3">
      <c r="F150">
        <v>21</v>
      </c>
      <c r="G150">
        <v>777946.15334346157</v>
      </c>
      <c r="H150">
        <f t="shared" si="16"/>
        <v>972432.69167932693</v>
      </c>
      <c r="I150">
        <f t="shared" si="17"/>
        <v>1011329.9993465</v>
      </c>
    </row>
    <row r="151" spans="2:9" x14ac:dyDescent="0.3">
      <c r="F151">
        <v>22</v>
      </c>
      <c r="G151">
        <v>1006359.8850713602</v>
      </c>
      <c r="H151">
        <f t="shared" si="16"/>
        <v>1257949.8563392002</v>
      </c>
      <c r="I151">
        <f t="shared" si="17"/>
        <v>1308267.8505927683</v>
      </c>
    </row>
    <row r="152" spans="2:9" x14ac:dyDescent="0.3">
      <c r="F152">
        <v>23</v>
      </c>
      <c r="G152">
        <v>723804.05860102165</v>
      </c>
      <c r="H152">
        <f t="shared" si="16"/>
        <v>904755.07325127709</v>
      </c>
      <c r="I152">
        <f t="shared" si="17"/>
        <v>940945.27618132823</v>
      </c>
    </row>
    <row r="153" spans="2:9" x14ac:dyDescent="0.3">
      <c r="F153">
        <v>24</v>
      </c>
      <c r="G153">
        <v>936241.79113376094</v>
      </c>
      <c r="H153">
        <f t="shared" si="16"/>
        <v>1170302.2389172013</v>
      </c>
      <c r="I153">
        <f t="shared" si="17"/>
        <v>1217114.3284738893</v>
      </c>
    </row>
    <row r="154" spans="2:9" x14ac:dyDescent="0.3">
      <c r="F154">
        <v>25</v>
      </c>
      <c r="G154">
        <v>928912.99720081198</v>
      </c>
      <c r="H154">
        <f t="shared" si="16"/>
        <v>1161141.246501015</v>
      </c>
      <c r="I154">
        <f t="shared" si="17"/>
        <v>1207586.8963610556</v>
      </c>
    </row>
    <row r="155" spans="2:9" x14ac:dyDescent="0.3">
      <c r="F155">
        <v>26</v>
      </c>
      <c r="G155">
        <v>873296.7869935825</v>
      </c>
      <c r="H155">
        <f t="shared" si="16"/>
        <v>1091620.9837419782</v>
      </c>
      <c r="I155">
        <f t="shared" si="17"/>
        <v>1135285.8230916574</v>
      </c>
    </row>
    <row r="156" spans="2:9" x14ac:dyDescent="0.3">
      <c r="F156">
        <v>27</v>
      </c>
      <c r="G156">
        <v>782143.35118829727</v>
      </c>
      <c r="H156">
        <f t="shared" si="16"/>
        <v>977679.18898537161</v>
      </c>
      <c r="I156">
        <f t="shared" si="17"/>
        <v>1016786.3565447865</v>
      </c>
    </row>
    <row r="157" spans="2:9" x14ac:dyDescent="0.3">
      <c r="F157">
        <v>28</v>
      </c>
      <c r="G157">
        <v>721393.83082951664</v>
      </c>
      <c r="H157">
        <f t="shared" si="16"/>
        <v>901742.28853689576</v>
      </c>
      <c r="I157">
        <f t="shared" si="17"/>
        <v>937811.98007837171</v>
      </c>
    </row>
    <row r="158" spans="2:9" x14ac:dyDescent="0.3">
      <c r="F158">
        <v>29</v>
      </c>
      <c r="G158">
        <v>610978.17863039637</v>
      </c>
      <c r="H158">
        <f t="shared" si="16"/>
        <v>763722.72328799544</v>
      </c>
      <c r="I158">
        <f t="shared" si="17"/>
        <v>794271.63221951528</v>
      </c>
    </row>
    <row r="159" spans="2:9" x14ac:dyDescent="0.3">
      <c r="F159">
        <v>30</v>
      </c>
      <c r="G159">
        <v>772549.10293861898</v>
      </c>
      <c r="H159">
        <f t="shared" si="16"/>
        <v>965686.37867327372</v>
      </c>
      <c r="I159">
        <f t="shared" si="17"/>
        <v>1004313.8338202047</v>
      </c>
    </row>
    <row r="160" spans="2:9" x14ac:dyDescent="0.3">
      <c r="F160">
        <v>31</v>
      </c>
      <c r="G160">
        <v>746209.82494855125</v>
      </c>
      <c r="H160">
        <f t="shared" si="16"/>
        <v>932762.28118568903</v>
      </c>
      <c r="I160">
        <f t="shared" si="17"/>
        <v>970072.77243311668</v>
      </c>
    </row>
    <row r="161" spans="6:9" x14ac:dyDescent="0.3">
      <c r="F161">
        <v>32</v>
      </c>
      <c r="G161">
        <v>754309.87644607725</v>
      </c>
      <c r="H161">
        <f t="shared" si="16"/>
        <v>942887.34555759653</v>
      </c>
      <c r="I161">
        <f t="shared" si="17"/>
        <v>980602.83937990048</v>
      </c>
    </row>
    <row r="162" spans="6:9" x14ac:dyDescent="0.3">
      <c r="F162">
        <v>33</v>
      </c>
      <c r="G162">
        <v>617620.91782919504</v>
      </c>
      <c r="H162">
        <f t="shared" ref="H162:H181" si="18">G162*$H$129</f>
        <v>772026.1472864938</v>
      </c>
      <c r="I162">
        <f t="shared" ref="I162:I181" si="19">G162*$I$129</f>
        <v>802907.1931779536</v>
      </c>
    </row>
    <row r="163" spans="6:9" x14ac:dyDescent="0.3">
      <c r="F163">
        <v>34</v>
      </c>
      <c r="G163">
        <v>884843.73482784536</v>
      </c>
      <c r="H163">
        <f t="shared" si="18"/>
        <v>1106054.6685348067</v>
      </c>
      <c r="I163">
        <f t="shared" si="19"/>
        <v>1150296.8552761991</v>
      </c>
    </row>
    <row r="164" spans="6:9" x14ac:dyDescent="0.3">
      <c r="F164">
        <v>35</v>
      </c>
      <c r="G164">
        <v>954199.16556458559</v>
      </c>
      <c r="H164">
        <f t="shared" si="18"/>
        <v>1192748.9569557321</v>
      </c>
      <c r="I164">
        <f t="shared" si="19"/>
        <v>1240458.9152339613</v>
      </c>
    </row>
    <row r="165" spans="6:9" x14ac:dyDescent="0.3">
      <c r="F165">
        <v>36</v>
      </c>
      <c r="G165">
        <v>971040.37645087554</v>
      </c>
      <c r="H165">
        <f t="shared" si="18"/>
        <v>1213800.4705635945</v>
      </c>
      <c r="I165">
        <f t="shared" si="19"/>
        <v>1262352.4893861383</v>
      </c>
    </row>
    <row r="166" spans="6:9" x14ac:dyDescent="0.3">
      <c r="F166">
        <v>37</v>
      </c>
      <c r="G166">
        <v>949932.67648002598</v>
      </c>
      <c r="H166">
        <f t="shared" si="18"/>
        <v>1187415.8456000325</v>
      </c>
      <c r="I166">
        <f t="shared" si="19"/>
        <v>1234912.4794240338</v>
      </c>
    </row>
    <row r="167" spans="6:9" x14ac:dyDescent="0.3">
      <c r="F167">
        <v>38</v>
      </c>
      <c r="G167">
        <v>952365.71999522415</v>
      </c>
      <c r="H167">
        <f t="shared" si="18"/>
        <v>1190457.1499940301</v>
      </c>
      <c r="I167">
        <f t="shared" si="19"/>
        <v>1238075.4359937913</v>
      </c>
    </row>
    <row r="168" spans="6:9" x14ac:dyDescent="0.3">
      <c r="F168">
        <v>39</v>
      </c>
      <c r="G168">
        <v>1026236.8643744043</v>
      </c>
      <c r="H168">
        <f t="shared" si="18"/>
        <v>1282796.0804680055</v>
      </c>
      <c r="I168">
        <f t="shared" si="19"/>
        <v>1334107.9236867256</v>
      </c>
    </row>
    <row r="169" spans="6:9" x14ac:dyDescent="0.3">
      <c r="F169">
        <v>40</v>
      </c>
      <c r="G169">
        <v>1081308.1869322776</v>
      </c>
      <c r="H169">
        <f t="shared" si="18"/>
        <v>1351635.2336653471</v>
      </c>
      <c r="I169">
        <f t="shared" si="19"/>
        <v>1405700.6430119609</v>
      </c>
    </row>
    <row r="170" spans="6:9" x14ac:dyDescent="0.3">
      <c r="F170">
        <v>41</v>
      </c>
      <c r="G170">
        <v>1086879.5296530225</v>
      </c>
      <c r="H170">
        <f t="shared" si="18"/>
        <v>1358599.412066278</v>
      </c>
      <c r="I170">
        <f t="shared" si="19"/>
        <v>1412943.3885489292</v>
      </c>
    </row>
    <row r="171" spans="6:9" x14ac:dyDescent="0.3">
      <c r="F171">
        <v>42</v>
      </c>
      <c r="G171">
        <v>1039913.1659789655</v>
      </c>
      <c r="H171">
        <f t="shared" si="18"/>
        <v>1299891.4574737069</v>
      </c>
      <c r="I171">
        <f t="shared" si="19"/>
        <v>1351887.1157726552</v>
      </c>
    </row>
    <row r="172" spans="6:9" x14ac:dyDescent="0.3">
      <c r="F172">
        <v>43</v>
      </c>
      <c r="G172">
        <v>1110818.5377005739</v>
      </c>
      <c r="H172">
        <f t="shared" si="18"/>
        <v>1388523.1721257174</v>
      </c>
      <c r="I172">
        <f t="shared" si="19"/>
        <v>1444064.0990107462</v>
      </c>
    </row>
    <row r="173" spans="6:9" x14ac:dyDescent="0.3">
      <c r="F173">
        <v>44</v>
      </c>
      <c r="G173">
        <v>819147.76427903422</v>
      </c>
      <c r="H173">
        <f t="shared" si="18"/>
        <v>1023934.7053487927</v>
      </c>
      <c r="I173">
        <f t="shared" si="19"/>
        <v>1064892.0935627446</v>
      </c>
    </row>
    <row r="174" spans="6:9" x14ac:dyDescent="0.3">
      <c r="F174">
        <v>45</v>
      </c>
      <c r="G174">
        <v>893329.7378388684</v>
      </c>
      <c r="H174">
        <f t="shared" si="18"/>
        <v>1116662.1722985855</v>
      </c>
      <c r="I174">
        <f t="shared" si="19"/>
        <v>1161328.659190529</v>
      </c>
    </row>
    <row r="175" spans="6:9" x14ac:dyDescent="0.3">
      <c r="F175">
        <v>46</v>
      </c>
      <c r="G175">
        <v>1044598.8958842496</v>
      </c>
      <c r="H175">
        <f t="shared" si="18"/>
        <v>1305748.6198553119</v>
      </c>
      <c r="I175">
        <f t="shared" si="19"/>
        <v>1357978.5646495244</v>
      </c>
    </row>
    <row r="176" spans="6:9" x14ac:dyDescent="0.3">
      <c r="F176">
        <v>47</v>
      </c>
      <c r="G176">
        <v>1184128.6808321769</v>
      </c>
      <c r="H176">
        <f t="shared" si="18"/>
        <v>1480160.8510402213</v>
      </c>
      <c r="I176">
        <f t="shared" si="19"/>
        <v>1539367.2850818301</v>
      </c>
    </row>
    <row r="177" spans="2:14" x14ac:dyDescent="0.3">
      <c r="F177">
        <v>48</v>
      </c>
      <c r="G177">
        <v>1179372.3648852902</v>
      </c>
      <c r="H177">
        <f t="shared" si="18"/>
        <v>1474215.4561066127</v>
      </c>
      <c r="I177">
        <f t="shared" si="19"/>
        <v>1533184.0743508772</v>
      </c>
    </row>
    <row r="178" spans="2:14" x14ac:dyDescent="0.3">
      <c r="F178">
        <v>49</v>
      </c>
      <c r="G178">
        <v>1049967.1819337255</v>
      </c>
      <c r="H178">
        <f t="shared" si="18"/>
        <v>1312458.9774171568</v>
      </c>
      <c r="I178">
        <f t="shared" si="19"/>
        <v>1364957.3365138432</v>
      </c>
    </row>
    <row r="179" spans="2:14" x14ac:dyDescent="0.3">
      <c r="F179">
        <v>50</v>
      </c>
      <c r="G179">
        <v>1060424.1102210898</v>
      </c>
      <c r="H179">
        <f t="shared" si="18"/>
        <v>1325530.1377763622</v>
      </c>
      <c r="I179">
        <f t="shared" si="19"/>
        <v>1378551.3432874167</v>
      </c>
    </row>
    <row r="180" spans="2:14" x14ac:dyDescent="0.3">
      <c r="F180">
        <v>51</v>
      </c>
      <c r="G180">
        <v>1163577.2045494542</v>
      </c>
      <c r="H180">
        <f t="shared" si="18"/>
        <v>1454471.5056868177</v>
      </c>
      <c r="I180">
        <f t="shared" si="19"/>
        <v>1512650.3659142905</v>
      </c>
    </row>
    <row r="181" spans="2:14" x14ac:dyDescent="0.3">
      <c r="F181">
        <v>52</v>
      </c>
      <c r="G181">
        <v>943387.63002381066</v>
      </c>
      <c r="H181">
        <f t="shared" si="18"/>
        <v>1179234.5375297633</v>
      </c>
      <c r="I181">
        <f t="shared" si="19"/>
        <v>1226403.9190309539</v>
      </c>
    </row>
    <row r="191" spans="2:14" x14ac:dyDescent="0.3">
      <c r="B191" t="s">
        <v>370</v>
      </c>
      <c r="C191" t="s">
        <v>416</v>
      </c>
    </row>
    <row r="192" spans="2:14" x14ac:dyDescent="0.3">
      <c r="B192" t="s">
        <v>382</v>
      </c>
      <c r="C192" t="s">
        <v>113</v>
      </c>
      <c r="D192" t="s">
        <v>114</v>
      </c>
      <c r="E192" t="s">
        <v>115</v>
      </c>
      <c r="F192" t="s">
        <v>116</v>
      </c>
      <c r="G192" t="s">
        <v>117</v>
      </c>
      <c r="H192" t="s">
        <v>118</v>
      </c>
      <c r="I192" t="s">
        <v>119</v>
      </c>
      <c r="J192" t="s">
        <v>397</v>
      </c>
      <c r="N192" s="312">
        <v>770544</v>
      </c>
    </row>
    <row r="193" spans="2:14" x14ac:dyDescent="0.3">
      <c r="B193" s="742">
        <v>1</v>
      </c>
      <c r="C193" s="312">
        <v>75120.922872487237</v>
      </c>
      <c r="D193" s="312">
        <v>134356.27671830452</v>
      </c>
      <c r="E193" s="312">
        <v>133669.58975804353</v>
      </c>
      <c r="F193" s="312">
        <v>124500</v>
      </c>
      <c r="G193" s="312">
        <v>148500</v>
      </c>
      <c r="H193" s="312">
        <v>143100</v>
      </c>
      <c r="I193" s="312">
        <v>5130</v>
      </c>
      <c r="J193" s="312">
        <v>764376.78934883536</v>
      </c>
      <c r="N193" s="312">
        <v>783931</v>
      </c>
    </row>
    <row r="194" spans="2:14" x14ac:dyDescent="0.3">
      <c r="B194" s="742">
        <v>2</v>
      </c>
      <c r="C194" s="312">
        <v>111220.51417848557</v>
      </c>
      <c r="D194" s="312">
        <v>126459.33291313886</v>
      </c>
      <c r="E194" s="312">
        <v>124119.16835680191</v>
      </c>
      <c r="F194" s="312">
        <v>144725</v>
      </c>
      <c r="G194" s="312">
        <v>158900</v>
      </c>
      <c r="H194" s="312">
        <v>156850</v>
      </c>
      <c r="I194" s="312">
        <v>5130</v>
      </c>
      <c r="J194" s="312">
        <v>827404.01544842636</v>
      </c>
      <c r="N194" s="312">
        <v>784095</v>
      </c>
    </row>
    <row r="195" spans="2:14" x14ac:dyDescent="0.3">
      <c r="B195" s="742">
        <v>3</v>
      </c>
      <c r="C195" s="312">
        <v>113769.00822565003</v>
      </c>
      <c r="D195" s="312">
        <v>127687.64232932308</v>
      </c>
      <c r="E195" s="312">
        <v>133888.93577185471</v>
      </c>
      <c r="F195" s="312">
        <v>132000</v>
      </c>
      <c r="G195" s="312">
        <v>156350</v>
      </c>
      <c r="H195" s="312">
        <v>149300</v>
      </c>
      <c r="I195" s="312">
        <v>5040</v>
      </c>
      <c r="J195" s="312">
        <v>818035.58632682776</v>
      </c>
      <c r="N195" s="312">
        <v>798478</v>
      </c>
    </row>
    <row r="196" spans="2:14" x14ac:dyDescent="0.3">
      <c r="B196" s="742">
        <v>4</v>
      </c>
      <c r="C196" s="312">
        <v>111467.62190900784</v>
      </c>
      <c r="D196" s="312">
        <v>123190.4717801597</v>
      </c>
      <c r="E196" s="312">
        <v>132000</v>
      </c>
      <c r="F196" s="312">
        <v>126582.2977111113</v>
      </c>
      <c r="G196" s="312">
        <v>140277.96616762155</v>
      </c>
      <c r="H196" s="312">
        <v>148290.0487994506</v>
      </c>
      <c r="I196" s="312">
        <v>10085.915468958956</v>
      </c>
      <c r="J196" s="312">
        <v>791894.32183630986</v>
      </c>
      <c r="N196" s="312">
        <v>807398</v>
      </c>
    </row>
    <row r="197" spans="2:14" x14ac:dyDescent="0.3">
      <c r="B197" s="742">
        <v>5</v>
      </c>
      <c r="C197" s="312">
        <v>115143.24656799508</v>
      </c>
      <c r="D197" s="312">
        <v>127133.4103229538</v>
      </c>
      <c r="E197" s="312">
        <v>134322.54028444664</v>
      </c>
      <c r="F197" s="312">
        <v>130168.38575069876</v>
      </c>
      <c r="G197" s="312">
        <v>144624.02572923689</v>
      </c>
      <c r="H197" s="312">
        <v>155672.7268153982</v>
      </c>
      <c r="I197" s="312">
        <v>11159.93488747726</v>
      </c>
      <c r="J197" s="312">
        <v>818224.2703582067</v>
      </c>
      <c r="N197" s="312">
        <v>803431</v>
      </c>
    </row>
    <row r="198" spans="2:14" x14ac:dyDescent="0.3">
      <c r="B198" s="742">
        <v>6</v>
      </c>
      <c r="C198" s="312">
        <v>118685.43126984651</v>
      </c>
      <c r="D198" s="312">
        <v>129281.23563960972</v>
      </c>
      <c r="E198" s="312">
        <v>136397.49115123122</v>
      </c>
      <c r="F198" s="312">
        <v>113364.12994369096</v>
      </c>
      <c r="G198" s="312">
        <v>152280.3536201003</v>
      </c>
      <c r="H198" s="312">
        <v>143689.04838637664</v>
      </c>
      <c r="I198" s="312">
        <v>10705.026250185962</v>
      </c>
      <c r="J198" s="312">
        <v>804402.71626104135</v>
      </c>
      <c r="N198" s="312">
        <v>815162</v>
      </c>
    </row>
    <row r="199" spans="2:14" x14ac:dyDescent="0.3">
      <c r="B199" s="742">
        <v>7</v>
      </c>
      <c r="C199" s="312">
        <v>112305.6950144061</v>
      </c>
      <c r="D199" s="312">
        <v>130670.08982561332</v>
      </c>
      <c r="E199" s="312">
        <v>131642.51616204466</v>
      </c>
      <c r="F199" s="312">
        <v>125397.31238718027</v>
      </c>
      <c r="G199" s="312">
        <v>160627.08026904287</v>
      </c>
      <c r="H199" s="312">
        <v>150177.5127844596</v>
      </c>
      <c r="I199" s="312">
        <v>5471.4699446368877</v>
      </c>
      <c r="J199" s="312">
        <v>816291.67638738372</v>
      </c>
      <c r="N199" s="312">
        <v>827182</v>
      </c>
    </row>
    <row r="200" spans="2:14" x14ac:dyDescent="0.3">
      <c r="N200" s="312">
        <v>839489</v>
      </c>
    </row>
    <row r="201" spans="2:14" x14ac:dyDescent="0.3">
      <c r="N201" s="312">
        <v>876450</v>
      </c>
    </row>
    <row r="202" spans="2:14" x14ac:dyDescent="0.3">
      <c r="N202" s="312">
        <v>859497</v>
      </c>
    </row>
    <row r="203" spans="2:14" x14ac:dyDescent="0.3">
      <c r="N203" s="312">
        <v>879705</v>
      </c>
    </row>
    <row r="204" spans="2:14" x14ac:dyDescent="0.3">
      <c r="N204" s="312">
        <v>893782</v>
      </c>
    </row>
    <row r="205" spans="2:14" x14ac:dyDescent="0.3">
      <c r="N205" s="312">
        <v>930246</v>
      </c>
    </row>
    <row r="206" spans="2:14" x14ac:dyDescent="0.3">
      <c r="N206" s="312">
        <v>918080</v>
      </c>
    </row>
    <row r="207" spans="2:14" x14ac:dyDescent="0.3">
      <c r="N207" s="312">
        <v>738788</v>
      </c>
    </row>
    <row r="208" spans="2:14" x14ac:dyDescent="0.3">
      <c r="N208" s="312">
        <v>924878</v>
      </c>
    </row>
    <row r="209" spans="10:14" x14ac:dyDescent="0.3">
      <c r="N209" s="312">
        <v>871833</v>
      </c>
    </row>
    <row r="210" spans="10:14" x14ac:dyDescent="0.3">
      <c r="N210" s="312">
        <v>855612</v>
      </c>
    </row>
    <row r="211" spans="10:14" x14ac:dyDescent="0.3">
      <c r="N211" s="312">
        <v>864569</v>
      </c>
    </row>
    <row r="212" spans="10:14" x14ac:dyDescent="0.3">
      <c r="N212" s="312">
        <v>717858</v>
      </c>
    </row>
    <row r="213" spans="10:14" x14ac:dyDescent="0.3">
      <c r="N213" s="312">
        <v>942717</v>
      </c>
    </row>
    <row r="224" spans="10:14" x14ac:dyDescent="0.3">
      <c r="J224" s="856" t="s">
        <v>287</v>
      </c>
      <c r="K224" s="44">
        <v>771941</v>
      </c>
    </row>
    <row r="225" spans="10:11" x14ac:dyDescent="0.3">
      <c r="J225" s="225" t="s">
        <v>289</v>
      </c>
      <c r="K225" s="44">
        <v>783442</v>
      </c>
    </row>
    <row r="226" spans="10:11" x14ac:dyDescent="0.3">
      <c r="J226" s="225" t="s">
        <v>290</v>
      </c>
      <c r="K226" s="44">
        <v>812162</v>
      </c>
    </row>
    <row r="227" spans="10:11" x14ac:dyDescent="0.3">
      <c r="J227" s="225" t="s">
        <v>291</v>
      </c>
      <c r="K227" s="44">
        <v>817834</v>
      </c>
    </row>
    <row r="228" spans="10:11" x14ac:dyDescent="0.3">
      <c r="J228" s="225" t="s">
        <v>292</v>
      </c>
      <c r="K228" s="44">
        <v>848551</v>
      </c>
    </row>
    <row r="229" spans="10:11" x14ac:dyDescent="0.3">
      <c r="J229" s="225" t="s">
        <v>293</v>
      </c>
      <c r="K229" s="44">
        <v>751673</v>
      </c>
    </row>
    <row r="230" spans="10:11" x14ac:dyDescent="0.3">
      <c r="J230" s="225" t="s">
        <v>294</v>
      </c>
      <c r="K230" s="44">
        <v>723990</v>
      </c>
    </row>
    <row r="231" spans="10:11" x14ac:dyDescent="0.3">
      <c r="J231" s="225" t="s">
        <v>295</v>
      </c>
      <c r="K231" s="44">
        <v>746611</v>
      </c>
    </row>
    <row r="232" spans="10:11" x14ac:dyDescent="0.3">
      <c r="J232" s="225" t="s">
        <v>296</v>
      </c>
      <c r="K232" s="44">
        <v>782316</v>
      </c>
    </row>
    <row r="233" spans="10:11" x14ac:dyDescent="0.3">
      <c r="J233" s="225" t="s">
        <v>297</v>
      </c>
      <c r="K233" s="44">
        <v>769832</v>
      </c>
    </row>
    <row r="234" spans="10:11" x14ac:dyDescent="0.3">
      <c r="J234" s="225" t="s">
        <v>233</v>
      </c>
      <c r="K234" s="44">
        <v>736923</v>
      </c>
    </row>
    <row r="235" spans="10:11" x14ac:dyDescent="0.3">
      <c r="J235" s="225" t="s">
        <v>234</v>
      </c>
      <c r="K235" s="44">
        <v>770999.46984439017</v>
      </c>
    </row>
    <row r="236" spans="10:11" x14ac:dyDescent="0.3">
      <c r="J236" s="225" t="s">
        <v>235</v>
      </c>
      <c r="K236" s="44">
        <v>795724.79603410745</v>
      </c>
    </row>
    <row r="237" spans="10:11" x14ac:dyDescent="0.3">
      <c r="J237" s="225" t="s">
        <v>236</v>
      </c>
      <c r="K237" s="44">
        <v>764079.63897967164</v>
      </c>
    </row>
    <row r="238" spans="10:11" x14ac:dyDescent="0.3">
      <c r="J238" s="225" t="s">
        <v>237</v>
      </c>
      <c r="K238" s="44">
        <v>784425.34119633911</v>
      </c>
    </row>
    <row r="239" spans="10:11" x14ac:dyDescent="0.3">
      <c r="J239" s="225" t="s">
        <v>238</v>
      </c>
      <c r="K239" s="44">
        <v>633314.46472041821</v>
      </c>
    </row>
    <row r="240" spans="10:11" x14ac:dyDescent="0.3">
      <c r="J240" s="225" t="s">
        <v>239</v>
      </c>
      <c r="K240" s="44">
        <v>808613.04851333809</v>
      </c>
    </row>
    <row r="241" spans="3:17" x14ac:dyDescent="0.3">
      <c r="J241" s="225" t="s">
        <v>240</v>
      </c>
      <c r="K241" s="44">
        <v>847337.66621649126</v>
      </c>
    </row>
    <row r="242" spans="3:17" x14ac:dyDescent="0.3">
      <c r="J242" s="225" t="s">
        <v>241</v>
      </c>
      <c r="K242" s="44">
        <v>877353.94070826285</v>
      </c>
    </row>
    <row r="243" spans="3:17" x14ac:dyDescent="0.3">
      <c r="J243" s="225" t="s">
        <v>242</v>
      </c>
      <c r="K243" s="44">
        <v>857518.24478387029</v>
      </c>
    </row>
    <row r="244" spans="3:17" x14ac:dyDescent="0.3">
      <c r="J244" s="225" t="s">
        <v>243</v>
      </c>
      <c r="K244" s="44">
        <v>662467.54953427252</v>
      </c>
    </row>
    <row r="245" spans="3:17" x14ac:dyDescent="0.3">
      <c r="J245" s="225" t="s">
        <v>244</v>
      </c>
      <c r="K245" s="44">
        <v>742579.34209390357</v>
      </c>
    </row>
    <row r="246" spans="3:17" x14ac:dyDescent="0.3">
      <c r="J246" s="225" t="s">
        <v>245</v>
      </c>
      <c r="K246" s="44">
        <v>602597.80432399746</v>
      </c>
    </row>
    <row r="247" spans="3:17" x14ac:dyDescent="0.3">
      <c r="J247" s="225" t="s">
        <v>246</v>
      </c>
      <c r="K247" s="44">
        <v>794189.28225254628</v>
      </c>
    </row>
    <row r="248" spans="3:17" x14ac:dyDescent="0.3">
      <c r="J248" s="225" t="s">
        <v>247</v>
      </c>
      <c r="K248" s="44">
        <v>786142.56904032256</v>
      </c>
    </row>
    <row r="252" spans="3:17" x14ac:dyDescent="0.3">
      <c r="C252" t="s">
        <v>368</v>
      </c>
      <c r="D252" t="s">
        <v>380</v>
      </c>
      <c r="E252" t="s">
        <v>113</v>
      </c>
      <c r="F252" t="s">
        <v>114</v>
      </c>
      <c r="G252" t="s">
        <v>115</v>
      </c>
      <c r="H252" t="s">
        <v>116</v>
      </c>
      <c r="I252" t="s">
        <v>117</v>
      </c>
      <c r="J252" t="s">
        <v>118</v>
      </c>
      <c r="K252" t="s">
        <v>119</v>
      </c>
      <c r="L252" t="s">
        <v>383</v>
      </c>
      <c r="M252" t="s">
        <v>384</v>
      </c>
      <c r="N252" t="s">
        <v>385</v>
      </c>
      <c r="O252" t="s">
        <v>417</v>
      </c>
      <c r="P252" s="64">
        <v>-0.05</v>
      </c>
      <c r="Q252" s="64">
        <v>0.05</v>
      </c>
    </row>
    <row r="253" spans="3:17" x14ac:dyDescent="0.3">
      <c r="C253" s="1025" t="s">
        <v>394</v>
      </c>
      <c r="D253" s="860">
        <v>14</v>
      </c>
      <c r="E253" s="44">
        <v>112146</v>
      </c>
      <c r="F253" s="44">
        <v>114053</v>
      </c>
      <c r="G253" s="44">
        <v>115302</v>
      </c>
      <c r="H253" s="44">
        <v>111662</v>
      </c>
      <c r="I253" s="44">
        <v>141324</v>
      </c>
      <c r="J253" s="44">
        <v>126692</v>
      </c>
      <c r="K253" s="44">
        <v>3952</v>
      </c>
      <c r="L253" s="44">
        <f>SUM(E253:K253)</f>
        <v>725131</v>
      </c>
      <c r="M253" s="44">
        <v>725131</v>
      </c>
      <c r="N253" s="44">
        <f>M253-L253</f>
        <v>0</v>
      </c>
      <c r="O253" s="44">
        <v>0</v>
      </c>
      <c r="P253" s="44">
        <f>M253*(1+$P$252)</f>
        <v>688874.45</v>
      </c>
      <c r="Q253" s="44">
        <f>M253*(1+$Q$252)</f>
        <v>761387.55</v>
      </c>
    </row>
    <row r="254" spans="3:17" x14ac:dyDescent="0.3">
      <c r="C254" s="1025"/>
      <c r="D254" s="860">
        <v>15</v>
      </c>
      <c r="E254" s="44">
        <v>107993</v>
      </c>
      <c r="F254" s="44">
        <v>110781</v>
      </c>
      <c r="G254" s="44">
        <v>93590</v>
      </c>
      <c r="H254" s="44">
        <v>102619</v>
      </c>
      <c r="I254" s="44">
        <v>156312</v>
      </c>
      <c r="J254" s="44">
        <v>142227</v>
      </c>
      <c r="K254" s="44">
        <v>10380</v>
      </c>
      <c r="L254" s="44">
        <f t="shared" ref="L254:L272" si="20">SUM(E254:K254)</f>
        <v>723902</v>
      </c>
      <c r="M254" s="44">
        <v>723902</v>
      </c>
      <c r="N254" s="44">
        <f t="shared" ref="N254:N272" si="21">M254-L254</f>
        <v>0</v>
      </c>
      <c r="O254" s="44">
        <f>L254-L253</f>
        <v>-1229</v>
      </c>
      <c r="P254" s="44">
        <f t="shared" ref="P254:P272" si="22">M254*(1+$P$252)</f>
        <v>687706.9</v>
      </c>
      <c r="Q254" s="44">
        <f t="shared" ref="Q254:Q272" si="23">M254*(1+$Q$252)</f>
        <v>760097.1</v>
      </c>
    </row>
    <row r="255" spans="3:17" x14ac:dyDescent="0.3">
      <c r="C255" s="1025"/>
      <c r="D255" s="860">
        <v>16</v>
      </c>
      <c r="E255" s="44">
        <v>107993</v>
      </c>
      <c r="F255" s="44">
        <v>73943</v>
      </c>
      <c r="G255" s="44">
        <v>127678</v>
      </c>
      <c r="H255" s="44">
        <v>123627</v>
      </c>
      <c r="I255" s="44">
        <v>158466</v>
      </c>
      <c r="J255" s="44">
        <v>145016</v>
      </c>
      <c r="K255" s="44">
        <v>5459</v>
      </c>
      <c r="L255" s="44">
        <f t="shared" si="20"/>
        <v>742182</v>
      </c>
      <c r="M255" s="44">
        <v>634189</v>
      </c>
      <c r="N255" s="44">
        <f t="shared" si="21"/>
        <v>-107993</v>
      </c>
      <c r="O255" s="44">
        <f t="shared" ref="O255:O272" si="24">L255-L254</f>
        <v>18280</v>
      </c>
      <c r="P255" s="44">
        <f t="shared" si="22"/>
        <v>602479.54999999993</v>
      </c>
      <c r="Q255" s="44">
        <f t="shared" si="23"/>
        <v>665898.45000000007</v>
      </c>
    </row>
    <row r="256" spans="3:17" x14ac:dyDescent="0.3">
      <c r="C256" s="1025"/>
      <c r="D256" s="860">
        <v>17</v>
      </c>
      <c r="E256" s="44">
        <v>115412</v>
      </c>
      <c r="F256" s="44">
        <v>111340</v>
      </c>
      <c r="G256" s="44">
        <v>114300.7</v>
      </c>
      <c r="H256" s="44">
        <v>113039.18247897067</v>
      </c>
      <c r="I256" s="44">
        <v>155920.1016461218</v>
      </c>
      <c r="J256" s="44">
        <v>143627.20428124053</v>
      </c>
      <c r="K256" s="44">
        <v>5459</v>
      </c>
      <c r="L256" s="44">
        <f t="shared" si="20"/>
        <v>759098.18840633309</v>
      </c>
      <c r="M256" s="44">
        <v>759098.18840633309</v>
      </c>
      <c r="N256" s="44">
        <f t="shared" si="21"/>
        <v>0</v>
      </c>
      <c r="O256" s="44">
        <f t="shared" si="24"/>
        <v>16916.188406333094</v>
      </c>
      <c r="P256" s="44">
        <f t="shared" si="22"/>
        <v>721143.2789860164</v>
      </c>
      <c r="Q256" s="44">
        <f t="shared" si="23"/>
        <v>797053.09782664978</v>
      </c>
    </row>
    <row r="257" spans="3:17" x14ac:dyDescent="0.3">
      <c r="C257" s="1025" t="s">
        <v>395</v>
      </c>
      <c r="D257" s="860">
        <v>18</v>
      </c>
      <c r="E257" s="44">
        <v>118107.40967143668</v>
      </c>
      <c r="F257" s="44">
        <v>119933.78812176771</v>
      </c>
      <c r="G257" s="44">
        <v>118547.12709616942</v>
      </c>
      <c r="H257" s="44">
        <v>114774.49898249932</v>
      </c>
      <c r="I257" s="44">
        <v>170037.99994722087</v>
      </c>
      <c r="J257" s="44">
        <v>158426.16270351887</v>
      </c>
      <c r="K257" s="44">
        <v>5537.437194755963</v>
      </c>
      <c r="L257" s="44">
        <f t="shared" si="20"/>
        <v>805364.42371736898</v>
      </c>
      <c r="M257" s="44">
        <v>805364.42371736898</v>
      </c>
      <c r="N257" s="44">
        <f t="shared" si="21"/>
        <v>0</v>
      </c>
      <c r="O257" s="44">
        <f>L257-L256</f>
        <v>46266.235311035882</v>
      </c>
      <c r="P257" s="44">
        <f t="shared" si="22"/>
        <v>765096.20253150049</v>
      </c>
      <c r="Q257" s="44">
        <f t="shared" si="23"/>
        <v>845632.64490323747</v>
      </c>
    </row>
    <row r="258" spans="3:17" x14ac:dyDescent="0.3">
      <c r="C258" s="1025"/>
      <c r="D258" s="860">
        <v>19</v>
      </c>
      <c r="E258" s="44">
        <v>125464.51674226942</v>
      </c>
      <c r="F258" s="44">
        <v>130824.12308881665</v>
      </c>
      <c r="G258" s="44">
        <v>132057.49959045299</v>
      </c>
      <c r="H258" s="44">
        <v>138275.27843795228</v>
      </c>
      <c r="I258" s="44">
        <v>168466.31595420255</v>
      </c>
      <c r="J258" s="44">
        <v>151920.57705009816</v>
      </c>
      <c r="K258" s="44">
        <v>5491.4983927604944</v>
      </c>
      <c r="L258" s="44">
        <f t="shared" si="20"/>
        <v>852499.80925655249</v>
      </c>
      <c r="M258" s="44">
        <v>852499.80925655249</v>
      </c>
      <c r="N258" s="44">
        <f t="shared" si="21"/>
        <v>0</v>
      </c>
      <c r="O258" s="44">
        <f t="shared" si="24"/>
        <v>47135.38553918351</v>
      </c>
      <c r="P258" s="44">
        <f t="shared" si="22"/>
        <v>809874.81879372487</v>
      </c>
      <c r="Q258" s="44">
        <f t="shared" si="23"/>
        <v>895124.7997193801</v>
      </c>
    </row>
    <row r="259" spans="3:17" x14ac:dyDescent="0.3">
      <c r="C259" s="1025"/>
      <c r="D259" s="860">
        <v>20</v>
      </c>
      <c r="E259" s="44">
        <v>123113.72390266767</v>
      </c>
      <c r="F259" s="44">
        <v>127156.0453680545</v>
      </c>
      <c r="G259" s="44">
        <v>125803.98496878119</v>
      </c>
      <c r="H259" s="44">
        <v>127096.83034607609</v>
      </c>
      <c r="I259" s="44">
        <v>158198.879439999</v>
      </c>
      <c r="J259" s="44">
        <v>151920.57705009816</v>
      </c>
      <c r="K259" s="44">
        <v>5342.3256240784049</v>
      </c>
      <c r="L259" s="44">
        <f t="shared" si="20"/>
        <v>818632.36669975508</v>
      </c>
      <c r="M259" s="44">
        <v>765565.94648606388</v>
      </c>
      <c r="N259" s="44">
        <f t="shared" si="21"/>
        <v>-53066.420213691192</v>
      </c>
      <c r="O259" s="44">
        <f t="shared" si="24"/>
        <v>-33867.44255679741</v>
      </c>
      <c r="P259" s="44">
        <f t="shared" si="22"/>
        <v>727287.6491617607</v>
      </c>
      <c r="Q259" s="44">
        <f t="shared" si="23"/>
        <v>803844.24381036707</v>
      </c>
    </row>
    <row r="260" spans="3:17" x14ac:dyDescent="0.3">
      <c r="C260" s="1025"/>
      <c r="D260" s="860">
        <v>21</v>
      </c>
      <c r="E260" s="44">
        <v>117010.12336589539</v>
      </c>
      <c r="F260" s="44">
        <v>121084.20610388694</v>
      </c>
      <c r="G260" s="44">
        <v>117530.28837311699</v>
      </c>
      <c r="H260" s="44">
        <v>127096.83034607609</v>
      </c>
      <c r="I260" s="44">
        <v>158198.879439999</v>
      </c>
      <c r="J260" s="44">
        <v>148884.33845666063</v>
      </c>
      <c r="K260" s="44">
        <v>5509.3991602790311</v>
      </c>
      <c r="L260" s="44">
        <f t="shared" si="20"/>
        <v>795314.06524591404</v>
      </c>
      <c r="M260" s="44">
        <v>668217.23489983799</v>
      </c>
      <c r="N260" s="44">
        <f t="shared" si="21"/>
        <v>-127096.83034607605</v>
      </c>
      <c r="O260" s="44">
        <f>L260-L259</f>
        <v>-23318.301453841035</v>
      </c>
      <c r="P260" s="44">
        <f t="shared" si="22"/>
        <v>634806.37315484602</v>
      </c>
      <c r="Q260" s="44">
        <f t="shared" si="23"/>
        <v>701628.09664482996</v>
      </c>
    </row>
    <row r="261" spans="3:17" x14ac:dyDescent="0.3">
      <c r="C261" s="1025" t="s">
        <v>396</v>
      </c>
      <c r="D261" s="860">
        <v>22</v>
      </c>
      <c r="E261" s="44">
        <v>116637.40809016296</v>
      </c>
      <c r="F261" s="44">
        <v>144893.99771749609</v>
      </c>
      <c r="G261" s="44">
        <v>146314.66202510084</v>
      </c>
      <c r="H261" s="44">
        <v>132868.34012184571</v>
      </c>
      <c r="I261" s="44">
        <v>164552.12966298929</v>
      </c>
      <c r="J261" s="44">
        <v>149106.31493426076</v>
      </c>
      <c r="K261" s="44">
        <v>5426.8343838888413</v>
      </c>
      <c r="L261" s="44">
        <f t="shared" si="20"/>
        <v>859799.6869357446</v>
      </c>
      <c r="M261" s="44">
        <v>859799.6869357446</v>
      </c>
      <c r="N261" s="44">
        <f t="shared" si="21"/>
        <v>0</v>
      </c>
      <c r="O261" s="44">
        <f t="shared" si="24"/>
        <v>64485.621689830557</v>
      </c>
      <c r="P261" s="44">
        <f t="shared" si="22"/>
        <v>816809.70258895739</v>
      </c>
      <c r="Q261" s="44">
        <f t="shared" si="23"/>
        <v>902789.67128253181</v>
      </c>
    </row>
    <row r="262" spans="3:17" x14ac:dyDescent="0.3">
      <c r="C262" s="1025"/>
      <c r="D262" s="860">
        <v>23</v>
      </c>
      <c r="E262" s="44">
        <v>116637.40809016296</v>
      </c>
      <c r="F262" s="44">
        <v>127156.0453680545</v>
      </c>
      <c r="G262" s="44">
        <v>130525.77872141881</v>
      </c>
      <c r="H262" s="44">
        <v>131887.69809902331</v>
      </c>
      <c r="I262" s="44">
        <v>173356.07042106823</v>
      </c>
      <c r="J262" s="44">
        <v>162250.8777888027</v>
      </c>
      <c r="K262" s="44">
        <v>5501.0524205345573</v>
      </c>
      <c r="L262" s="44">
        <f t="shared" si="20"/>
        <v>847314.93090906506</v>
      </c>
      <c r="M262" s="44">
        <v>669715.50231187872</v>
      </c>
      <c r="N262" s="44">
        <f t="shared" si="21"/>
        <v>-177599.42859718634</v>
      </c>
      <c r="O262" s="44">
        <f t="shared" si="24"/>
        <v>-12484.756026679534</v>
      </c>
      <c r="P262" s="44">
        <f t="shared" si="22"/>
        <v>636229.7271962848</v>
      </c>
      <c r="Q262" s="44">
        <f t="shared" si="23"/>
        <v>703201.27742747264</v>
      </c>
    </row>
    <row r="263" spans="3:17" x14ac:dyDescent="0.3">
      <c r="C263" s="1025"/>
      <c r="D263" s="860">
        <v>24</v>
      </c>
      <c r="E263" s="44">
        <v>130408.34812975925</v>
      </c>
      <c r="F263" s="44">
        <v>131285.82252625792</v>
      </c>
      <c r="G263" s="44">
        <v>129334.39706807805</v>
      </c>
      <c r="H263" s="44">
        <v>127549.5586859243</v>
      </c>
      <c r="I263" s="44">
        <v>169326.00519181351</v>
      </c>
      <c r="J263" s="44">
        <v>150904.74304889381</v>
      </c>
      <c r="K263" s="44">
        <v>5352.6163472431244</v>
      </c>
      <c r="L263" s="44">
        <f t="shared" si="20"/>
        <v>844161.49099796987</v>
      </c>
      <c r="M263" s="44">
        <v>844161.49099796987</v>
      </c>
      <c r="N263" s="44">
        <f t="shared" si="21"/>
        <v>0</v>
      </c>
      <c r="O263" s="44">
        <f t="shared" si="24"/>
        <v>-3153.4399110951927</v>
      </c>
      <c r="P263" s="44">
        <f t="shared" si="22"/>
        <v>801953.41644807137</v>
      </c>
      <c r="Q263" s="44">
        <f t="shared" si="23"/>
        <v>886369.56554786838</v>
      </c>
    </row>
    <row r="264" spans="3:17" x14ac:dyDescent="0.3">
      <c r="C264" s="1025"/>
      <c r="D264" s="860">
        <v>25</v>
      </c>
      <c r="E264" s="44">
        <v>121153.27193497476</v>
      </c>
      <c r="F264" s="44">
        <v>122412.91408425837</v>
      </c>
      <c r="G264" s="44">
        <v>120250.35940931921</v>
      </c>
      <c r="H264" s="44">
        <v>128064.37895498108</v>
      </c>
      <c r="I264" s="44">
        <v>173356.07042106823</v>
      </c>
      <c r="J264" s="44">
        <v>154651.45296019924</v>
      </c>
      <c r="K264" s="44">
        <v>5308.5418352127763</v>
      </c>
      <c r="L264" s="44">
        <f t="shared" si="20"/>
        <v>825196.98960001359</v>
      </c>
      <c r="M264" s="44">
        <v>825196.98960001359</v>
      </c>
      <c r="N264" s="44">
        <f t="shared" si="21"/>
        <v>0</v>
      </c>
      <c r="O264" s="44">
        <f t="shared" si="24"/>
        <v>-18964.501397956279</v>
      </c>
      <c r="P264" s="44">
        <f t="shared" si="22"/>
        <v>783937.14012001292</v>
      </c>
      <c r="Q264" s="44">
        <f t="shared" si="23"/>
        <v>866456.83908001427</v>
      </c>
    </row>
    <row r="265" spans="3:17" x14ac:dyDescent="0.3">
      <c r="C265" s="1025" t="s">
        <v>418</v>
      </c>
      <c r="D265" s="860">
        <v>26</v>
      </c>
      <c r="E265" s="44">
        <v>116637.40809016296</v>
      </c>
      <c r="F265" s="44">
        <v>124992.59990576895</v>
      </c>
      <c r="G265" s="44">
        <v>123218.79813052811</v>
      </c>
      <c r="H265" s="44">
        <v>124835.98347514827</v>
      </c>
      <c r="I265" s="44">
        <v>164552.12966298929</v>
      </c>
      <c r="J265" s="44">
        <v>154521.34994887863</v>
      </c>
      <c r="K265" s="44">
        <v>5424.8171451977014</v>
      </c>
      <c r="L265" s="44">
        <f t="shared" si="20"/>
        <v>814183.08635867387</v>
      </c>
      <c r="M265" s="44">
        <v>814183.08635867387</v>
      </c>
      <c r="N265" s="44">
        <f t="shared" si="21"/>
        <v>0</v>
      </c>
      <c r="O265" s="44">
        <f t="shared" si="24"/>
        <v>-11013.903241339722</v>
      </c>
      <c r="P265" s="44">
        <f t="shared" si="22"/>
        <v>773473.93204074015</v>
      </c>
      <c r="Q265" s="44">
        <f t="shared" si="23"/>
        <v>854892.24067660759</v>
      </c>
    </row>
    <row r="266" spans="3:17" x14ac:dyDescent="0.3">
      <c r="C266" s="1025"/>
      <c r="D266" s="860">
        <v>27</v>
      </c>
      <c r="E266" s="44">
        <v>124136.48944046124</v>
      </c>
      <c r="F266" s="44">
        <v>125529.23714447979</v>
      </c>
      <c r="G266" s="44">
        <v>123265.8911862166</v>
      </c>
      <c r="H266" s="44">
        <v>115233.48206335727</v>
      </c>
      <c r="I266" s="44">
        <v>153821.22125034139</v>
      </c>
      <c r="J266" s="44">
        <v>137351.42479045896</v>
      </c>
      <c r="K266" s="44">
        <v>5334.19138129367</v>
      </c>
      <c r="L266" s="44">
        <f t="shared" si="20"/>
        <v>784671.93725660897</v>
      </c>
      <c r="M266" s="44">
        <v>784671.93725660897</v>
      </c>
      <c r="N266" s="44">
        <f t="shared" si="21"/>
        <v>0</v>
      </c>
      <c r="O266" s="44">
        <f t="shared" si="24"/>
        <v>-29511.149102064897</v>
      </c>
      <c r="P266" s="44">
        <f t="shared" si="22"/>
        <v>745438.34039377852</v>
      </c>
      <c r="Q266" s="44">
        <f t="shared" si="23"/>
        <v>823905.53411943943</v>
      </c>
    </row>
    <row r="267" spans="3:17" x14ac:dyDescent="0.3">
      <c r="C267" s="1025"/>
      <c r="D267" s="860">
        <v>28</v>
      </c>
      <c r="E267" s="44">
        <v>110594.82798813774</v>
      </c>
      <c r="F267" s="44">
        <v>111320.64237672542</v>
      </c>
      <c r="G267" s="44">
        <v>109895.61208117606</v>
      </c>
      <c r="H267" s="44">
        <v>110448.36850612517</v>
      </c>
      <c r="I267" s="44">
        <v>149692.10298803379</v>
      </c>
      <c r="J267" s="44">
        <v>133056.5506090782</v>
      </c>
      <c r="K267" s="44">
        <v>5272.527204384367</v>
      </c>
      <c r="L267" s="44">
        <f t="shared" si="20"/>
        <v>730280.63175366074</v>
      </c>
      <c r="M267" s="44">
        <v>730280.63175366074</v>
      </c>
      <c r="N267" s="44">
        <f t="shared" si="21"/>
        <v>0</v>
      </c>
      <c r="O267" s="44">
        <f t="shared" si="24"/>
        <v>-54391.305502948235</v>
      </c>
      <c r="P267" s="44">
        <f t="shared" si="22"/>
        <v>693766.60016597772</v>
      </c>
      <c r="Q267" s="44">
        <f t="shared" si="23"/>
        <v>766794.66334134375</v>
      </c>
    </row>
    <row r="268" spans="3:17" x14ac:dyDescent="0.3">
      <c r="C268" s="1025"/>
      <c r="D268" s="860">
        <v>29</v>
      </c>
      <c r="E268" s="44">
        <v>107237.88375663143</v>
      </c>
      <c r="F268" s="44">
        <v>108016.17773811813</v>
      </c>
      <c r="G268" s="44">
        <v>106246.66345419791</v>
      </c>
      <c r="H268" s="44">
        <v>110448.36850612517</v>
      </c>
      <c r="I268" s="44">
        <v>151906.62118316046</v>
      </c>
      <c r="J268" s="44">
        <v>130894.60342799989</v>
      </c>
      <c r="K268" s="44">
        <v>5272.527204384367</v>
      </c>
      <c r="L268" s="44">
        <f t="shared" si="20"/>
        <v>720022.8452706174</v>
      </c>
      <c r="M268" s="44">
        <v>604301.9495601079</v>
      </c>
      <c r="N268" s="44">
        <f t="shared" si="21"/>
        <v>-115720.8957105095</v>
      </c>
      <c r="O268" s="44">
        <f t="shared" si="24"/>
        <v>-10257.786483043339</v>
      </c>
      <c r="P268" s="44">
        <f t="shared" si="22"/>
        <v>574086.85208210244</v>
      </c>
      <c r="Q268" s="44">
        <f t="shared" si="23"/>
        <v>634517.04703811335</v>
      </c>
    </row>
    <row r="269" spans="3:17" x14ac:dyDescent="0.3">
      <c r="C269" s="1025" t="s">
        <v>419</v>
      </c>
      <c r="D269" s="860">
        <v>30</v>
      </c>
      <c r="E269" s="44">
        <v>102153.78422964578</v>
      </c>
      <c r="F269" s="44">
        <v>126775.7947667941</v>
      </c>
      <c r="G269" s="44">
        <v>100523.78468535948</v>
      </c>
      <c r="H269" s="44">
        <v>110384.30351257593</v>
      </c>
      <c r="I269" s="44">
        <v>152175.92294482904</v>
      </c>
      <c r="J269" s="44">
        <v>135873.63575073611</v>
      </c>
      <c r="K269" s="44">
        <v>4216.2638441890904</v>
      </c>
      <c r="L269" s="44">
        <f t="shared" si="20"/>
        <v>732103.48973412963</v>
      </c>
      <c r="M269" s="44">
        <v>732103.48973412963</v>
      </c>
      <c r="N269" s="44">
        <f t="shared" si="21"/>
        <v>0</v>
      </c>
      <c r="O269" s="44">
        <f t="shared" si="24"/>
        <v>12080.644463512232</v>
      </c>
      <c r="P269" s="44">
        <f t="shared" si="22"/>
        <v>695498.31524742313</v>
      </c>
      <c r="Q269" s="44">
        <f t="shared" si="23"/>
        <v>768708.66422083613</v>
      </c>
    </row>
    <row r="270" spans="3:17" x14ac:dyDescent="0.3">
      <c r="C270" s="1025"/>
      <c r="D270" s="860">
        <v>31</v>
      </c>
      <c r="E270" s="44">
        <v>109356.1710167726</v>
      </c>
      <c r="F270" s="44">
        <v>109924.12732944723</v>
      </c>
      <c r="G270" s="44">
        <v>108082.529331169</v>
      </c>
      <c r="H270" s="44">
        <v>99550.935543503365</v>
      </c>
      <c r="I270" s="44">
        <v>136946.37282162526</v>
      </c>
      <c r="J270" s="44">
        <v>122073.91698679604</v>
      </c>
      <c r="K270" s="44">
        <v>3725.8032620069971</v>
      </c>
      <c r="L270" s="44">
        <f t="shared" si="20"/>
        <v>689659.85629132041</v>
      </c>
      <c r="M270" s="44">
        <v>689659.85629132041</v>
      </c>
      <c r="N270" s="44">
        <f t="shared" si="21"/>
        <v>0</v>
      </c>
      <c r="O270" s="44">
        <f t="shared" si="24"/>
        <v>-42443.633442809223</v>
      </c>
      <c r="P270" s="44">
        <f t="shared" si="22"/>
        <v>655176.8634767544</v>
      </c>
      <c r="Q270" s="44">
        <f t="shared" si="23"/>
        <v>724142.84910588642</v>
      </c>
    </row>
    <row r="271" spans="3:17" x14ac:dyDescent="0.3">
      <c r="C271" s="1025"/>
      <c r="D271" s="860">
        <v>32</v>
      </c>
      <c r="E271" s="44">
        <v>98054.848108675098</v>
      </c>
      <c r="F271" s="44">
        <v>98916.514603189687</v>
      </c>
      <c r="G271" s="44">
        <v>97419.33017242304</v>
      </c>
      <c r="H271" s="44">
        <v>105667.88216528874</v>
      </c>
      <c r="I271" s="44">
        <v>126769.14464717018</v>
      </c>
      <c r="J271" s="44">
        <v>113543.36557867078</v>
      </c>
      <c r="K271" s="44">
        <v>5272.527204384367</v>
      </c>
      <c r="L271" s="44">
        <f t="shared" si="20"/>
        <v>645643.61247980176</v>
      </c>
      <c r="M271" s="44">
        <v>640371.08527541743</v>
      </c>
      <c r="N271" s="44">
        <f t="shared" si="21"/>
        <v>-5272.5272043843288</v>
      </c>
      <c r="O271" s="44">
        <f t="shared" si="24"/>
        <v>-44016.243811518652</v>
      </c>
      <c r="P271" s="44">
        <f t="shared" si="22"/>
        <v>608352.5310116465</v>
      </c>
      <c r="Q271" s="44">
        <f t="shared" si="23"/>
        <v>672389.63953918836</v>
      </c>
    </row>
    <row r="272" spans="3:17" x14ac:dyDescent="0.3">
      <c r="C272" s="1025"/>
      <c r="D272" s="860">
        <v>33</v>
      </c>
      <c r="E272" s="44">
        <v>98054.848108675098</v>
      </c>
      <c r="F272" s="44">
        <v>98916.514603189687</v>
      </c>
      <c r="G272" s="44">
        <v>117353.92510319674</v>
      </c>
      <c r="H272" s="44">
        <v>114779.59351746444</v>
      </c>
      <c r="I272" s="44">
        <v>153502.9318466663</v>
      </c>
      <c r="J272" s="44">
        <v>137075.70249793865</v>
      </c>
      <c r="K272" s="44">
        <v>5272.527204384367</v>
      </c>
      <c r="L272" s="44">
        <f t="shared" si="20"/>
        <v>724956.04288151523</v>
      </c>
      <c r="M272" s="44">
        <v>589658.00425291329</v>
      </c>
      <c r="N272" s="44">
        <f t="shared" si="21"/>
        <v>-135298.03862860193</v>
      </c>
      <c r="O272" s="44">
        <f t="shared" si="24"/>
        <v>79312.430401713471</v>
      </c>
      <c r="P272" s="44">
        <f t="shared" si="22"/>
        <v>560175.10404026764</v>
      </c>
      <c r="Q272" s="44">
        <f t="shared" si="23"/>
        <v>619140.90446555894</v>
      </c>
    </row>
    <row r="275" spans="3:17" x14ac:dyDescent="0.3">
      <c r="P275" s="64"/>
      <c r="Q275" s="64"/>
    </row>
    <row r="276" spans="3:17" x14ac:dyDescent="0.3">
      <c r="C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P276" s="44"/>
      <c r="Q276" s="44"/>
    </row>
    <row r="277" spans="3:17" x14ac:dyDescent="0.3">
      <c r="C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</row>
    <row r="278" spans="3:17" x14ac:dyDescent="0.3">
      <c r="C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</row>
    <row r="279" spans="3:17" x14ac:dyDescent="0.3">
      <c r="C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</row>
    <row r="280" spans="3:17" x14ac:dyDescent="0.3">
      <c r="C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</row>
    <row r="281" spans="3:17" x14ac:dyDescent="0.3">
      <c r="C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</row>
    <row r="282" spans="3:17" x14ac:dyDescent="0.3">
      <c r="C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</row>
    <row r="283" spans="3:17" x14ac:dyDescent="0.3">
      <c r="C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</row>
    <row r="284" spans="3:17" x14ac:dyDescent="0.3">
      <c r="C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</row>
    <row r="285" spans="3:17" x14ac:dyDescent="0.3">
      <c r="C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</row>
    <row r="286" spans="3:17" x14ac:dyDescent="0.3">
      <c r="C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</row>
    <row r="287" spans="3:17" x14ac:dyDescent="0.3">
      <c r="C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</row>
    <row r="288" spans="3:17" x14ac:dyDescent="0.3"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N288" s="44"/>
      <c r="O288" s="44"/>
      <c r="P288" s="44"/>
    </row>
    <row r="289" spans="3:17" x14ac:dyDescent="0.3">
      <c r="C289" s="44"/>
    </row>
    <row r="290" spans="3:17" x14ac:dyDescent="0.3">
      <c r="C290" s="44"/>
    </row>
    <row r="291" spans="3:17" x14ac:dyDescent="0.3">
      <c r="C291" s="44"/>
    </row>
    <row r="298" spans="3:17" x14ac:dyDescent="0.3">
      <c r="C298" t="s">
        <v>368</v>
      </c>
      <c r="D298" t="s">
        <v>380</v>
      </c>
      <c r="E298" t="s">
        <v>113</v>
      </c>
      <c r="F298" t="s">
        <v>114</v>
      </c>
      <c r="G298" t="s">
        <v>115</v>
      </c>
      <c r="H298" t="s">
        <v>116</v>
      </c>
      <c r="I298" t="s">
        <v>117</v>
      </c>
      <c r="J298" t="s">
        <v>118</v>
      </c>
      <c r="K298" t="s">
        <v>119</v>
      </c>
      <c r="L298" t="s">
        <v>383</v>
      </c>
      <c r="M298" t="s">
        <v>384</v>
      </c>
      <c r="N298" t="s">
        <v>385</v>
      </c>
      <c r="O298" t="s">
        <v>417</v>
      </c>
      <c r="P298" s="64">
        <v>-0.05</v>
      </c>
      <c r="Q298" s="64">
        <v>0.05</v>
      </c>
    </row>
    <row r="299" spans="3:17" x14ac:dyDescent="0.3">
      <c r="C299" s="1026" t="s">
        <v>394</v>
      </c>
      <c r="D299" s="225">
        <v>14</v>
      </c>
      <c r="E299" s="44">
        <v>112146</v>
      </c>
      <c r="F299" s="44">
        <v>114053</v>
      </c>
      <c r="G299" s="44">
        <v>115302</v>
      </c>
      <c r="H299" s="44">
        <v>111662</v>
      </c>
      <c r="I299" s="44">
        <v>141324</v>
      </c>
      <c r="J299" s="44">
        <v>126692</v>
      </c>
      <c r="K299" s="44">
        <v>3952</v>
      </c>
      <c r="L299" s="44">
        <v>725131</v>
      </c>
      <c r="M299" s="44">
        <v>725131</v>
      </c>
      <c r="N299" s="44">
        <v>0</v>
      </c>
      <c r="O299" s="44">
        <v>0</v>
      </c>
      <c r="P299" s="44">
        <v>688874.45</v>
      </c>
      <c r="Q299">
        <v>761387.55</v>
      </c>
    </row>
    <row r="300" spans="3:17" x14ac:dyDescent="0.3">
      <c r="C300" s="1026"/>
      <c r="D300" s="225">
        <v>15</v>
      </c>
      <c r="E300" s="44">
        <v>107993</v>
      </c>
      <c r="F300" s="44">
        <v>110781</v>
      </c>
      <c r="G300" s="44">
        <v>93590</v>
      </c>
      <c r="H300" s="44">
        <v>102619</v>
      </c>
      <c r="I300" s="44">
        <v>156312</v>
      </c>
      <c r="J300" s="44">
        <v>142227</v>
      </c>
      <c r="K300" s="44">
        <v>10380</v>
      </c>
      <c r="L300" s="44">
        <v>723902</v>
      </c>
      <c r="M300" s="44">
        <v>723902</v>
      </c>
      <c r="N300" s="44">
        <v>0</v>
      </c>
      <c r="O300" s="44">
        <v>-1229</v>
      </c>
      <c r="P300" s="44">
        <v>687706.9</v>
      </c>
      <c r="Q300">
        <v>760097.1</v>
      </c>
    </row>
    <row r="301" spans="3:17" x14ac:dyDescent="0.3">
      <c r="C301" s="1026"/>
      <c r="D301" s="225">
        <v>16</v>
      </c>
      <c r="E301" s="44">
        <v>0</v>
      </c>
      <c r="F301" s="44">
        <v>73943</v>
      </c>
      <c r="G301" s="44">
        <v>127678</v>
      </c>
      <c r="H301" s="44">
        <v>123627</v>
      </c>
      <c r="I301" s="44">
        <v>158466</v>
      </c>
      <c r="J301" s="44">
        <v>145016</v>
      </c>
      <c r="K301" s="44">
        <v>5459</v>
      </c>
      <c r="L301" s="44">
        <v>742182</v>
      </c>
      <c r="M301" s="44">
        <v>634189</v>
      </c>
      <c r="N301" s="44">
        <v>-107993</v>
      </c>
      <c r="O301" s="44">
        <v>18280</v>
      </c>
      <c r="P301" s="44">
        <v>602479.54999999993</v>
      </c>
      <c r="Q301">
        <v>665898.45000000007</v>
      </c>
    </row>
    <row r="302" spans="3:17" x14ac:dyDescent="0.3">
      <c r="C302" s="1026"/>
      <c r="D302" s="225">
        <v>17</v>
      </c>
      <c r="E302" s="44">
        <v>115412</v>
      </c>
      <c r="F302" s="44">
        <v>111340</v>
      </c>
      <c r="G302" s="44">
        <v>114300.7</v>
      </c>
      <c r="H302" s="44">
        <v>113039.18247897067</v>
      </c>
      <c r="I302" s="44">
        <v>155920.1016461218</v>
      </c>
      <c r="J302" s="44">
        <v>143627.20428124053</v>
      </c>
      <c r="K302" s="44">
        <v>0</v>
      </c>
      <c r="L302" s="44">
        <v>759098.18840633309</v>
      </c>
      <c r="M302" s="44">
        <v>759098.18840633309</v>
      </c>
      <c r="N302" s="44">
        <v>0</v>
      </c>
      <c r="O302" s="44">
        <v>16916.188406333094</v>
      </c>
      <c r="P302" s="44">
        <v>721143.2789860164</v>
      </c>
      <c r="Q302">
        <v>797053.09782664978</v>
      </c>
    </row>
    <row r="303" spans="3:17" x14ac:dyDescent="0.3">
      <c r="C303" s="1026" t="s">
        <v>395</v>
      </c>
      <c r="D303" s="225">
        <v>18</v>
      </c>
      <c r="E303" s="44">
        <v>118107.40967143668</v>
      </c>
      <c r="F303" s="44">
        <v>119933.78812176771</v>
      </c>
      <c r="G303" s="44">
        <v>118547.12709616942</v>
      </c>
      <c r="H303" s="44">
        <v>114774.49898249932</v>
      </c>
      <c r="I303" s="44">
        <v>170037.99994722087</v>
      </c>
      <c r="J303" s="44">
        <v>158426.16270351887</v>
      </c>
      <c r="K303" s="44">
        <v>5537.437194755963</v>
      </c>
      <c r="L303" s="44">
        <v>805364.42371736898</v>
      </c>
      <c r="M303" s="44">
        <v>805364.42371736898</v>
      </c>
      <c r="N303" s="44">
        <v>0</v>
      </c>
      <c r="O303" s="44">
        <v>46266.235311035882</v>
      </c>
      <c r="P303" s="44">
        <v>765096.20253150049</v>
      </c>
      <c r="Q303">
        <v>845632.64490323747</v>
      </c>
    </row>
    <row r="304" spans="3:17" x14ac:dyDescent="0.3">
      <c r="C304" s="1026"/>
      <c r="D304" s="225">
        <v>19</v>
      </c>
      <c r="E304" s="44">
        <v>125464.51674226942</v>
      </c>
      <c r="F304" s="44">
        <v>130824.12308881665</v>
      </c>
      <c r="G304" s="44">
        <v>132057.49959045299</v>
      </c>
      <c r="H304" s="44">
        <v>138275.27843795228</v>
      </c>
      <c r="I304" s="44">
        <v>168466.31595420255</v>
      </c>
      <c r="J304" s="44">
        <v>151920.57705009816</v>
      </c>
      <c r="K304" s="44">
        <v>5491.4983927604944</v>
      </c>
      <c r="L304" s="44">
        <v>852499.80925655249</v>
      </c>
      <c r="M304" s="44">
        <v>852499.80925655249</v>
      </c>
      <c r="N304" s="44">
        <v>0</v>
      </c>
      <c r="O304" s="44">
        <v>47135.38553918351</v>
      </c>
      <c r="P304" s="44">
        <v>809874.81879372487</v>
      </c>
      <c r="Q304">
        <v>895124.7997193801</v>
      </c>
    </row>
    <row r="305" spans="2:17" x14ac:dyDescent="0.3">
      <c r="C305" s="1026"/>
      <c r="D305" s="225">
        <v>20</v>
      </c>
      <c r="E305" s="44">
        <v>123113.72390266767</v>
      </c>
      <c r="F305" s="44">
        <v>127156.0453680545</v>
      </c>
      <c r="G305" s="44">
        <v>125803.98496878119</v>
      </c>
      <c r="H305" s="44">
        <v>127096.83034607609</v>
      </c>
      <c r="I305" s="44">
        <v>112084.56713256343</v>
      </c>
      <c r="J305" s="44">
        <v>144968.46914384258</v>
      </c>
      <c r="K305" s="44">
        <v>5342.3256240784049</v>
      </c>
      <c r="L305" s="44">
        <v>818632.36669975508</v>
      </c>
      <c r="M305" s="44">
        <v>765565.94648606388</v>
      </c>
      <c r="N305" s="44">
        <v>-53066.420213691192</v>
      </c>
      <c r="O305" s="44">
        <v>-33867.44255679741</v>
      </c>
      <c r="P305" s="44">
        <v>727287.6491617607</v>
      </c>
      <c r="Q305">
        <v>803844.24381036707</v>
      </c>
    </row>
    <row r="306" spans="2:17" x14ac:dyDescent="0.3">
      <c r="C306" s="1026"/>
      <c r="D306" s="225">
        <v>21</v>
      </c>
      <c r="E306" s="44">
        <v>117010.12336589539</v>
      </c>
      <c r="F306" s="44">
        <v>121084.20610388694</v>
      </c>
      <c r="G306" s="44">
        <v>117530.28837311699</v>
      </c>
      <c r="H306" s="44">
        <v>0</v>
      </c>
      <c r="I306" s="44">
        <v>158198.879439999</v>
      </c>
      <c r="J306" s="44">
        <v>148884.33845666063</v>
      </c>
      <c r="K306" s="44">
        <v>5509.3991602790311</v>
      </c>
      <c r="L306" s="44">
        <v>795314.06524591404</v>
      </c>
      <c r="M306" s="44">
        <v>668217.23489983799</v>
      </c>
      <c r="N306" s="44">
        <v>-127096.83034607605</v>
      </c>
      <c r="O306" s="44">
        <v>-23318.301453841035</v>
      </c>
      <c r="P306" s="44">
        <v>634806.37315484602</v>
      </c>
      <c r="Q306">
        <v>701628.09664482996</v>
      </c>
    </row>
    <row r="307" spans="2:17" x14ac:dyDescent="0.3">
      <c r="C307" s="1026" t="s">
        <v>396</v>
      </c>
      <c r="D307" s="225">
        <v>22</v>
      </c>
      <c r="E307" s="44">
        <v>116637.40809016296</v>
      </c>
      <c r="F307" s="44">
        <v>144893.99771749609</v>
      </c>
      <c r="G307" s="44">
        <v>146314.66202510084</v>
      </c>
      <c r="H307" s="44">
        <v>132868.34012184571</v>
      </c>
      <c r="I307" s="44">
        <v>164552.12966298929</v>
      </c>
      <c r="J307" s="44">
        <v>149106.31493426076</v>
      </c>
      <c r="K307" s="44">
        <v>5426.8343838888413</v>
      </c>
      <c r="L307" s="44">
        <v>859799.6869357446</v>
      </c>
      <c r="M307" s="44">
        <v>859799.6869357446</v>
      </c>
      <c r="N307" s="44">
        <v>0</v>
      </c>
      <c r="O307" s="44">
        <v>64485.621689830557</v>
      </c>
      <c r="P307" s="44">
        <v>816809.70258895739</v>
      </c>
      <c r="Q307">
        <v>902789.67128253181</v>
      </c>
    </row>
    <row r="308" spans="2:17" x14ac:dyDescent="0.3">
      <c r="C308" s="1026"/>
      <c r="D308" s="225">
        <v>23</v>
      </c>
      <c r="E308" s="44">
        <v>0</v>
      </c>
      <c r="F308" s="44">
        <v>57817.821524804356</v>
      </c>
      <c r="G308" s="44">
        <v>130525.77872141881</v>
      </c>
      <c r="H308" s="44">
        <v>131887.69809902331</v>
      </c>
      <c r="I308" s="44">
        <v>181732.27375729504</v>
      </c>
      <c r="J308" s="44">
        <v>162250.8777888027</v>
      </c>
      <c r="K308" s="44">
        <v>5501.0524205345573</v>
      </c>
      <c r="L308" s="44">
        <v>847314.93090906506</v>
      </c>
      <c r="M308" s="44">
        <v>669715.50231187872</v>
      </c>
      <c r="N308" s="44">
        <v>-177599.42859718634</v>
      </c>
      <c r="O308" s="44">
        <v>-12484.756026679534</v>
      </c>
      <c r="P308" s="44">
        <v>636229.7271962848</v>
      </c>
      <c r="Q308">
        <v>703201.27742747264</v>
      </c>
    </row>
    <row r="309" spans="2:17" x14ac:dyDescent="0.3">
      <c r="C309" s="1026"/>
      <c r="D309" s="225">
        <v>24</v>
      </c>
      <c r="E309" s="44">
        <v>130408.34812975925</v>
      </c>
      <c r="F309" s="44">
        <v>131285.82252625792</v>
      </c>
      <c r="G309" s="44">
        <v>129334.39706807805</v>
      </c>
      <c r="H309" s="44">
        <v>127549.5586859243</v>
      </c>
      <c r="I309" s="44">
        <v>169326.00519181351</v>
      </c>
      <c r="J309" s="44">
        <v>150904.74304889381</v>
      </c>
      <c r="K309" s="44">
        <v>5352.6163472431244</v>
      </c>
      <c r="L309" s="44">
        <v>844161.49099796987</v>
      </c>
      <c r="M309" s="44">
        <v>844161.49099796987</v>
      </c>
      <c r="N309" s="44">
        <v>0</v>
      </c>
      <c r="O309" s="44">
        <v>-3153.4399110951927</v>
      </c>
      <c r="P309" s="44">
        <v>801953.41644807137</v>
      </c>
      <c r="Q309">
        <v>886369.56554786838</v>
      </c>
    </row>
    <row r="310" spans="2:17" x14ac:dyDescent="0.3">
      <c r="C310" s="1026"/>
      <c r="D310" s="225">
        <v>25</v>
      </c>
      <c r="E310" s="44">
        <v>121153.27193497476</v>
      </c>
      <c r="F310" s="44">
        <v>122412.91408425837</v>
      </c>
      <c r="G310" s="44">
        <v>120250.35940931921</v>
      </c>
      <c r="H310" s="44">
        <v>128064.37895498108</v>
      </c>
      <c r="I310" s="44">
        <v>173356.07042106823</v>
      </c>
      <c r="J310" s="44">
        <v>154651.45296019924</v>
      </c>
      <c r="K310" s="44">
        <v>5308.5418352127763</v>
      </c>
      <c r="L310" s="44">
        <v>825196.98960001359</v>
      </c>
      <c r="M310" s="44">
        <v>825196.98960001359</v>
      </c>
      <c r="N310" s="44">
        <v>0</v>
      </c>
      <c r="O310" s="44">
        <v>-18964.501397956279</v>
      </c>
      <c r="P310" s="44">
        <v>783937.14012001292</v>
      </c>
      <c r="Q310">
        <v>866456.83908001427</v>
      </c>
    </row>
    <row r="311" spans="2:17" x14ac:dyDescent="0.3">
      <c r="C311" s="1026" t="s">
        <v>418</v>
      </c>
      <c r="D311" s="225">
        <v>26</v>
      </c>
      <c r="E311" s="44">
        <v>124007.57461059256</v>
      </c>
      <c r="F311" s="44">
        <v>124992.59990576895</v>
      </c>
      <c r="G311" s="44">
        <v>123218.79813052811</v>
      </c>
      <c r="H311" s="44">
        <v>124835.98347514827</v>
      </c>
      <c r="I311" s="44">
        <v>173379.8930544701</v>
      </c>
      <c r="J311" s="44">
        <v>154521.34994887863</v>
      </c>
      <c r="K311" s="44">
        <v>5424.8171451977014</v>
      </c>
      <c r="L311" s="44">
        <v>814183.08635867387</v>
      </c>
      <c r="M311" s="44">
        <v>814183.08635867387</v>
      </c>
      <c r="N311" s="44">
        <v>0</v>
      </c>
      <c r="O311" s="44">
        <v>-11013.903241339722</v>
      </c>
      <c r="P311" s="44">
        <v>773473.93204074015</v>
      </c>
      <c r="Q311">
        <v>854892.24067660759</v>
      </c>
    </row>
    <row r="312" spans="2:17" x14ac:dyDescent="0.3">
      <c r="C312" s="1026"/>
      <c r="D312" s="225">
        <v>27</v>
      </c>
      <c r="E312" s="44">
        <v>124136.48944046124</v>
      </c>
      <c r="F312" s="44">
        <v>125529.23714447979</v>
      </c>
      <c r="G312" s="44">
        <v>123265.8911862166</v>
      </c>
      <c r="H312" s="44">
        <v>115233.48206335727</v>
      </c>
      <c r="I312" s="44">
        <v>153821.22125034139</v>
      </c>
      <c r="J312" s="44">
        <v>137351.42479045896</v>
      </c>
      <c r="K312" s="44">
        <v>5334.19138129367</v>
      </c>
      <c r="L312" s="44">
        <v>784671.93725660897</v>
      </c>
      <c r="M312" s="44">
        <v>784671.93725660897</v>
      </c>
      <c r="N312" s="44">
        <v>0</v>
      </c>
      <c r="O312" s="44">
        <v>-29511.149102064897</v>
      </c>
      <c r="P312" s="44">
        <v>745438.34039377852</v>
      </c>
      <c r="Q312">
        <v>823905.53411943943</v>
      </c>
    </row>
    <row r="313" spans="2:17" x14ac:dyDescent="0.3">
      <c r="C313" s="1026"/>
      <c r="D313" s="225">
        <v>28</v>
      </c>
      <c r="E313" s="44">
        <v>110594.82798813774</v>
      </c>
      <c r="F313" s="44">
        <v>111320.64237672542</v>
      </c>
      <c r="G313" s="44">
        <v>109895.61208117606</v>
      </c>
      <c r="H313" s="44">
        <v>110448.36850612517</v>
      </c>
      <c r="I313" s="44">
        <v>149692.10298803379</v>
      </c>
      <c r="J313" s="44">
        <v>133056.5506090782</v>
      </c>
      <c r="K313" s="44">
        <v>5272.527204384367</v>
      </c>
      <c r="L313" s="44">
        <v>730280.63175366074</v>
      </c>
      <c r="M313" s="44">
        <v>730280.63175366074</v>
      </c>
      <c r="N313" s="44">
        <v>0</v>
      </c>
      <c r="O313" s="44">
        <v>-54391.305502948235</v>
      </c>
      <c r="P313" s="44">
        <v>693766.60016597772</v>
      </c>
      <c r="Q313">
        <v>766794.66334134375</v>
      </c>
    </row>
    <row r="314" spans="2:17" x14ac:dyDescent="0.3">
      <c r="C314" s="1026"/>
      <c r="D314" s="225">
        <v>29</v>
      </c>
      <c r="E314" s="44">
        <v>107237.88375663143</v>
      </c>
      <c r="F314" s="44">
        <v>108016.17773811813</v>
      </c>
      <c r="G314" s="44">
        <v>106246.66345419791</v>
      </c>
      <c r="H314" s="44">
        <v>0</v>
      </c>
      <c r="I314" s="44">
        <v>151906.62118316046</v>
      </c>
      <c r="J314" s="44">
        <v>130894.60342799989</v>
      </c>
      <c r="K314" s="44">
        <v>0</v>
      </c>
      <c r="L314" s="44">
        <v>720022.8452706174</v>
      </c>
      <c r="M314" s="44">
        <v>604301.9495601079</v>
      </c>
      <c r="N314" s="44">
        <v>-115720.8957105095</v>
      </c>
      <c r="O314" s="44">
        <v>-10257.786483043339</v>
      </c>
      <c r="P314" s="44">
        <v>574086.85208210244</v>
      </c>
      <c r="Q314">
        <v>634517.04703811335</v>
      </c>
    </row>
    <row r="315" spans="2:17" x14ac:dyDescent="0.3">
      <c r="C315" s="1026" t="s">
        <v>419</v>
      </c>
      <c r="D315" s="225">
        <v>30</v>
      </c>
      <c r="E315" s="44">
        <v>102153.78422964578</v>
      </c>
      <c r="F315" s="44">
        <v>126775.7947667941</v>
      </c>
      <c r="G315" s="44">
        <v>100523.78468535948</v>
      </c>
      <c r="H315" s="44">
        <v>110384.30351257593</v>
      </c>
      <c r="I315" s="44">
        <v>152175.92294482904</v>
      </c>
      <c r="J315" s="44">
        <v>135873.63575073611</v>
      </c>
      <c r="K315" s="44">
        <v>4216.2638441890904</v>
      </c>
      <c r="L315" s="44">
        <v>732103.48973412963</v>
      </c>
      <c r="M315" s="44">
        <v>732103.48973412963</v>
      </c>
      <c r="N315" s="44">
        <v>0</v>
      </c>
      <c r="O315" s="44">
        <v>12080.644463512232</v>
      </c>
      <c r="P315" s="44">
        <v>695498.31524742313</v>
      </c>
      <c r="Q315">
        <v>768708.66422083613</v>
      </c>
    </row>
    <row r="316" spans="2:17" x14ac:dyDescent="0.3">
      <c r="C316" s="1026"/>
      <c r="D316" s="225">
        <v>31</v>
      </c>
      <c r="E316" s="44">
        <v>109356.1710167726</v>
      </c>
      <c r="F316" s="44">
        <v>109924.12732944723</v>
      </c>
      <c r="G316" s="44">
        <v>108082.529331169</v>
      </c>
      <c r="H316" s="44">
        <v>99550.935543503365</v>
      </c>
      <c r="I316" s="44">
        <v>136946.37282162526</v>
      </c>
      <c r="J316" s="44">
        <v>122073.91698679604</v>
      </c>
      <c r="K316" s="44">
        <v>3725.8032620069971</v>
      </c>
      <c r="L316" s="44">
        <v>689659.85629132041</v>
      </c>
      <c r="M316" s="44">
        <v>689659.85629132041</v>
      </c>
      <c r="N316" s="44">
        <v>0</v>
      </c>
      <c r="O316" s="44">
        <v>-42443.633442809223</v>
      </c>
      <c r="P316" s="44">
        <v>655176.8634767544</v>
      </c>
      <c r="Q316">
        <v>724142.84910588642</v>
      </c>
    </row>
    <row r="317" spans="2:17" x14ac:dyDescent="0.3">
      <c r="C317" s="1026"/>
      <c r="D317" s="225">
        <v>32</v>
      </c>
      <c r="E317" s="44">
        <v>98054.848108675098</v>
      </c>
      <c r="F317" s="44">
        <v>98916.514603189687</v>
      </c>
      <c r="G317" s="44">
        <v>97419.33017242304</v>
      </c>
      <c r="H317" s="44">
        <v>105667.88216528874</v>
      </c>
      <c r="I317" s="44">
        <v>126769.14464717018</v>
      </c>
      <c r="J317" s="44">
        <v>113543.36557867078</v>
      </c>
      <c r="K317" s="44">
        <v>0</v>
      </c>
      <c r="L317" s="44">
        <v>645643.61247980176</v>
      </c>
      <c r="M317" s="44">
        <v>640371.08527541743</v>
      </c>
      <c r="N317" s="44">
        <v>-5272.5272043843288</v>
      </c>
      <c r="O317" s="44">
        <v>-44016.243811518652</v>
      </c>
      <c r="P317" s="44">
        <v>608352.5310116465</v>
      </c>
      <c r="Q317">
        <v>672389.63953918836</v>
      </c>
    </row>
    <row r="318" spans="2:17" x14ac:dyDescent="0.3">
      <c r="C318" s="1026"/>
      <c r="D318" s="225">
        <v>33</v>
      </c>
      <c r="E318" s="44">
        <v>0</v>
      </c>
      <c r="F318" s="44">
        <v>66945.851287647238</v>
      </c>
      <c r="G318" s="44">
        <v>117353.92510319674</v>
      </c>
      <c r="H318" s="44">
        <v>114779.59351746444</v>
      </c>
      <c r="I318" s="44">
        <v>153502.9318466663</v>
      </c>
      <c r="J318" s="44">
        <v>137075.70249793865</v>
      </c>
      <c r="K318" s="44">
        <v>0</v>
      </c>
      <c r="L318" s="44">
        <v>724956.04288151523</v>
      </c>
      <c r="M318" s="44">
        <v>589658.00425291329</v>
      </c>
      <c r="N318" s="44">
        <v>-135298.03862860193</v>
      </c>
      <c r="O318" s="44">
        <v>79312.430401713471</v>
      </c>
      <c r="P318" s="44">
        <v>560175.10404026764</v>
      </c>
      <c r="Q318">
        <v>619140.90446555894</v>
      </c>
    </row>
    <row r="320" spans="2:17" x14ac:dyDescent="0.3">
      <c r="B320" t="s">
        <v>420</v>
      </c>
      <c r="C320" t="s">
        <v>368</v>
      </c>
      <c r="D320" t="s">
        <v>380</v>
      </c>
      <c r="E320" t="s">
        <v>113</v>
      </c>
      <c r="F320" t="s">
        <v>114</v>
      </c>
      <c r="G320" t="s">
        <v>115</v>
      </c>
      <c r="H320" t="s">
        <v>116</v>
      </c>
      <c r="I320" t="s">
        <v>117</v>
      </c>
      <c r="J320" t="s">
        <v>118</v>
      </c>
      <c r="K320" t="s">
        <v>119</v>
      </c>
      <c r="L320" t="s">
        <v>383</v>
      </c>
      <c r="M320" t="s">
        <v>384</v>
      </c>
      <c r="N320" s="64">
        <v>-0.05</v>
      </c>
      <c r="O320" s="865" t="s">
        <v>421</v>
      </c>
    </row>
    <row r="321" spans="3:17" x14ac:dyDescent="0.3">
      <c r="C321" s="1023" t="s">
        <v>418</v>
      </c>
      <c r="D321" t="s">
        <v>249</v>
      </c>
      <c r="E321" s="44">
        <v>102970</v>
      </c>
      <c r="F321" s="44">
        <v>113502</v>
      </c>
      <c r="G321" s="44">
        <v>105175</v>
      </c>
      <c r="H321" s="44">
        <v>102200</v>
      </c>
      <c r="I321" s="44">
        <v>130985</v>
      </c>
      <c r="J321" s="44">
        <v>116400</v>
      </c>
      <c r="K321" s="44">
        <v>0</v>
      </c>
      <c r="L321" s="44">
        <f>M321</f>
        <v>671232</v>
      </c>
      <c r="M321" s="44">
        <f>SUM(E321:J321)</f>
        <v>671232</v>
      </c>
      <c r="N321" s="44">
        <f>M321*0.95</f>
        <v>637670.40000000002</v>
      </c>
      <c r="O321" s="44">
        <f>M321*1.05</f>
        <v>704793.59999999998</v>
      </c>
    </row>
    <row r="322" spans="3:17" x14ac:dyDescent="0.3">
      <c r="C322" s="1023"/>
      <c r="D322" t="s">
        <v>250</v>
      </c>
      <c r="E322" s="44">
        <v>93695</v>
      </c>
      <c r="F322" s="44">
        <v>103870</v>
      </c>
      <c r="G322" s="44">
        <v>102559.26541723667</v>
      </c>
      <c r="H322" s="44">
        <v>100553.60114535585</v>
      </c>
      <c r="I322" s="44">
        <v>127554.86510243465</v>
      </c>
      <c r="J322" s="44">
        <v>113345.65737007475</v>
      </c>
      <c r="K322" s="44">
        <v>0</v>
      </c>
      <c r="L322" s="44">
        <f t="shared" ref="L322:L333" si="25">M322</f>
        <v>641578.38903510186</v>
      </c>
      <c r="M322" s="44">
        <f t="shared" ref="M322:M333" si="26">SUM(E322:J322)</f>
        <v>641578.38903510186</v>
      </c>
      <c r="N322" s="44">
        <f t="shared" ref="N322:N333" si="27">M322*0.95</f>
        <v>609499.46958334674</v>
      </c>
      <c r="O322" s="44">
        <f t="shared" ref="O322:O333" si="28">M322*1.05</f>
        <v>673657.30848685699</v>
      </c>
    </row>
    <row r="323" spans="3:17" x14ac:dyDescent="0.3">
      <c r="C323" s="1023"/>
      <c r="D323" t="s">
        <v>251</v>
      </c>
      <c r="E323" s="44">
        <v>92581.650167480722</v>
      </c>
      <c r="F323" s="44">
        <v>101198.07604660382</v>
      </c>
      <c r="G323" s="44">
        <v>100855.14691689037</v>
      </c>
      <c r="H323" s="44">
        <v>0</v>
      </c>
      <c r="I323" s="44">
        <v>140019.4580757003</v>
      </c>
      <c r="J323" s="44">
        <v>123197.57602197689</v>
      </c>
      <c r="K323" s="44">
        <v>0</v>
      </c>
      <c r="L323" s="44">
        <f>M323+H322</f>
        <v>658405.508374008</v>
      </c>
      <c r="M323" s="44">
        <f t="shared" si="26"/>
        <v>557851.90722865216</v>
      </c>
      <c r="N323" s="44">
        <f t="shared" si="27"/>
        <v>529959.31186721951</v>
      </c>
      <c r="O323" s="44">
        <f t="shared" si="28"/>
        <v>585744.5025900848</v>
      </c>
    </row>
    <row r="324" spans="3:17" x14ac:dyDescent="0.3">
      <c r="C324" s="1023"/>
      <c r="D324" t="s">
        <v>197</v>
      </c>
      <c r="E324" s="44">
        <v>94849.681094429587</v>
      </c>
      <c r="F324" s="44">
        <v>103343.38477944308</v>
      </c>
      <c r="G324" s="44">
        <v>98801.712231109603</v>
      </c>
      <c r="H324" s="44">
        <v>101396.53397156206</v>
      </c>
      <c r="I324" s="44">
        <v>131352.48724746855</v>
      </c>
      <c r="J324" s="44">
        <v>121785.00153708892</v>
      </c>
      <c r="K324" s="44">
        <v>0</v>
      </c>
      <c r="L324" s="44">
        <f t="shared" si="25"/>
        <v>651528.80086110171</v>
      </c>
      <c r="M324" s="44">
        <f t="shared" si="26"/>
        <v>651528.80086110171</v>
      </c>
      <c r="N324" s="44">
        <f t="shared" si="27"/>
        <v>618952.36081804661</v>
      </c>
      <c r="O324" s="44">
        <f t="shared" si="28"/>
        <v>684105.24090415682</v>
      </c>
    </row>
    <row r="325" spans="3:17" x14ac:dyDescent="0.3">
      <c r="C325" s="1023" t="s">
        <v>419</v>
      </c>
      <c r="D325" t="s">
        <v>198</v>
      </c>
      <c r="E325" s="44">
        <v>95386.197851395089</v>
      </c>
      <c r="F325" s="44">
        <v>105492.93756219403</v>
      </c>
      <c r="G325" s="44">
        <v>101757.94913558266</v>
      </c>
      <c r="H325" s="44">
        <v>101046.90575174594</v>
      </c>
      <c r="I325" s="44">
        <v>118698.88455897701</v>
      </c>
      <c r="J325" s="44">
        <v>109409.5649524451</v>
      </c>
      <c r="K325" s="44">
        <v>0</v>
      </c>
      <c r="L325" s="44">
        <f t="shared" si="25"/>
        <v>631792.43981233984</v>
      </c>
      <c r="M325" s="44">
        <f t="shared" si="26"/>
        <v>631792.43981233984</v>
      </c>
      <c r="N325" s="44">
        <f t="shared" si="27"/>
        <v>600202.81782172283</v>
      </c>
      <c r="O325" s="44">
        <f t="shared" si="28"/>
        <v>663382.06180295686</v>
      </c>
    </row>
    <row r="326" spans="3:17" x14ac:dyDescent="0.3">
      <c r="C326" s="1023"/>
      <c r="D326" t="s">
        <v>199</v>
      </c>
      <c r="E326" s="44">
        <v>92051.545420752562</v>
      </c>
      <c r="F326" s="44">
        <v>95034.535164879009</v>
      </c>
      <c r="G326" s="44">
        <v>91450.552915395267</v>
      </c>
      <c r="H326" s="44">
        <v>98962.344811824194</v>
      </c>
      <c r="I326" s="44">
        <v>117417.5223871874</v>
      </c>
      <c r="J326" s="44">
        <v>113238.90438547368</v>
      </c>
      <c r="K326" s="44">
        <v>0</v>
      </c>
      <c r="L326" s="44">
        <f t="shared" si="25"/>
        <v>608155.40508551209</v>
      </c>
      <c r="M326" s="44">
        <f t="shared" si="26"/>
        <v>608155.40508551209</v>
      </c>
      <c r="N326" s="44">
        <f t="shared" si="27"/>
        <v>577747.63483123644</v>
      </c>
      <c r="O326" s="44">
        <f t="shared" si="28"/>
        <v>638563.17533978773</v>
      </c>
    </row>
    <row r="327" spans="3:17" x14ac:dyDescent="0.3">
      <c r="C327" s="1023"/>
      <c r="D327" t="s">
        <v>200</v>
      </c>
      <c r="E327" s="44">
        <v>0</v>
      </c>
      <c r="F327" s="44">
        <v>81349.887867934973</v>
      </c>
      <c r="G327" s="44">
        <v>94206.946088718047</v>
      </c>
      <c r="H327" s="44">
        <v>102801.56572605086</v>
      </c>
      <c r="I327" s="44">
        <v>127692.51196242329</v>
      </c>
      <c r="J327" s="44">
        <v>117751.45912345054</v>
      </c>
      <c r="K327" s="44">
        <v>0</v>
      </c>
      <c r="L327" s="44">
        <f>M327+E326+(F326-F327)</f>
        <v>629538.56348627433</v>
      </c>
      <c r="M327" s="44">
        <f t="shared" si="26"/>
        <v>523802.37076857768</v>
      </c>
      <c r="N327" s="44">
        <f t="shared" si="27"/>
        <v>497612.25223014876</v>
      </c>
      <c r="O327" s="44">
        <f t="shared" si="28"/>
        <v>549992.48930700659</v>
      </c>
    </row>
    <row r="328" spans="3:17" x14ac:dyDescent="0.3">
      <c r="C328" s="1023"/>
      <c r="D328" t="s">
        <v>201</v>
      </c>
      <c r="E328" s="44">
        <v>94564.41557524442</v>
      </c>
      <c r="F328" s="44">
        <v>103394.7201249494</v>
      </c>
      <c r="G328" s="44">
        <v>100144.97643854478</v>
      </c>
      <c r="H328" s="44">
        <v>127706.7959486834</v>
      </c>
      <c r="I328" s="44">
        <v>167754.93743074016</v>
      </c>
      <c r="J328" s="44">
        <v>154068.93516311521</v>
      </c>
      <c r="K328" s="44">
        <v>0</v>
      </c>
      <c r="L328" s="44">
        <f t="shared" si="25"/>
        <v>747634.78068127739</v>
      </c>
      <c r="M328" s="44">
        <f t="shared" si="26"/>
        <v>747634.78068127739</v>
      </c>
      <c r="N328" s="44">
        <f t="shared" si="27"/>
        <v>710253.04164721351</v>
      </c>
      <c r="O328" s="44">
        <f t="shared" si="28"/>
        <v>785016.51971534127</v>
      </c>
    </row>
    <row r="329" spans="3:17" x14ac:dyDescent="0.3">
      <c r="C329" s="1023" t="s">
        <v>422</v>
      </c>
      <c r="D329" t="s">
        <v>202</v>
      </c>
      <c r="E329" s="44">
        <v>123580.44010293219</v>
      </c>
      <c r="F329" s="44">
        <v>134713.06193924736</v>
      </c>
      <c r="G329" s="44">
        <v>130174.07265347854</v>
      </c>
      <c r="H329" s="44">
        <v>135256.66226922366</v>
      </c>
      <c r="I329" s="44">
        <v>160825.69226484047</v>
      </c>
      <c r="J329" s="44">
        <v>147640.57835328707</v>
      </c>
      <c r="K329" s="44">
        <v>0</v>
      </c>
      <c r="L329" s="44">
        <f t="shared" si="25"/>
        <v>832190.5075830092</v>
      </c>
      <c r="M329" s="44">
        <f t="shared" si="26"/>
        <v>832190.5075830092</v>
      </c>
      <c r="N329" s="44">
        <f t="shared" si="27"/>
        <v>790580.98220385867</v>
      </c>
      <c r="O329" s="44">
        <f t="shared" si="28"/>
        <v>873800.03296215972</v>
      </c>
    </row>
    <row r="330" spans="3:17" x14ac:dyDescent="0.3">
      <c r="C330" s="1023"/>
      <c r="D330" t="s">
        <v>203</v>
      </c>
      <c r="E330" s="44">
        <v>118496.06414210302</v>
      </c>
      <c r="F330" s="44">
        <v>129201.08973347221</v>
      </c>
      <c r="G330" s="44">
        <v>124894.11680138027</v>
      </c>
      <c r="H330" s="44">
        <v>130960.36691207992</v>
      </c>
      <c r="I330" s="44">
        <v>160019.41677347542</v>
      </c>
      <c r="J330" s="44">
        <v>147073.48063373804</v>
      </c>
      <c r="K330" s="44">
        <v>0</v>
      </c>
      <c r="L330" s="44">
        <f t="shared" si="25"/>
        <v>810644.53499624878</v>
      </c>
      <c r="M330" s="44">
        <f t="shared" si="26"/>
        <v>810644.53499624878</v>
      </c>
      <c r="N330" s="44">
        <f t="shared" si="27"/>
        <v>770112.3082464363</v>
      </c>
      <c r="O330" s="44">
        <f t="shared" si="28"/>
        <v>851176.76174606127</v>
      </c>
    </row>
    <row r="331" spans="3:17" x14ac:dyDescent="0.3">
      <c r="C331" s="1023"/>
      <c r="D331" t="s">
        <v>204</v>
      </c>
      <c r="E331" s="44">
        <v>117712.21889424988</v>
      </c>
      <c r="F331" s="44">
        <v>128216.50608749085</v>
      </c>
      <c r="G331" s="44">
        <v>123488.40016596095</v>
      </c>
      <c r="H331" s="44">
        <v>130634.45088391029</v>
      </c>
      <c r="I331" s="44">
        <v>164215.58066142793</v>
      </c>
      <c r="J331" s="44">
        <v>150760.80248645131</v>
      </c>
      <c r="K331" s="44">
        <v>0</v>
      </c>
      <c r="L331" s="44">
        <f t="shared" si="25"/>
        <v>815027.95917949127</v>
      </c>
      <c r="M331" s="44">
        <f t="shared" si="26"/>
        <v>815027.95917949127</v>
      </c>
      <c r="N331" s="44">
        <f t="shared" si="27"/>
        <v>774276.56122051668</v>
      </c>
      <c r="O331" s="44">
        <f t="shared" si="28"/>
        <v>855779.35713846586</v>
      </c>
    </row>
    <row r="332" spans="3:17" x14ac:dyDescent="0.3">
      <c r="C332" s="1023"/>
      <c r="D332" t="s">
        <v>205</v>
      </c>
      <c r="E332" s="44">
        <v>121784.88425092262</v>
      </c>
      <c r="F332" s="44">
        <v>132693.48171813125</v>
      </c>
      <c r="G332" s="44">
        <v>128285.92653342654</v>
      </c>
      <c r="H332" s="44">
        <v>131903.82773310161</v>
      </c>
      <c r="I332" s="44">
        <v>162762.94628923503</v>
      </c>
      <c r="J332" s="44">
        <v>150150.85765227373</v>
      </c>
      <c r="K332" s="44">
        <v>0</v>
      </c>
      <c r="L332" s="44">
        <f t="shared" si="25"/>
        <v>827581.92417709087</v>
      </c>
      <c r="M332" s="44">
        <f t="shared" si="26"/>
        <v>827581.92417709087</v>
      </c>
      <c r="N332" s="44">
        <f t="shared" si="27"/>
        <v>786202.82796823629</v>
      </c>
      <c r="O332" s="44">
        <f t="shared" si="28"/>
        <v>868961.02038594545</v>
      </c>
    </row>
    <row r="333" spans="3:17" x14ac:dyDescent="0.3">
      <c r="C333" s="1023"/>
      <c r="D333" t="s">
        <v>206</v>
      </c>
      <c r="E333" s="44">
        <v>121012.76647659607</v>
      </c>
      <c r="F333" s="44">
        <v>132557.92155330189</v>
      </c>
      <c r="G333" s="44">
        <v>128127.75657792418</v>
      </c>
      <c r="H333" s="44">
        <v>129711.63934214698</v>
      </c>
      <c r="I333" s="44">
        <v>166606.65382932051</v>
      </c>
      <c r="J333" s="44">
        <v>153122.4966759549</v>
      </c>
      <c r="K333" s="44">
        <v>0</v>
      </c>
      <c r="L333" s="44">
        <f t="shared" si="25"/>
        <v>831139.2344552445</v>
      </c>
      <c r="M333" s="44">
        <f t="shared" si="26"/>
        <v>831139.2344552445</v>
      </c>
      <c r="N333" s="44">
        <f t="shared" si="27"/>
        <v>789582.27273248229</v>
      </c>
      <c r="O333" s="44">
        <f t="shared" si="28"/>
        <v>872696.19617800671</v>
      </c>
    </row>
    <row r="334" spans="3:17" x14ac:dyDescent="0.3">
      <c r="E334" s="44"/>
      <c r="F334" s="44"/>
      <c r="G334" s="44"/>
      <c r="H334" s="44"/>
      <c r="I334" s="44"/>
      <c r="J334" s="44"/>
      <c r="K334" s="44">
        <v>0</v>
      </c>
      <c r="L334" s="44"/>
      <c r="M334" s="44"/>
      <c r="N334" s="44"/>
      <c r="O334" s="44"/>
      <c r="P334" s="44"/>
      <c r="Q334" s="44"/>
    </row>
    <row r="341" spans="14:17" x14ac:dyDescent="0.3">
      <c r="O341" s="313" t="s">
        <v>423</v>
      </c>
      <c r="P341" t="s">
        <v>424</v>
      </c>
      <c r="Q341" s="33" t="s">
        <v>217</v>
      </c>
    </row>
    <row r="342" spans="14:17" x14ac:dyDescent="0.3">
      <c r="N342" s="33" t="s">
        <v>249</v>
      </c>
      <c r="O342" s="869">
        <v>671232</v>
      </c>
      <c r="P342" s="869">
        <v>691935.24146509625</v>
      </c>
      <c r="Q342" s="868">
        <f>O342/P342-1</f>
        <v>-2.9920779033106415E-2</v>
      </c>
    </row>
    <row r="343" spans="14:17" x14ac:dyDescent="0.3">
      <c r="N343" s="33" t="s">
        <v>250</v>
      </c>
      <c r="O343" s="869">
        <v>641578.38903510186</v>
      </c>
      <c r="P343" s="869">
        <v>635427.64286974375</v>
      </c>
      <c r="Q343" s="868">
        <f t="shared" ref="Q343:Q354" si="29">O343/P343-1</f>
        <v>9.6796956103135656E-3</v>
      </c>
    </row>
    <row r="344" spans="14:17" x14ac:dyDescent="0.3">
      <c r="N344" s="33" t="s">
        <v>251</v>
      </c>
      <c r="O344" s="869">
        <v>557851.90722865216</v>
      </c>
      <c r="P344" s="869">
        <v>539756.44658111664</v>
      </c>
      <c r="Q344" s="868">
        <f t="shared" si="29"/>
        <v>3.3525233023439238E-2</v>
      </c>
    </row>
    <row r="345" spans="14:17" x14ac:dyDescent="0.3">
      <c r="N345" s="33" t="s">
        <v>197</v>
      </c>
      <c r="O345" s="869">
        <v>651528.80086110171</v>
      </c>
      <c r="P345" s="869">
        <v>609951.50253319938</v>
      </c>
      <c r="Q345" s="868">
        <f t="shared" si="29"/>
        <v>6.8164924842757157E-2</v>
      </c>
    </row>
    <row r="346" spans="14:17" x14ac:dyDescent="0.3">
      <c r="N346" s="33" t="s">
        <v>198</v>
      </c>
      <c r="O346" s="869">
        <v>631792.43981233984</v>
      </c>
      <c r="P346" s="869">
        <v>583927.15422507096</v>
      </c>
      <c r="Q346" s="868">
        <f t="shared" si="29"/>
        <v>8.1971330226611627E-2</v>
      </c>
    </row>
    <row r="347" spans="14:17" x14ac:dyDescent="0.3">
      <c r="N347" s="33" t="s">
        <v>199</v>
      </c>
      <c r="O347" s="869">
        <v>608155.40508551209</v>
      </c>
      <c r="P347" s="869">
        <v>567164.19382972002</v>
      </c>
      <c r="Q347" s="868">
        <f t="shared" si="29"/>
        <v>7.2273975864031392E-2</v>
      </c>
    </row>
    <row r="348" spans="14:17" x14ac:dyDescent="0.3">
      <c r="N348" s="33" t="s">
        <v>200</v>
      </c>
      <c r="O348" s="869">
        <v>523802.37076857768</v>
      </c>
      <c r="P348" s="869">
        <v>485958.41290742462</v>
      </c>
      <c r="Q348" s="868">
        <f t="shared" si="29"/>
        <v>7.7874889817706183E-2</v>
      </c>
    </row>
    <row r="349" spans="14:17" x14ac:dyDescent="0.3">
      <c r="N349" s="33" t="s">
        <v>201</v>
      </c>
      <c r="O349" s="869">
        <v>747634.78068127739</v>
      </c>
      <c r="P349" s="869">
        <v>667659.56745551119</v>
      </c>
      <c r="Q349" s="868">
        <f t="shared" si="29"/>
        <v>0.11978441877281298</v>
      </c>
    </row>
    <row r="350" spans="14:17" x14ac:dyDescent="0.3">
      <c r="N350" s="33" t="s">
        <v>202</v>
      </c>
      <c r="O350" s="869">
        <v>832190.5075830092</v>
      </c>
      <c r="P350" s="869">
        <v>723233.66073348408</v>
      </c>
      <c r="Q350" s="868">
        <f t="shared" si="29"/>
        <v>0.15065234483005674</v>
      </c>
    </row>
    <row r="351" spans="14:17" x14ac:dyDescent="0.3">
      <c r="N351" s="33" t="s">
        <v>203</v>
      </c>
      <c r="O351" s="869">
        <v>810644.53499624878</v>
      </c>
      <c r="P351" s="869">
        <v>728517.68942900095</v>
      </c>
      <c r="Q351" s="868">
        <f t="shared" si="29"/>
        <v>0.11273143639328431</v>
      </c>
    </row>
    <row r="352" spans="14:17" x14ac:dyDescent="0.3">
      <c r="N352" s="33" t="s">
        <v>204</v>
      </c>
      <c r="O352" s="869">
        <v>815027.95917949127</v>
      </c>
      <c r="P352" s="869">
        <v>722082.68853867345</v>
      </c>
      <c r="Q352" s="868">
        <f t="shared" si="29"/>
        <v>0.12871832009837725</v>
      </c>
    </row>
    <row r="353" spans="2:17" x14ac:dyDescent="0.3">
      <c r="N353" s="33" t="s">
        <v>205</v>
      </c>
      <c r="O353" s="869">
        <v>827581.92417709087</v>
      </c>
      <c r="P353" s="869">
        <v>723856.56123021257</v>
      </c>
      <c r="Q353" s="868">
        <f t="shared" si="29"/>
        <v>0.1432954655693035</v>
      </c>
    </row>
    <row r="354" spans="2:17" x14ac:dyDescent="0.3">
      <c r="N354" s="33" t="s">
        <v>206</v>
      </c>
      <c r="O354" s="869">
        <v>831139.2344552445</v>
      </c>
      <c r="P354" s="869">
        <v>764332.76815004915</v>
      </c>
      <c r="Q354" s="868">
        <f t="shared" si="29"/>
        <v>8.7404948589199227E-2</v>
      </c>
    </row>
    <row r="362" spans="2:17" x14ac:dyDescent="0.3">
      <c r="B362" t="s">
        <v>425</v>
      </c>
      <c r="C362" t="s">
        <v>368</v>
      </c>
      <c r="D362" t="s">
        <v>380</v>
      </c>
      <c r="E362" t="s">
        <v>113</v>
      </c>
      <c r="F362" t="s">
        <v>114</v>
      </c>
      <c r="G362" t="s">
        <v>115</v>
      </c>
      <c r="H362" t="s">
        <v>116</v>
      </c>
      <c r="I362" t="s">
        <v>117</v>
      </c>
      <c r="J362" t="s">
        <v>118</v>
      </c>
      <c r="K362" t="s">
        <v>119</v>
      </c>
      <c r="L362" t="s">
        <v>383</v>
      </c>
      <c r="M362" t="s">
        <v>384</v>
      </c>
      <c r="N362" s="64">
        <v>-0.05</v>
      </c>
      <c r="O362" s="865" t="s">
        <v>421</v>
      </c>
    </row>
    <row r="363" spans="2:17" x14ac:dyDescent="0.3">
      <c r="C363" s="1023" t="s">
        <v>418</v>
      </c>
      <c r="D363" t="s">
        <v>249</v>
      </c>
      <c r="E363" s="44">
        <v>104908.23322132137</v>
      </c>
      <c r="F363" s="44">
        <v>112785.41034629148</v>
      </c>
      <c r="G363" s="44">
        <v>112276.17094112455</v>
      </c>
      <c r="H363" s="44">
        <v>102320.63171547194</v>
      </c>
      <c r="I363" s="44">
        <v>136088.90839638136</v>
      </c>
      <c r="J363" s="44">
        <v>123555.88684450548</v>
      </c>
      <c r="K363" s="44">
        <v>0</v>
      </c>
      <c r="L363" s="44">
        <v>691935.24146509625</v>
      </c>
      <c r="M363" s="44">
        <v>691935.24146509625</v>
      </c>
      <c r="N363" s="44">
        <f>M363*0.95</f>
        <v>657338.47939184145</v>
      </c>
      <c r="O363" s="44">
        <f>M363*1.05</f>
        <v>726532.00353835104</v>
      </c>
    </row>
    <row r="364" spans="2:17" x14ac:dyDescent="0.3">
      <c r="C364" s="1023"/>
      <c r="D364" t="s">
        <v>250</v>
      </c>
      <c r="E364" s="44">
        <v>97276.749595366869</v>
      </c>
      <c r="F364" s="44">
        <v>100581.64346631817</v>
      </c>
      <c r="G364" s="44">
        <v>102302.23591872424</v>
      </c>
      <c r="H364" s="44">
        <v>97138.321557248142</v>
      </c>
      <c r="I364" s="44">
        <v>123905.4426428946</v>
      </c>
      <c r="J364" s="44">
        <v>114223.24968919178</v>
      </c>
      <c r="K364" s="44">
        <v>0</v>
      </c>
      <c r="L364" s="44">
        <v>635427.64286974375</v>
      </c>
      <c r="M364" s="44">
        <v>635427.64286974375</v>
      </c>
      <c r="N364" s="44">
        <f t="shared" ref="N364:N375" si="30">M364*0.95</f>
        <v>603656.26072625653</v>
      </c>
      <c r="O364" s="44">
        <f t="shared" ref="O364:O375" si="31">M364*1.05</f>
        <v>667199.02501323097</v>
      </c>
    </row>
    <row r="365" spans="2:17" x14ac:dyDescent="0.3">
      <c r="C365" s="1023"/>
      <c r="D365" t="s">
        <v>251</v>
      </c>
      <c r="E365" s="44">
        <v>93489.653347725922</v>
      </c>
      <c r="F365" s="44">
        <v>99188.360607543873</v>
      </c>
      <c r="G365" s="44">
        <v>96376.026620425313</v>
      </c>
      <c r="H365" s="44">
        <v>95000</v>
      </c>
      <c r="I365" s="44">
        <v>126515.32922245268</v>
      </c>
      <c r="J365" s="44">
        <v>124187.07678296888</v>
      </c>
      <c r="K365" s="44">
        <v>0</v>
      </c>
      <c r="L365" s="44">
        <f>SUM(E365:J365)</f>
        <v>634756.44658111664</v>
      </c>
      <c r="M365" s="44">
        <v>539756.44658111664</v>
      </c>
      <c r="N365" s="44">
        <f t="shared" si="30"/>
        <v>512768.62425206078</v>
      </c>
      <c r="O365" s="44">
        <f t="shared" si="31"/>
        <v>566744.26891017251</v>
      </c>
    </row>
    <row r="366" spans="2:17" x14ac:dyDescent="0.3">
      <c r="C366" s="1023"/>
      <c r="D366" t="s">
        <v>197</v>
      </c>
      <c r="E366" s="44">
        <v>91467.411504044343</v>
      </c>
      <c r="F366" s="44">
        <v>99206.918864662002</v>
      </c>
      <c r="G366" s="44">
        <v>94138.260639612519</v>
      </c>
      <c r="H366" s="44">
        <v>93050.393177156599</v>
      </c>
      <c r="I366" s="44">
        <v>119865.93345329232</v>
      </c>
      <c r="J366" s="44">
        <v>112222.58489443152</v>
      </c>
      <c r="K366" s="44">
        <v>0</v>
      </c>
      <c r="L366" s="44">
        <v>609951.50253319938</v>
      </c>
      <c r="M366" s="44">
        <v>609951.50253319938</v>
      </c>
      <c r="N366" s="44">
        <f t="shared" si="30"/>
        <v>579453.92740653944</v>
      </c>
      <c r="O366" s="44">
        <f t="shared" si="31"/>
        <v>640449.07765985932</v>
      </c>
    </row>
    <row r="367" spans="2:17" x14ac:dyDescent="0.3">
      <c r="C367" s="1023" t="s">
        <v>419</v>
      </c>
      <c r="D367" t="s">
        <v>198</v>
      </c>
      <c r="E367" s="44">
        <v>87508.166888857988</v>
      </c>
      <c r="F367" s="44">
        <v>97676.778137272355</v>
      </c>
      <c r="G367" s="44">
        <v>94377.979317774545</v>
      </c>
      <c r="H367" s="44">
        <v>86840.032440235969</v>
      </c>
      <c r="I367" s="44">
        <v>112250.58267586853</v>
      </c>
      <c r="J367" s="44">
        <v>105273.61476506155</v>
      </c>
      <c r="K367" s="44">
        <v>0</v>
      </c>
      <c r="L367" s="44">
        <v>583927.15422507096</v>
      </c>
      <c r="M367" s="44">
        <v>583927.15422507096</v>
      </c>
      <c r="N367" s="44">
        <f t="shared" si="30"/>
        <v>554730.79651381739</v>
      </c>
      <c r="O367" s="44">
        <f t="shared" si="31"/>
        <v>613123.51193632453</v>
      </c>
    </row>
    <row r="368" spans="2:17" x14ac:dyDescent="0.3">
      <c r="C368" s="1023"/>
      <c r="D368" t="s">
        <v>199</v>
      </c>
      <c r="E368" s="44">
        <v>80883.056237031444</v>
      </c>
      <c r="F368" s="44">
        <v>90284.201287865406</v>
      </c>
      <c r="G368" s="44">
        <v>86671.016672543294</v>
      </c>
      <c r="H368" s="44">
        <v>84249.579169408389</v>
      </c>
      <c r="I368" s="44">
        <v>118937.57475849826</v>
      </c>
      <c r="J368" s="44">
        <v>106138.76570437322</v>
      </c>
      <c r="K368" s="44">
        <v>0</v>
      </c>
      <c r="L368" s="44">
        <v>567164.19382972002</v>
      </c>
      <c r="M368" s="44">
        <v>567164.19382972002</v>
      </c>
      <c r="N368" s="44">
        <f t="shared" si="30"/>
        <v>538805.98413823405</v>
      </c>
      <c r="O368" s="44">
        <f t="shared" si="31"/>
        <v>595522.403521206</v>
      </c>
    </row>
    <row r="369" spans="3:15" x14ac:dyDescent="0.3">
      <c r="C369" s="1023"/>
      <c r="D369" t="s">
        <v>200</v>
      </c>
      <c r="E369" s="44">
        <v>85000</v>
      </c>
      <c r="F369" s="44">
        <v>58655.801842011329</v>
      </c>
      <c r="G369" s="44">
        <v>91382.334259636511</v>
      </c>
      <c r="H369" s="44">
        <v>97003.261075692179</v>
      </c>
      <c r="I369" s="44">
        <v>123552.20313011628</v>
      </c>
      <c r="J369" s="44">
        <v>115364.81259996831</v>
      </c>
      <c r="K369" s="44">
        <v>0</v>
      </c>
      <c r="L369" s="44">
        <f>SUM(E369:J369)</f>
        <v>570958.41290742462</v>
      </c>
      <c r="M369" s="44">
        <v>485958.41290742462</v>
      </c>
      <c r="N369" s="44">
        <f t="shared" si="30"/>
        <v>461660.49226205336</v>
      </c>
      <c r="O369" s="44">
        <f t="shared" si="31"/>
        <v>510256.33355279587</v>
      </c>
    </row>
    <row r="370" spans="3:15" x14ac:dyDescent="0.3">
      <c r="C370" s="1023"/>
      <c r="D370" t="s">
        <v>201</v>
      </c>
      <c r="E370" s="44">
        <v>90245.866316450425</v>
      </c>
      <c r="F370" s="44">
        <v>100533.45711695045</v>
      </c>
      <c r="G370" s="44">
        <v>96800.190901889029</v>
      </c>
      <c r="H370" s="44">
        <v>108334.43588181704</v>
      </c>
      <c r="I370" s="44">
        <v>140393.59558950306</v>
      </c>
      <c r="J370" s="44">
        <v>131352.02164890117</v>
      </c>
      <c r="K370" s="44">
        <v>0</v>
      </c>
      <c r="L370" s="44">
        <v>667659.56745551119</v>
      </c>
      <c r="M370" s="44">
        <v>667659.56745551119</v>
      </c>
      <c r="N370" s="44">
        <f t="shared" si="30"/>
        <v>634276.58908273559</v>
      </c>
      <c r="O370" s="44">
        <f t="shared" si="31"/>
        <v>701042.54582828679</v>
      </c>
    </row>
    <row r="371" spans="3:15" x14ac:dyDescent="0.3">
      <c r="C371" s="1023" t="s">
        <v>422</v>
      </c>
      <c r="D371" t="s">
        <v>202</v>
      </c>
      <c r="E371" s="44">
        <v>102008.93450400906</v>
      </c>
      <c r="F371" s="44">
        <v>113337.66175936985</v>
      </c>
      <c r="G371" s="44">
        <v>109183.4366708404</v>
      </c>
      <c r="H371" s="44">
        <v>114322.625799841</v>
      </c>
      <c r="I371" s="44">
        <v>146629.46970593257</v>
      </c>
      <c r="J371" s="44">
        <v>137751.53229349118</v>
      </c>
      <c r="K371" s="44">
        <v>0</v>
      </c>
      <c r="L371" s="44">
        <v>723233.66073348408</v>
      </c>
      <c r="M371" s="44">
        <v>723233.66073348408</v>
      </c>
      <c r="N371" s="44">
        <f t="shared" si="30"/>
        <v>687071.9776968098</v>
      </c>
      <c r="O371" s="44">
        <f t="shared" si="31"/>
        <v>759395.34377015836</v>
      </c>
    </row>
    <row r="372" spans="3:15" x14ac:dyDescent="0.3">
      <c r="C372" s="1023"/>
      <c r="D372" t="s">
        <v>203</v>
      </c>
      <c r="E372" s="44">
        <v>105408.61857205862</v>
      </c>
      <c r="F372" s="44">
        <v>116954.05904279188</v>
      </c>
      <c r="G372" s="44">
        <v>112348.83237175932</v>
      </c>
      <c r="H372" s="44">
        <v>111698.55460386758</v>
      </c>
      <c r="I372" s="44">
        <v>145395.65945032082</v>
      </c>
      <c r="J372" s="44">
        <v>136711.96538820287</v>
      </c>
      <c r="K372" s="44">
        <v>0</v>
      </c>
      <c r="L372" s="44">
        <v>728517.68942900095</v>
      </c>
      <c r="M372" s="44">
        <v>728517.68942900095</v>
      </c>
      <c r="N372" s="44">
        <f t="shared" si="30"/>
        <v>692091.80495755083</v>
      </c>
      <c r="O372" s="44">
        <f t="shared" si="31"/>
        <v>764943.57390045107</v>
      </c>
    </row>
    <row r="373" spans="3:15" x14ac:dyDescent="0.3">
      <c r="C373" s="1023"/>
      <c r="D373" t="s">
        <v>204</v>
      </c>
      <c r="E373" s="44">
        <v>104140.59493843757</v>
      </c>
      <c r="F373" s="44">
        <v>115250.97028919894</v>
      </c>
      <c r="G373" s="44">
        <v>110219.29849017663</v>
      </c>
      <c r="H373" s="44">
        <v>113099.91899845756</v>
      </c>
      <c r="I373" s="44">
        <v>144053.38958629139</v>
      </c>
      <c r="J373" s="44">
        <v>135318.51623611141</v>
      </c>
      <c r="K373" s="44">
        <v>0</v>
      </c>
      <c r="L373" s="44">
        <v>722082.68853867345</v>
      </c>
      <c r="M373" s="44">
        <v>722082.68853867345</v>
      </c>
      <c r="N373" s="44">
        <f t="shared" si="30"/>
        <v>685978.55411173974</v>
      </c>
      <c r="O373" s="44">
        <f t="shared" si="31"/>
        <v>758186.82296560716</v>
      </c>
    </row>
    <row r="374" spans="3:15" x14ac:dyDescent="0.3">
      <c r="C374" s="1023"/>
      <c r="D374" t="s">
        <v>205</v>
      </c>
      <c r="E374" s="44">
        <v>104051.4281525121</v>
      </c>
      <c r="F374" s="44">
        <v>115067.97179933911</v>
      </c>
      <c r="G374" s="44">
        <v>110597.06969835407</v>
      </c>
      <c r="H374" s="44">
        <v>109864.5000420803</v>
      </c>
      <c r="I374" s="44">
        <v>146692.32397458208</v>
      </c>
      <c r="J374" s="44">
        <v>137583.26756334488</v>
      </c>
      <c r="K374" s="44">
        <v>0</v>
      </c>
      <c r="L374" s="44">
        <v>723856.56123021257</v>
      </c>
      <c r="M374" s="44">
        <v>723856.56123021257</v>
      </c>
      <c r="N374" s="44">
        <f t="shared" si="30"/>
        <v>687663.73316870187</v>
      </c>
      <c r="O374" s="44">
        <f t="shared" si="31"/>
        <v>760049.38929172326</v>
      </c>
    </row>
    <row r="375" spans="3:15" x14ac:dyDescent="0.3">
      <c r="C375" s="1023"/>
      <c r="D375" t="s">
        <v>206</v>
      </c>
      <c r="E375" s="44">
        <v>106396.59233108946</v>
      </c>
      <c r="F375" s="44">
        <v>118085.9441785841</v>
      </c>
      <c r="G375" s="44">
        <v>113457.81868840866</v>
      </c>
      <c r="H375" s="44">
        <v>120937.74938929686</v>
      </c>
      <c r="I375" s="44">
        <v>157684.4900624998</v>
      </c>
      <c r="J375" s="44">
        <v>147770.17350017026</v>
      </c>
      <c r="K375" s="44">
        <v>0</v>
      </c>
      <c r="L375" s="44">
        <v>764332.76815004915</v>
      </c>
      <c r="M375" s="44">
        <v>764332.76815004915</v>
      </c>
      <c r="N375" s="44">
        <f t="shared" si="30"/>
        <v>726116.12974254671</v>
      </c>
      <c r="O375" s="44">
        <f t="shared" si="31"/>
        <v>802549.40655755159</v>
      </c>
    </row>
    <row r="382" spans="3:15" x14ac:dyDescent="0.3">
      <c r="N382" t="s">
        <v>249</v>
      </c>
      <c r="O382" s="44">
        <f>M363</f>
        <v>691935.24146509625</v>
      </c>
    </row>
    <row r="383" spans="3:15" x14ac:dyDescent="0.3">
      <c r="N383" t="s">
        <v>250</v>
      </c>
      <c r="O383" s="44">
        <f t="shared" ref="O383:O394" si="32">M364</f>
        <v>635427.64286974375</v>
      </c>
    </row>
    <row r="384" spans="3:15" x14ac:dyDescent="0.3">
      <c r="N384" t="s">
        <v>251</v>
      </c>
      <c r="O384" s="44">
        <f t="shared" si="32"/>
        <v>539756.44658111664</v>
      </c>
    </row>
    <row r="385" spans="14:15" x14ac:dyDescent="0.3">
      <c r="N385" t="s">
        <v>197</v>
      </c>
      <c r="O385" s="44">
        <f t="shared" si="32"/>
        <v>609951.50253319938</v>
      </c>
    </row>
    <row r="386" spans="14:15" x14ac:dyDescent="0.3">
      <c r="N386" t="s">
        <v>198</v>
      </c>
      <c r="O386" s="44">
        <f t="shared" si="32"/>
        <v>583927.15422507096</v>
      </c>
    </row>
    <row r="387" spans="14:15" x14ac:dyDescent="0.3">
      <c r="N387" t="s">
        <v>199</v>
      </c>
      <c r="O387" s="44">
        <f t="shared" si="32"/>
        <v>567164.19382972002</v>
      </c>
    </row>
    <row r="388" spans="14:15" x14ac:dyDescent="0.3">
      <c r="N388" t="s">
        <v>200</v>
      </c>
      <c r="O388" s="44">
        <f t="shared" si="32"/>
        <v>485958.41290742462</v>
      </c>
    </row>
    <row r="389" spans="14:15" x14ac:dyDescent="0.3">
      <c r="N389" t="s">
        <v>201</v>
      </c>
      <c r="O389" s="44">
        <f t="shared" si="32"/>
        <v>667659.56745551119</v>
      </c>
    </row>
    <row r="390" spans="14:15" x14ac:dyDescent="0.3">
      <c r="N390" t="s">
        <v>202</v>
      </c>
      <c r="O390" s="44">
        <f t="shared" si="32"/>
        <v>723233.66073348408</v>
      </c>
    </row>
    <row r="391" spans="14:15" x14ac:dyDescent="0.3">
      <c r="N391" t="s">
        <v>203</v>
      </c>
      <c r="O391" s="44">
        <f t="shared" si="32"/>
        <v>728517.68942900095</v>
      </c>
    </row>
    <row r="392" spans="14:15" x14ac:dyDescent="0.3">
      <c r="N392" t="s">
        <v>204</v>
      </c>
      <c r="O392" s="44">
        <f t="shared" si="32"/>
        <v>722082.68853867345</v>
      </c>
    </row>
    <row r="393" spans="14:15" x14ac:dyDescent="0.3">
      <c r="N393" t="s">
        <v>205</v>
      </c>
      <c r="O393" s="44">
        <f t="shared" si="32"/>
        <v>723856.56123021257</v>
      </c>
    </row>
    <row r="394" spans="14:15" x14ac:dyDescent="0.3">
      <c r="N394" t="s">
        <v>206</v>
      </c>
      <c r="O394" s="44">
        <f t="shared" si="32"/>
        <v>764332.76815004915</v>
      </c>
    </row>
    <row r="404" spans="3:15" x14ac:dyDescent="0.3">
      <c r="C404" t="s">
        <v>368</v>
      </c>
      <c r="D404" t="s">
        <v>380</v>
      </c>
      <c r="E404" t="s">
        <v>113</v>
      </c>
      <c r="F404" t="s">
        <v>114</v>
      </c>
      <c r="G404" t="s">
        <v>115</v>
      </c>
      <c r="H404" t="s">
        <v>116</v>
      </c>
      <c r="I404" t="s">
        <v>117</v>
      </c>
      <c r="J404" t="s">
        <v>118</v>
      </c>
      <c r="K404" t="s">
        <v>119</v>
      </c>
      <c r="L404" t="s">
        <v>383</v>
      </c>
      <c r="M404" t="s">
        <v>384</v>
      </c>
      <c r="N404" s="64" t="s">
        <v>426</v>
      </c>
      <c r="O404" t="s">
        <v>427</v>
      </c>
    </row>
    <row r="405" spans="3:15" x14ac:dyDescent="0.3">
      <c r="C405" t="s">
        <v>419</v>
      </c>
      <c r="D405" t="s">
        <v>201</v>
      </c>
      <c r="E405" s="44">
        <v>100880.18068517486</v>
      </c>
      <c r="F405" s="44">
        <v>102069.68497767326</v>
      </c>
      <c r="G405" s="44">
        <v>103413.46832974891</v>
      </c>
      <c r="H405" s="44">
        <v>118307.68961895195</v>
      </c>
      <c r="I405" s="44">
        <v>161144.83565871965</v>
      </c>
      <c r="J405" s="44">
        <v>144244.28366049938</v>
      </c>
      <c r="K405" s="44">
        <v>0</v>
      </c>
      <c r="L405" s="44">
        <f>SUM(E405:J405)</f>
        <v>730060.14293076796</v>
      </c>
      <c r="M405" s="44">
        <v>730060.14293076796</v>
      </c>
      <c r="N405" s="44">
        <f>M405*0.99</f>
        <v>722759.54150146025</v>
      </c>
      <c r="O405" s="44">
        <f>M405*1.01</f>
        <v>737360.74436007568</v>
      </c>
    </row>
    <row r="406" spans="3:15" x14ac:dyDescent="0.3">
      <c r="C406" s="1023" t="s">
        <v>422</v>
      </c>
      <c r="D406" t="s">
        <v>202</v>
      </c>
      <c r="E406" s="44">
        <v>119163.20915507973</v>
      </c>
      <c r="F406" s="44">
        <v>128565.58837747786</v>
      </c>
      <c r="G406" s="44">
        <v>130177.63872061193</v>
      </c>
      <c r="H406" s="44">
        <v>126879.28700357255</v>
      </c>
      <c r="I406" s="44">
        <v>163033.47778695141</v>
      </c>
      <c r="J406" s="44">
        <v>145157.42827362701</v>
      </c>
      <c r="K406" s="44">
        <v>0</v>
      </c>
      <c r="L406" s="44">
        <f t="shared" ref="L406:L417" si="33">SUM(E406:J406)</f>
        <v>812976.62931732065</v>
      </c>
      <c r="M406" s="44">
        <v>812976.62931732065</v>
      </c>
      <c r="N406" s="44">
        <f>M406*0.99</f>
        <v>804846.86302414746</v>
      </c>
      <c r="O406" s="44">
        <f>M406*1.02</f>
        <v>829236.16190366703</v>
      </c>
    </row>
    <row r="407" spans="3:15" x14ac:dyDescent="0.3">
      <c r="C407" s="1023"/>
      <c r="D407" t="s">
        <v>203</v>
      </c>
      <c r="E407" s="44">
        <v>123981.02624038346</v>
      </c>
      <c r="F407" s="44">
        <v>129857.70239338934</v>
      </c>
      <c r="G407" s="44">
        <v>132532.39743306578</v>
      </c>
      <c r="H407" s="44">
        <v>126735.68357662697</v>
      </c>
      <c r="I407" s="44">
        <v>160079.91507073137</v>
      </c>
      <c r="J407" s="44">
        <v>142619.51793255704</v>
      </c>
      <c r="K407" s="44">
        <v>0</v>
      </c>
      <c r="L407" s="44">
        <f t="shared" si="33"/>
        <v>815806.24264675402</v>
      </c>
      <c r="M407" s="44">
        <v>815806.24264675402</v>
      </c>
      <c r="N407" s="44">
        <f>M407*0.99</f>
        <v>807648.18022028648</v>
      </c>
      <c r="O407" s="44">
        <f>M407*1.03</f>
        <v>840280.42992615665</v>
      </c>
    </row>
    <row r="408" spans="3:15" x14ac:dyDescent="0.3">
      <c r="C408" s="1023"/>
      <c r="D408" t="s">
        <v>204</v>
      </c>
      <c r="E408" s="44">
        <v>121812.94734335048</v>
      </c>
      <c r="F408" s="44">
        <v>127298.08892399933</v>
      </c>
      <c r="G408" s="44">
        <v>129872.73013949877</v>
      </c>
      <c r="H408" s="44">
        <v>131543.25342977056</v>
      </c>
      <c r="I408" s="44">
        <v>161867.451493409</v>
      </c>
      <c r="J408" s="44">
        <v>146851.51051236276</v>
      </c>
      <c r="K408" s="44">
        <v>0</v>
      </c>
      <c r="L408" s="44">
        <f t="shared" si="33"/>
        <v>819245.98184239096</v>
      </c>
      <c r="M408" s="44">
        <v>819245.98184239096</v>
      </c>
      <c r="N408" s="44">
        <f>M408*0.99</f>
        <v>811053.522023967</v>
      </c>
      <c r="O408" s="44">
        <f>M408*1.04</f>
        <v>852015.82111608668</v>
      </c>
    </row>
    <row r="409" spans="3:15" x14ac:dyDescent="0.3">
      <c r="C409" s="1023"/>
      <c r="D409" t="s">
        <v>205</v>
      </c>
      <c r="E409" s="44">
        <v>123416.51777733845</v>
      </c>
      <c r="F409" s="44">
        <v>134710.5302364188</v>
      </c>
      <c r="G409" s="44">
        <v>131904.72438905927</v>
      </c>
      <c r="H409" s="44">
        <v>131447.2992873936</v>
      </c>
      <c r="I409" s="44">
        <v>160182.05623453821</v>
      </c>
      <c r="J409" s="44">
        <v>145464.4784986478</v>
      </c>
      <c r="K409" s="44">
        <v>0</v>
      </c>
      <c r="L409" s="44">
        <f t="shared" si="33"/>
        <v>827125.60642339615</v>
      </c>
      <c r="M409" s="44">
        <v>827125.60642339615</v>
      </c>
      <c r="N409" s="44">
        <f t="shared" ref="N409:N417" si="34">M409*0.99</f>
        <v>818854.3503591622</v>
      </c>
      <c r="O409" s="44">
        <f>M409*1.05</f>
        <v>868481.88674456603</v>
      </c>
    </row>
    <row r="410" spans="3:15" x14ac:dyDescent="0.3">
      <c r="C410" s="1023"/>
      <c r="D410" t="s">
        <v>206</v>
      </c>
      <c r="E410" s="44">
        <v>123145.0217926949</v>
      </c>
      <c r="F410" s="44">
        <v>134211.91911519409</v>
      </c>
      <c r="G410" s="44">
        <v>131409.10326502653</v>
      </c>
      <c r="H410" s="44">
        <v>131928.47468013098</v>
      </c>
      <c r="I410" s="44">
        <v>164816.71418249886</v>
      </c>
      <c r="J410" s="44">
        <v>149984.35699955706</v>
      </c>
      <c r="K410" s="44">
        <v>0</v>
      </c>
      <c r="L410" s="44">
        <f t="shared" si="33"/>
        <v>835495.59003510233</v>
      </c>
      <c r="M410" s="44">
        <v>835495.59003510233</v>
      </c>
      <c r="N410" s="44">
        <f t="shared" si="34"/>
        <v>827140.63413475128</v>
      </c>
      <c r="O410" s="44">
        <f>M410*1.05</f>
        <v>877270.36953685747</v>
      </c>
    </row>
    <row r="411" spans="3:15" x14ac:dyDescent="0.3">
      <c r="C411" s="1023" t="s">
        <v>428</v>
      </c>
      <c r="D411" t="s">
        <v>298</v>
      </c>
      <c r="E411" s="44">
        <v>124826.47129344389</v>
      </c>
      <c r="F411" s="44">
        <v>134691.55488278338</v>
      </c>
      <c r="G411" s="44">
        <v>131802.08760726277</v>
      </c>
      <c r="H411" s="44">
        <v>131127.27825487652</v>
      </c>
      <c r="I411" s="44">
        <v>164193.8836963631</v>
      </c>
      <c r="J411" s="44">
        <v>148947.07892262671</v>
      </c>
      <c r="K411" s="44">
        <v>0</v>
      </c>
      <c r="L411" s="44">
        <f t="shared" si="33"/>
        <v>835588.35465735628</v>
      </c>
      <c r="M411" s="44">
        <v>835588.35465735628</v>
      </c>
      <c r="N411" s="44">
        <f>M411*0.99</f>
        <v>827232.4711107827</v>
      </c>
      <c r="O411" s="44">
        <f>M411*1.05</f>
        <v>877367.77239022416</v>
      </c>
    </row>
    <row r="412" spans="3:15" x14ac:dyDescent="0.3">
      <c r="C412" s="1023"/>
      <c r="D412" t="s">
        <v>299</v>
      </c>
      <c r="E412" s="44">
        <v>124468.9742323496</v>
      </c>
      <c r="F412" s="44">
        <v>134327.16661931068</v>
      </c>
      <c r="G412" s="44">
        <v>131048.37032861607</v>
      </c>
      <c r="H412" s="44">
        <v>129284.10634025492</v>
      </c>
      <c r="I412" s="44">
        <v>162186.75195119914</v>
      </c>
      <c r="J412" s="44">
        <v>147371.16535336414</v>
      </c>
      <c r="K412" s="44">
        <v>0</v>
      </c>
      <c r="L412" s="44">
        <f t="shared" si="33"/>
        <v>828686.53482509451</v>
      </c>
      <c r="M412" s="44">
        <v>828686.53482509451</v>
      </c>
      <c r="N412" s="44">
        <f t="shared" si="34"/>
        <v>820399.66947684356</v>
      </c>
      <c r="O412" s="44">
        <f>M412*1.06</f>
        <v>878407.72691460024</v>
      </c>
    </row>
    <row r="413" spans="3:15" x14ac:dyDescent="0.3">
      <c r="C413" s="1023"/>
      <c r="D413" t="s">
        <v>100</v>
      </c>
      <c r="E413" s="44">
        <v>122907.4111453582</v>
      </c>
      <c r="F413" s="44">
        <v>132024.14689627063</v>
      </c>
      <c r="G413" s="44">
        <v>129209.32034820679</v>
      </c>
      <c r="H413" s="44">
        <v>136387.80984203424</v>
      </c>
      <c r="I413" s="44">
        <v>169578.55056113115</v>
      </c>
      <c r="J413" s="44">
        <v>154127.78509198228</v>
      </c>
      <c r="K413" s="44">
        <v>0</v>
      </c>
      <c r="L413" s="44">
        <f t="shared" si="33"/>
        <v>844235.02388498327</v>
      </c>
      <c r="M413" s="44">
        <v>844235.02388498327</v>
      </c>
      <c r="N413" s="44">
        <f t="shared" si="34"/>
        <v>835792.67364613339</v>
      </c>
      <c r="O413" s="44">
        <f>M413*1.06</f>
        <v>894889.12531808228</v>
      </c>
    </row>
    <row r="414" spans="3:15" x14ac:dyDescent="0.3">
      <c r="C414" s="1023"/>
      <c r="D414" t="s">
        <v>101</v>
      </c>
      <c r="E414" s="44">
        <v>128846.17343359308</v>
      </c>
      <c r="F414" s="44">
        <v>139607.9562087029</v>
      </c>
      <c r="G414" s="44">
        <v>136314.41056265752</v>
      </c>
      <c r="H414" s="44">
        <v>129729.4819682152</v>
      </c>
      <c r="I414" s="44">
        <v>179173.40414918421</v>
      </c>
      <c r="J414" s="44">
        <v>163084.91288381454</v>
      </c>
      <c r="K414" s="44">
        <v>0</v>
      </c>
      <c r="L414" s="44">
        <f t="shared" si="33"/>
        <v>876756.3392061675</v>
      </c>
      <c r="M414" s="44">
        <v>876756.3392061675</v>
      </c>
      <c r="N414" s="44">
        <f t="shared" si="34"/>
        <v>867988.77581410576</v>
      </c>
      <c r="O414" s="44">
        <f>M414*1.07</f>
        <v>938129.28295059933</v>
      </c>
    </row>
    <row r="415" spans="3:15" x14ac:dyDescent="0.3">
      <c r="C415" s="1023" t="s">
        <v>429</v>
      </c>
      <c r="D415" t="s">
        <v>102</v>
      </c>
      <c r="E415" s="44">
        <v>121520.64564744824</v>
      </c>
      <c r="F415" s="44">
        <v>139607.9562087029</v>
      </c>
      <c r="G415" s="44">
        <v>140841.92991250049</v>
      </c>
      <c r="H415" s="44">
        <v>145122.45580510586</v>
      </c>
      <c r="I415" s="44">
        <v>179206.81239713158</v>
      </c>
      <c r="J415" s="44">
        <v>163005.09288751445</v>
      </c>
      <c r="K415" s="44">
        <v>0</v>
      </c>
      <c r="L415" s="44">
        <f t="shared" si="33"/>
        <v>889304.8928584035</v>
      </c>
      <c r="M415" s="44">
        <v>749696.93664970063</v>
      </c>
      <c r="N415" s="44">
        <f t="shared" si="34"/>
        <v>742199.96728320362</v>
      </c>
      <c r="O415" s="44">
        <f>M415*1.07</f>
        <v>802175.7222151797</v>
      </c>
    </row>
    <row r="416" spans="3:15" x14ac:dyDescent="0.3">
      <c r="C416" s="1023"/>
      <c r="D416" t="s">
        <v>103</v>
      </c>
      <c r="E416" s="44">
        <v>136867.28822470451</v>
      </c>
      <c r="F416" s="44">
        <v>148608.36301941954</v>
      </c>
      <c r="G416" s="44">
        <v>140841.92991250049</v>
      </c>
      <c r="H416" s="44">
        <v>145122.45580510586</v>
      </c>
      <c r="I416" s="44">
        <v>169578.55056113115</v>
      </c>
      <c r="J416" s="44">
        <v>176827.23154610809</v>
      </c>
      <c r="K416" s="44">
        <v>0</v>
      </c>
      <c r="L416" s="44">
        <f t="shared" si="33"/>
        <v>917845.81906896969</v>
      </c>
      <c r="M416" s="44">
        <v>762022.33199491049</v>
      </c>
      <c r="N416" s="44">
        <f t="shared" si="34"/>
        <v>754402.10867496138</v>
      </c>
      <c r="O416" s="44">
        <f>M416*1.08</f>
        <v>822984.11855450342</v>
      </c>
    </row>
    <row r="417" spans="3:15" x14ac:dyDescent="0.3">
      <c r="C417" s="1023"/>
      <c r="D417" t="s">
        <v>104</v>
      </c>
      <c r="E417" s="44">
        <v>125221.20256251056</v>
      </c>
      <c r="F417" s="44">
        <v>140735.2424489063</v>
      </c>
      <c r="G417" s="44">
        <v>135148.01975679368</v>
      </c>
      <c r="H417" s="44">
        <v>139360.39211235309</v>
      </c>
      <c r="I417" s="44">
        <v>170825.70848847291</v>
      </c>
      <c r="J417" s="44">
        <v>155125.49146290467</v>
      </c>
      <c r="K417" s="44">
        <v>0</v>
      </c>
      <c r="L417" s="44">
        <f t="shared" si="33"/>
        <v>866416.05683194124</v>
      </c>
      <c r="M417" s="44">
        <v>866416.05683194124</v>
      </c>
      <c r="N417" s="44">
        <f t="shared" si="34"/>
        <v>857751.89626362186</v>
      </c>
      <c r="O417" s="44">
        <f>M417*1.08</f>
        <v>935729.34137849661</v>
      </c>
    </row>
    <row r="448" spans="3:15" ht="15" thickBot="1" x14ac:dyDescent="0.35">
      <c r="C448" t="s">
        <v>368</v>
      </c>
      <c r="D448" t="s">
        <v>380</v>
      </c>
      <c r="E448" t="s">
        <v>113</v>
      </c>
      <c r="F448" t="s">
        <v>114</v>
      </c>
      <c r="G448" t="s">
        <v>115</v>
      </c>
      <c r="H448" t="s">
        <v>116</v>
      </c>
      <c r="I448" t="s">
        <v>117</v>
      </c>
      <c r="J448" t="s">
        <v>118</v>
      </c>
      <c r="K448" t="s">
        <v>119</v>
      </c>
      <c r="L448" t="s">
        <v>383</v>
      </c>
      <c r="M448" t="s">
        <v>384</v>
      </c>
      <c r="N448" s="64" t="s">
        <v>426</v>
      </c>
      <c r="O448" t="s">
        <v>427</v>
      </c>
    </row>
    <row r="449" spans="3:19" x14ac:dyDescent="0.3">
      <c r="C449" t="s">
        <v>422</v>
      </c>
      <c r="D449" t="s">
        <v>206</v>
      </c>
      <c r="E449" s="44">
        <v>118294</v>
      </c>
      <c r="F449" s="44">
        <v>115498</v>
      </c>
      <c r="G449" s="44">
        <v>120930.807674685</v>
      </c>
      <c r="H449" s="44">
        <v>122483.68387118846</v>
      </c>
      <c r="I449" s="44">
        <v>150166.44406410021</v>
      </c>
      <c r="J449" s="44">
        <v>136530.46330426689</v>
      </c>
      <c r="K449" s="44">
        <v>0</v>
      </c>
      <c r="L449" s="44">
        <f>SUM(E449:J449)</f>
        <v>763903.39891424065</v>
      </c>
      <c r="M449" s="887">
        <v>763903.39891424065</v>
      </c>
      <c r="N449" s="44">
        <f>M449</f>
        <v>763903.39891424065</v>
      </c>
      <c r="O449" s="44">
        <f>M449*1.01</f>
        <v>771542.43290338304</v>
      </c>
    </row>
    <row r="450" spans="3:19" x14ac:dyDescent="0.3">
      <c r="C450" s="1023" t="s">
        <v>428</v>
      </c>
      <c r="D450" t="s">
        <v>298</v>
      </c>
      <c r="E450" s="44">
        <v>119874.33081530541</v>
      </c>
      <c r="F450" s="44">
        <v>118976.06717583495</v>
      </c>
      <c r="G450" s="44">
        <v>125621.987462889</v>
      </c>
      <c r="H450" s="44">
        <v>120548.29842040568</v>
      </c>
      <c r="I450" s="44">
        <v>153518.96527875843</v>
      </c>
      <c r="J450" s="44">
        <v>137314.1434327825</v>
      </c>
      <c r="K450" s="44">
        <v>0</v>
      </c>
      <c r="L450" s="44">
        <f t="shared" ref="L450:L461" si="35">SUM(E450:J450)</f>
        <v>775853.79258597596</v>
      </c>
      <c r="M450" s="620">
        <v>775853.79258597596</v>
      </c>
      <c r="N450" s="44">
        <f t="shared" ref="N450:N462" si="36">M450*0.99</f>
        <v>768095.25466011616</v>
      </c>
      <c r="O450" s="44">
        <f>M450*1.02</f>
        <v>791370.86843769543</v>
      </c>
    </row>
    <row r="451" spans="3:19" x14ac:dyDescent="0.3">
      <c r="C451" s="1023"/>
      <c r="D451" t="s">
        <v>299</v>
      </c>
      <c r="E451" s="44">
        <v>120369.74373653065</v>
      </c>
      <c r="F451" s="44">
        <v>120140.83729667062</v>
      </c>
      <c r="G451" s="44">
        <v>126821.43257898216</v>
      </c>
      <c r="H451" s="44">
        <v>122944.68561375966</v>
      </c>
      <c r="I451" s="44">
        <v>154340.22267266194</v>
      </c>
      <c r="J451" s="44">
        <v>138146.12670111784</v>
      </c>
      <c r="K451" s="44">
        <v>0</v>
      </c>
      <c r="L451" s="44">
        <f t="shared" si="35"/>
        <v>782763.04859972291</v>
      </c>
      <c r="M451" s="620">
        <v>782763.04859972291</v>
      </c>
      <c r="N451" s="44">
        <f t="shared" si="36"/>
        <v>774935.41811372573</v>
      </c>
      <c r="O451" s="44">
        <f>M451*1.03</f>
        <v>806245.94005771459</v>
      </c>
    </row>
    <row r="452" spans="3:19" x14ac:dyDescent="0.3">
      <c r="C452" s="1023"/>
      <c r="D452" t="s">
        <v>100</v>
      </c>
      <c r="E452" s="44">
        <v>120038.59433105268</v>
      </c>
      <c r="F452" s="44">
        <v>120830.5449122689</v>
      </c>
      <c r="G452" s="44">
        <v>127456.30206473736</v>
      </c>
      <c r="H452" s="44">
        <v>120466.36658359045</v>
      </c>
      <c r="I452" s="44">
        <v>162783.77396037785</v>
      </c>
      <c r="J452" s="44">
        <v>147796.17989168654</v>
      </c>
      <c r="K452" s="44">
        <v>0</v>
      </c>
      <c r="L452" s="44">
        <f t="shared" si="35"/>
        <v>799371.76174371375</v>
      </c>
      <c r="M452" s="620">
        <v>799371.76174371375</v>
      </c>
      <c r="N452" s="44">
        <f t="shared" si="36"/>
        <v>791378.04412627663</v>
      </c>
      <c r="O452" s="44">
        <f>M452*1.04</f>
        <v>831346.63221346238</v>
      </c>
    </row>
    <row r="453" spans="3:19" x14ac:dyDescent="0.3">
      <c r="C453" s="1023"/>
      <c r="D453" t="s">
        <v>101</v>
      </c>
      <c r="E453" s="44">
        <v>131963.63185287133</v>
      </c>
      <c r="F453" s="44">
        <v>128872.45055992898</v>
      </c>
      <c r="G453" s="44">
        <v>135414.67976220531</v>
      </c>
      <c r="H453" s="44">
        <v>122079.6045759298</v>
      </c>
      <c r="I453" s="44">
        <v>168756.57532167851</v>
      </c>
      <c r="J453" s="44">
        <v>150376.98575336041</v>
      </c>
      <c r="K453" s="44">
        <v>0</v>
      </c>
      <c r="L453" s="44">
        <f t="shared" si="35"/>
        <v>837463.92782597442</v>
      </c>
      <c r="M453" s="620">
        <v>837463.92782597442</v>
      </c>
      <c r="N453" s="44">
        <f t="shared" si="36"/>
        <v>829089.28854771471</v>
      </c>
      <c r="O453" s="44">
        <f>M453*1.05</f>
        <v>879337.1242172732</v>
      </c>
    </row>
    <row r="454" spans="3:19" x14ac:dyDescent="0.3">
      <c r="C454" s="1023" t="s">
        <v>429</v>
      </c>
      <c r="D454" t="s">
        <v>102</v>
      </c>
      <c r="E454" s="44">
        <v>111298.44692041943</v>
      </c>
      <c r="F454" s="872">
        <v>128000</v>
      </c>
      <c r="G454" s="44">
        <v>127524.79097687916</v>
      </c>
      <c r="H454" s="44">
        <v>125332.24492892639</v>
      </c>
      <c r="I454" s="44">
        <v>167676.88427808296</v>
      </c>
      <c r="J454" s="874">
        <v>155110.2090864167</v>
      </c>
      <c r="K454" s="44">
        <v>0</v>
      </c>
      <c r="L454" s="44">
        <f t="shared" si="35"/>
        <v>814942.57619072474</v>
      </c>
      <c r="M454" s="620">
        <v>686942.57619072474</v>
      </c>
      <c r="N454" s="44">
        <f t="shared" si="36"/>
        <v>680073.15042881749</v>
      </c>
      <c r="O454" s="44">
        <f>L454*1.05</f>
        <v>855689.70500026096</v>
      </c>
    </row>
    <row r="455" spans="3:19" x14ac:dyDescent="0.3">
      <c r="C455" s="1023"/>
      <c r="D455" t="s">
        <v>103</v>
      </c>
      <c r="E455" s="44">
        <v>133829.533428077</v>
      </c>
      <c r="F455" s="44">
        <v>129449.55273543071</v>
      </c>
      <c r="G455" s="44">
        <v>132325.78410501318</v>
      </c>
      <c r="H455" s="44">
        <v>139507.25653920439</v>
      </c>
      <c r="I455" s="872">
        <v>163000</v>
      </c>
      <c r="J455" s="874">
        <v>160740.90317745402</v>
      </c>
      <c r="K455" s="44">
        <v>0</v>
      </c>
      <c r="L455" s="44">
        <f t="shared" si="35"/>
        <v>858853.02998517931</v>
      </c>
      <c r="M455" s="620">
        <v>695853.02998517931</v>
      </c>
      <c r="N455" s="44">
        <f t="shared" si="36"/>
        <v>688894.49968532752</v>
      </c>
      <c r="O455" s="44">
        <f>L455*1.05</f>
        <v>901795.68148443836</v>
      </c>
    </row>
    <row r="456" spans="3:19" x14ac:dyDescent="0.3">
      <c r="C456" s="1023"/>
      <c r="D456" t="s">
        <v>104</v>
      </c>
      <c r="E456" s="44">
        <v>113037.41226965361</v>
      </c>
      <c r="F456" s="44">
        <v>126437.83490994279</v>
      </c>
      <c r="G456" s="44">
        <v>120438.69240862224</v>
      </c>
      <c r="H456" s="44">
        <v>129081.79296901298</v>
      </c>
      <c r="I456" s="44">
        <v>159559.66833890171</v>
      </c>
      <c r="J456" s="44">
        <v>147128.50543963886</v>
      </c>
      <c r="K456" s="44">
        <v>0</v>
      </c>
      <c r="L456" s="44">
        <f t="shared" si="35"/>
        <v>795683.90633577225</v>
      </c>
      <c r="M456" s="620">
        <v>795683.90633577225</v>
      </c>
      <c r="N456" s="44">
        <f t="shared" si="36"/>
        <v>787727.06727241457</v>
      </c>
      <c r="O456" s="44">
        <f>M456*1.06</f>
        <v>843424.94071591867</v>
      </c>
    </row>
    <row r="457" spans="3:19" x14ac:dyDescent="0.3">
      <c r="C457" s="1023"/>
      <c r="D457" t="s">
        <v>105</v>
      </c>
      <c r="E457" s="44">
        <v>127335.10010341293</v>
      </c>
      <c r="F457" s="44">
        <v>162625.44678950994</v>
      </c>
      <c r="G457" s="44">
        <v>161909.97838485634</v>
      </c>
      <c r="H457" s="44">
        <v>157248.90796262637</v>
      </c>
      <c r="I457" s="873">
        <v>188595.76390556953</v>
      </c>
      <c r="J457" s="873">
        <v>173165.78539661464</v>
      </c>
      <c r="K457" s="44">
        <v>0</v>
      </c>
      <c r="L457" s="44">
        <f t="shared" si="35"/>
        <v>970880.98254258977</v>
      </c>
      <c r="M457" s="620">
        <v>970880.98254258977</v>
      </c>
      <c r="N457" s="44">
        <f t="shared" si="36"/>
        <v>961172.17271716392</v>
      </c>
      <c r="O457" s="44">
        <f>M457*1.06</f>
        <v>1029133.8414951452</v>
      </c>
    </row>
    <row r="458" spans="3:19" x14ac:dyDescent="0.3">
      <c r="C458" s="1023" t="s">
        <v>430</v>
      </c>
      <c r="D458" t="s">
        <v>106</v>
      </c>
      <c r="E458" s="874">
        <v>156423.03590968382</v>
      </c>
      <c r="F458" s="874">
        <v>172712.03610715963</v>
      </c>
      <c r="G458" s="44">
        <v>168221.01271223251</v>
      </c>
      <c r="H458" s="44">
        <v>161653.258088025</v>
      </c>
      <c r="I458" s="874">
        <v>171228.94771368636</v>
      </c>
      <c r="J458" s="44">
        <v>158050.48960919958</v>
      </c>
      <c r="K458" s="44">
        <v>0</v>
      </c>
      <c r="L458" s="44">
        <f t="shared" si="35"/>
        <v>988288.78013998701</v>
      </c>
      <c r="M458" s="620">
        <v>988288.78013998701</v>
      </c>
      <c r="N458" s="44">
        <f t="shared" si="36"/>
        <v>978405.89233858709</v>
      </c>
      <c r="O458" s="44">
        <f>M458*1.07</f>
        <v>1057468.9947497861</v>
      </c>
    </row>
    <row r="459" spans="3:19" x14ac:dyDescent="0.3">
      <c r="C459" s="1023"/>
      <c r="D459" t="s">
        <v>107</v>
      </c>
      <c r="E459" s="44">
        <v>136718.50520791678</v>
      </c>
      <c r="F459" s="44">
        <v>132194.21202417003</v>
      </c>
      <c r="G459" s="44">
        <v>135398.07178700235</v>
      </c>
      <c r="H459" s="44">
        <v>127972.9755140722</v>
      </c>
      <c r="I459" s="44">
        <v>158408.7592864566</v>
      </c>
      <c r="J459" s="44">
        <v>146142.91643531626</v>
      </c>
      <c r="K459" s="44">
        <v>0</v>
      </c>
      <c r="L459" s="44">
        <f t="shared" si="35"/>
        <v>836835.44025493436</v>
      </c>
      <c r="M459" s="889">
        <v>836835.44025493436</v>
      </c>
      <c r="N459" s="44">
        <f t="shared" si="36"/>
        <v>828467.08585238503</v>
      </c>
      <c r="O459" s="44">
        <f>M459*1.07</f>
        <v>895413.92107277981</v>
      </c>
    </row>
    <row r="460" spans="3:19" x14ac:dyDescent="0.3">
      <c r="C460" s="1023"/>
      <c r="D460" t="s">
        <v>108</v>
      </c>
      <c r="E460" s="44">
        <v>126299.64163184623</v>
      </c>
      <c r="F460" s="44">
        <v>122787.83737888145</v>
      </c>
      <c r="G460" s="44">
        <v>126442.29175281712</v>
      </c>
      <c r="H460" s="44">
        <v>118728.71355111856</v>
      </c>
      <c r="I460" s="44">
        <v>144790.07163657644</v>
      </c>
      <c r="J460" s="44">
        <v>136408.81497893186</v>
      </c>
      <c r="K460" s="44">
        <v>0</v>
      </c>
      <c r="L460" s="44">
        <f t="shared" si="35"/>
        <v>775457.37093017157</v>
      </c>
      <c r="M460" s="889">
        <v>775457.37093017157</v>
      </c>
      <c r="N460" s="44">
        <f t="shared" si="36"/>
        <v>767702.7972208698</v>
      </c>
      <c r="O460" s="44">
        <f>M460*1.08</f>
        <v>837493.96060458536</v>
      </c>
    </row>
    <row r="461" spans="3:19" x14ac:dyDescent="0.3">
      <c r="C461" s="1023"/>
      <c r="D461" t="s">
        <v>109</v>
      </c>
      <c r="E461" s="874">
        <v>120002.32215527518</v>
      </c>
      <c r="F461" s="44">
        <v>150188.78017868544</v>
      </c>
      <c r="G461" s="44">
        <v>163339.56298024126</v>
      </c>
      <c r="H461" s="873">
        <v>194156.07249549223</v>
      </c>
      <c r="I461" s="873">
        <v>203691.27593137106</v>
      </c>
      <c r="J461" s="44">
        <v>141085.39777613024</v>
      </c>
      <c r="K461" s="44">
        <v>0</v>
      </c>
      <c r="L461" s="44">
        <f t="shared" si="35"/>
        <v>972463.4115171954</v>
      </c>
      <c r="M461" s="620">
        <v>972463.4115171954</v>
      </c>
      <c r="N461" s="44">
        <f t="shared" si="36"/>
        <v>962738.77740202344</v>
      </c>
      <c r="O461" s="44">
        <f>M461*1.08</f>
        <v>1050260.4844385711</v>
      </c>
    </row>
    <row r="462" spans="3:19" ht="15" thickBot="1" x14ac:dyDescent="0.35">
      <c r="C462" s="1023"/>
      <c r="D462" t="s">
        <v>110</v>
      </c>
      <c r="E462" s="874">
        <v>87824.220488896623</v>
      </c>
      <c r="F462" s="44">
        <v>142691.29613346606</v>
      </c>
      <c r="G462" s="44">
        <v>161367.05550410942</v>
      </c>
      <c r="H462" s="873">
        <v>180023.89681163683</v>
      </c>
      <c r="I462" s="873">
        <v>195202.14227642762</v>
      </c>
      <c r="J462" s="44">
        <v>143230.83505343535</v>
      </c>
      <c r="K462" s="44">
        <v>0</v>
      </c>
      <c r="L462" s="44">
        <f>SUM(E462:J462)</f>
        <v>910339.446267972</v>
      </c>
      <c r="M462" s="888">
        <v>910339.446267972</v>
      </c>
      <c r="N462" s="44">
        <f t="shared" si="36"/>
        <v>901236.05180529226</v>
      </c>
      <c r="O462" s="44">
        <f>M462*1.08</f>
        <v>983166.60196940985</v>
      </c>
    </row>
    <row r="463" spans="3:19" x14ac:dyDescent="0.3">
      <c r="E463" s="44"/>
      <c r="F463" s="44"/>
      <c r="G463" s="44"/>
      <c r="H463" s="44"/>
      <c r="I463" s="44"/>
      <c r="J463" s="44"/>
    </row>
    <row r="464" spans="3:19" x14ac:dyDescent="0.3">
      <c r="Q464" s="33" t="s">
        <v>431</v>
      </c>
      <c r="R464" s="33" t="s">
        <v>432</v>
      </c>
      <c r="S464" t="s">
        <v>433</v>
      </c>
    </row>
    <row r="465" spans="4:26" ht="15.6" x14ac:dyDescent="0.3">
      <c r="D465" s="876" t="s">
        <v>299</v>
      </c>
      <c r="E465" s="878">
        <v>130210</v>
      </c>
      <c r="F465" s="879">
        <v>124410</v>
      </c>
      <c r="G465" s="880">
        <v>129021</v>
      </c>
      <c r="H465" s="880">
        <v>125442</v>
      </c>
      <c r="I465" s="881">
        <v>161903</v>
      </c>
      <c r="J465" s="880">
        <v>147609</v>
      </c>
      <c r="K465" s="882">
        <v>0</v>
      </c>
      <c r="L465" s="44">
        <f t="shared" ref="L465:L469" si="37">SUM(E465:J465)</f>
        <v>818595</v>
      </c>
      <c r="M465" s="877">
        <f>L465</f>
        <v>818595</v>
      </c>
      <c r="N465" s="44">
        <f t="shared" ref="N465:N478" si="38">M465*0.99</f>
        <v>810409.05</v>
      </c>
      <c r="O465" s="44">
        <f>M465*1.03</f>
        <v>843152.85</v>
      </c>
    </row>
    <row r="466" spans="4:26" ht="15.6" x14ac:dyDescent="0.3">
      <c r="D466" s="876" t="s">
        <v>100</v>
      </c>
      <c r="E466" s="883">
        <v>131727</v>
      </c>
      <c r="F466" s="880">
        <v>124880</v>
      </c>
      <c r="G466" s="880">
        <v>128586</v>
      </c>
      <c r="H466" s="880">
        <v>121345</v>
      </c>
      <c r="I466" s="881">
        <v>165492</v>
      </c>
      <c r="J466" s="881">
        <v>156725</v>
      </c>
      <c r="K466" s="882">
        <v>0</v>
      </c>
      <c r="L466" s="44">
        <f t="shared" si="37"/>
        <v>828755</v>
      </c>
      <c r="M466" s="877">
        <f t="shared" ref="M466:M477" si="39">L466</f>
        <v>828755</v>
      </c>
      <c r="N466" s="44">
        <f t="shared" si="38"/>
        <v>820467.45</v>
      </c>
      <c r="O466" s="44">
        <f>M466*1.04</f>
        <v>861905.20000000007</v>
      </c>
      <c r="P466">
        <v>850000</v>
      </c>
      <c r="T466">
        <f t="shared" ref="T466:T476" si="40">SUM(P466:S466)</f>
        <v>850000</v>
      </c>
      <c r="U466" s="44">
        <f t="shared" ref="U466:U476" si="41">L466</f>
        <v>828755</v>
      </c>
      <c r="V466">
        <f>T466-U466</f>
        <v>21245</v>
      </c>
    </row>
    <row r="467" spans="4:26" ht="15.6" x14ac:dyDescent="0.3">
      <c r="D467" s="876" t="s">
        <v>101</v>
      </c>
      <c r="E467" s="883">
        <v>138395</v>
      </c>
      <c r="F467" s="880">
        <v>124303</v>
      </c>
      <c r="G467" s="880">
        <v>125556</v>
      </c>
      <c r="H467" s="880">
        <v>122150</v>
      </c>
      <c r="I467" s="880">
        <v>154647</v>
      </c>
      <c r="J467" s="880">
        <v>138270</v>
      </c>
      <c r="K467" s="882">
        <v>0</v>
      </c>
      <c r="L467" s="44">
        <f t="shared" si="37"/>
        <v>803321</v>
      </c>
      <c r="M467" s="877">
        <f t="shared" si="39"/>
        <v>803321</v>
      </c>
      <c r="N467" s="44">
        <f t="shared" si="38"/>
        <v>795287.79</v>
      </c>
      <c r="O467" s="44">
        <f>M467*1.05</f>
        <v>843487.05</v>
      </c>
      <c r="P467">
        <v>850000</v>
      </c>
      <c r="T467">
        <f t="shared" si="40"/>
        <v>850000</v>
      </c>
      <c r="U467" s="44">
        <f t="shared" si="41"/>
        <v>803321</v>
      </c>
      <c r="V467">
        <f t="shared" ref="V467:V476" si="42">T467-U467</f>
        <v>46679</v>
      </c>
    </row>
    <row r="468" spans="4:26" ht="15.6" x14ac:dyDescent="0.3">
      <c r="D468" s="876" t="s">
        <v>102</v>
      </c>
      <c r="E468" s="883">
        <v>130179</v>
      </c>
      <c r="F468" s="884"/>
      <c r="G468" s="880">
        <v>123721</v>
      </c>
      <c r="H468" s="880">
        <v>130404</v>
      </c>
      <c r="I468" s="881">
        <v>170569</v>
      </c>
      <c r="J468" s="881">
        <v>161374</v>
      </c>
      <c r="K468" s="882">
        <v>-8</v>
      </c>
      <c r="L468" s="44">
        <f t="shared" si="37"/>
        <v>716247</v>
      </c>
      <c r="M468" s="877">
        <v>844247</v>
      </c>
      <c r="N468" s="44">
        <f t="shared" si="38"/>
        <v>835804.53</v>
      </c>
      <c r="O468" s="44">
        <f>L468*1.05</f>
        <v>752059.35</v>
      </c>
      <c r="P468">
        <v>880000</v>
      </c>
      <c r="S468">
        <v>-130000</v>
      </c>
      <c r="T468">
        <f t="shared" si="40"/>
        <v>750000</v>
      </c>
      <c r="U468" s="44">
        <f t="shared" si="41"/>
        <v>716247</v>
      </c>
      <c r="V468">
        <f t="shared" si="42"/>
        <v>33753</v>
      </c>
    </row>
    <row r="469" spans="4:26" ht="15.6" x14ac:dyDescent="0.3">
      <c r="D469" s="876" t="s">
        <v>103</v>
      </c>
      <c r="E469" s="883">
        <v>142091</v>
      </c>
      <c r="F469" s="880">
        <v>136612</v>
      </c>
      <c r="G469" s="901">
        <v>138003</v>
      </c>
      <c r="H469" s="880">
        <v>150000</v>
      </c>
      <c r="I469" s="884"/>
      <c r="J469" s="881">
        <v>135000</v>
      </c>
      <c r="K469" s="882">
        <v>0</v>
      </c>
      <c r="L469" s="44">
        <f t="shared" si="37"/>
        <v>701706</v>
      </c>
      <c r="M469" s="877">
        <v>844247</v>
      </c>
      <c r="N469" s="44">
        <f t="shared" si="38"/>
        <v>835804.53</v>
      </c>
      <c r="O469" s="44">
        <f>L469*1.05</f>
        <v>736791.3</v>
      </c>
      <c r="P469">
        <v>910000</v>
      </c>
      <c r="S469">
        <v>-160000</v>
      </c>
      <c r="T469">
        <f t="shared" si="40"/>
        <v>750000</v>
      </c>
      <c r="U469" s="44">
        <f t="shared" si="41"/>
        <v>701706</v>
      </c>
      <c r="V469">
        <f t="shared" si="42"/>
        <v>48294</v>
      </c>
    </row>
    <row r="470" spans="4:26" ht="15.6" x14ac:dyDescent="0.3">
      <c r="D470" s="876" t="s">
        <v>104</v>
      </c>
      <c r="E470" s="883">
        <v>114870</v>
      </c>
      <c r="F470" s="880">
        <v>130222</v>
      </c>
      <c r="G470" s="880">
        <v>124808</v>
      </c>
      <c r="H470" s="880">
        <v>127991</v>
      </c>
      <c r="I470" s="881">
        <v>159506</v>
      </c>
      <c r="J470" s="880">
        <v>149735</v>
      </c>
      <c r="K470" s="882">
        <v>-7</v>
      </c>
      <c r="L470" s="899">
        <v>826000</v>
      </c>
      <c r="M470" s="877">
        <f t="shared" si="39"/>
        <v>826000</v>
      </c>
      <c r="N470" s="44">
        <f t="shared" si="38"/>
        <v>817740</v>
      </c>
      <c r="O470" s="44">
        <f>M470*1.06</f>
        <v>875560</v>
      </c>
      <c r="P470">
        <v>925000</v>
      </c>
      <c r="T470">
        <f t="shared" si="40"/>
        <v>925000</v>
      </c>
      <c r="U470" s="44">
        <f t="shared" si="41"/>
        <v>826000</v>
      </c>
      <c r="V470" s="900">
        <f t="shared" si="42"/>
        <v>99000</v>
      </c>
      <c r="X470">
        <v>18000</v>
      </c>
      <c r="Y470">
        <v>50000</v>
      </c>
      <c r="Z470">
        <f>V470-Y470-X470</f>
        <v>31000</v>
      </c>
    </row>
    <row r="471" spans="4:26" ht="15.6" x14ac:dyDescent="0.3">
      <c r="D471" s="876" t="s">
        <v>105</v>
      </c>
      <c r="E471" s="883">
        <v>132375</v>
      </c>
      <c r="F471" s="881">
        <v>169162</v>
      </c>
      <c r="G471" s="881">
        <v>173030</v>
      </c>
      <c r="H471" s="881">
        <v>156300</v>
      </c>
      <c r="I471" s="881">
        <v>200789</v>
      </c>
      <c r="J471" s="881">
        <v>179785</v>
      </c>
      <c r="K471" s="882">
        <v>0</v>
      </c>
      <c r="L471" s="899">
        <v>1025000</v>
      </c>
      <c r="M471" s="877">
        <f t="shared" si="39"/>
        <v>1025000</v>
      </c>
      <c r="N471" s="44">
        <f t="shared" si="38"/>
        <v>1014750</v>
      </c>
      <c r="O471" s="44">
        <f>M471*1.06</f>
        <v>1086500</v>
      </c>
      <c r="P471">
        <v>950000</v>
      </c>
      <c r="Q471">
        <v>40000</v>
      </c>
      <c r="T471">
        <f t="shared" si="40"/>
        <v>990000</v>
      </c>
      <c r="U471" s="44">
        <f t="shared" si="41"/>
        <v>1025000</v>
      </c>
      <c r="V471">
        <f t="shared" si="42"/>
        <v>-35000</v>
      </c>
    </row>
    <row r="472" spans="4:26" ht="15.6" x14ac:dyDescent="0.3">
      <c r="D472" s="876" t="s">
        <v>106</v>
      </c>
      <c r="E472" s="883">
        <v>154564</v>
      </c>
      <c r="F472" s="881">
        <v>174865</v>
      </c>
      <c r="G472" s="881">
        <v>171933</v>
      </c>
      <c r="H472" s="881">
        <v>161413</v>
      </c>
      <c r="I472" s="881">
        <v>170890</v>
      </c>
      <c r="J472" s="881">
        <v>161110</v>
      </c>
      <c r="K472" s="882">
        <v>-7</v>
      </c>
      <c r="L472" s="899">
        <v>1017887</v>
      </c>
      <c r="M472" s="877">
        <f t="shared" si="39"/>
        <v>1017887</v>
      </c>
      <c r="N472" s="44">
        <f t="shared" si="38"/>
        <v>1007708.13</v>
      </c>
      <c r="O472" s="44">
        <f>M472*1.07</f>
        <v>1089139.0900000001</v>
      </c>
      <c r="P472">
        <v>950000</v>
      </c>
      <c r="Q472">
        <v>40000</v>
      </c>
      <c r="R472">
        <v>40000</v>
      </c>
      <c r="T472">
        <f t="shared" si="40"/>
        <v>1030000</v>
      </c>
      <c r="U472" s="44">
        <f t="shared" si="41"/>
        <v>1017887</v>
      </c>
      <c r="V472">
        <f t="shared" si="42"/>
        <v>12113</v>
      </c>
    </row>
    <row r="473" spans="4:26" ht="15.6" x14ac:dyDescent="0.3">
      <c r="D473" s="876" t="s">
        <v>107</v>
      </c>
      <c r="E473" s="883">
        <v>132000</v>
      </c>
      <c r="F473" s="880">
        <v>136717</v>
      </c>
      <c r="G473" s="880">
        <v>139545</v>
      </c>
      <c r="H473" s="880">
        <v>121213</v>
      </c>
      <c r="I473" s="881">
        <v>157919</v>
      </c>
      <c r="J473" s="880">
        <v>148798</v>
      </c>
      <c r="K473" s="882">
        <v>-7</v>
      </c>
      <c r="L473" s="899">
        <v>863600</v>
      </c>
      <c r="M473" s="877">
        <f t="shared" si="39"/>
        <v>863600</v>
      </c>
      <c r="N473" s="44">
        <f t="shared" si="38"/>
        <v>854964</v>
      </c>
      <c r="O473" s="44">
        <f>M473*1.07</f>
        <v>924052</v>
      </c>
      <c r="P473">
        <v>950000</v>
      </c>
      <c r="T473">
        <f t="shared" si="40"/>
        <v>950000</v>
      </c>
      <c r="U473" s="44">
        <f t="shared" si="41"/>
        <v>863600</v>
      </c>
      <c r="V473" s="900">
        <f t="shared" si="42"/>
        <v>86400</v>
      </c>
      <c r="W473" t="s">
        <v>434</v>
      </c>
      <c r="Y473">
        <v>50000</v>
      </c>
      <c r="Z473">
        <f>V473-Y473-X473</f>
        <v>36400</v>
      </c>
    </row>
    <row r="474" spans="4:26" ht="15.6" x14ac:dyDescent="0.3">
      <c r="D474" s="876" t="s">
        <v>108</v>
      </c>
      <c r="E474" s="883">
        <v>131344</v>
      </c>
      <c r="F474" s="880">
        <v>126888</v>
      </c>
      <c r="G474" s="880">
        <v>129207</v>
      </c>
      <c r="H474" s="880">
        <v>116917</v>
      </c>
      <c r="I474" s="880">
        <v>152508</v>
      </c>
      <c r="J474" s="880">
        <v>144738</v>
      </c>
      <c r="K474" s="882">
        <v>0</v>
      </c>
      <c r="L474" s="899">
        <v>814000</v>
      </c>
      <c r="M474" s="877">
        <f t="shared" si="39"/>
        <v>814000</v>
      </c>
      <c r="N474" s="44">
        <f t="shared" si="38"/>
        <v>805860</v>
      </c>
      <c r="O474" s="44">
        <f>M474*1.08</f>
        <v>879120</v>
      </c>
      <c r="P474">
        <v>950000</v>
      </c>
      <c r="T474">
        <f t="shared" si="40"/>
        <v>950000</v>
      </c>
      <c r="U474" s="44">
        <f t="shared" si="41"/>
        <v>814000</v>
      </c>
      <c r="V474" s="900">
        <f t="shared" si="42"/>
        <v>136000</v>
      </c>
      <c r="W474" t="s">
        <v>434</v>
      </c>
      <c r="X474">
        <v>18000</v>
      </c>
      <c r="Y474">
        <v>50000</v>
      </c>
      <c r="Z474">
        <f>V474-Y474-X474</f>
        <v>68000</v>
      </c>
    </row>
    <row r="475" spans="4:26" ht="15.6" x14ac:dyDescent="0.3">
      <c r="D475" s="876" t="s">
        <v>109</v>
      </c>
      <c r="E475" s="883">
        <v>135000</v>
      </c>
      <c r="F475" s="881">
        <v>160000</v>
      </c>
      <c r="G475" s="881">
        <v>168554</v>
      </c>
      <c r="H475" s="881">
        <v>202072</v>
      </c>
      <c r="I475" s="881">
        <v>200000</v>
      </c>
      <c r="J475" s="880">
        <v>146001</v>
      </c>
      <c r="K475" s="882">
        <v>0</v>
      </c>
      <c r="L475" s="899">
        <v>1030000</v>
      </c>
      <c r="M475" s="877">
        <f t="shared" si="39"/>
        <v>1030000</v>
      </c>
      <c r="N475" s="44">
        <f t="shared" si="38"/>
        <v>1019700</v>
      </c>
      <c r="O475" s="44">
        <f>M475*1.08</f>
        <v>1112400</v>
      </c>
      <c r="P475">
        <v>950000</v>
      </c>
      <c r="Q475">
        <v>40000</v>
      </c>
      <c r="T475">
        <f t="shared" si="40"/>
        <v>990000</v>
      </c>
      <c r="U475" s="44">
        <f t="shared" si="41"/>
        <v>1030000</v>
      </c>
      <c r="V475">
        <f t="shared" si="42"/>
        <v>-40000</v>
      </c>
    </row>
    <row r="476" spans="4:26" ht="15.6" x14ac:dyDescent="0.3">
      <c r="D476" s="876" t="s">
        <v>110</v>
      </c>
      <c r="E476" s="885">
        <v>95077</v>
      </c>
      <c r="F476" s="881">
        <v>170221</v>
      </c>
      <c r="G476" s="881">
        <v>169320</v>
      </c>
      <c r="H476" s="881">
        <v>170793</v>
      </c>
      <c r="I476" s="881">
        <v>203611</v>
      </c>
      <c r="J476" s="880">
        <v>145230</v>
      </c>
      <c r="K476" s="882">
        <v>0</v>
      </c>
      <c r="L476" s="899">
        <f>SUM(E476:J476)</f>
        <v>954252</v>
      </c>
      <c r="M476" s="877">
        <f t="shared" si="39"/>
        <v>954252</v>
      </c>
      <c r="N476" s="44">
        <f t="shared" si="38"/>
        <v>944709.48</v>
      </c>
      <c r="O476" s="44">
        <f>M476*1.08</f>
        <v>1030592.16</v>
      </c>
      <c r="P476">
        <v>950000</v>
      </c>
      <c r="Q476">
        <v>40000</v>
      </c>
      <c r="T476">
        <f t="shared" si="40"/>
        <v>990000</v>
      </c>
      <c r="U476" s="44">
        <f t="shared" si="41"/>
        <v>954252</v>
      </c>
      <c r="V476">
        <f t="shared" si="42"/>
        <v>35748</v>
      </c>
    </row>
    <row r="477" spans="4:26" ht="15.6" x14ac:dyDescent="0.3">
      <c r="D477" s="876" t="s">
        <v>111</v>
      </c>
      <c r="E477" s="886">
        <v>0</v>
      </c>
      <c r="F477" s="884">
        <v>0</v>
      </c>
      <c r="G477" s="884">
        <v>0</v>
      </c>
      <c r="H477" s="884">
        <v>0</v>
      </c>
      <c r="I477" s="884">
        <v>0</v>
      </c>
      <c r="J477" s="884">
        <v>0</v>
      </c>
      <c r="K477" s="882">
        <v>0</v>
      </c>
      <c r="L477" s="899">
        <f t="shared" ref="L477" si="43">SUM(E477:J477)</f>
        <v>0</v>
      </c>
      <c r="M477" s="877">
        <f t="shared" si="39"/>
        <v>0</v>
      </c>
      <c r="N477" s="44">
        <f t="shared" si="38"/>
        <v>0</v>
      </c>
      <c r="O477" s="44">
        <f>M477*1.08</f>
        <v>0</v>
      </c>
    </row>
    <row r="478" spans="4:26" x14ac:dyDescent="0.3">
      <c r="L478" s="44">
        <f>SUM(E478:J478)</f>
        <v>0</v>
      </c>
      <c r="N478" s="44">
        <f t="shared" si="38"/>
        <v>0</v>
      </c>
      <c r="O478" s="44">
        <f>M478*1.08</f>
        <v>0</v>
      </c>
    </row>
    <row r="480" spans="4:26" x14ac:dyDescent="0.3">
      <c r="D480" s="876" t="s">
        <v>299</v>
      </c>
      <c r="E480" s="312">
        <f>E465-E451</f>
        <v>9840.2562634693459</v>
      </c>
      <c r="F480" s="312">
        <f t="shared" ref="F480:K480" si="44">F465-F451</f>
        <v>4269.1627033293771</v>
      </c>
      <c r="G480" s="312">
        <f t="shared" si="44"/>
        <v>2199.5674210178404</v>
      </c>
      <c r="H480" s="312">
        <f t="shared" si="44"/>
        <v>2497.3143862403376</v>
      </c>
      <c r="I480" s="312">
        <f t="shared" si="44"/>
        <v>7562.777327338059</v>
      </c>
      <c r="J480" s="312">
        <f t="shared" si="44"/>
        <v>9462.8732988821575</v>
      </c>
      <c r="K480" s="312">
        <f t="shared" si="44"/>
        <v>0</v>
      </c>
      <c r="L480" s="312">
        <f>L465-L451</f>
        <v>35831.951400277088</v>
      </c>
      <c r="M480" s="312">
        <f t="shared" ref="M480" si="45">M465-M451</f>
        <v>35831.951400277088</v>
      </c>
    </row>
    <row r="481" spans="4:18" x14ac:dyDescent="0.3">
      <c r="D481" s="876" t="s">
        <v>100</v>
      </c>
      <c r="E481" s="312">
        <f t="shared" ref="E481:K491" si="46">E466-E452</f>
        <v>11688.405668947322</v>
      </c>
      <c r="F481" s="312">
        <f t="shared" si="46"/>
        <v>4049.4550877310976</v>
      </c>
      <c r="G481" s="312">
        <f t="shared" si="46"/>
        <v>1129.6979352626367</v>
      </c>
      <c r="H481" s="312">
        <f t="shared" si="46"/>
        <v>878.63341640954604</v>
      </c>
      <c r="I481" s="312">
        <f t="shared" si="46"/>
        <v>2708.2260396221536</v>
      </c>
      <c r="J481" s="312">
        <f t="shared" si="46"/>
        <v>8928.8201083134627</v>
      </c>
      <c r="K481" s="312">
        <f t="shared" si="46"/>
        <v>0</v>
      </c>
      <c r="L481" s="312">
        <f t="shared" ref="L481:M481" si="47">L466-L452</f>
        <v>29383.238256286248</v>
      </c>
      <c r="M481" s="312">
        <f t="shared" si="47"/>
        <v>29383.238256286248</v>
      </c>
    </row>
    <row r="482" spans="4:18" x14ac:dyDescent="0.3">
      <c r="D482" s="876" t="s">
        <v>101</v>
      </c>
      <c r="E482" s="312">
        <f t="shared" si="46"/>
        <v>6431.3681471286691</v>
      </c>
      <c r="F482" s="312">
        <f t="shared" si="46"/>
        <v>-4569.4505599289841</v>
      </c>
      <c r="G482" s="312">
        <f t="shared" si="46"/>
        <v>-9858.6797622053127</v>
      </c>
      <c r="H482" s="312">
        <f t="shared" si="46"/>
        <v>70.395424070200534</v>
      </c>
      <c r="I482" s="312">
        <f t="shared" si="46"/>
        <v>-14109.575321678509</v>
      </c>
      <c r="J482" s="312">
        <f t="shared" si="46"/>
        <v>-12106.985753360408</v>
      </c>
      <c r="K482" s="312">
        <f t="shared" si="46"/>
        <v>0</v>
      </c>
      <c r="L482" s="312">
        <f t="shared" ref="L482:M482" si="48">L467-L453</f>
        <v>-34142.927825974417</v>
      </c>
      <c r="M482" s="312">
        <f t="shared" si="48"/>
        <v>-34142.927825974417</v>
      </c>
    </row>
    <row r="483" spans="4:18" x14ac:dyDescent="0.3">
      <c r="D483" s="876" t="s">
        <v>102</v>
      </c>
      <c r="E483" s="312">
        <f t="shared" si="46"/>
        <v>18880.553079580568</v>
      </c>
      <c r="F483" s="312">
        <f t="shared" si="46"/>
        <v>-128000</v>
      </c>
      <c r="G483" s="312">
        <f t="shared" si="46"/>
        <v>-3803.7909768791578</v>
      </c>
      <c r="H483" s="312">
        <f t="shared" si="46"/>
        <v>5071.7550710736105</v>
      </c>
      <c r="I483" s="312">
        <f t="shared" si="46"/>
        <v>2892.1157219170418</v>
      </c>
      <c r="J483" s="312">
        <f t="shared" si="46"/>
        <v>6263.7909135833033</v>
      </c>
      <c r="K483" s="312">
        <f t="shared" si="46"/>
        <v>-8</v>
      </c>
      <c r="L483" s="312">
        <f t="shared" ref="L483:M483" si="49">L468-L454</f>
        <v>-98695.576190724736</v>
      </c>
      <c r="M483" s="312">
        <f t="shared" si="49"/>
        <v>157304.42380927526</v>
      </c>
      <c r="Q483" t="s">
        <v>102</v>
      </c>
      <c r="R483" s="44">
        <v>855689.70500026096</v>
      </c>
    </row>
    <row r="484" spans="4:18" x14ac:dyDescent="0.3">
      <c r="D484" s="876" t="s">
        <v>103</v>
      </c>
      <c r="E484" s="312">
        <f t="shared" si="46"/>
        <v>8261.4665719229961</v>
      </c>
      <c r="F484" s="312">
        <f t="shared" si="46"/>
        <v>7162.4472645692877</v>
      </c>
      <c r="G484" s="312">
        <f t="shared" si="46"/>
        <v>5677.2158949868171</v>
      </c>
      <c r="H484" s="312">
        <f t="shared" si="46"/>
        <v>10492.743460795609</v>
      </c>
      <c r="I484" s="312">
        <f t="shared" si="46"/>
        <v>-163000</v>
      </c>
      <c r="J484" s="312">
        <f t="shared" si="46"/>
        <v>-25740.90317745402</v>
      </c>
      <c r="K484" s="312">
        <f t="shared" si="46"/>
        <v>0</v>
      </c>
      <c r="L484" s="312">
        <f t="shared" ref="L484:M484" si="50">L469-L455</f>
        <v>-157147.02998517931</v>
      </c>
      <c r="M484" s="312">
        <f t="shared" si="50"/>
        <v>148393.97001482069</v>
      </c>
      <c r="Q484" t="s">
        <v>103</v>
      </c>
      <c r="R484" s="44">
        <v>901795.68148443836</v>
      </c>
    </row>
    <row r="485" spans="4:18" x14ac:dyDescent="0.3">
      <c r="D485" s="876" t="s">
        <v>104</v>
      </c>
      <c r="E485" s="312">
        <f t="shared" si="46"/>
        <v>1832.5877303463931</v>
      </c>
      <c r="F485" s="312">
        <f t="shared" si="46"/>
        <v>3784.1650900572131</v>
      </c>
      <c r="G485" s="312">
        <f t="shared" si="46"/>
        <v>4369.3075913777575</v>
      </c>
      <c r="H485" s="312">
        <f t="shared" si="46"/>
        <v>-1090.7929690129822</v>
      </c>
      <c r="I485" s="312">
        <f t="shared" si="46"/>
        <v>-53.668338901712559</v>
      </c>
      <c r="J485" s="312">
        <f t="shared" si="46"/>
        <v>2606.4945603611413</v>
      </c>
      <c r="K485" s="312">
        <f t="shared" si="46"/>
        <v>-7</v>
      </c>
      <c r="L485" s="312">
        <f t="shared" ref="L485:M485" si="51">L470-L456</f>
        <v>30316.093664227752</v>
      </c>
      <c r="M485" s="312">
        <f t="shared" si="51"/>
        <v>30316.093664227752</v>
      </c>
      <c r="Q485" t="s">
        <v>104</v>
      </c>
      <c r="R485" s="44">
        <v>843424.94071591867</v>
      </c>
    </row>
    <row r="486" spans="4:18" x14ac:dyDescent="0.3">
      <c r="D486" s="876" t="s">
        <v>105</v>
      </c>
      <c r="E486" s="312">
        <f t="shared" si="46"/>
        <v>5039.8998965870705</v>
      </c>
      <c r="F486" s="312">
        <f t="shared" si="46"/>
        <v>6536.5532104900631</v>
      </c>
      <c r="G486" s="312">
        <f t="shared" si="46"/>
        <v>11120.021615143662</v>
      </c>
      <c r="H486" s="312">
        <f t="shared" si="46"/>
        <v>-948.90796262637014</v>
      </c>
      <c r="I486" s="312">
        <f t="shared" si="46"/>
        <v>12193.236094430467</v>
      </c>
      <c r="J486" s="312">
        <f t="shared" si="46"/>
        <v>6619.2146033853642</v>
      </c>
      <c r="K486" s="312">
        <f t="shared" si="46"/>
        <v>0</v>
      </c>
      <c r="L486" s="312">
        <f t="shared" ref="L486:M486" si="52">L471-L457</f>
        <v>54119.017457410228</v>
      </c>
      <c r="M486" s="312">
        <f t="shared" si="52"/>
        <v>54119.017457410228</v>
      </c>
      <c r="Q486" t="s">
        <v>105</v>
      </c>
      <c r="R486" s="44">
        <v>1029133.8414951452</v>
      </c>
    </row>
    <row r="487" spans="4:18" x14ac:dyDescent="0.3">
      <c r="D487" s="876" t="s">
        <v>106</v>
      </c>
      <c r="E487" s="312">
        <f t="shared" si="46"/>
        <v>-1859.035909683822</v>
      </c>
      <c r="F487" s="312">
        <f t="shared" si="46"/>
        <v>2152.9638928403729</v>
      </c>
      <c r="G487" s="312">
        <f t="shared" si="46"/>
        <v>3711.9872877674934</v>
      </c>
      <c r="H487" s="312">
        <f t="shared" si="46"/>
        <v>-240.25808802500251</v>
      </c>
      <c r="I487" s="312">
        <f t="shared" si="46"/>
        <v>-338.94771368635702</v>
      </c>
      <c r="J487" s="312">
        <f t="shared" si="46"/>
        <v>3059.5103908004239</v>
      </c>
      <c r="K487" s="312">
        <f t="shared" si="46"/>
        <v>-7</v>
      </c>
      <c r="L487" s="312">
        <f t="shared" ref="L487:M487" si="53">L472-L458</f>
        <v>29598.219860012992</v>
      </c>
      <c r="M487" s="312">
        <f t="shared" si="53"/>
        <v>29598.219860012992</v>
      </c>
      <c r="Q487" t="s">
        <v>106</v>
      </c>
      <c r="R487" s="44">
        <v>1057468.9947497861</v>
      </c>
    </row>
    <row r="488" spans="4:18" x14ac:dyDescent="0.3">
      <c r="D488" s="876" t="s">
        <v>107</v>
      </c>
      <c r="E488" s="312">
        <f t="shared" si="46"/>
        <v>-4718.5052079167799</v>
      </c>
      <c r="F488" s="312">
        <f t="shared" si="46"/>
        <v>4522.7879758299678</v>
      </c>
      <c r="G488" s="312">
        <f t="shared" si="46"/>
        <v>4146.9282129976491</v>
      </c>
      <c r="H488" s="312">
        <f t="shared" si="46"/>
        <v>-6759.9755140721973</v>
      </c>
      <c r="I488" s="312">
        <f t="shared" si="46"/>
        <v>-489.75928645659587</v>
      </c>
      <c r="J488" s="312">
        <f t="shared" si="46"/>
        <v>2655.0835646837368</v>
      </c>
      <c r="K488" s="312">
        <f t="shared" si="46"/>
        <v>-7</v>
      </c>
      <c r="L488" s="312">
        <f t="shared" ref="L488:M488" si="54">L473-L459</f>
        <v>26764.559745065635</v>
      </c>
      <c r="M488" s="312">
        <f t="shared" si="54"/>
        <v>26764.559745065635</v>
      </c>
      <c r="Q488" t="s">
        <v>107</v>
      </c>
      <c r="R488" s="44">
        <v>895413.92107277981</v>
      </c>
    </row>
    <row r="489" spans="4:18" x14ac:dyDescent="0.3">
      <c r="D489" s="876" t="s">
        <v>108</v>
      </c>
      <c r="E489" s="312">
        <f t="shared" si="46"/>
        <v>5044.3583681537712</v>
      </c>
      <c r="F489" s="312">
        <f t="shared" si="46"/>
        <v>4100.1626211185503</v>
      </c>
      <c r="G489" s="312">
        <f t="shared" si="46"/>
        <v>2764.7082471828762</v>
      </c>
      <c r="H489" s="312">
        <f t="shared" si="46"/>
        <v>-1811.7135511185625</v>
      </c>
      <c r="I489" s="312">
        <f t="shared" si="46"/>
        <v>7717.9283634235617</v>
      </c>
      <c r="J489" s="312">
        <f t="shared" si="46"/>
        <v>8329.1850210681441</v>
      </c>
      <c r="K489" s="312">
        <f t="shared" si="46"/>
        <v>0</v>
      </c>
      <c r="L489" s="312">
        <f t="shared" ref="L489:M489" si="55">L474-L460</f>
        <v>38542.629069828428</v>
      </c>
      <c r="M489" s="312">
        <f t="shared" si="55"/>
        <v>38542.629069828428</v>
      </c>
      <c r="Q489" t="s">
        <v>108</v>
      </c>
      <c r="R489" s="44">
        <v>837493.96060458536</v>
      </c>
    </row>
    <row r="490" spans="4:18" x14ac:dyDescent="0.3">
      <c r="D490" s="876" t="s">
        <v>109</v>
      </c>
      <c r="E490" s="312">
        <f t="shared" si="46"/>
        <v>14997.677844724822</v>
      </c>
      <c r="F490" s="312">
        <f t="shared" si="46"/>
        <v>9811.2198213145602</v>
      </c>
      <c r="G490" s="312">
        <f t="shared" si="46"/>
        <v>5214.4370197587414</v>
      </c>
      <c r="H490" s="312">
        <f t="shared" si="46"/>
        <v>7915.9275045077666</v>
      </c>
      <c r="I490" s="312">
        <f t="shared" si="46"/>
        <v>-3691.2759313710558</v>
      </c>
      <c r="J490" s="312">
        <f t="shared" si="46"/>
        <v>4915.6022238697624</v>
      </c>
      <c r="K490" s="312">
        <f t="shared" si="46"/>
        <v>0</v>
      </c>
      <c r="L490" s="312">
        <f t="shared" ref="L490:M491" si="56">L475-L461</f>
        <v>57536.588482804596</v>
      </c>
      <c r="M490" s="312">
        <f t="shared" si="56"/>
        <v>57536.588482804596</v>
      </c>
      <c r="Q490" t="s">
        <v>109</v>
      </c>
      <c r="R490" s="44">
        <v>1050260.4844385711</v>
      </c>
    </row>
    <row r="491" spans="4:18" x14ac:dyDescent="0.3">
      <c r="D491" s="876" t="s">
        <v>110</v>
      </c>
      <c r="E491" s="312">
        <f>E476-E462</f>
        <v>7252.7795111033774</v>
      </c>
      <c r="F491" s="312">
        <f t="shared" si="46"/>
        <v>27529.703866533935</v>
      </c>
      <c r="G491" s="312">
        <f t="shared" si="46"/>
        <v>7952.9444958905806</v>
      </c>
      <c r="H491" s="312">
        <f t="shared" si="46"/>
        <v>-9230.8968116368342</v>
      </c>
      <c r="I491" s="312">
        <f t="shared" si="46"/>
        <v>8408.8577235723787</v>
      </c>
      <c r="J491" s="312">
        <f t="shared" si="46"/>
        <v>1999.1649465646478</v>
      </c>
      <c r="K491" s="312">
        <f t="shared" si="46"/>
        <v>0</v>
      </c>
      <c r="L491" s="312">
        <f>L476-L462</f>
        <v>43912.553732027998</v>
      </c>
      <c r="M491" s="312">
        <f t="shared" si="56"/>
        <v>43912.553732027998</v>
      </c>
      <c r="Q491" t="s">
        <v>110</v>
      </c>
      <c r="R491" s="44">
        <v>983166.60196940985</v>
      </c>
    </row>
    <row r="492" spans="4:18" x14ac:dyDescent="0.3">
      <c r="D492" s="876" t="s">
        <v>111</v>
      </c>
    </row>
    <row r="533" spans="14:15" x14ac:dyDescent="0.3">
      <c r="N533" t="s">
        <v>102</v>
      </c>
      <c r="O533" s="44">
        <v>721289.70500026096</v>
      </c>
    </row>
    <row r="534" spans="14:15" x14ac:dyDescent="0.3">
      <c r="N534" t="s">
        <v>103</v>
      </c>
      <c r="O534" s="44">
        <v>730645.68148443836</v>
      </c>
    </row>
    <row r="535" spans="14:15" x14ac:dyDescent="0.3">
      <c r="N535" t="s">
        <v>104</v>
      </c>
      <c r="O535" s="44">
        <v>843424.94071591867</v>
      </c>
    </row>
    <row r="536" spans="14:15" x14ac:dyDescent="0.3">
      <c r="N536" t="s">
        <v>105</v>
      </c>
      <c r="O536" s="44">
        <v>1029133.8414951452</v>
      </c>
    </row>
    <row r="537" spans="14:15" x14ac:dyDescent="0.3">
      <c r="N537" t="s">
        <v>106</v>
      </c>
      <c r="O537" s="44">
        <v>1057468.9947497861</v>
      </c>
    </row>
    <row r="538" spans="14:15" x14ac:dyDescent="0.3">
      <c r="N538" t="s">
        <v>107</v>
      </c>
      <c r="O538" s="44">
        <v>895413.92107277981</v>
      </c>
    </row>
    <row r="539" spans="14:15" x14ac:dyDescent="0.3">
      <c r="N539" t="s">
        <v>108</v>
      </c>
      <c r="O539" s="44">
        <v>837493.96060458536</v>
      </c>
    </row>
    <row r="540" spans="14:15" x14ac:dyDescent="0.3">
      <c r="N540" t="s">
        <v>109</v>
      </c>
      <c r="O540" s="44">
        <v>1050260.4844385711</v>
      </c>
    </row>
    <row r="541" spans="14:15" x14ac:dyDescent="0.3">
      <c r="N541" t="s">
        <v>110</v>
      </c>
      <c r="O541" s="44">
        <v>983166.60196940985</v>
      </c>
    </row>
    <row r="548" spans="2:11" x14ac:dyDescent="0.3">
      <c r="B548" s="893" t="s">
        <v>435</v>
      </c>
      <c r="C548" s="893" t="s">
        <v>379</v>
      </c>
    </row>
    <row r="549" spans="2:11" x14ac:dyDescent="0.3">
      <c r="B549" s="893" t="s">
        <v>369</v>
      </c>
      <c r="C549" t="s">
        <v>113</v>
      </c>
      <c r="D549" t="s">
        <v>114</v>
      </c>
      <c r="E549" t="s">
        <v>115</v>
      </c>
      <c r="F549" t="s">
        <v>116</v>
      </c>
      <c r="G549" t="s">
        <v>117</v>
      </c>
      <c r="H549" t="s">
        <v>118</v>
      </c>
      <c r="I549" t="s">
        <v>119</v>
      </c>
      <c r="J549" t="s">
        <v>378</v>
      </c>
    </row>
    <row r="550" spans="2:11" x14ac:dyDescent="0.3">
      <c r="B550" s="742">
        <v>1</v>
      </c>
      <c r="C550" s="53">
        <v>74567.888999999996</v>
      </c>
      <c r="D550" s="53">
        <v>131848.00199999998</v>
      </c>
      <c r="E550" s="53">
        <v>127975.122</v>
      </c>
      <c r="F550" s="53">
        <v>122116.40099999998</v>
      </c>
      <c r="G550" s="53">
        <v>148452.084</v>
      </c>
      <c r="H550" s="53">
        <v>145360.71</v>
      </c>
      <c r="I550" s="53">
        <v>9688.9319999999989</v>
      </c>
      <c r="J550" s="53">
        <v>760009.14</v>
      </c>
      <c r="K550" s="53">
        <f>SUM(J550:J553)</f>
        <v>3183933.5550000002</v>
      </c>
    </row>
    <row r="551" spans="2:11" x14ac:dyDescent="0.3">
      <c r="B551" s="742">
        <v>2</v>
      </c>
      <c r="C551" s="53">
        <v>107573.89499999999</v>
      </c>
      <c r="D551" s="53">
        <v>112075.52399999998</v>
      </c>
      <c r="E551" s="53">
        <v>136225.584</v>
      </c>
      <c r="F551" s="53">
        <v>138122.32499999998</v>
      </c>
      <c r="G551" s="53">
        <v>157427.82</v>
      </c>
      <c r="H551" s="53">
        <v>146915.20800000001</v>
      </c>
      <c r="I551" s="53">
        <v>5034.1499999999996</v>
      </c>
      <c r="J551" s="53">
        <v>803374.50600000005</v>
      </c>
    </row>
    <row r="552" spans="2:11" x14ac:dyDescent="0.3">
      <c r="B552" s="742">
        <v>3</v>
      </c>
      <c r="C552" s="53">
        <v>111959.09999999999</v>
      </c>
      <c r="D552" s="53">
        <v>126562.39199999999</v>
      </c>
      <c r="E552" s="53">
        <v>130309.641</v>
      </c>
      <c r="F552" s="53">
        <v>121634.37000000001</v>
      </c>
      <c r="G552" s="53">
        <v>158661.459</v>
      </c>
      <c r="H552" s="53">
        <v>146226.16800000001</v>
      </c>
      <c r="I552" s="53">
        <v>9707.7419999999984</v>
      </c>
      <c r="J552" s="53">
        <v>805060.87199999986</v>
      </c>
    </row>
    <row r="553" spans="2:11" x14ac:dyDescent="0.3">
      <c r="B553" s="742">
        <v>4</v>
      </c>
      <c r="C553" s="53">
        <v>114471.126</v>
      </c>
      <c r="D553" s="53">
        <v>124130.25900000001</v>
      </c>
      <c r="E553" s="53">
        <v>125832.26699999999</v>
      </c>
      <c r="F553" s="53">
        <v>126959.77800000001</v>
      </c>
      <c r="G553" s="53">
        <v>155818.77299999999</v>
      </c>
      <c r="H553" s="53">
        <v>157652.54999999999</v>
      </c>
      <c r="I553" s="53">
        <v>10624.284</v>
      </c>
      <c r="J553" s="53">
        <v>815489.03700000001</v>
      </c>
    </row>
    <row r="554" spans="2:11" x14ac:dyDescent="0.3">
      <c r="B554" s="742">
        <v>5</v>
      </c>
      <c r="C554" s="53">
        <v>117053.145</v>
      </c>
      <c r="D554" s="53">
        <v>132637.23000000001</v>
      </c>
      <c r="E554" s="53">
        <v>138447.04500000001</v>
      </c>
      <c r="F554" s="53">
        <v>128900.37599999999</v>
      </c>
      <c r="G554" s="53">
        <v>156577.50899999999</v>
      </c>
      <c r="H554" s="53">
        <v>151233.09299999999</v>
      </c>
      <c r="I554" s="53">
        <v>6447.375</v>
      </c>
      <c r="J554" s="53">
        <v>831295.77300000004</v>
      </c>
      <c r="K554" s="53">
        <f>SUM(J554:J557)</f>
        <v>3015972.2339999997</v>
      </c>
    </row>
    <row r="555" spans="2:11" x14ac:dyDescent="0.3">
      <c r="B555" s="742">
        <v>6</v>
      </c>
      <c r="C555" s="53">
        <v>115696.845</v>
      </c>
      <c r="D555" s="53">
        <v>114003.94500000001</v>
      </c>
      <c r="E555" s="53">
        <v>116002.95300000001</v>
      </c>
      <c r="F555" s="53">
        <v>107919.20699999999</v>
      </c>
      <c r="G555" s="53">
        <v>151284.87</v>
      </c>
      <c r="H555" s="53">
        <v>129602.87999999999</v>
      </c>
      <c r="I555" s="53">
        <v>5068.8</v>
      </c>
      <c r="J555" s="53">
        <v>739579.50000000012</v>
      </c>
    </row>
    <row r="556" spans="2:11" x14ac:dyDescent="0.3">
      <c r="B556" s="742">
        <v>7</v>
      </c>
      <c r="C556" s="53">
        <v>105293.43</v>
      </c>
      <c r="D556" s="53">
        <v>114595.47</v>
      </c>
      <c r="E556" s="53">
        <v>106351.542</v>
      </c>
      <c r="F556" s="53">
        <v>104788.53000000001</v>
      </c>
      <c r="G556" s="53">
        <v>144231.12</v>
      </c>
      <c r="H556" s="53">
        <v>129523.68</v>
      </c>
      <c r="I556" s="53">
        <v>4586.1750000000002</v>
      </c>
      <c r="J556" s="53">
        <v>709369.94699999993</v>
      </c>
    </row>
    <row r="557" spans="2:11" x14ac:dyDescent="0.3">
      <c r="B557" s="742">
        <v>8</v>
      </c>
      <c r="C557" s="53">
        <v>110989.89000000001</v>
      </c>
      <c r="D557" s="53">
        <v>111303.22500000001</v>
      </c>
      <c r="E557" s="53">
        <v>102908.02499999999</v>
      </c>
      <c r="F557" s="53">
        <v>103508.46</v>
      </c>
      <c r="G557" s="53">
        <v>156633.84</v>
      </c>
      <c r="H557" s="53">
        <v>144832.644</v>
      </c>
      <c r="I557" s="53">
        <v>5550.93</v>
      </c>
      <c r="J557" s="53">
        <v>735727.01400000008</v>
      </c>
    </row>
    <row r="558" spans="2:11" x14ac:dyDescent="0.3">
      <c r="B558" s="742">
        <v>9</v>
      </c>
      <c r="C558" s="53">
        <v>121076.00999999998</v>
      </c>
      <c r="D558" s="53">
        <v>118506.46500000001</v>
      </c>
      <c r="E558" s="53">
        <v>122056.308</v>
      </c>
      <c r="F558" s="53">
        <v>114697.143</v>
      </c>
      <c r="G558" s="53">
        <v>150097.85999999999</v>
      </c>
      <c r="H558" s="53">
        <v>141401.70000000001</v>
      </c>
      <c r="I558" s="53">
        <v>6029.1</v>
      </c>
      <c r="J558" s="53">
        <v>773864.58600000001</v>
      </c>
      <c r="K558" s="53">
        <f>SUM(J558:J562)</f>
        <v>3801544.4609999997</v>
      </c>
    </row>
    <row r="559" spans="2:11" x14ac:dyDescent="0.3">
      <c r="B559" s="742">
        <v>10</v>
      </c>
      <c r="C559" s="53">
        <v>117707.04000000001</v>
      </c>
      <c r="D559" s="53">
        <v>121580.31600000001</v>
      </c>
      <c r="E559" s="53">
        <v>120403.99800000001</v>
      </c>
      <c r="F559" s="53">
        <v>115384.5</v>
      </c>
      <c r="G559" s="53">
        <v>151737.10200000001</v>
      </c>
      <c r="H559" s="53">
        <v>132669.70199999999</v>
      </c>
      <c r="I559" s="53">
        <v>5437.4760000000006</v>
      </c>
      <c r="J559" s="53">
        <v>764920.13400000008</v>
      </c>
    </row>
    <row r="560" spans="2:11" x14ac:dyDescent="0.3">
      <c r="B560" s="742">
        <v>11</v>
      </c>
      <c r="C560" s="53">
        <v>113480.53200000001</v>
      </c>
      <c r="D560" s="53">
        <v>111936.13199999998</v>
      </c>
      <c r="E560" s="53">
        <v>109985.04000000001</v>
      </c>
      <c r="F560" s="53">
        <v>103010.193</v>
      </c>
      <c r="G560" s="53">
        <v>150970.74299999999</v>
      </c>
      <c r="H560" s="53">
        <v>133207.76699999999</v>
      </c>
      <c r="I560" s="53">
        <v>4401.2429999999995</v>
      </c>
      <c r="J560" s="53">
        <v>726991.65</v>
      </c>
    </row>
    <row r="561" spans="2:11" x14ac:dyDescent="0.3">
      <c r="B561" s="742">
        <v>12</v>
      </c>
      <c r="C561" s="53">
        <v>110187</v>
      </c>
      <c r="D561" s="53">
        <v>110686.95000000001</v>
      </c>
      <c r="E561" s="53">
        <v>114198.48000000001</v>
      </c>
      <c r="F561" s="53">
        <v>112295.50200000001</v>
      </c>
      <c r="G561" s="53">
        <v>162758.47499999998</v>
      </c>
      <c r="H561" s="53">
        <v>143108.95500000002</v>
      </c>
      <c r="I561" s="53">
        <v>4616.5680000000002</v>
      </c>
      <c r="J561" s="53">
        <v>757851.92999999993</v>
      </c>
    </row>
    <row r="562" spans="2:11" x14ac:dyDescent="0.3">
      <c r="B562" s="742">
        <v>13</v>
      </c>
      <c r="C562" s="53">
        <v>111010.58100000001</v>
      </c>
      <c r="D562" s="53">
        <v>112904.55</v>
      </c>
      <c r="E562" s="53">
        <v>122517.84600000001</v>
      </c>
      <c r="F562" s="53">
        <v>119552.004</v>
      </c>
      <c r="G562" s="53">
        <v>159676.704</v>
      </c>
      <c r="H562" s="53">
        <v>146828.78099999999</v>
      </c>
      <c r="I562" s="53">
        <v>5425.6949999999997</v>
      </c>
      <c r="J562" s="53">
        <v>777916.16099999996</v>
      </c>
      <c r="K562" s="53"/>
    </row>
    <row r="563" spans="2:11" x14ac:dyDescent="0.3">
      <c r="B563" s="742">
        <v>14</v>
      </c>
      <c r="C563" s="53">
        <v>111591.018</v>
      </c>
      <c r="D563" s="53">
        <v>113857.524</v>
      </c>
      <c r="E563" s="53">
        <v>114455.18699999999</v>
      </c>
      <c r="F563" s="53">
        <v>109485.486</v>
      </c>
      <c r="G563" s="53">
        <v>138616.82999999999</v>
      </c>
      <c r="H563" s="53">
        <v>123441.71400000001</v>
      </c>
      <c r="I563" s="53">
        <v>3838.7249999999999</v>
      </c>
      <c r="J563" s="53">
        <v>715286.48399999994</v>
      </c>
      <c r="K563" s="53">
        <f>SUM(J563:J566)</f>
        <v>2792114.2259999998</v>
      </c>
    </row>
    <row r="564" spans="2:11" x14ac:dyDescent="0.3">
      <c r="B564" s="742">
        <v>15</v>
      </c>
      <c r="C564" s="53">
        <v>106616.26799999998</v>
      </c>
      <c r="D564" s="53">
        <v>107508.159</v>
      </c>
      <c r="E564" s="53">
        <v>91594.799999999988</v>
      </c>
      <c r="F564" s="53">
        <v>99366.399000000005</v>
      </c>
      <c r="G564" s="53">
        <v>151892.43299999999</v>
      </c>
      <c r="H564" s="53">
        <v>140277.45600000001</v>
      </c>
      <c r="I564" s="53">
        <v>10200.068999999998</v>
      </c>
      <c r="J564" s="53">
        <v>707455.58399999992</v>
      </c>
    </row>
    <row r="565" spans="2:11" x14ac:dyDescent="0.3">
      <c r="B565" s="742">
        <v>16</v>
      </c>
      <c r="C565" s="53">
        <v>0</v>
      </c>
      <c r="D565" s="53">
        <v>73842.812999999995</v>
      </c>
      <c r="E565" s="53">
        <v>127318.75200000001</v>
      </c>
      <c r="F565" s="53">
        <v>121527.648</v>
      </c>
      <c r="G565" s="53">
        <v>154657.40399999998</v>
      </c>
      <c r="H565" s="53">
        <v>142990.353</v>
      </c>
      <c r="I565" s="53">
        <v>5248.5839999999998</v>
      </c>
      <c r="J565" s="53">
        <v>625585.554</v>
      </c>
    </row>
    <row r="566" spans="2:11" x14ac:dyDescent="0.3">
      <c r="B566" s="742">
        <v>17</v>
      </c>
      <c r="C566" s="53">
        <v>114038.496</v>
      </c>
      <c r="D566" s="53">
        <v>111911.97600000001</v>
      </c>
      <c r="E566" s="53">
        <v>113157.69299999998</v>
      </c>
      <c r="F566" s="53">
        <v>108018.50400000002</v>
      </c>
      <c r="G566" s="53">
        <v>150616.22399999999</v>
      </c>
      <c r="H566" s="53">
        <v>146043.71100000001</v>
      </c>
      <c r="I566" s="53">
        <v>0</v>
      </c>
      <c r="J566" s="53">
        <v>743786.60399999993</v>
      </c>
    </row>
    <row r="567" spans="2:11" x14ac:dyDescent="0.3">
      <c r="B567" s="742">
        <v>18</v>
      </c>
      <c r="C567" s="53">
        <v>116346.087</v>
      </c>
      <c r="D567" s="53">
        <v>116806.43700000001</v>
      </c>
      <c r="E567" s="53">
        <v>116187.39</v>
      </c>
      <c r="F567" s="53">
        <v>111828.22199999999</v>
      </c>
      <c r="G567" s="53">
        <v>162870.84</v>
      </c>
      <c r="H567" s="53">
        <v>146069.74799999999</v>
      </c>
      <c r="I567" s="53">
        <v>3765.2670000000003</v>
      </c>
      <c r="J567" s="53">
        <v>773873.99100000004</v>
      </c>
      <c r="K567" s="53">
        <f>SUM(J567:J570)</f>
        <v>2874366.1934565688</v>
      </c>
    </row>
    <row r="568" spans="2:11" x14ac:dyDescent="0.3">
      <c r="B568" s="742">
        <v>19</v>
      </c>
      <c r="C568" s="53">
        <v>109201.75200000001</v>
      </c>
      <c r="D568" s="53">
        <v>115332.52499999999</v>
      </c>
      <c r="E568" s="53">
        <v>109716.255</v>
      </c>
      <c r="F568" s="53">
        <v>110652.10199999998</v>
      </c>
      <c r="G568" s="53">
        <v>154141.81199999998</v>
      </c>
      <c r="H568" s="53">
        <v>138428.53200000001</v>
      </c>
      <c r="I568" s="53">
        <v>3962.9300750835837</v>
      </c>
      <c r="J568" s="53">
        <v>741435.90807508363</v>
      </c>
    </row>
    <row r="569" spans="2:11" x14ac:dyDescent="0.3">
      <c r="B569" s="742">
        <v>20</v>
      </c>
      <c r="C569" s="53">
        <v>112125.02399999999</v>
      </c>
      <c r="D569" s="53">
        <v>107358.76799999998</v>
      </c>
      <c r="E569" s="53">
        <v>112049.48700000001</v>
      </c>
      <c r="F569" s="53">
        <v>107674.083</v>
      </c>
      <c r="G569" s="53">
        <v>142114.005</v>
      </c>
      <c r="H569" s="53">
        <v>133344.981</v>
      </c>
      <c r="I569" s="53">
        <v>3659.5528820377099</v>
      </c>
      <c r="J569" s="53">
        <v>718325.90088203771</v>
      </c>
    </row>
    <row r="570" spans="2:11" x14ac:dyDescent="0.3">
      <c r="B570" s="742">
        <v>21</v>
      </c>
      <c r="C570" s="53">
        <v>103860.9</v>
      </c>
      <c r="D570" s="53">
        <v>114364.60200000001</v>
      </c>
      <c r="E570" s="53">
        <v>118966.51799999998</v>
      </c>
      <c r="F570" s="53">
        <v>0</v>
      </c>
      <c r="G570" s="53">
        <v>141155.38799999998</v>
      </c>
      <c r="H570" s="53">
        <v>156931.82999999999</v>
      </c>
      <c r="I570" s="53">
        <v>5451.1554994475882</v>
      </c>
      <c r="J570" s="53">
        <v>640730.39349944761</v>
      </c>
    </row>
    <row r="571" spans="2:11" x14ac:dyDescent="0.3">
      <c r="B571" s="742">
        <v>22</v>
      </c>
      <c r="C571" s="53">
        <v>128479.23000000001</v>
      </c>
      <c r="D571" s="53">
        <v>123022.152</v>
      </c>
      <c r="E571" s="53">
        <v>132741.27899999998</v>
      </c>
      <c r="F571" s="53">
        <v>121607.24400000001</v>
      </c>
      <c r="G571" s="53">
        <v>155814.91199999998</v>
      </c>
      <c r="H571" s="53">
        <v>146464.56</v>
      </c>
      <c r="I571" s="53">
        <v>10275.209999999999</v>
      </c>
      <c r="J571" s="53">
        <v>818404.58699999982</v>
      </c>
      <c r="K571" s="53">
        <f>SUM(J571:J575)</f>
        <v>3766918.1219999995</v>
      </c>
    </row>
    <row r="572" spans="2:11" x14ac:dyDescent="0.3">
      <c r="B572" s="742">
        <v>23</v>
      </c>
      <c r="C572" s="53">
        <v>0</v>
      </c>
      <c r="D572" s="53">
        <v>90932.192999999999</v>
      </c>
      <c r="E572" s="53">
        <v>137163.609</v>
      </c>
      <c r="F572" s="53">
        <v>121980.67200000001</v>
      </c>
      <c r="G572" s="53">
        <v>159841.242</v>
      </c>
      <c r="H572" s="53">
        <v>149538.50999999998</v>
      </c>
      <c r="I572" s="53">
        <v>5732.1</v>
      </c>
      <c r="J572" s="53">
        <v>665188.326</v>
      </c>
    </row>
    <row r="573" spans="2:11" x14ac:dyDescent="0.3">
      <c r="B573" s="742">
        <v>24</v>
      </c>
      <c r="C573" s="53">
        <v>115301.04300000001</v>
      </c>
      <c r="D573" s="53">
        <v>122968.89</v>
      </c>
      <c r="E573" s="53">
        <v>116161.25399999999</v>
      </c>
      <c r="F573" s="53">
        <v>121316.481</v>
      </c>
      <c r="G573" s="53">
        <v>149757.39899999998</v>
      </c>
      <c r="H573" s="53">
        <v>139519.413</v>
      </c>
      <c r="I573" s="53">
        <v>5771.4029999999993</v>
      </c>
      <c r="J573" s="53">
        <v>770795.88300000003</v>
      </c>
    </row>
    <row r="574" spans="2:11" x14ac:dyDescent="0.3">
      <c r="B574" s="742">
        <v>25</v>
      </c>
      <c r="C574" s="53">
        <v>104140.08</v>
      </c>
      <c r="D574" s="53">
        <v>126130.65299999999</v>
      </c>
      <c r="E574" s="53">
        <v>120449.34</v>
      </c>
      <c r="F574" s="53">
        <v>118565.96400000001</v>
      </c>
      <c r="G574" s="53">
        <v>150298.83000000002</v>
      </c>
      <c r="H574" s="53">
        <v>137943.63</v>
      </c>
      <c r="I574" s="53">
        <v>4713.3900000000003</v>
      </c>
      <c r="J574" s="53">
        <v>762241.8870000001</v>
      </c>
    </row>
    <row r="575" spans="2:11" x14ac:dyDescent="0.3">
      <c r="B575" s="742">
        <v>26</v>
      </c>
      <c r="C575" s="53">
        <v>114149.178</v>
      </c>
      <c r="D575" s="53">
        <v>121186.09799999998</v>
      </c>
      <c r="E575" s="53">
        <v>118018.69200000001</v>
      </c>
      <c r="F575" s="53">
        <v>118318.167</v>
      </c>
      <c r="G575" s="53">
        <v>141289.63199999998</v>
      </c>
      <c r="H575" s="53">
        <v>131969.772</v>
      </c>
      <c r="I575" s="53">
        <v>5355.9</v>
      </c>
      <c r="J575" s="53">
        <v>750287.43900000001</v>
      </c>
    </row>
    <row r="576" spans="2:11" x14ac:dyDescent="0.3">
      <c r="B576" s="742">
        <v>27</v>
      </c>
      <c r="C576" s="53">
        <v>101618.94600000001</v>
      </c>
      <c r="D576" s="53">
        <v>112516.07399999999</v>
      </c>
      <c r="E576" s="53">
        <v>106715.86199999999</v>
      </c>
      <c r="F576" s="53">
        <v>99699.93</v>
      </c>
      <c r="G576" s="53">
        <v>128366.17199999999</v>
      </c>
      <c r="H576" s="53">
        <v>114553.098</v>
      </c>
      <c r="I576" s="53">
        <v>0</v>
      </c>
      <c r="J576" s="53">
        <v>663470.08199999994</v>
      </c>
      <c r="K576" s="53">
        <f>SUM(J576:J579)</f>
        <v>2394283.716</v>
      </c>
    </row>
    <row r="577" spans="2:11" x14ac:dyDescent="0.3">
      <c r="B577" s="742">
        <v>28</v>
      </c>
      <c r="C577" s="53">
        <v>91968.623999999996</v>
      </c>
      <c r="D577" s="53">
        <v>105155.52299999999</v>
      </c>
      <c r="E577" s="53">
        <v>101620.629</v>
      </c>
      <c r="F577" s="53">
        <v>96799.824000000008</v>
      </c>
      <c r="G577" s="53">
        <v>114964.34400000001</v>
      </c>
      <c r="H577" s="53">
        <v>106289.568</v>
      </c>
      <c r="I577" s="53">
        <v>0</v>
      </c>
      <c r="J577" s="53">
        <v>616798.51199999999</v>
      </c>
    </row>
    <row r="578" spans="2:11" x14ac:dyDescent="0.3">
      <c r="B578" s="742">
        <v>29</v>
      </c>
      <c r="C578" s="53">
        <v>82609.361999999994</v>
      </c>
      <c r="D578" s="53">
        <v>97146.324000000008</v>
      </c>
      <c r="E578" s="53">
        <v>102469.554</v>
      </c>
      <c r="F578" s="53">
        <v>0</v>
      </c>
      <c r="G578" s="53">
        <v>119463.20099999999</v>
      </c>
      <c r="H578" s="53">
        <v>108483.21</v>
      </c>
      <c r="I578" s="53">
        <v>0</v>
      </c>
      <c r="J578" s="53">
        <v>510171.65100000001</v>
      </c>
    </row>
    <row r="579" spans="2:11" x14ac:dyDescent="0.3">
      <c r="B579" s="742">
        <v>30</v>
      </c>
      <c r="C579" s="53">
        <v>88651.331999999995</v>
      </c>
      <c r="D579" s="53">
        <v>97543.512000000017</v>
      </c>
      <c r="E579" s="53">
        <v>86970.905999999988</v>
      </c>
      <c r="F579" s="53">
        <v>93466.791000000012</v>
      </c>
      <c r="G579" s="53">
        <v>124044.42600000001</v>
      </c>
      <c r="H579" s="53">
        <v>113166.504</v>
      </c>
      <c r="I579" s="53">
        <v>0</v>
      </c>
      <c r="J579" s="53">
        <v>603843.47100000002</v>
      </c>
    </row>
    <row r="580" spans="2:11" x14ac:dyDescent="0.3">
      <c r="B580" s="742">
        <v>31</v>
      </c>
      <c r="C580" s="53">
        <v>99139.194000000003</v>
      </c>
      <c r="D580" s="53">
        <v>104152.554</v>
      </c>
      <c r="E580" s="53">
        <v>102602.808</v>
      </c>
      <c r="F580" s="53">
        <v>98211</v>
      </c>
      <c r="G580" s="53">
        <v>114230</v>
      </c>
      <c r="H580" s="53">
        <v>101634.1</v>
      </c>
      <c r="I580" s="53">
        <v>0</v>
      </c>
      <c r="J580" s="53">
        <v>619969.65600000008</v>
      </c>
      <c r="K580" s="53">
        <f>SUM(J580:J583)</f>
        <v>2412674.625</v>
      </c>
    </row>
    <row r="581" spans="2:11" x14ac:dyDescent="0.3">
      <c r="B581" s="742">
        <v>32</v>
      </c>
      <c r="C581" s="53">
        <v>94386.203999999998</v>
      </c>
      <c r="D581" s="53">
        <v>96704.19</v>
      </c>
      <c r="E581" s="53">
        <v>89274.141000000003</v>
      </c>
      <c r="F581" s="53">
        <v>90567.377999999997</v>
      </c>
      <c r="G581" s="53">
        <v>113700.114</v>
      </c>
      <c r="H581" s="53">
        <v>107930.988</v>
      </c>
      <c r="I581" s="53">
        <v>0</v>
      </c>
      <c r="J581" s="53">
        <v>592563.01500000001</v>
      </c>
    </row>
    <row r="582" spans="2:11" x14ac:dyDescent="0.3">
      <c r="B582" s="742">
        <v>33</v>
      </c>
      <c r="C582" s="53">
        <v>0</v>
      </c>
      <c r="D582" s="53">
        <v>75662.828999999998</v>
      </c>
      <c r="E582" s="53">
        <v>108077.508</v>
      </c>
      <c r="F582" s="53">
        <v>102966.633</v>
      </c>
      <c r="G582" s="53">
        <v>121120.758</v>
      </c>
      <c r="H582" s="53">
        <v>107119.58399999999</v>
      </c>
      <c r="I582" s="53">
        <v>0</v>
      </c>
      <c r="J582" s="53">
        <v>514947.31199999998</v>
      </c>
    </row>
    <row r="583" spans="2:11" x14ac:dyDescent="0.3">
      <c r="B583" s="742">
        <v>34</v>
      </c>
      <c r="C583" s="53">
        <v>99083.16</v>
      </c>
      <c r="D583" s="53">
        <v>96065.640000000014</v>
      </c>
      <c r="E583" s="53">
        <v>99954.063000000009</v>
      </c>
      <c r="F583" s="53">
        <v>98573.90400000001</v>
      </c>
      <c r="G583" s="53">
        <v>151489.79999999999</v>
      </c>
      <c r="H583" s="53">
        <v>140028.07500000001</v>
      </c>
      <c r="I583" s="53">
        <v>0</v>
      </c>
      <c r="J583" s="53">
        <v>685194.64199999999</v>
      </c>
    </row>
    <row r="584" spans="2:11" x14ac:dyDescent="0.3">
      <c r="B584" s="742">
        <v>35</v>
      </c>
      <c r="C584" s="53">
        <v>118932.06599999999</v>
      </c>
      <c r="D584" s="53">
        <v>123849.69299999998</v>
      </c>
      <c r="E584" s="53">
        <v>125784.45000000001</v>
      </c>
      <c r="F584" s="53">
        <v>124636.05</v>
      </c>
      <c r="G584" s="53">
        <v>159098.742</v>
      </c>
      <c r="H584" s="53">
        <v>148840.56</v>
      </c>
      <c r="I584" s="53">
        <v>0</v>
      </c>
      <c r="J584" s="53">
        <v>801141.56099999999</v>
      </c>
      <c r="K584" s="53">
        <f>SUM(J584:J588)</f>
        <v>3848872.3020000001</v>
      </c>
    </row>
    <row r="585" spans="2:11" x14ac:dyDescent="0.3">
      <c r="B585" s="742">
        <v>36</v>
      </c>
      <c r="C585" s="53">
        <v>127599.318</v>
      </c>
      <c r="D585" s="53">
        <v>139307.454</v>
      </c>
      <c r="E585" s="53">
        <v>141434.37</v>
      </c>
      <c r="F585" s="53">
        <v>127794.05100000001</v>
      </c>
      <c r="G585" s="53">
        <v>155212.19999999998</v>
      </c>
      <c r="H585" s="53">
        <v>146609.00099999999</v>
      </c>
      <c r="I585" s="53">
        <v>0</v>
      </c>
      <c r="J585" s="53">
        <v>837956.39399999985</v>
      </c>
    </row>
    <row r="586" spans="2:11" x14ac:dyDescent="0.3">
      <c r="B586" s="742">
        <v>37</v>
      </c>
      <c r="C586" s="53">
        <v>119458.25099999999</v>
      </c>
      <c r="D586" s="53">
        <v>107005.734</v>
      </c>
      <c r="E586" s="53">
        <v>110185.71299999999</v>
      </c>
      <c r="F586" s="53">
        <v>105009.59700000001</v>
      </c>
      <c r="G586" s="53">
        <v>142149.15</v>
      </c>
      <c r="H586" s="53">
        <v>127360.827</v>
      </c>
      <c r="I586" s="53">
        <v>0</v>
      </c>
      <c r="J586" s="53">
        <v>711169.272</v>
      </c>
    </row>
    <row r="587" spans="2:11" x14ac:dyDescent="0.3">
      <c r="B587" s="742">
        <v>38</v>
      </c>
      <c r="C587" s="53">
        <v>115451.424</v>
      </c>
      <c r="D587" s="53">
        <v>111263.12999999998</v>
      </c>
      <c r="E587" s="53">
        <v>111335.796</v>
      </c>
      <c r="F587" s="53">
        <v>108176.01300000001</v>
      </c>
      <c r="G587" s="53">
        <v>145767.59999999998</v>
      </c>
      <c r="H587" s="53">
        <v>133224.99299999999</v>
      </c>
      <c r="I587" s="53">
        <v>0</v>
      </c>
      <c r="J587" s="53">
        <v>725218.95600000001</v>
      </c>
    </row>
    <row r="588" spans="2:11" x14ac:dyDescent="0.3">
      <c r="B588" s="742">
        <v>39</v>
      </c>
      <c r="C588" s="53">
        <v>116476.07399999999</v>
      </c>
      <c r="D588" s="53">
        <v>118464.88500000001</v>
      </c>
      <c r="E588" s="53">
        <v>120251.83499999999</v>
      </c>
      <c r="F588" s="53">
        <v>116303.91300000002</v>
      </c>
      <c r="G588" s="53">
        <v>150338.03399999999</v>
      </c>
      <c r="H588" s="53">
        <v>151551.378</v>
      </c>
      <c r="I588" s="53">
        <v>0</v>
      </c>
      <c r="J588" s="53">
        <v>773386.11899999995</v>
      </c>
    </row>
    <row r="589" spans="2:11" x14ac:dyDescent="0.3">
      <c r="B589" s="742">
        <v>40</v>
      </c>
      <c r="C589" s="53">
        <v>130719.59999999999</v>
      </c>
      <c r="D589" s="53">
        <v>119673.97199999999</v>
      </c>
      <c r="E589" s="53">
        <v>124683.27299999999</v>
      </c>
      <c r="F589" s="53">
        <v>124550.31600000002</v>
      </c>
      <c r="G589" s="53">
        <v>158672.25</v>
      </c>
      <c r="H589" s="53">
        <v>146188.74600000001</v>
      </c>
      <c r="I589" s="53">
        <v>0</v>
      </c>
      <c r="J589" s="53">
        <v>804488.15700000001</v>
      </c>
      <c r="K589" s="53">
        <f>SUM(J589:J592)</f>
        <v>3062939.3190000001</v>
      </c>
    </row>
    <row r="590" spans="2:11" x14ac:dyDescent="0.3">
      <c r="B590" s="742">
        <v>41</v>
      </c>
      <c r="C590" s="53">
        <v>128572.785</v>
      </c>
      <c r="D590" s="53">
        <v>125810.19</v>
      </c>
      <c r="E590" s="53">
        <v>127730.29500000001</v>
      </c>
      <c r="F590" s="53">
        <v>113967.01800000001</v>
      </c>
      <c r="G590" s="53">
        <v>157789.26899999997</v>
      </c>
      <c r="H590" s="53">
        <v>142666.72200000001</v>
      </c>
      <c r="I590" s="53">
        <v>0</v>
      </c>
      <c r="J590" s="53">
        <v>796536.2790000001</v>
      </c>
    </row>
    <row r="591" spans="2:11" x14ac:dyDescent="0.3">
      <c r="B591" s="742">
        <v>42</v>
      </c>
      <c r="C591" s="53">
        <v>119117.79000000001</v>
      </c>
      <c r="D591" s="53">
        <v>118534.28400000001</v>
      </c>
      <c r="E591" s="53">
        <v>107961.28200000001</v>
      </c>
      <c r="F591" s="53">
        <v>101721.51000000001</v>
      </c>
      <c r="G591" s="53">
        <v>141236.96399999998</v>
      </c>
      <c r="H591" s="53">
        <v>128971.65599999999</v>
      </c>
      <c r="I591" s="53">
        <v>0</v>
      </c>
      <c r="J591" s="53">
        <v>717543.48600000003</v>
      </c>
    </row>
    <row r="592" spans="2:11" x14ac:dyDescent="0.3">
      <c r="B592" s="742">
        <v>43</v>
      </c>
      <c r="C592" s="53">
        <v>118688.823</v>
      </c>
      <c r="D592" s="53">
        <v>121031.45999999999</v>
      </c>
      <c r="E592" s="53">
        <v>107880.29999999999</v>
      </c>
      <c r="F592" s="53">
        <v>104420.052</v>
      </c>
      <c r="G592" s="53">
        <v>148932.432</v>
      </c>
      <c r="H592" s="53">
        <v>143418.33000000002</v>
      </c>
      <c r="I592" s="53">
        <v>0</v>
      </c>
      <c r="J592" s="53">
        <v>744371.39700000011</v>
      </c>
    </row>
    <row r="593" spans="2:15" x14ac:dyDescent="0.3">
      <c r="B593" s="742">
        <v>44</v>
      </c>
      <c r="C593" s="53">
        <v>125005.617</v>
      </c>
      <c r="D593" s="53">
        <v>0</v>
      </c>
      <c r="E593" s="53">
        <v>121708.818</v>
      </c>
      <c r="F593" s="53">
        <v>128640.50099999999</v>
      </c>
      <c r="G593" s="53">
        <v>161638.68599999999</v>
      </c>
      <c r="H593" s="53">
        <v>156191.31</v>
      </c>
      <c r="I593" s="53">
        <v>0</v>
      </c>
      <c r="J593" s="53">
        <v>693184.93200000003</v>
      </c>
      <c r="K593" s="53">
        <f>SUM(J593:J596)</f>
        <v>3087252.5496061929</v>
      </c>
    </row>
    <row r="594" spans="2:15" x14ac:dyDescent="0.3">
      <c r="B594" s="742">
        <v>45</v>
      </c>
      <c r="C594" s="53">
        <v>135265.185</v>
      </c>
      <c r="D594" s="53">
        <v>145003.71600000001</v>
      </c>
      <c r="E594" s="53">
        <v>123985.22400000002</v>
      </c>
      <c r="F594" s="53">
        <v>155714.52600000001</v>
      </c>
      <c r="G594" s="53">
        <v>0</v>
      </c>
      <c r="H594" s="53">
        <v>156916.97999999998</v>
      </c>
      <c r="I594" s="53">
        <v>0</v>
      </c>
      <c r="J594" s="53">
        <v>716885.63100000005</v>
      </c>
    </row>
    <row r="595" spans="2:15" x14ac:dyDescent="0.3">
      <c r="B595" s="742">
        <v>46</v>
      </c>
      <c r="C595" s="53">
        <v>130788.62160619271</v>
      </c>
      <c r="D595" s="53">
        <v>131411.41199999998</v>
      </c>
      <c r="E595" s="53">
        <v>129224.7</v>
      </c>
      <c r="F595" s="53">
        <v>111629.628</v>
      </c>
      <c r="G595" s="53">
        <v>148854.61799999999</v>
      </c>
      <c r="H595" s="53">
        <v>142410.41099999999</v>
      </c>
      <c r="I595" s="53">
        <v>0</v>
      </c>
      <c r="J595" s="53">
        <v>794319.39060619264</v>
      </c>
    </row>
    <row r="596" spans="2:15" x14ac:dyDescent="0.3">
      <c r="B596" s="742">
        <v>47</v>
      </c>
      <c r="C596" s="53">
        <v>128185.2</v>
      </c>
      <c r="D596" s="53">
        <v>133771.07699999999</v>
      </c>
      <c r="E596" s="53">
        <v>133767.41399999999</v>
      </c>
      <c r="F596" s="53">
        <v>128027.49299999999</v>
      </c>
      <c r="G596" s="53">
        <v>175080.31199999998</v>
      </c>
      <c r="H596" s="53">
        <v>184031.1</v>
      </c>
      <c r="I596" s="53">
        <v>0</v>
      </c>
      <c r="J596" s="53">
        <v>882862.59600000002</v>
      </c>
    </row>
    <row r="597" spans="2:15" x14ac:dyDescent="0.3">
      <c r="B597" s="742">
        <v>48</v>
      </c>
      <c r="C597" s="53">
        <v>154339.01999999999</v>
      </c>
      <c r="D597" s="53">
        <v>171164.07</v>
      </c>
      <c r="E597" s="53">
        <v>176623.326</v>
      </c>
      <c r="F597" s="53">
        <v>168609.27599999998</v>
      </c>
      <c r="G597" s="53">
        <v>183571.641</v>
      </c>
      <c r="H597" s="53">
        <v>167192.883</v>
      </c>
      <c r="I597" s="53">
        <v>0</v>
      </c>
      <c r="J597" s="53">
        <v>1021500.2159999999</v>
      </c>
      <c r="K597" s="53">
        <f>SUM(J597:J601)</f>
        <v>4496995.8990000002</v>
      </c>
    </row>
    <row r="598" spans="2:15" x14ac:dyDescent="0.3">
      <c r="B598" s="742">
        <v>49</v>
      </c>
      <c r="C598" s="53">
        <v>142470.30600000001</v>
      </c>
      <c r="D598" s="53">
        <v>142246.56599999999</v>
      </c>
      <c r="E598" s="53">
        <v>130606.93799999999</v>
      </c>
      <c r="F598" s="53">
        <v>115624.08</v>
      </c>
      <c r="G598" s="53">
        <v>155765.60999999999</v>
      </c>
      <c r="H598" s="53">
        <v>145349.622</v>
      </c>
      <c r="I598" s="53">
        <v>0</v>
      </c>
      <c r="J598" s="53">
        <v>832063.12199999986</v>
      </c>
      <c r="K598" s="53"/>
    </row>
    <row r="599" spans="2:15" x14ac:dyDescent="0.3">
      <c r="B599" s="742">
        <v>50</v>
      </c>
      <c r="C599" s="53">
        <v>127856.02499999999</v>
      </c>
      <c r="D599" s="53">
        <v>135726.32699999999</v>
      </c>
      <c r="E599" s="53">
        <v>128150.15399999999</v>
      </c>
      <c r="F599" s="53">
        <v>121391.91900000002</v>
      </c>
      <c r="G599" s="53">
        <v>143385.16499999998</v>
      </c>
      <c r="H599" s="53">
        <v>134265.78</v>
      </c>
      <c r="I599" s="53">
        <v>0</v>
      </c>
      <c r="J599" s="53">
        <v>790775.36999999988</v>
      </c>
    </row>
    <row r="600" spans="2:15" x14ac:dyDescent="0.3">
      <c r="B600" s="742">
        <v>51</v>
      </c>
      <c r="C600" s="53">
        <v>123254.505</v>
      </c>
      <c r="D600" s="53">
        <v>141148.65599999999</v>
      </c>
      <c r="E600" s="53">
        <v>164409.30000000002</v>
      </c>
      <c r="F600" s="53">
        <v>184719.15</v>
      </c>
      <c r="G600" s="53">
        <v>199653.3</v>
      </c>
      <c r="H600" s="53">
        <v>126556.65000000001</v>
      </c>
      <c r="I600" s="53">
        <v>0</v>
      </c>
      <c r="J600" s="53">
        <v>939741.5610000001</v>
      </c>
    </row>
    <row r="601" spans="2:15" x14ac:dyDescent="0.3">
      <c r="B601" s="742">
        <v>52</v>
      </c>
      <c r="C601" s="53">
        <v>106646.51250000001</v>
      </c>
      <c r="D601" s="53">
        <v>155528.01</v>
      </c>
      <c r="E601" s="53">
        <v>155991.08249999999</v>
      </c>
      <c r="F601" s="53">
        <v>176221.23749999999</v>
      </c>
      <c r="G601" s="53">
        <v>192274.08750000002</v>
      </c>
      <c r="H601" s="53">
        <v>126254.70000000001</v>
      </c>
      <c r="I601" s="53"/>
      <c r="J601" s="53">
        <v>912915.63000000012</v>
      </c>
    </row>
    <row r="602" spans="2:15" x14ac:dyDescent="0.3">
      <c r="B602" s="742" t="s">
        <v>378</v>
      </c>
      <c r="C602" s="53">
        <v>5593199.5041061919</v>
      </c>
      <c r="D602" s="53">
        <v>6013880.5319999997</v>
      </c>
      <c r="E602" s="53">
        <v>6240593.8485000012</v>
      </c>
      <c r="F602" s="53">
        <v>5886671.5514999991</v>
      </c>
      <c r="G602" s="53">
        <v>7664194.1854999997</v>
      </c>
      <c r="H602" s="53">
        <v>7188734.824000001</v>
      </c>
      <c r="I602" s="53">
        <v>150592.7564565689</v>
      </c>
      <c r="J602" s="53">
        <v>38737867.202062756</v>
      </c>
    </row>
    <row r="603" spans="2:15" x14ac:dyDescent="0.3">
      <c r="C603" t="s">
        <v>436</v>
      </c>
      <c r="D603" t="s">
        <v>437</v>
      </c>
      <c r="E603" t="s">
        <v>438</v>
      </c>
      <c r="F603" t="s">
        <v>439</v>
      </c>
      <c r="G603" t="s">
        <v>440</v>
      </c>
      <c r="H603" t="s">
        <v>441</v>
      </c>
      <c r="I603" t="s">
        <v>442</v>
      </c>
      <c r="L603" t="s">
        <v>103</v>
      </c>
      <c r="M603">
        <v>624228.46694213117</v>
      </c>
      <c r="N603">
        <v>1795134.0809327131</v>
      </c>
      <c r="O603">
        <f t="shared" ref="O603:O611" si="57">SUM(M603:N603)</f>
        <v>2419362.5478748442</v>
      </c>
    </row>
    <row r="604" spans="2:15" x14ac:dyDescent="0.3">
      <c r="C604" s="53">
        <v>2100</v>
      </c>
      <c r="D604" s="53">
        <v>2390</v>
      </c>
      <c r="E604" s="53">
        <v>2390</v>
      </c>
      <c r="F604" s="53">
        <v>2260</v>
      </c>
      <c r="G604" s="53">
        <v>3200</v>
      </c>
      <c r="H604" s="53">
        <v>3050</v>
      </c>
      <c r="I604" s="53">
        <f>AVERAGE(C604:H604)</f>
        <v>2565</v>
      </c>
      <c r="J604" s="53">
        <f>SUM(C604:H604)</f>
        <v>15390</v>
      </c>
      <c r="L604" t="s">
        <v>104</v>
      </c>
      <c r="M604">
        <v>485216.41939386021</v>
      </c>
      <c r="N604">
        <v>1423215.7911950336</v>
      </c>
      <c r="O604">
        <f t="shared" si="57"/>
        <v>1908432.2105888939</v>
      </c>
    </row>
    <row r="605" spans="2:15" x14ac:dyDescent="0.3">
      <c r="C605" s="902">
        <f t="shared" ref="C605:I605" si="58">C604/$J$604</f>
        <v>0.1364522417153996</v>
      </c>
      <c r="D605" s="902">
        <f t="shared" si="58"/>
        <v>0.15529564652371669</v>
      </c>
      <c r="E605" s="902">
        <f t="shared" si="58"/>
        <v>0.15529564652371669</v>
      </c>
      <c r="F605" s="902">
        <f t="shared" si="58"/>
        <v>0.14684860298895386</v>
      </c>
      <c r="G605" s="902">
        <f t="shared" si="58"/>
        <v>0.20792722547108511</v>
      </c>
      <c r="H605" s="902">
        <f t="shared" si="58"/>
        <v>0.19818063677712799</v>
      </c>
      <c r="I605" s="902">
        <f t="shared" si="58"/>
        <v>0.16666666666666666</v>
      </c>
      <c r="L605" t="s">
        <v>105</v>
      </c>
      <c r="M605">
        <v>785674.59731091</v>
      </c>
      <c r="N605">
        <v>1915841.67579237</v>
      </c>
      <c r="O605">
        <f t="shared" si="57"/>
        <v>2701516.27310328</v>
      </c>
    </row>
    <row r="606" spans="2:15" x14ac:dyDescent="0.3">
      <c r="L606" t="s">
        <v>106</v>
      </c>
      <c r="M606">
        <v>1009004.9947181756</v>
      </c>
      <c r="N606">
        <v>2131008.4406572063</v>
      </c>
      <c r="O606">
        <f t="shared" si="57"/>
        <v>3140013.4353753822</v>
      </c>
    </row>
    <row r="607" spans="2:15" x14ac:dyDescent="0.3">
      <c r="I607" s="64">
        <f>G605/I605</f>
        <v>1.2475633528265107</v>
      </c>
      <c r="L607" t="s">
        <v>107</v>
      </c>
      <c r="M607">
        <v>737223.23508013226</v>
      </c>
      <c r="N607">
        <v>2011826.2529471864</v>
      </c>
      <c r="O607">
        <f t="shared" si="57"/>
        <v>2749049.4880273184</v>
      </c>
    </row>
    <row r="608" spans="2:15" x14ac:dyDescent="0.3">
      <c r="F608" t="s">
        <v>443</v>
      </c>
      <c r="L608" t="s">
        <v>108</v>
      </c>
      <c r="M608">
        <v>666825.45966611488</v>
      </c>
      <c r="N608">
        <v>1914893.8558692331</v>
      </c>
      <c r="O608">
        <f t="shared" si="57"/>
        <v>2581719.3155353479</v>
      </c>
    </row>
    <row r="609" spans="3:15" x14ac:dyDescent="0.3">
      <c r="C609" s="907" t="s">
        <v>444</v>
      </c>
      <c r="D609" s="900">
        <v>4</v>
      </c>
      <c r="F609" s="900">
        <v>200000</v>
      </c>
      <c r="L609" t="s">
        <v>109</v>
      </c>
      <c r="M609">
        <v>800258.17067664443</v>
      </c>
      <c r="N609">
        <v>1986899.5608298793</v>
      </c>
      <c r="O609">
        <f t="shared" si="57"/>
        <v>2787157.7315065237</v>
      </c>
    </row>
    <row r="610" spans="3:15" x14ac:dyDescent="0.3">
      <c r="C610">
        <v>45</v>
      </c>
      <c r="D610">
        <v>14175</v>
      </c>
      <c r="E610" s="905">
        <f t="shared" ref="E610:E617" si="59">D610*$D$609</f>
        <v>56700</v>
      </c>
      <c r="F610" s="900">
        <v>99000</v>
      </c>
      <c r="L610" t="s">
        <v>110</v>
      </c>
      <c r="M610">
        <v>1086901.3847620245</v>
      </c>
      <c r="N610">
        <v>2086246.489109813</v>
      </c>
      <c r="O610">
        <f t="shared" si="57"/>
        <v>3173147.8738718377</v>
      </c>
    </row>
    <row r="611" spans="3:15" x14ac:dyDescent="0.3">
      <c r="C611">
        <v>46</v>
      </c>
      <c r="D611">
        <v>16925</v>
      </c>
      <c r="E611" s="905">
        <f t="shared" si="59"/>
        <v>67700</v>
      </c>
      <c r="F611" s="900"/>
      <c r="L611" t="s">
        <v>111</v>
      </c>
      <c r="M611">
        <v>623978.59479287954</v>
      </c>
      <c r="N611">
        <v>1007976.636762694</v>
      </c>
      <c r="O611">
        <f t="shared" si="57"/>
        <v>1631955.2315555736</v>
      </c>
    </row>
    <row r="612" spans="3:15" x14ac:dyDescent="0.3">
      <c r="C612">
        <v>47</v>
      </c>
      <c r="D612">
        <v>19925</v>
      </c>
      <c r="E612" s="905">
        <f t="shared" si="59"/>
        <v>79700</v>
      </c>
      <c r="F612" s="900">
        <v>99000</v>
      </c>
    </row>
    <row r="613" spans="3:15" x14ac:dyDescent="0.3">
      <c r="C613">
        <v>48</v>
      </c>
      <c r="D613">
        <v>20175</v>
      </c>
      <c r="E613" s="905">
        <f t="shared" si="59"/>
        <v>80700</v>
      </c>
      <c r="F613" s="900">
        <v>99000</v>
      </c>
    </row>
    <row r="614" spans="3:15" x14ac:dyDescent="0.3">
      <c r="C614">
        <v>49</v>
      </c>
      <c r="D614">
        <v>18175</v>
      </c>
      <c r="E614" s="905">
        <f t="shared" si="59"/>
        <v>72700</v>
      </c>
      <c r="F614" s="900">
        <v>99000</v>
      </c>
    </row>
    <row r="615" spans="3:15" x14ac:dyDescent="0.3">
      <c r="C615">
        <v>50</v>
      </c>
      <c r="D615">
        <v>17465</v>
      </c>
      <c r="E615" s="905">
        <f t="shared" si="59"/>
        <v>69860</v>
      </c>
      <c r="F615" s="900">
        <f>99000+99000</f>
        <v>198000</v>
      </c>
    </row>
    <row r="616" spans="3:15" x14ac:dyDescent="0.3">
      <c r="C616">
        <v>51</v>
      </c>
      <c r="D616">
        <v>21950</v>
      </c>
      <c r="E616" s="905">
        <f t="shared" si="59"/>
        <v>87800</v>
      </c>
      <c r="F616" s="900">
        <v>99000</v>
      </c>
    </row>
    <row r="617" spans="3:15" x14ac:dyDescent="0.3">
      <c r="C617">
        <v>52</v>
      </c>
      <c r="D617">
        <v>21975</v>
      </c>
      <c r="E617" s="905">
        <f t="shared" si="59"/>
        <v>87900</v>
      </c>
      <c r="F617" s="900"/>
    </row>
    <row r="618" spans="3:15" x14ac:dyDescent="0.3">
      <c r="F618" s="53">
        <v>75000</v>
      </c>
      <c r="G618" s="906">
        <f>F618*0.5</f>
        <v>37500</v>
      </c>
      <c r="H618">
        <v>70000</v>
      </c>
    </row>
    <row r="636" spans="2:18" x14ac:dyDescent="0.3">
      <c r="B636" s="893" t="s">
        <v>369</v>
      </c>
      <c r="C636" t="s">
        <v>435</v>
      </c>
      <c r="D636" t="s">
        <v>458</v>
      </c>
    </row>
    <row r="637" spans="2:18" x14ac:dyDescent="0.3">
      <c r="B637" s="836">
        <v>1</v>
      </c>
      <c r="C637" s="53">
        <v>3300986.7</v>
      </c>
      <c r="D637" s="53">
        <v>49340</v>
      </c>
      <c r="G637">
        <v>1</v>
      </c>
      <c r="H637">
        <v>2</v>
      </c>
      <c r="I637">
        <v>3</v>
      </c>
      <c r="J637">
        <v>4</v>
      </c>
      <c r="K637">
        <v>5</v>
      </c>
      <c r="L637">
        <v>6</v>
      </c>
      <c r="M637">
        <v>7</v>
      </c>
      <c r="N637">
        <v>8</v>
      </c>
      <c r="O637">
        <v>9</v>
      </c>
      <c r="P637">
        <v>10</v>
      </c>
      <c r="Q637">
        <v>11</v>
      </c>
      <c r="R637">
        <v>12</v>
      </c>
    </row>
    <row r="638" spans="2:18" x14ac:dyDescent="0.3">
      <c r="B638" s="836">
        <v>2</v>
      </c>
      <c r="C638" s="53">
        <v>3019995.0989999995</v>
      </c>
      <c r="D638" s="53">
        <v>44415</v>
      </c>
      <c r="G638">
        <v>3267643.4</v>
      </c>
      <c r="H638">
        <v>2989490.0980000002</v>
      </c>
      <c r="I638">
        <v>3334511.642</v>
      </c>
      <c r="J638">
        <v>3072691.4120000005</v>
      </c>
      <c r="K638">
        <v>3094293.1555024623</v>
      </c>
      <c r="L638">
        <v>3204106.4719999996</v>
      </c>
      <c r="M638">
        <v>2645900.0399999996</v>
      </c>
      <c r="N638">
        <v>2759409.8120000004</v>
      </c>
      <c r="O638">
        <v>3295130.9299999997</v>
      </c>
      <c r="P638">
        <v>3305764.0280000004</v>
      </c>
      <c r="Q638">
        <v>3615777.2095898935</v>
      </c>
      <c r="R638">
        <v>4214461.6691206908</v>
      </c>
    </row>
    <row r="639" spans="2:18" x14ac:dyDescent="0.3">
      <c r="B639" s="836">
        <v>3</v>
      </c>
      <c r="C639" s="53">
        <v>3368537.2710000002</v>
      </c>
      <c r="D639" s="53">
        <v>50215</v>
      </c>
      <c r="G639">
        <v>3095914.4909238708</v>
      </c>
      <c r="H639">
        <v>3249471</v>
      </c>
      <c r="I639">
        <v>3661725.1</v>
      </c>
      <c r="J639">
        <v>3559941</v>
      </c>
      <c r="K639">
        <v>3235419.9488583049</v>
      </c>
      <c r="L639">
        <v>3281807.8191676396</v>
      </c>
      <c r="M639">
        <v>2498926.0787990815</v>
      </c>
      <c r="N639">
        <v>2471154.1897815787</v>
      </c>
      <c r="O639">
        <v>2792773.7806943967</v>
      </c>
      <c r="P639">
        <v>3044822.4029561416</v>
      </c>
      <c r="Q639">
        <v>3073381.436600145</v>
      </c>
      <c r="R639">
        <v>3490504.4730124236</v>
      </c>
    </row>
    <row r="640" spans="2:18" x14ac:dyDescent="0.3">
      <c r="B640" s="836">
        <v>4</v>
      </c>
      <c r="C640" s="53">
        <v>3104045.406</v>
      </c>
      <c r="D640" s="53">
        <v>45251</v>
      </c>
    </row>
    <row r="641" spans="2:7" x14ac:dyDescent="0.3">
      <c r="B641" s="836">
        <v>5</v>
      </c>
      <c r="C641" s="53">
        <v>3125867.575456569</v>
      </c>
      <c r="D641" s="53">
        <v>45519</v>
      </c>
      <c r="G641">
        <v>3095914.4909238708</v>
      </c>
    </row>
    <row r="642" spans="2:7" x14ac:dyDescent="0.3">
      <c r="B642" s="836">
        <v>6</v>
      </c>
      <c r="C642" s="53">
        <v>3236801.4359999988</v>
      </c>
      <c r="D642" s="53">
        <v>46932</v>
      </c>
      <c r="G642">
        <v>3249471</v>
      </c>
    </row>
    <row r="643" spans="2:7" x14ac:dyDescent="0.3">
      <c r="B643" s="836">
        <v>7</v>
      </c>
      <c r="C643" s="53">
        <v>2672899.02</v>
      </c>
      <c r="D643" s="53">
        <v>42504</v>
      </c>
      <c r="G643">
        <v>3661725.1</v>
      </c>
    </row>
    <row r="644" spans="2:7" x14ac:dyDescent="0.3">
      <c r="B644" s="836">
        <v>8</v>
      </c>
      <c r="C644" s="53">
        <v>2781240.8340000003</v>
      </c>
      <c r="D644" s="53">
        <v>43013</v>
      </c>
      <c r="G644">
        <v>3559941</v>
      </c>
    </row>
    <row r="645" spans="2:7" x14ac:dyDescent="0.3">
      <c r="B645" s="836">
        <v>9</v>
      </c>
      <c r="C645" s="53">
        <v>3328754.7149999994</v>
      </c>
      <c r="D645" s="53">
        <v>49296</v>
      </c>
      <c r="G645">
        <v>3235419.9488583049</v>
      </c>
    </row>
    <row r="646" spans="2:7" x14ac:dyDescent="0.3">
      <c r="B646" s="836">
        <v>10</v>
      </c>
      <c r="C646" s="53">
        <v>3339496.3139999998</v>
      </c>
      <c r="D646" s="53">
        <v>51041</v>
      </c>
      <c r="G646">
        <v>3281807.8191676396</v>
      </c>
    </row>
    <row r="647" spans="2:7" x14ac:dyDescent="0.3">
      <c r="B647" s="836">
        <v>11</v>
      </c>
      <c r="C647" s="53">
        <v>3464373.3486061925</v>
      </c>
      <c r="D647" s="53">
        <v>51130</v>
      </c>
      <c r="G647">
        <v>2498926.0787990815</v>
      </c>
    </row>
    <row r="648" spans="2:7" x14ac:dyDescent="0.3">
      <c r="B648" s="836">
        <v>12</v>
      </c>
      <c r="C648" s="53">
        <v>3994869.4829999995</v>
      </c>
      <c r="D648" s="53">
        <v>58324</v>
      </c>
      <c r="G648">
        <v>2471154.1897815787</v>
      </c>
    </row>
    <row r="649" spans="2:7" x14ac:dyDescent="0.3">
      <c r="B649" s="836" t="s">
        <v>378</v>
      </c>
      <c r="C649" s="53">
        <v>38737867.202062763</v>
      </c>
      <c r="D649" s="53">
        <v>576980</v>
      </c>
      <c r="G649">
        <v>2792773.7806943967</v>
      </c>
    </row>
    <row r="650" spans="2:7" x14ac:dyDescent="0.3">
      <c r="G650">
        <v>3044822.4029561416</v>
      </c>
    </row>
    <row r="651" spans="2:7" x14ac:dyDescent="0.3">
      <c r="G651">
        <v>3073381.436600145</v>
      </c>
    </row>
    <row r="652" spans="2:7" x14ac:dyDescent="0.3">
      <c r="G652">
        <v>3490504.4730124236</v>
      </c>
    </row>
    <row r="660" spans="2:5" x14ac:dyDescent="0.3">
      <c r="C660" t="s">
        <v>456</v>
      </c>
      <c r="D660" t="s">
        <v>210</v>
      </c>
      <c r="E660" t="s">
        <v>457</v>
      </c>
    </row>
    <row r="661" spans="2:5" x14ac:dyDescent="0.3">
      <c r="B661" t="s">
        <v>446</v>
      </c>
      <c r="C661" s="312">
        <v>209771</v>
      </c>
      <c r="D661">
        <v>17564</v>
      </c>
      <c r="E661">
        <f>C661/D661</f>
        <v>11.943236164882714</v>
      </c>
    </row>
    <row r="662" spans="2:5" x14ac:dyDescent="0.3">
      <c r="B662" t="s">
        <v>447</v>
      </c>
      <c r="C662" s="312">
        <v>200518</v>
      </c>
      <c r="D662">
        <v>17500</v>
      </c>
      <c r="E662">
        <f t="shared" ref="E662:E671" si="60">C662/D662</f>
        <v>11.458171428571429</v>
      </c>
    </row>
    <row r="663" spans="2:5" x14ac:dyDescent="0.3">
      <c r="B663" t="s">
        <v>448</v>
      </c>
      <c r="C663" s="312">
        <v>265926</v>
      </c>
      <c r="D663">
        <v>19961</v>
      </c>
      <c r="E663">
        <f t="shared" si="60"/>
        <v>13.32227844296378</v>
      </c>
    </row>
    <row r="664" spans="2:5" x14ac:dyDescent="0.3">
      <c r="B664" t="s">
        <v>449</v>
      </c>
      <c r="C664" s="312">
        <v>199277</v>
      </c>
      <c r="D664">
        <v>16176</v>
      </c>
      <c r="E664">
        <f t="shared" si="60"/>
        <v>12.319300197823937</v>
      </c>
    </row>
    <row r="665" spans="2:5" x14ac:dyDescent="0.3">
      <c r="B665" t="s">
        <v>395</v>
      </c>
      <c r="C665" s="312">
        <v>206384</v>
      </c>
      <c r="D665">
        <v>17042</v>
      </c>
      <c r="E665">
        <f t="shared" si="60"/>
        <v>12.110315690646638</v>
      </c>
    </row>
    <row r="666" spans="2:5" x14ac:dyDescent="0.3">
      <c r="B666" t="s">
        <v>450</v>
      </c>
      <c r="C666" s="312">
        <v>260465</v>
      </c>
      <c r="D666">
        <v>20985</v>
      </c>
      <c r="E666">
        <f t="shared" si="60"/>
        <v>12.411960924469859</v>
      </c>
    </row>
    <row r="667" spans="2:5" x14ac:dyDescent="0.3">
      <c r="B667" t="s">
        <v>451</v>
      </c>
      <c r="C667" s="312">
        <v>201569</v>
      </c>
      <c r="D667">
        <v>13164</v>
      </c>
      <c r="E667">
        <f t="shared" si="60"/>
        <v>15.312139167426315</v>
      </c>
    </row>
    <row r="668" spans="2:5" x14ac:dyDescent="0.3">
      <c r="B668" t="s">
        <v>452</v>
      </c>
      <c r="C668" s="312">
        <v>201122</v>
      </c>
      <c r="D668">
        <v>14330</v>
      </c>
      <c r="E668">
        <f t="shared" si="60"/>
        <v>14.035031402651779</v>
      </c>
    </row>
    <row r="669" spans="2:5" x14ac:dyDescent="0.3">
      <c r="B669" t="s">
        <v>453</v>
      </c>
      <c r="C669" s="312">
        <v>267281</v>
      </c>
      <c r="D669">
        <v>22660</v>
      </c>
      <c r="E669">
        <f t="shared" si="60"/>
        <v>11.795278022947926</v>
      </c>
    </row>
    <row r="670" spans="2:5" x14ac:dyDescent="0.3">
      <c r="B670" t="s">
        <v>454</v>
      </c>
      <c r="C670" s="312">
        <v>214641</v>
      </c>
      <c r="D670">
        <v>18494</v>
      </c>
      <c r="E670">
        <f>C670/D670</f>
        <v>11.605980317940954</v>
      </c>
    </row>
    <row r="671" spans="2:5" x14ac:dyDescent="0.3">
      <c r="B671" t="s">
        <v>455</v>
      </c>
      <c r="C671" s="312">
        <v>193867</v>
      </c>
      <c r="D671">
        <v>18155</v>
      </c>
      <c r="E671">
        <f t="shared" si="60"/>
        <v>10.678435692646653</v>
      </c>
    </row>
    <row r="678" spans="3:5" ht="15.6" x14ac:dyDescent="0.3">
      <c r="C678" s="876" t="s">
        <v>287</v>
      </c>
      <c r="D678" s="877">
        <v>865302</v>
      </c>
      <c r="E678">
        <f t="shared" ref="E678:E683" si="61">D678*0.97</f>
        <v>839342.94</v>
      </c>
    </row>
    <row r="679" spans="3:5" ht="15.6" x14ac:dyDescent="0.3">
      <c r="C679" s="876" t="s">
        <v>289</v>
      </c>
      <c r="D679" s="877">
        <v>878547</v>
      </c>
      <c r="E679">
        <f t="shared" si="61"/>
        <v>852190.59</v>
      </c>
    </row>
    <row r="680" spans="3:5" ht="15.6" x14ac:dyDescent="0.3">
      <c r="C680" s="876" t="s">
        <v>290</v>
      </c>
      <c r="D680" s="877">
        <v>881808</v>
      </c>
      <c r="E680">
        <f t="shared" si="61"/>
        <v>855353.76</v>
      </c>
    </row>
    <row r="681" spans="3:5" ht="15.6" x14ac:dyDescent="0.3">
      <c r="C681" s="876" t="s">
        <v>291</v>
      </c>
      <c r="D681" s="877">
        <v>898549</v>
      </c>
      <c r="E681">
        <f t="shared" si="61"/>
        <v>871592.53</v>
      </c>
    </row>
    <row r="682" spans="3:5" ht="15.6" x14ac:dyDescent="0.3">
      <c r="C682" s="876" t="s">
        <v>292</v>
      </c>
      <c r="D682" s="877">
        <v>917687</v>
      </c>
      <c r="E682">
        <f t="shared" si="61"/>
        <v>890156.39</v>
      </c>
    </row>
    <row r="683" spans="3:5" ht="15.6" x14ac:dyDescent="0.3">
      <c r="C683" s="876" t="s">
        <v>293</v>
      </c>
      <c r="D683" s="877">
        <v>882107</v>
      </c>
      <c r="E683">
        <f t="shared" si="61"/>
        <v>855643.78999999992</v>
      </c>
    </row>
    <row r="684" spans="3:5" ht="15.6" x14ac:dyDescent="0.3">
      <c r="C684" s="876" t="s">
        <v>294</v>
      </c>
      <c r="D684" s="877">
        <v>844155</v>
      </c>
      <c r="E684" s="312">
        <f>D684</f>
        <v>844155</v>
      </c>
    </row>
    <row r="687" spans="3:5" x14ac:dyDescent="0.3">
      <c r="C687" s="876" t="s">
        <v>287</v>
      </c>
      <c r="D687" s="920">
        <v>839342.94</v>
      </c>
    </row>
    <row r="688" spans="3:5" x14ac:dyDescent="0.3">
      <c r="C688" s="876" t="s">
        <v>289</v>
      </c>
      <c r="D688" s="920">
        <v>852190.59</v>
      </c>
    </row>
    <row r="689" spans="3:4" x14ac:dyDescent="0.3">
      <c r="C689" s="876" t="s">
        <v>290</v>
      </c>
      <c r="D689" s="920">
        <v>855353.76</v>
      </c>
    </row>
    <row r="690" spans="3:4" x14ac:dyDescent="0.3">
      <c r="C690" s="876" t="s">
        <v>291</v>
      </c>
      <c r="D690" s="920">
        <v>871592.53</v>
      </c>
    </row>
    <row r="691" spans="3:4" x14ac:dyDescent="0.3">
      <c r="C691" s="876" t="s">
        <v>292</v>
      </c>
      <c r="D691" s="920">
        <v>890156.39</v>
      </c>
    </row>
    <row r="692" spans="3:4" x14ac:dyDescent="0.3">
      <c r="C692" s="876" t="s">
        <v>293</v>
      </c>
      <c r="D692" s="920">
        <v>855643.78999999992</v>
      </c>
    </row>
    <row r="693" spans="3:4" x14ac:dyDescent="0.3">
      <c r="C693" s="876" t="s">
        <v>294</v>
      </c>
      <c r="D693" s="920">
        <v>844155</v>
      </c>
    </row>
  </sheetData>
  <mergeCells count="25">
    <mergeCell ref="C450:C453"/>
    <mergeCell ref="C454:C457"/>
    <mergeCell ref="C458:C462"/>
    <mergeCell ref="C406:C410"/>
    <mergeCell ref="C411:C414"/>
    <mergeCell ref="C415:C417"/>
    <mergeCell ref="C321:C324"/>
    <mergeCell ref="B87:B90"/>
    <mergeCell ref="B91:B94"/>
    <mergeCell ref="B95:B98"/>
    <mergeCell ref="C253:C256"/>
    <mergeCell ref="C257:C260"/>
    <mergeCell ref="C307:C310"/>
    <mergeCell ref="C311:C314"/>
    <mergeCell ref="C315:C318"/>
    <mergeCell ref="C261:C264"/>
    <mergeCell ref="C265:C268"/>
    <mergeCell ref="C269:C272"/>
    <mergeCell ref="C299:C302"/>
    <mergeCell ref="C303:C306"/>
    <mergeCell ref="C363:C366"/>
    <mergeCell ref="C367:C370"/>
    <mergeCell ref="C371:C375"/>
    <mergeCell ref="C329:C333"/>
    <mergeCell ref="C325:C328"/>
  </mergeCells>
  <phoneticPr fontId="32" type="noConversion"/>
  <pageMargins left="0.7" right="0.7" top="0.75" bottom="0.75" header="0.3" footer="0.3"/>
  <pageSetup paperSize="9" orientation="portrait" r:id="rId8"/>
  <customProperties>
    <customPr name="_pios_id" r:id="rId9"/>
    <customPr name="ORB_SHEETNAME" r:id="rId10"/>
  </customProperties>
  <drawing r:id="rId11"/>
  <legacy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0155-32BD-4DC4-B056-389891DF55F4}">
  <dimension ref="A1"/>
  <sheetViews>
    <sheetView workbookViewId="0">
      <selection activeCell="E10" sqref="E10"/>
    </sheetView>
  </sheetViews>
  <sheetFormatPr defaultRowHeight="14.4" x14ac:dyDescent="0.3"/>
  <sheetData/>
  <pageMargins left="0.7" right="0.7" top="0.75" bottom="0.75" header="0.3" footer="0.3"/>
  <pageSetup paperSize="9" orientation="portrait" r:id="rId1"/>
  <customProperties>
    <customPr name="_pios_id" r:id="rId2"/>
    <customPr name="ORB_SHEETNAME" r:id="rId3"/>
  </customProperties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pplication xmlns="http://www.sap.com/cof/excel/application">
  <Version>2</Version>
  <Revision>2.7.502.89393</Revision>
</Application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224A21505C344EA97FD6D744024FA7" ma:contentTypeVersion="13" ma:contentTypeDescription="Create a new document." ma:contentTypeScope="" ma:versionID="c460123b9d55bfb9d92da4dce4c5e131">
  <xsd:schema xmlns:xsd="http://www.w3.org/2001/XMLSchema" xmlns:xs="http://www.w3.org/2001/XMLSchema" xmlns:p="http://schemas.microsoft.com/office/2006/metadata/properties" xmlns:ns2="2fc998f9-0045-4210-8fa8-1d8f99e90732" xmlns:ns3="9f7b367c-ab5c-47ad-abd5-97bbf95f1100" targetNamespace="http://schemas.microsoft.com/office/2006/metadata/properties" ma:root="true" ma:fieldsID="488d058dee10dd870c15d86d4465eb5c" ns2:_="" ns3:_="">
    <xsd:import namespace="2fc998f9-0045-4210-8fa8-1d8f99e90732"/>
    <xsd:import namespace="9f7b367c-ab5c-47ad-abd5-97bbf95f110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c998f9-0045-4210-8fa8-1d8f99e907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bef6c823-8af0-41c9-9730-451bffccf1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7b367c-ab5c-47ad-abd5-97bbf95f110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d5e23bbf-70b9-489f-ad2c-bbe7480b643e}" ma:internalName="TaxCatchAll" ma:showField="CatchAllData" ma:web="9f7b367c-ab5c-47ad-abd5-97bbf95f11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7b367c-ab5c-47ad-abd5-97bbf95f1100" xsi:nil="true"/>
    <lcf76f155ced4ddcb4097134ff3c332f xmlns="2fc998f9-0045-4210-8fa8-1d8f99e9073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6EA3AD5-EA7D-45DB-9AB2-EFCD81A81EAD}">
  <ds:schemaRefs>
    <ds:schemaRef ds:uri="http://www.sap.com/cof/excel/application"/>
  </ds:schemaRefs>
</ds:datastoreItem>
</file>

<file path=customXml/itemProps2.xml><?xml version="1.0" encoding="utf-8"?>
<ds:datastoreItem xmlns:ds="http://schemas.openxmlformats.org/officeDocument/2006/customXml" ds:itemID="{7EE71817-BB93-40AF-B7F4-B0F82CB77191}"/>
</file>

<file path=customXml/itemProps3.xml><?xml version="1.0" encoding="utf-8"?>
<ds:datastoreItem xmlns:ds="http://schemas.openxmlformats.org/officeDocument/2006/customXml" ds:itemID="{0C489470-7F6A-41B7-B2D4-B0A9382628A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50146B4-52DD-42D2-9120-880F55BAB29A}">
  <ds:schemaRefs>
    <ds:schemaRef ds:uri="8d27e930-694b-4362-bf11-182fe470755a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terms/"/>
    <ds:schemaRef ds:uri="http://schemas.openxmlformats.org/package/2006/metadata/core-properties"/>
    <ds:schemaRef ds:uri="4a61f0dd-20c7-43c2-b04f-0a4f3f2e1be0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Liste des vans détails</vt:lpstr>
      <vt:lpstr>STATUS</vt:lpstr>
      <vt:lpstr>Actiepunten</vt:lpstr>
      <vt:lpstr>Operations Forecast</vt:lpstr>
      <vt:lpstr>Operations Forecast_Alt</vt:lpstr>
      <vt:lpstr>Operations Forecast_new</vt:lpstr>
      <vt:lpstr>LT HD Forecast</vt:lpstr>
      <vt:lpstr>LT Collect Forecast</vt:lpstr>
      <vt:lpstr>ST Forecast</vt:lpstr>
      <vt:lpstr>DB</vt:lpstr>
      <vt:lpstr>LT Forecast 2</vt:lpstr>
      <vt:lpstr>van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Andreas De Ridder</dc:creator>
  <cp:keywords/>
  <dc:description/>
  <cp:lastModifiedBy>Alexander Windels</cp:lastModifiedBy>
  <cp:revision/>
  <dcterms:created xsi:type="dcterms:W3CDTF">2020-03-24T16:10:31Z</dcterms:created>
  <dcterms:modified xsi:type="dcterms:W3CDTF">2023-02-02T10:00:16Z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0x0101001C224A21505C344EA97FD6D744024FA7</vt:lpwstr>
  </property>
  <property fmtid="{D5CDD505-2E9C-101B-9397-08002B2CF9AE}" pid="3" name="CustomUiType">
    <vt:lpwstr>2</vt:lpwstr>
  </property>
  <property fmtid="{D5CDD505-2E9C-101B-9397-08002B2CF9AE}" pid="4" name="MSIP_Label_a1113265-c559-4850-9a4d-5c092dbd21ac_Enabled">
    <vt:lpwstr>true</vt:lpwstr>
  </property>
  <property fmtid="{D5CDD505-2E9C-101B-9397-08002B2CF9AE}" pid="5" name="MSIP_Label_a1113265-c559-4850-9a4d-5c092dbd21ac_SetDate">
    <vt:lpwstr>2020-09-19T10:55:34Z</vt:lpwstr>
  </property>
  <property fmtid="{D5CDD505-2E9C-101B-9397-08002B2CF9AE}" pid="6" name="MSIP_Label_a1113265-c559-4850-9a4d-5c092dbd21ac_Method">
    <vt:lpwstr>Standard</vt:lpwstr>
  </property>
  <property fmtid="{D5CDD505-2E9C-101B-9397-08002B2CF9AE}" pid="7" name="MSIP_Label_a1113265-c559-4850-9a4d-5c092dbd21ac_Name">
    <vt:lpwstr>Internal Use</vt:lpwstr>
  </property>
  <property fmtid="{D5CDD505-2E9C-101B-9397-08002B2CF9AE}" pid="8" name="MSIP_Label_a1113265-c559-4850-9a4d-5c092dbd21ac_SiteId">
    <vt:lpwstr>a6b169f1-592b-4329-8f33-8db8903003c7</vt:lpwstr>
  </property>
  <property fmtid="{D5CDD505-2E9C-101B-9397-08002B2CF9AE}" pid="9" name="MSIP_Label_a1113265-c559-4850-9a4d-5c092dbd21ac_ActionId">
    <vt:lpwstr>d332967f-f357-4940-9fed-176774174ed2</vt:lpwstr>
  </property>
  <property fmtid="{D5CDD505-2E9C-101B-9397-08002B2CF9AE}" pid="10" name="MSIP_Label_a1113265-c559-4850-9a4d-5c092dbd21ac_ContentBits">
    <vt:lpwstr>0</vt:lpwstr>
  </property>
  <property fmtid="{D5CDD505-2E9C-101B-9397-08002B2CF9AE}" pid="11" name="SV_QUERY_LIST_4F35BF76-6C0D-4D9B-82B2-816C12CF3733">
    <vt:lpwstr>empty_477D106A-C0D6-4607-AEBD-E2C9D60EA279</vt:lpwstr>
  </property>
  <property fmtid="{D5CDD505-2E9C-101B-9397-08002B2CF9AE}" pid="12" name="MediaServiceImageTags">
    <vt:lpwstr/>
  </property>
</Properties>
</file>